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e364d4ea-633d-4afe-bad8-4e5ea3988e2d.png" ContentType="image/.png"/>
  <Override PartName="/customUI/images/7e4ad3fb-7016-4b5e-8042-7a406be5c19a.png" ContentType="image/.png"/>
  <Override PartName="/customUI/images/214aa180-0790-41ca-8f4a-1798782c1a7a.png" ContentType="image/.png"/>
  <Override PartName="/customUI/images/6e589f64-a2de-4c69-8f3a-8b63f88da613.png" ContentType="image/.png"/>
  <Override PartName="/customUI/images/34682ed4-1922-40d2-8eb5-2bcc45c8215d.png" ContentType="image/.png"/>
  <Override PartName="/customUI/images/bafe8b4f-3966-4c3e-bb87-46a77f7268e9.png" ContentType="image/.png"/>
  <Override PartName="/customUI/images/fba57634-7457-4080-966f-a44733062c64.png" ContentType="image/.png"/>
  <Override PartName="/customUI/images/d14ab9f2-418a-4d42-97ef-1071536061ae.png" ContentType="image/.png"/>
  <Override PartName="/customUI/images/c26524c9-b1e9-44be-8cf3-5e26d145264e.png" ContentType="image/.png"/>
  <Override PartName="/customUI/images/1c15b007-b4f6-4cec-988c-0030c0e629ea.png" ContentType="image/.png"/>
  <Override PartName="/customUI/images/0d36a0c4-d158-4a7e-b5a8-bb83a9d2ddb7.png" ContentType="image/.png"/>
  <Override PartName="/customUI/images/4bf6ea8d-b50a-4a4a-81d4-619b2e0ad8ae.png" ContentType="image/.png"/>
  <Override PartName="/customUI/images/59573c6b-b510-43c8-b80b-4adf1865f6f1.png" ContentType="image/.png"/>
  <Override PartName="/customUI/images/4848570e-7b43-4b29-b5bd-93940e8eadc8.png" ContentType="image/.png"/>
  <Override PartName="/customUI/images/a30fff3f-cd5f-4b7c-9a83-1169657b0264.png" ContentType="image/.png"/>
  <Override PartName="/customUI/images/9636abe4-f9f7-4360-9574-fcd21bc83858.png" ContentType="image/.png"/>
  <Override PartName="/customUI/images/7557bcd0-e9a5-4ecb-90a0-6955d8baf381.png" ContentType="image/.png"/>
  <Override PartName="/customUI/images/f6ff4bc3-09b6-4c8c-9cea-c3c476f87c33.png" ContentType="image/.png"/>
  <Override PartName="/customUI/images/bb9c781b-fc92-4d9f-b9ea-54211a273974.png" ContentType="image/.png"/>
  <Override PartName="/customUI/images/04c22067-85ce-4cdf-8136-009ebc09b3b2.png" ContentType="image/.png"/>
  <Override PartName="/customUI/images/4fa8c3b2-d19d-45bf-a469-7ae09bc6e1bb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203d3eb8843547a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InfoProyectos\htdocs\msprojects\excliqliterepo\project-dev\"/>
    </mc:Choice>
  </mc:AlternateContent>
  <xr:revisionPtr revIDLastSave="0" documentId="13_ncr:1_{F71E3A7E-851B-4969-A0B7-423C6280255E}" xr6:coauthVersionLast="47" xr6:coauthVersionMax="47" xr10:uidLastSave="{00000000-0000-0000-0000-000000000000}"/>
  <bookViews>
    <workbookView xWindow="-108" yWindow="-108" windowWidth="23256" windowHeight="12720" firstSheet="4" activeTab="11" xr2:uid="{C9973495-63C9-449B-AC94-F321BE92F29A}"/>
  </bookViews>
  <sheets>
    <sheet name="excliqlite" sheetId="5" r:id="rId1"/>
    <sheet name="excliqlitedatasheetsys" sheetId="28" r:id="rId2"/>
    <sheet name="excliqlitedatasheetpur" sheetId="29" r:id="rId3"/>
    <sheet name="excliqlitedatasheettmp" sheetId="27" r:id="rId4"/>
    <sheet name="ModelFilterTests" sheetId="24" r:id="rId5"/>
    <sheet name="RegrTests" sheetId="19" r:id="rId6"/>
    <sheet name="BalmetTests" sheetId="18" r:id="rId7"/>
    <sheet name="ProjecTests" sheetId="20" r:id="rId8"/>
    <sheet name="LiqMinTests" sheetId="21" r:id="rId9"/>
    <sheet name="LiqCncTests" sheetId="22" r:id="rId10"/>
    <sheet name="ConfigTest" sheetId="23" r:id="rId11"/>
    <sheet name="ToDo" sheetId="6" r:id="rId12"/>
  </sheets>
  <functionGroups builtInGroupCount="19">
    <functionGroup name="Commands"/>
  </functionGroups>
  <definedNames>
    <definedName name="_xlnm._FilterDatabase" localSheetId="4" hidden="1">ModelFilterTests!$A$8:$E$12</definedName>
    <definedName name="_xlnm.Criteria" localSheetId="4">ModelFilterTests!$A$1:$A$2</definedName>
    <definedName name="ExcliqWb">#REF!</definedName>
    <definedName name="LiqCtzA" localSheetId="9">LiqCncTests!$I$13</definedName>
    <definedName name="LiqCtzB" localSheetId="9">LiqCncTests!$I$14</definedName>
    <definedName name="LiqDTrat" localSheetId="9">LiqCncTests!$I$32</definedName>
    <definedName name="LiqLeyA" localSheetId="9">LiqCncTests!$G$13</definedName>
    <definedName name="LiqLeyB" localSheetId="9">LiqCncTests!$G$14</definedName>
    <definedName name="LiqTMH" localSheetId="9">LiqCncTests!$C$13</definedName>
    <definedName name="LiqTMS" localSheetId="9">LiqCncTests!$C$16</definedName>
    <definedName name="LiqTotalNeto" localSheetId="9">LiqCncTests!$I$36</definedName>
    <definedName name="LiqValorBruto" localSheetId="9">LiqCncTests!$I$21</definedName>
    <definedName name="Rangou">#REF!</definedName>
    <definedName name="solver_eng" localSheetId="10" hidden="1">1</definedName>
    <definedName name="solver_eng" localSheetId="11" hidden="1">1</definedName>
    <definedName name="solver_neg" localSheetId="10" hidden="1">1</definedName>
    <definedName name="solver_neg" localSheetId="11" hidden="1">1</definedName>
    <definedName name="solver_num" localSheetId="10" hidden="1">0</definedName>
    <definedName name="solver_num" localSheetId="11" hidden="1">0</definedName>
    <definedName name="solver_opt" localSheetId="10" hidden="1">ConfigTest!$E$4</definedName>
    <definedName name="solver_opt" localSheetId="11" hidden="1">ToDo!$W$35</definedName>
    <definedName name="solver_typ" localSheetId="10" hidden="1">1</definedName>
    <definedName name="solver_typ" localSheetId="11" hidden="1">1</definedName>
    <definedName name="solver_val" localSheetId="10" hidden="1">0</definedName>
    <definedName name="solver_val" localSheetId="11" hidden="1">0</definedName>
    <definedName name="solver_ver" localSheetId="10" hidden="1">3</definedName>
    <definedName name="solver_ver" localSheetId="11" hidden="1">3</definedName>
    <definedName name="yfy101112" localSheetId="6">usersRegisterFrm</definedName>
    <definedName name="yfy101112" localSheetId="9">usersRegisterFrm</definedName>
    <definedName name="yfy101112" localSheetId="5">usersRegisterFrm</definedName>
    <definedName name="yfy101112">usersRegisterFrm</definedName>
  </definedNames>
  <calcPr calcId="191029"/>
  <extLst>
    <ext xmlns:x14="http://schemas.microsoft.com/office/spreadsheetml/2009/9/main" uri="{8193D73E-4604-4355-AFF4-8A2333D13BE4}">
      <x14:definedNames>
        <x14:definedName name="EQL_BALMET">
          <x14:argumentDescriptions count="7">
            <x14:argumentDescription index="0">Requerido. Cantidad de alimentación.</x14:argumentDescription>
            <x14:argumentDescription index="1">Requerido. Leyes de productos y alimentación.</x14:argumentDescription>
            <x14:argumentDescription index="2">Opcional. Nombres de minerales. Ej. Zn.</x14:argumentDescription>
            <x14:argumentDescription index="3">Opcional. Unidades de ley. Ej %.</x14:argumentDescription>
            <x14:argumentDescription index="4">Opcional. Número: 0: Convencional, 1: CRAMER, 2: Matriz inversa.</x14:argumentDescription>
            <x14:argumentDescription index="5">Opcional. Número: 0: Vertical, 1: Horizontal.</x14:argumentDescription>
            <x14:argumentDescription index="6">Opcional. Número: 0: Sólo pesos de productons, 1: Incluye peso de alimentación.</x14:argumentDescription>
          </x14:argumentDescriptions>
        </x14:definedName>
        <x14:definedName name="EQL_BALMET_CABEZAS_ENSAYADA_CALCULADA">
          <x14:argumentDescriptions count="6">
            <x14:argumentDescription index="0">Requerido. Cantidad de alimentación.</x14:argumentDescription>
            <x14:argumentDescription index="1">Requerido. Leyes de productos y alimentación.</x14:argumentDescription>
            <x14:argumentDescription index="2">Opcional. Nombres de minerales. Ej. Zn.</x14:argumentDescription>
            <x14:argumentDescription index="3">Opcional. Unidades de ley. Ej %.</x14:argumentDescription>
            <x14:argumentDescription index="4">Opcional. Número: 0: Convencional, 1: CRAMER, 2: Matriz inversa.</x14:argumentDescription>
            <x14:argumentDescription index="5">Opcional. Número: 0: Vertical, 1: Horizontal.</x14:argumentDescription>
          </x14:argumentDescriptions>
        </x14:definedName>
        <x14:definedName name="EQL_BALMET_CABEZAS_ENSAYADA_CALCULADA_COMPLEJO">
          <x14:argumentDescriptions count="7">
            <x14:argumentDescription index="0">Requerido. Cantidad de alimentación.</x14:argumentDescription>
            <x14:argumentDescription index="1">Requerido. Leyes de productos y alimentación.</x14:argumentDescription>
            <x14:argumentDescription index="2">Requerido. Leyes de productos y alimentación mineral complejo.</x14:argumentDescription>
            <x14:argumentDescription index="3">Opcional. Nombres de minerales. Ej. Zn;Ag.</x14:argumentDescription>
            <x14:argumentDescription index="4">Opcional. Unidades de ley. Ej %;DM.</x14:argumentDescription>
            <x14:argumentDescription index="5">Opcional. Número: 0: Convencional, 1: CRAMER, 2: Matriz inversa.</x14:argumentDescription>
            <x14:argumentDescription index="6">Opcional. Número: 0: Vertical, 1: Horizontal.</x14:argumentDescription>
          </x14:argumentDescriptions>
        </x14:definedName>
        <x14:definedName name="EQL_BALMET_ECONOMICO_LEY_CABEZA">
          <x14:argumentDescriptions count="9">
            <x14:argumentDescription index="0">Requerido. Cantidad de alimentación.</x14:argumentDescription>
            <x14:argumentDescription index="1">Requerido. Pesos aproximados de productos.</x14:argumentDescription>
            <x14:argumentDescription index="2">Requerido. Leyes aproximadas de productos.</x14:argumentDescription>
            <x14:argumentDescription index="3">Requerido. Porcentajes aproximados de recuperación.</x14:argumentDescription>
            <x14:argumentDescription index="4">Opcional. Unidades de ley. Ej %;DM.</x14:argumentDescription>
            <x14:argumentDescription index="5">Opcional. Ley aproximada de producto mineral complejo.</x14:argumentDescription>
            <x14:argumentDescription index="6">Opcional. Porcentaje aproximado de recuperació mineral complejo.</x14:argumentDescription>
            <x14:argumentDescription index="7">Opcional. Número: 0: Retorna resultado principal, 1: Incluye resultado de mineral complejo.</x14:argumentDescription>
            <x14:argumentDescription index="8">Opcional. Número: 0: Vertical, 1: Horizontal.</x14:argumentDescription>
          </x14:argumentDescriptions>
        </x14:definedName>
        <x14:definedName name="EQL_BALMET_ECONOMICO_LEY_PRODUCTOS">
          <x14:argumentDescriptions count="9">
            <x14:argumentDescription index="0">Requerido. Cantidad de alimentación.</x14:argumentDescription>
            <x14:argumentDescription index="1">Requerido. Pesos aproximados de productos.</x14:argumentDescription>
            <x14:argumentDescription index="2">Requerido. Leyes aproximadas de cabeza.</x14:argumentDescription>
            <x14:argumentDescription index="3">Requerido. Porcentajes aproximados de recuperación.</x14:argumentDescription>
            <x14:argumentDescription index="4">Opcional. Unidades de ley. Ej %;DM.</x14:argumentDescription>
            <x14:argumentDescription index="5">Opcional. Ley aproximada de producto mineral complejo.</x14:argumentDescription>
            <x14:argumentDescription index="6">Opcional. Porcentaje aproximado de recuperació mineral complejo.</x14:argumentDescription>
            <x14:argumentDescription index="7">Opcional. Número: 0: Retorna resultado principal, 1: Incluye resultado de mineral complejo.</x14:argumentDescription>
            <x14:argumentDescription index="8">Opcional. Número: 0: Vertical, 1: Horizontal.</x14:argumentDescription>
          </x14:argumentDescriptions>
        </x14:definedName>
        <x14:definedName name="EQL_BALMET_FINOS">
          <x14:argumentDescriptions count="6">
            <x14:argumentDescription index="0">Requerido. Cantidad de alimentación.</x14:argumentDescription>
            <x14:argumentDescription index="1">Requerido. Leyes de productos y alimentación.</x14:argumentDescription>
            <x14:argumentDescription index="2">Opcional. Nombres de minerales. Ej. Zn.</x14:argumentDescription>
            <x14:argumentDescription index="3">Opcional. Unidades de ley. Ej %.</x14:argumentDescription>
            <x14:argumentDescription index="4">Opcional. Número: 0: Convencional, 1: CRAMER, 2: Matriz inversa.</x14:argumentDescription>
            <x14:argumentDescription index="5">Opcional. Número: 0: Vertical, 1: Horizontal.</x14:argumentDescription>
          </x14:argumentDescriptions>
        </x14:definedName>
        <x14:definedName name="EQL_BALMET_FINOS_COMPLEJO">
          <x14:argumentDescriptions count="7">
            <x14:argumentDescription index="0">Requerido. Cantidad de alimentación.</x14:argumentDescription>
            <x14:argumentDescription index="1">Requerido. Leyes de productos y alimentación.</x14:argumentDescription>
            <x14:argumentDescription index="2">Requerido. Leyes de productos y alimentación mineral complejo.</x14:argumentDescription>
            <x14:argumentDescription index="3">Opcional. Nombres de minerales. Ej. Zn;Ag.</x14:argumentDescription>
            <x14:argumentDescription index="4">Opcional. Unidades de ley. Ej %;DM.</x14:argumentDescription>
            <x14:argumentDescription index="5">Opcional. Número: 0: Convencional, 1: CRAMER, 2: Matriz inversa.</x14:argumentDescription>
            <x14:argumentDescription index="6">Opcional. Número: 0: Vertical, 1: Horizontal.</x14:argumentDescription>
          </x14:argumentDescriptions>
        </x14:definedName>
        <x14:definedName name="EQL_BALMET_PORCENTAJE_EN_PESO">
          <x14:argumentDescriptions count="6">
            <x14:argumentDescription index="0">Requerido. Cantidad de alimentación.</x14:argumentDescription>
            <x14:argumentDescription index="1">Requerido. Leyes de productos y alimentación.</x14:argumentDescription>
            <x14:argumentDescription index="2">Opcional. Nombres de minerales. Ej. Zn.</x14:argumentDescription>
            <x14:argumentDescription index="3">Opcional. Unidades de ley. Ej %.</x14:argumentDescription>
            <x14:argumentDescription index="4">Opcional. Número: 0: Convencional, 1: CRAMER, 2: Matriz inversa.</x14:argumentDescription>
            <x14:argumentDescription index="5">Opcional. Número: 0: Vertical, 1: Horizontal.</x14:argumentDescription>
          </x14:argumentDescriptions>
        </x14:definedName>
        <x14:definedName name="EQL_BALMET_PORCENTAJE_EN_VOLUMEN">
          <x14:argumentDescriptions count="6">
            <x14:argumentDescription index="0">Requerido. Cantidad de alimentación.</x14:argumentDescription>
            <x14:argumentDescription index="1">Requerido. Leyes de productos y alimentación.</x14:argumentDescription>
            <x14:argumentDescription index="2">Opcional. Nombres de minerales. Ej. Zn.</x14:argumentDescription>
            <x14:argumentDescription index="3">Opcional. Unidades de ley. Ej g/L.</x14:argumentDescription>
            <x14:argumentDescription index="4">Opcional. Número: 0: Convencional, 1: CRAMER, 2: Matriz inversa.</x14:argumentDescription>
            <x14:argumentDescription index="5">Opcional. Número: 0: Vertical, 1: Horizontal.</x14:argumentDescription>
          </x14:argumentDescriptions>
        </x14:definedName>
        <x14:definedName name="EQL_BALMET_RATIO">
          <x14:argumentDescriptions count="6">
            <x14:argumentDescription index="0">Requerido. Cantidad de alimentación.</x14:argumentDescription>
            <x14:argumentDescription index="1">Requerido. Leyes de productos y alimentación.</x14:argumentDescription>
            <x14:argumentDescription index="2">Opcional. Nombres de minerales. Ej. Zn.</x14:argumentDescription>
            <x14:argumentDescription index="3">Opcional. Unidades de ley. Ej %.</x14:argumentDescription>
            <x14:argumentDescription index="4">Opcional. Número: 0: Convencional, 1: CRAMER, 2: Matriz inversa.</x14:argumentDescription>
            <x14:argumentDescription index="5">Opcional. Número: 0: Vertical, 1: Horizontal.</x14:argumentDescription>
          </x14:argumentDescriptions>
        </x14:definedName>
        <x14:definedName name="EQL_BALMET_RECUPERACION">
          <x14:argumentDescriptions count="6">
            <x14:argumentDescription index="0">Requerido. Cantidad de alimentación.</x14:argumentDescription>
            <x14:argumentDescription index="1">Requerido. Leyes de productos y alimentación.</x14:argumentDescription>
            <x14:argumentDescription index="2">Opcional. Nombres de minerales. Ej. Zn.</x14:argumentDescription>
            <x14:argumentDescription index="3">Opcional. Unidades de ley. Ej %.</x14:argumentDescription>
            <x14:argumentDescription index="4">Opcional. Número: 0: Convencional, 1: CRAMER, 2: Matriz inversa.</x14:argumentDescription>
            <x14:argumentDescription index="5">Opcional. Número: 0: Vertical, 1: Horizontal.</x14:argumentDescription>
          </x14:argumentDescriptions>
        </x14:definedName>
        <x14:definedName name="EQL_BALMET_RECUPERACION_COMPLEJO">
          <x14:argumentDescriptions count="7">
            <x14:argumentDescription index="0">Requerido. Cantidad de alimentación.</x14:argumentDescription>
            <x14:argumentDescription index="1">Requerido. Leyes de productos y alimentación.</x14:argumentDescription>
            <x14:argumentDescription index="2">Requerido. Leyes de productos y alimentación mineral complejo.</x14:argumentDescription>
            <x14:argumentDescription index="3">Opcional. Nombres de minerales. Ej. Zn;Ag.</x14:argumentDescription>
            <x14:argumentDescription index="4">Opcional. Unidades de ley. Ej %;DM.</x14:argumentDescription>
            <x14:argumentDescription index="5">Opcional. Número: 0: Convencional, 1: CRAMER, 2: Matriz inversa.</x14:argumentDescription>
            <x14:argumentDescription index="6">Opcional. Número: 0: Vertical, 1: Horizontal.</x14:argumentDescription>
          </x14:argumentDescriptions>
        </x14:definedName>
        <x14:definedName name="EQL_BALMET_UNIDADES">
          <x14:argumentDescriptions count="6">
            <x14:argumentDescription index="0">Requerido. Cantidad de alimentación.</x14:argumentDescription>
            <x14:argumentDescription index="1">Requerido. Leyes de productos y alimentación.</x14:argumentDescription>
            <x14:argumentDescription index="2">Opcional. Nombres de minerales. Ej. Zn.</x14:argumentDescription>
            <x14:argumentDescription index="3">Opcional. Unidades de ley. Ej %.</x14:argumentDescription>
            <x14:argumentDescription index="4">Opcional. Número: 0: Convencional, 1: CRAMER, 2: Matriz inversa.</x14:argumentDescription>
            <x14:argumentDescription index="5">Opcional. Número: 0: Vertical, 1: Horizontal.</x14:argumentDescription>
          </x14:argumentDescriptions>
        </x14:definedName>
        <x14:definedName name="EQL_BALMET_UNIDADES_COMPLEJO">
          <x14:argumentDescriptions count="7">
            <x14:argumentDescription index="0">Requerido. Cantidad de alimentación.</x14:argumentDescription>
            <x14:argumentDescription index="1">Requerido. Leyes de productos y alimentación.</x14:argumentDescription>
            <x14:argumentDescription index="2">Requerido. Leyes de productos y alimentación mineral complejo.</x14:argumentDescription>
            <x14:argumentDescription index="3">Opcional. Nombres de minerales. Ej. Zn;Ag.</x14:argumentDescription>
            <x14:argumentDescription index="4">Opcional. Unidades de ley. Ej %;DM.</x14:argumentDescription>
            <x14:argumentDescription index="5">Opcional. Número: 0: Convencional, 1: CRAMER, 2: Matriz inversa.</x14:argumentDescription>
            <x14:argumentDescription index="6">Opcional. Número: 0: Vertical, 1: Horizontal.</x14:argumentDescription>
          </x14:argumentDescriptions>
        </x14:definedName>
        <x14:definedName name="EQL_BALMET_VOLUMEN">
          <x14:argumentDescriptions count="6">
            <x14:argumentDescription index="0">Requerido. Cantidad de alimentación.</x14:argumentDescription>
            <x14:argumentDescription index="1">Requerido. Leyes de productos y alimentación.</x14:argumentDescription>
            <x14:argumentDescription index="2">Opcional. Nombres de minerales. Ej. Zn.</x14:argumentDescription>
            <x14:argumentDescription index="3">Opcional. Unidades de ley. Ej %.</x14:argumentDescription>
            <x14:argumentDescription index="4">Opcional. Número: 0: Convencional, 1: CRAMER, 2: Matriz inversa.</x14:argumentDescription>
            <x14:argumentDescription index="5">Opcional. Número: 0: Vertical, 1: Horizontal.</x14:argumentDescription>
          </x14:argumentDescriptions>
        </x14:definedName>
        <x14:definedName name="EQL_NUMERO_A_TEXTO">
          <x14:argumentDescriptions count="4">
            <x14:argumentDescription index="0">Número</x14:argumentDescription>
            <x14:argumentDescription index="1">Opcional. Nombre de divisa. Ej. Boliviano</x14:argumentDescription>
            <x14:argumentDescription index="2">Opcional. Nombre de divisa en plural. Ej. Bolivianos</x14:argumentDescription>
            <x14:argumentDescription index="3">Opcional. Número: 0: Expresión numérica de decimales, 1: Expresión literal de decimales.</x14:argumentDescription>
          </x14:argumentDescriptions>
        </x14:definedName>
        <x14:definedName name="EQL_PROYECCION_PROYECTO">
          <x14:argumentDescriptions count="1">
            <x14:argumentDescription index="0">Rango de celdas con números</x14:argumentDescription>
          </x14:argumentDescriptions>
        </x14:definedName>
        <x14:definedName name="EQL_REGRESION_LINEAL">
          <x14:argumentDescriptions count="3">
            <x14:argumentDescription index="0">Requerido. Rango de más de tres celdas con números.</x14:argumentDescription>
            <x14:argumentDescription index="1">Opcional. Rango de más de tres celdas con números.</x14:argumentDescription>
            <x14:argumentDescription index="2">Opcional. Número o lista de números.</x14:argumentDescription>
          </x14:argumentDescriptions>
        </x14:definedName>
        <x14:definedName name="EQL_REGRESION_LINEAL_a">
          <x14:argumentDescriptions count="2">
            <x14:argumentDescription index="0">Requerido. Rango de más de tres celdas con números.</x14:argumentDescription>
            <x14:argumentDescription index="1">Opcional. Rango de más de tres celdas con números.</x14:argumentDescription>
          </x14:argumentDescriptions>
        </x14:definedName>
        <x14:definedName name="EQL_REGRESION_LINEAL_b">
          <x14:argumentDescriptions count="2">
            <x14:argumentDescription index="0">Requerido. Rango de más de tres celdas con números.</x14:argumentDescription>
            <x14:argumentDescription index="1">Opcional. Rango de más de tres celdas con números.</x14:argumentDescription>
          </x14:argumentDescriptions>
        </x14:definedName>
        <x14:definedName name="EQL_REGRESION_LINEAL_n">
          <x14:argumentDescriptions count="2">
            <x14:argumentDescription index="0">Requerido. Rango de más de tres celdas con números.</x14:argumentDescription>
            <x14:argumentDescription index="1">Opcional. Rango de más de tres celdas con números.</x14:argumentDescription>
          </x14:argumentDescriptions>
        </x14:definedName>
        <x14:definedName name="EQL_REGRESION_LINEAL_r">
          <x14:argumentDescriptions count="2">
            <x14:argumentDescription index="0">Requerido. Rango de más de tres celdas con números.</x14:argumentDescription>
            <x14:argumentDescription index="1">Opcional. Rango de más de tres celdas con números.</x14:argumentDescription>
          </x14:argumentDescriptions>
        </x14:definedName>
        <x14:definedName name="EQL_REGRESION_LINEAL_r2">
          <x14:argumentDescriptions count="2">
            <x14:argumentDescription index="0">Requerido. Rango de más de tres celdas con números.</x14:argumentDescription>
            <x14:argumentDescription index="1">Opcional. Rango de más de tres celdas con números.</x14:argumentDescription>
          </x14:argumentDescriptions>
        </x14:definedName>
        <x14:definedName name="EQL_REGRESION_LINEAL_Se">
          <x14:argumentDescriptions count="2">
            <x14:argumentDescription index="0">Requerido. Rango de más de tres celdas con números.</x14:argumentDescription>
            <x14:argumentDescription index="1">Opcional. Rango de más de tres celdas con números.</x14:argumentDescription>
          </x14:argumentDescriptions>
        </x14:definedName>
        <x14:definedName name="EQL_VERSION">
          <x14:argumentDescriptions count="1">
            <x14:argumentDescription index="0">Ningún parámetro.</x14:argumentDescription>
          </x14:argumentDescriptions>
        </x14:definedName>
        <x14:definedName name="LEXCLIQBALMET">
          <x14:argumentDescriptions count="6">
            <x14:argumentDescription index="0">Requerido. Un número, el peso de alimentación.</x14:argumentDescription>
            <x14:argumentDescription index="1">Requerido. Un número, Ley del primer mineral.</x14:argumentDescription>
            <x14:argumentDescription index="2">Opcional. Un número, Ley del segundo mineral.</x14:argumentDescription>
            <x14:argumentDescription index="3">Opcional. Un número, Ley del tercer mineral.</x14:argumentDescription>
            <x14:argumentDescription index="4">Opcional. Un número, Ley del cuarto mineral.</x14:argumentDescription>
            <x14:argumentDescription index="5">Opcional. Un número, corresponde a un concentrado (producto).</x14:argumentDescription>
          </x14:argumentDescriptions>
        </x14:definedName>
        <x14:definedName name="LEXCLIQBALMET_Rc">
          <x14:argumentDescriptions count="6">
            <x14:argumentDescription index="0">Requerido. Un número, el peso de alimentación.</x14:argumentDescription>
            <x14:argumentDescription index="1">Requerido. Un número, Ley del primer mineral.</x14:argumentDescription>
            <x14:argumentDescription index="2">Opcional. Un número, Ley del segundo mineral.</x14:argumentDescription>
            <x14:argumentDescription index="3">Opcional. Un número, Ley del tercer mineral.</x14:argumentDescription>
            <x14:argumentDescription index="4">Opcional. Un número, Ley del cuarto mineral.</x14:argumentDescription>
            <x14:argumentDescription index="5">Opcional. Un número, corresponde a un concentrado (producto).</x14:argumentDescription>
          </x14:argumentDescriptions>
        </x14:definedName>
        <x14:definedName name="LEXCLIQBALMET_Rec">
          <x14:argumentDescriptions count="6">
            <x14:argumentDescription index="0">Requerido. Un número, el peso de alimentación.</x14:argumentDescription>
            <x14:argumentDescription index="1">Requerido. Un número, Ley del primer mineral.</x14:argumentDescription>
            <x14:argumentDescription index="2">Opcional. Un número, Ley del segundo mineral.</x14:argumentDescription>
            <x14:argumentDescription index="3">Opcional. Un número, Ley del tercer mineral.</x14:argumentDescription>
            <x14:argumentDescription index="4">Opcional. Un número, Ley del cuarto mineral.</x14:argumentDescription>
            <x14:argumentDescription index="5">Opcional. Un número, corresponde a un concentrado (producto).</x14:argumentDescription>
          </x14:argumentDescriptions>
        </x14:definedName>
        <x14:definedName name="LEXCLIQBALMETCOMPLEJOS">
          <x14:argumentDescriptions count="3">
            <x14:argumentDescription index="0">Requerido. Un número, Ley de concentrado</x14:argumentDescription>
            <x14:argumentDescription index="1">Requerido. Un número. Peso de concentrado.</x14:argumentDescription>
            <x14:argumentDescription index="2">Opcional. 0 para DM, 1 para g/T</x14:argumentDescription>
          </x14:argumentDescriptions>
        </x14:definedName>
        <x14:definedName name="LEXCLIQBALMETCOMPLEJOS_Rec">
          <x14:argumentDescriptions count="4">
            <x14:argumentDescription index="0">Requerido. Un número, Ley de alimentación.</x14:argumentDescription>
            <x14:argumentDescription index="1">Requerido. Un número. Peso de alimentación.</x14:argumentDescription>
            <x14:argumentDescription index="2">Requerido. Un número. Ley del concentrado</x14:argumentDescription>
            <x14:argumentDescription index="3">Requerido. Un número. Peso del concentrado</x14:argumentDescription>
          </x14:argumentDescriptions>
        </x14:definedName>
        <x14:definedName name="LEXCLIQBALMETECONOMICO_Concentrado">
          <x14:argumentDescriptions count="4">
            <x14:argumentDescription index="0">Requerido. Un número, Peso de alimentación.</x14:argumentDescription>
            <x14:argumentDescription index="1">Requerido. Un número. Ley de cabeza.</x14:argumentDescription>
            <x14:argumentDescription index="2">Requerido. Un número. Ley del concentrado.</x14:argumentDescription>
            <x14:argumentDescription index="3">Opcional. Un número. Porcentaje de Recuperación.</x14:argumentDescription>
          </x14:argumentDescriptions>
        </x14:definedName>
        <x14:definedName name="LEXCLIQBALMETECONOMICO_LeyCabeza">
          <x14:argumentDescriptions count="4">
            <x14:argumentDescription index="0">Requerido. Un número, Peso del concentrado.</x14:argumentDescription>
            <x14:argumentDescription index="1">Requerido. Un número. Ley del concentrado.</x14:argumentDescription>
            <x14:argumentDescription index="2">Requerido. Un número. Peso de alimentación.</x14:argumentDescription>
            <x14:argumentDescription index="3">Opcional. Un número. Porcentaje de Recuperación.</x14:argumentDescription>
          </x14:argumentDescriptions>
        </x14:definedName>
        <x14:definedName name="LEXCLIQBALMETECONOMICO_LeyConcentrado">
          <x14:argumentDescriptions count="4">
            <x14:argumentDescription index="0">Requerido. Un número, Peso de alimentación.</x14:argumentDescription>
            <x14:argumentDescription index="1">Requerido. Un número. Ley de cabeza.</x14:argumentDescription>
            <x14:argumentDescription index="2">Requerido. Un número. Peso del concentrado.</x14:argumentDescription>
            <x14:argumentDescription index="3">Opcional. Un número. Porcentaje de Recuperación.</x14:argumentDescription>
          </x14:argumentDescriptions>
        </x14:definedName>
        <x14:definedName name="LEXCLIQBALMETECONOMICO_Mineral">
          <x14:argumentDescriptions count="4">
            <x14:argumentDescription index="0">Requerido. Un número, Peso del concentrado.</x14:argumentDescription>
            <x14:argumentDescription index="1">Requerido. Un número. Ley del concentrado.</x14:argumentDescription>
            <x14:argumentDescription index="2">Requerido. Un número. Ley de cabeza</x14:argumentDescription>
            <x14:argumentDescription index="3">Opcional. Un número. Porcentaje de Recuperación.</x14:argumentDescription>
          </x14:argumentDescriptions>
        </x14:definedName>
        <x14:definedName name="LEXCLIQNUMERO_A_TEXTO">
          <x14:argumentDescriptions count="4">
            <x14:argumentDescription index="0">Requerido. Un número.</x14:argumentDescription>
            <x14:argumentDescription index="1">Opcional. Un texto.</x14:argumentDescription>
            <x14:argumentDescription index="2">Opcional. Un texto.</x14:argumentDescription>
            <x14:argumentDescription index="3">Opcional. Un número. 0 ó 1.</x14:argumentDescription>
          </x14:argumentDescriptions>
        </x14:definedName>
        <x14:definedName name="LEXCLIQREGRESION_LINEAL">
          <x14:argumentDescriptions count="3">
            <x14:argumentDescription index="0">Requerido. Un rango de celdas con más de tres números.</x14:argumentDescription>
            <x14:argumentDescription index="1">Opcional. Un rango de celdas con más de tres números.</x14:argumentDescription>
            <x14:argumentDescription index="2">Opcional. Un número o una lista de números.</x14:argumentDescription>
          </x14:argumentDescriptions>
        </x14:definedName>
        <x14:definedName name="LEXCLIQREGRESION_LINEAL_a">
          <x14:argumentDescriptions count="2">
            <x14:argumentDescription index="0">Requerido. Un rango de celdas con más de tres números.</x14:argumentDescription>
            <x14:argumentDescription index="1">Opcional. Un rango de celdas con más de tres números.</x14:argumentDescription>
          </x14:argumentDescriptions>
        </x14:definedName>
        <x14:definedName name="LEXCLIQREGRESION_LINEAL_b">
          <x14:argumentDescriptions count="2">
            <x14:argumentDescription index="0">Requerido. Un rango de celdas con más de tres números.</x14:argumentDescription>
            <x14:argumentDescription index="1">Opcional. Un rango de celdas con más de tres números.</x14:argumentDescription>
          </x14:argumentDescriptions>
        </x14:definedName>
        <x14:definedName name="LEXCLIQREGRESION_LINEAL_n">
          <x14:argumentDescriptions count="2">
            <x14:argumentDescription index="0">Requerido. Un rango de celdas con más de tres números.</x14:argumentDescription>
            <x14:argumentDescription index="1">Opcional. Un rango de celdas con más de tres números.</x14:argumentDescription>
          </x14:argumentDescriptions>
        </x14:definedName>
        <x14:definedName name="LEXCLIQREGRESION_LINEAL_r">
          <x14:argumentDescriptions count="2">
            <x14:argumentDescription index="0">Requerido. Un rango de celdas con más de tres números.</x14:argumentDescription>
            <x14:argumentDescription index="1">Opcional. Un rango de celdas con más de tres números.</x14:argumentDescription>
          </x14:argumentDescriptions>
        </x14:definedName>
        <x14:definedName name="LEXCLIQREGRESION_LINEAL_r2">
          <x14:argumentDescriptions count="2">
            <x14:argumentDescription index="0">Requerido. Un rango de celdas con más de tres números.</x14:argumentDescription>
            <x14:argumentDescription index="1">Opcional. Un rango de celdas con más de tres números.</x14:argumentDescription>
          </x14:argumentDescriptions>
        </x14:definedName>
        <x14:definedName name="LEXCLIQREGRESION_LINEAL_Se">
          <x14:argumentDescriptions count="2">
            <x14:argumentDescription index="0">Requerido. Un rango de celdas con más de tres números.</x14:argumentDescription>
            <x14:argumentDescription index="1">Opcional. Un rango de celdas con más de tres números.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737" i="21" l="1"/>
  <c r="S721" i="21"/>
  <c r="R721" i="21" s="1"/>
  <c r="S722" i="21"/>
  <c r="R722" i="21" s="1"/>
  <c r="Q717" i="21"/>
  <c r="S717" i="21" s="1"/>
  <c r="S718" i="21" s="1"/>
  <c r="S714" i="21"/>
  <c r="I741" i="21"/>
  <c r="H741" i="21" s="1"/>
  <c r="I726" i="21"/>
  <c r="I738" i="21" s="1"/>
  <c r="I727" i="21"/>
  <c r="H727" i="21" s="1"/>
  <c r="I729" i="21"/>
  <c r="I730" i="21"/>
  <c r="I732" i="21"/>
  <c r="H732" i="21" s="1"/>
  <c r="I733" i="21"/>
  <c r="H733" i="21" s="1"/>
  <c r="I734" i="21"/>
  <c r="H734" i="21" s="1"/>
  <c r="I735" i="21"/>
  <c r="H735" i="21" s="1"/>
  <c r="H737" i="21"/>
  <c r="I721" i="21"/>
  <c r="H721" i="21" s="1"/>
  <c r="I722" i="21"/>
  <c r="I723" i="21" s="1"/>
  <c r="G717" i="21"/>
  <c r="I717" i="21" s="1"/>
  <c r="I718" i="21" s="1"/>
  <c r="I714" i="21"/>
  <c r="AI384" i="22"/>
  <c r="Y384" i="22" s="1"/>
  <c r="AI371" i="22"/>
  <c r="AI374" i="22"/>
  <c r="AI375" i="22"/>
  <c r="AI381" i="22" s="1"/>
  <c r="AI377" i="22"/>
  <c r="AI378" i="22"/>
  <c r="AE347" i="22"/>
  <c r="AH347" i="22"/>
  <c r="AI347" i="22" s="1"/>
  <c r="AE348" i="22"/>
  <c r="AH357" i="22" s="1"/>
  <c r="AI357" i="22" s="1"/>
  <c r="AH348" i="22"/>
  <c r="AE353" i="22"/>
  <c r="AG353" i="22" s="1"/>
  <c r="AI353" i="22" s="1"/>
  <c r="AH356" i="22"/>
  <c r="AI356" i="22"/>
  <c r="AI360" i="22"/>
  <c r="AI361" i="22"/>
  <c r="AI362" i="22"/>
  <c r="AI363" i="22"/>
  <c r="AI364" i="22"/>
  <c r="AI365" i="22"/>
  <c r="AG340" i="22"/>
  <c r="AI340" i="22"/>
  <c r="B742" i="21"/>
  <c r="Z385" i="22"/>
  <c r="R723" i="21" l="1"/>
  <c r="S723" i="21"/>
  <c r="H729" i="21"/>
  <c r="H726" i="21"/>
  <c r="H730" i="21"/>
  <c r="H722" i="21"/>
  <c r="H723" i="21" s="1"/>
  <c r="AI348" i="22"/>
  <c r="AI349" i="22" s="1"/>
  <c r="AI366" i="22" s="1"/>
  <c r="AI367" i="22" s="1"/>
  <c r="S730" i="21" l="1"/>
  <c r="S735" i="21"/>
  <c r="R735" i="21" s="1"/>
  <c r="S734" i="21"/>
  <c r="R734" i="21" s="1"/>
  <c r="S726" i="21"/>
  <c r="S732" i="21"/>
  <c r="R732" i="21" s="1"/>
  <c r="S729" i="21"/>
  <c r="S727" i="21"/>
  <c r="S733" i="21"/>
  <c r="R733" i="21" s="1"/>
  <c r="H738" i="21"/>
  <c r="K391" i="22"/>
  <c r="A391" i="22" s="1"/>
  <c r="K388" i="22"/>
  <c r="K375" i="22"/>
  <c r="K377" i="22"/>
  <c r="K378" i="22"/>
  <c r="K380" i="22"/>
  <c r="K381" i="22"/>
  <c r="K383" i="22"/>
  <c r="K384" i="22"/>
  <c r="K385" i="22"/>
  <c r="G351" i="22"/>
  <c r="J351" i="22"/>
  <c r="K351" i="22" s="1"/>
  <c r="G352" i="22"/>
  <c r="J361" i="22" s="1"/>
  <c r="K361" i="22" s="1"/>
  <c r="J352" i="22"/>
  <c r="G357" i="22"/>
  <c r="I357" i="22" s="1"/>
  <c r="K357" i="22" s="1"/>
  <c r="J360" i="22"/>
  <c r="K360" i="22"/>
  <c r="K364" i="22"/>
  <c r="K365" i="22"/>
  <c r="K366" i="22"/>
  <c r="K367" i="22"/>
  <c r="K368" i="22"/>
  <c r="K369" i="22"/>
  <c r="I344" i="22"/>
  <c r="K344" i="22"/>
  <c r="R611" i="21"/>
  <c r="R603" i="21"/>
  <c r="R604" i="21"/>
  <c r="R608" i="21" s="1"/>
  <c r="R606" i="21"/>
  <c r="R607" i="21"/>
  <c r="R598" i="21"/>
  <c r="R599" i="21"/>
  <c r="R600" i="21"/>
  <c r="P594" i="21"/>
  <c r="R594" i="21" s="1"/>
  <c r="R595" i="21" s="1"/>
  <c r="R591" i="21"/>
  <c r="I612" i="21"/>
  <c r="I609" i="21"/>
  <c r="I602" i="21"/>
  <c r="I604" i="21"/>
  <c r="I605" i="21"/>
  <c r="I606" i="21"/>
  <c r="I598" i="21"/>
  <c r="I599" i="21"/>
  <c r="G594" i="21"/>
  <c r="I594" i="21"/>
  <c r="I595" i="21" s="1"/>
  <c r="I591" i="21"/>
  <c r="I577" i="21"/>
  <c r="I574" i="21"/>
  <c r="I566" i="21"/>
  <c r="I567" i="21"/>
  <c r="I569" i="21"/>
  <c r="I571" i="21" s="1"/>
  <c r="I570" i="21"/>
  <c r="I561" i="21"/>
  <c r="I562" i="21"/>
  <c r="I563" i="21"/>
  <c r="F557" i="21"/>
  <c r="G557" i="21"/>
  <c r="H557" i="21"/>
  <c r="I557" i="21"/>
  <c r="I558" i="21" s="1"/>
  <c r="I554" i="21"/>
  <c r="G518" i="21"/>
  <c r="I518" i="21" s="1"/>
  <c r="G517" i="21"/>
  <c r="I517" i="21" s="1"/>
  <c r="I522" i="21" s="1"/>
  <c r="I536" i="21"/>
  <c r="I514" i="21"/>
  <c r="I496" i="21"/>
  <c r="I483" i="21"/>
  <c r="I484" i="21"/>
  <c r="I476" i="21"/>
  <c r="F479" i="21" s="1"/>
  <c r="D462" i="21"/>
  <c r="I327" i="20"/>
  <c r="H327" i="20"/>
  <c r="G327" i="20"/>
  <c r="F327" i="20"/>
  <c r="E327" i="20"/>
  <c r="J327" i="20"/>
  <c r="E222" i="19"/>
  <c r="D222" i="19"/>
  <c r="C222" i="19"/>
  <c r="B222" i="19"/>
  <c r="F222" i="19"/>
  <c r="D461" i="21"/>
  <c r="D460" i="21"/>
  <c r="D459" i="21"/>
  <c r="D458" i="21"/>
  <c r="D457" i="21"/>
  <c r="G317" i="20"/>
  <c r="F317" i="20"/>
  <c r="E317" i="20"/>
  <c r="D317" i="20"/>
  <c r="H317" i="20"/>
  <c r="E213" i="19"/>
  <c r="D213" i="19"/>
  <c r="C213" i="19"/>
  <c r="B213" i="19"/>
  <c r="F213" i="19"/>
  <c r="C205" i="19"/>
  <c r="B205" i="19"/>
  <c r="D201" i="19"/>
  <c r="E201" i="19"/>
  <c r="F201" i="19"/>
  <c r="D202" i="19"/>
  <c r="E202" i="19"/>
  <c r="F202" i="19"/>
  <c r="D203" i="19"/>
  <c r="E203" i="19"/>
  <c r="F203" i="19"/>
  <c r="D204" i="19"/>
  <c r="E204" i="19"/>
  <c r="F204" i="19"/>
  <c r="B197" i="19"/>
  <c r="F737" i="18"/>
  <c r="J737" i="18"/>
  <c r="L737" i="18"/>
  <c r="N737" i="18"/>
  <c r="P737" i="18"/>
  <c r="F738" i="18"/>
  <c r="J738" i="18"/>
  <c r="L738" i="18"/>
  <c r="N738" i="18"/>
  <c r="P738" i="18"/>
  <c r="F739" i="18"/>
  <c r="J739" i="18"/>
  <c r="L739" i="18"/>
  <c r="N739" i="18"/>
  <c r="P739" i="18"/>
  <c r="O740" i="18"/>
  <c r="P740" i="18"/>
  <c r="E741" i="18"/>
  <c r="G741" i="18"/>
  <c r="I741" i="18" s="1"/>
  <c r="H741" i="18"/>
  <c r="J741" i="18" s="1"/>
  <c r="N741" i="18"/>
  <c r="E742" i="18"/>
  <c r="P742" i="18" s="1"/>
  <c r="H742" i="18"/>
  <c r="F731" i="18"/>
  <c r="F728" i="18"/>
  <c r="J728" i="18"/>
  <c r="L728" i="18"/>
  <c r="N728" i="18"/>
  <c r="P728" i="18"/>
  <c r="J729" i="18"/>
  <c r="L729" i="18"/>
  <c r="N729" i="18"/>
  <c r="P729" i="18"/>
  <c r="J730" i="18"/>
  <c r="L730" i="18"/>
  <c r="N730" i="18"/>
  <c r="P730" i="18"/>
  <c r="O731" i="18"/>
  <c r="P731" i="18"/>
  <c r="G732" i="18"/>
  <c r="I732" i="18" s="1"/>
  <c r="H732" i="18"/>
  <c r="J732" i="18" s="1"/>
  <c r="N732" i="18"/>
  <c r="H733" i="18"/>
  <c r="J699" i="21"/>
  <c r="R726" i="21" l="1"/>
  <c r="S738" i="21"/>
  <c r="S741" i="21" s="1"/>
  <c r="R729" i="21"/>
  <c r="R727" i="21"/>
  <c r="R730" i="21"/>
  <c r="K352" i="22"/>
  <c r="K353" i="22" s="1"/>
  <c r="K370" i="22" s="1"/>
  <c r="K371" i="22" s="1"/>
  <c r="I485" i="21"/>
  <c r="I492" i="21" s="1"/>
  <c r="I524" i="21"/>
  <c r="J524" i="21" s="1"/>
  <c r="I523" i="21"/>
  <c r="I525" i="21" s="1"/>
  <c r="I532" i="21" s="1"/>
  <c r="I519" i="21"/>
  <c r="I489" i="21"/>
  <c r="G479" i="21"/>
  <c r="H479" i="21" s="1"/>
  <c r="I479" i="21" s="1"/>
  <c r="I480" i="21" s="1"/>
  <c r="I488" i="21"/>
  <c r="F740" i="18"/>
  <c r="L731" i="18"/>
  <c r="E205" i="19"/>
  <c r="D205" i="19"/>
  <c r="F205" i="19"/>
  <c r="L742" i="18"/>
  <c r="L741" i="18"/>
  <c r="F742" i="18"/>
  <c r="J740" i="18"/>
  <c r="F741" i="18"/>
  <c r="L740" i="18"/>
  <c r="N740" i="18"/>
  <c r="N742" i="18"/>
  <c r="J742" i="18"/>
  <c r="P741" i="18"/>
  <c r="L733" i="18"/>
  <c r="J731" i="18"/>
  <c r="N731" i="18"/>
  <c r="N733" i="18"/>
  <c r="J733" i="18"/>
  <c r="D705" i="18"/>
  <c r="E705" i="18"/>
  <c r="F705" i="18"/>
  <c r="Q695" i="18"/>
  <c r="E696" i="18"/>
  <c r="F696" i="18"/>
  <c r="G696" i="18"/>
  <c r="J696" i="18" s="1"/>
  <c r="Q686" i="18"/>
  <c r="E687" i="18"/>
  <c r="F687" i="18"/>
  <c r="G687" i="18"/>
  <c r="J687" i="18" s="1"/>
  <c r="Q677" i="18"/>
  <c r="E678" i="18"/>
  <c r="F678" i="18"/>
  <c r="I678" i="18" s="1"/>
  <c r="G678" i="18"/>
  <c r="J678" i="18" s="1"/>
  <c r="I668" i="18"/>
  <c r="E669" i="18"/>
  <c r="F669" i="18" s="1"/>
  <c r="E191" i="19"/>
  <c r="D191" i="19"/>
  <c r="C191" i="19"/>
  <c r="B191" i="19"/>
  <c r="F191" i="19"/>
  <c r="G260" i="22"/>
  <c r="K241" i="22"/>
  <c r="K225" i="22"/>
  <c r="K219" i="22"/>
  <c r="K218" i="22"/>
  <c r="K217" i="22"/>
  <c r="K216" i="22"/>
  <c r="K215" i="22"/>
  <c r="J203" i="22"/>
  <c r="G203" i="22"/>
  <c r="J212" i="22" s="1"/>
  <c r="J202" i="22"/>
  <c r="G202" i="22"/>
  <c r="I195" i="22"/>
  <c r="K195" i="22" s="1"/>
  <c r="K74" i="22"/>
  <c r="K67" i="22"/>
  <c r="K66" i="22"/>
  <c r="I39" i="22"/>
  <c r="I42" i="22" s="1"/>
  <c r="E31" i="22"/>
  <c r="H31" i="22" s="1"/>
  <c r="E30" i="22"/>
  <c r="H30" i="22" s="1"/>
  <c r="E29" i="22"/>
  <c r="H29" i="22" s="1"/>
  <c r="E28" i="22"/>
  <c r="H28" i="22" s="1"/>
  <c r="C26" i="22"/>
  <c r="G26" i="22" s="1"/>
  <c r="I26" i="22" s="1"/>
  <c r="A21" i="22"/>
  <c r="E21" i="22" s="1"/>
  <c r="G21" i="22" s="1"/>
  <c r="A20" i="22"/>
  <c r="E20" i="22" s="1"/>
  <c r="G20" i="22" s="1"/>
  <c r="C15" i="22"/>
  <c r="C14" i="22"/>
  <c r="U445" i="21"/>
  <c r="I444" i="21"/>
  <c r="H443" i="21"/>
  <c r="H444" i="21" s="1"/>
  <c r="O440" i="21"/>
  <c r="N440" i="21"/>
  <c r="V444" i="21" s="1"/>
  <c r="H440" i="21"/>
  <c r="O439" i="21"/>
  <c r="N439" i="21"/>
  <c r="V443" i="21" s="1"/>
  <c r="O438" i="21"/>
  <c r="N438" i="21"/>
  <c r="V442" i="21" s="1"/>
  <c r="O436" i="21"/>
  <c r="O435" i="21"/>
  <c r="O434" i="21"/>
  <c r="O433" i="21"/>
  <c r="K433" i="21"/>
  <c r="K432" i="21"/>
  <c r="K431" i="21"/>
  <c r="K430" i="21"/>
  <c r="O429" i="21"/>
  <c r="N429" i="21"/>
  <c r="O428" i="21"/>
  <c r="N428" i="21"/>
  <c r="I428" i="21"/>
  <c r="H428" i="21" s="1"/>
  <c r="O427" i="21"/>
  <c r="N427" i="21"/>
  <c r="I427" i="21"/>
  <c r="H427" i="21" s="1"/>
  <c r="O426" i="21"/>
  <c r="P436" i="21" s="1"/>
  <c r="N426" i="21"/>
  <c r="I426" i="21"/>
  <c r="H426" i="21" s="1"/>
  <c r="O425" i="21"/>
  <c r="N425" i="21"/>
  <c r="O424" i="21"/>
  <c r="N424" i="21"/>
  <c r="O423" i="21"/>
  <c r="N423" i="21"/>
  <c r="O422" i="21"/>
  <c r="N422" i="21"/>
  <c r="K419" i="21"/>
  <c r="I419" i="21"/>
  <c r="G422" i="21" s="1"/>
  <c r="I422" i="21" s="1"/>
  <c r="I423" i="21" s="1"/>
  <c r="K327" i="21"/>
  <c r="L326" i="21" s="1"/>
  <c r="K326" i="21"/>
  <c r="K325" i="21"/>
  <c r="L325" i="21" s="1"/>
  <c r="M324" i="21"/>
  <c r="K324" i="21"/>
  <c r="G321" i="21"/>
  <c r="G141" i="21"/>
  <c r="I138" i="21"/>
  <c r="G127" i="21"/>
  <c r="I124" i="21"/>
  <c r="G113" i="21"/>
  <c r="H113" i="21" s="1"/>
  <c r="I110" i="21"/>
  <c r="H87" i="21"/>
  <c r="H85" i="21"/>
  <c r="H81" i="21"/>
  <c r="H80" i="21"/>
  <c r="L78" i="21"/>
  <c r="H78" i="21"/>
  <c r="L77" i="21"/>
  <c r="H77" i="21"/>
  <c r="H76" i="21"/>
  <c r="L75" i="21"/>
  <c r="H75" i="21"/>
  <c r="L74" i="21"/>
  <c r="H73" i="21"/>
  <c r="H72" i="21"/>
  <c r="H70" i="21"/>
  <c r="H69" i="21"/>
  <c r="R67" i="21"/>
  <c r="S67" i="21" s="1"/>
  <c r="R66" i="21"/>
  <c r="S66" i="21" s="1"/>
  <c r="O62" i="21"/>
  <c r="O61" i="21"/>
  <c r="O60" i="21"/>
  <c r="F60" i="21"/>
  <c r="G60" i="21" s="1"/>
  <c r="O59" i="21"/>
  <c r="O58" i="21"/>
  <c r="I57" i="21"/>
  <c r="R52" i="21"/>
  <c r="H35" i="21"/>
  <c r="H33" i="21"/>
  <c r="H32" i="21"/>
  <c r="H30" i="21"/>
  <c r="H29" i="21"/>
  <c r="H28" i="21"/>
  <c r="H27" i="21"/>
  <c r="H25" i="21"/>
  <c r="H24" i="21"/>
  <c r="H23" i="21"/>
  <c r="H22" i="21"/>
  <c r="F11" i="21"/>
  <c r="G11" i="21" s="1"/>
  <c r="G310" i="20"/>
  <c r="D309" i="20"/>
  <c r="E309" i="20" s="1"/>
  <c r="F309" i="20" s="1"/>
  <c r="H309" i="20" s="1"/>
  <c r="D308" i="20"/>
  <c r="E308" i="20" s="1"/>
  <c r="F308" i="20" s="1"/>
  <c r="H308" i="20" s="1"/>
  <c r="D307" i="20"/>
  <c r="E307" i="20" s="1"/>
  <c r="F307" i="20" s="1"/>
  <c r="H307" i="20" s="1"/>
  <c r="D306" i="20"/>
  <c r="E306" i="20" s="1"/>
  <c r="F306" i="20" s="1"/>
  <c r="H306" i="20" s="1"/>
  <c r="D305" i="20"/>
  <c r="E305" i="20" s="1"/>
  <c r="F305" i="20" s="1"/>
  <c r="I300" i="20"/>
  <c r="F299" i="20"/>
  <c r="E299" i="20"/>
  <c r="F298" i="20"/>
  <c r="E298" i="20"/>
  <c r="F297" i="20"/>
  <c r="E297" i="20"/>
  <c r="F296" i="20"/>
  <c r="E296" i="20"/>
  <c r="F295" i="20"/>
  <c r="E295" i="20"/>
  <c r="I290" i="20"/>
  <c r="F289" i="20"/>
  <c r="E289" i="20"/>
  <c r="F288" i="20"/>
  <c r="E288" i="20"/>
  <c r="F287" i="20"/>
  <c r="E287" i="20"/>
  <c r="F286" i="20"/>
  <c r="E286" i="20"/>
  <c r="M285" i="20"/>
  <c r="F285" i="20"/>
  <c r="E285" i="20"/>
  <c r="J280" i="20"/>
  <c r="I280" i="20"/>
  <c r="H280" i="20"/>
  <c r="G280" i="20"/>
  <c r="F280" i="20"/>
  <c r="E280" i="20"/>
  <c r="J270" i="20"/>
  <c r="I270" i="20"/>
  <c r="H270" i="20"/>
  <c r="G270" i="20"/>
  <c r="F270" i="20"/>
  <c r="E270" i="20"/>
  <c r="J254" i="20"/>
  <c r="I254" i="20"/>
  <c r="H254" i="20"/>
  <c r="G254" i="20"/>
  <c r="F254" i="20"/>
  <c r="E254" i="20"/>
  <c r="H244" i="20"/>
  <c r="G244" i="20"/>
  <c r="F244" i="20"/>
  <c r="E244" i="20"/>
  <c r="D244" i="20"/>
  <c r="H234" i="20"/>
  <c r="G234" i="20"/>
  <c r="F234" i="20"/>
  <c r="E234" i="20"/>
  <c r="D234" i="20"/>
  <c r="H228" i="20"/>
  <c r="G228" i="20"/>
  <c r="F228" i="20"/>
  <c r="E228" i="20"/>
  <c r="D228" i="20"/>
  <c r="H218" i="20"/>
  <c r="G218" i="20"/>
  <c r="F218" i="20"/>
  <c r="E218" i="20"/>
  <c r="D218" i="20"/>
  <c r="H208" i="20"/>
  <c r="G208" i="20"/>
  <c r="F208" i="20"/>
  <c r="E208" i="20"/>
  <c r="D208" i="20"/>
  <c r="H198" i="20"/>
  <c r="G198" i="20"/>
  <c r="F198" i="20"/>
  <c r="E198" i="20"/>
  <c r="D198" i="20"/>
  <c r="H188" i="20"/>
  <c r="G188" i="20"/>
  <c r="F188" i="20"/>
  <c r="E188" i="20"/>
  <c r="D188" i="20"/>
  <c r="G178" i="20"/>
  <c r="D177" i="20"/>
  <c r="E177" i="20" s="1"/>
  <c r="F177" i="20" s="1"/>
  <c r="H177" i="20" s="1"/>
  <c r="D176" i="20"/>
  <c r="E176" i="20" s="1"/>
  <c r="F176" i="20" s="1"/>
  <c r="H176" i="20" s="1"/>
  <c r="D175" i="20"/>
  <c r="E175" i="20" s="1"/>
  <c r="F175" i="20" s="1"/>
  <c r="H175" i="20" s="1"/>
  <c r="D174" i="20"/>
  <c r="E174" i="20" s="1"/>
  <c r="F174" i="20" s="1"/>
  <c r="H174" i="20" s="1"/>
  <c r="D173" i="20"/>
  <c r="E173" i="20" s="1"/>
  <c r="H168" i="20"/>
  <c r="G168" i="20"/>
  <c r="F168" i="20"/>
  <c r="E168" i="20"/>
  <c r="D168" i="20"/>
  <c r="H158" i="20"/>
  <c r="G158" i="20"/>
  <c r="F158" i="20"/>
  <c r="E158" i="20"/>
  <c r="D158" i="20"/>
  <c r="G148" i="20"/>
  <c r="H147" i="20"/>
  <c r="D147" i="20"/>
  <c r="E147" i="20" s="1"/>
  <c r="F147" i="20" s="1"/>
  <c r="H146" i="20" s="1"/>
  <c r="D146" i="20"/>
  <c r="E146" i="20" s="1"/>
  <c r="F146" i="20" s="1"/>
  <c r="H145" i="20" s="1"/>
  <c r="D145" i="20"/>
  <c r="E145" i="20" s="1"/>
  <c r="F145" i="20" s="1"/>
  <c r="H144" i="20" s="1"/>
  <c r="D144" i="20"/>
  <c r="E144" i="20" s="1"/>
  <c r="F144" i="20" s="1"/>
  <c r="H143" i="20" s="1"/>
  <c r="K143" i="20"/>
  <c r="D143" i="20"/>
  <c r="G138" i="20"/>
  <c r="H137" i="20"/>
  <c r="D137" i="20"/>
  <c r="E137" i="20" s="1"/>
  <c r="F137" i="20" s="1"/>
  <c r="H136" i="20" s="1"/>
  <c r="D136" i="20"/>
  <c r="E136" i="20" s="1"/>
  <c r="F136" i="20" s="1"/>
  <c r="H135" i="20" s="1"/>
  <c r="D135" i="20"/>
  <c r="E135" i="20" s="1"/>
  <c r="F135" i="20" s="1"/>
  <c r="H134" i="20" s="1"/>
  <c r="D134" i="20"/>
  <c r="E134" i="20" s="1"/>
  <c r="F134" i="20" s="1"/>
  <c r="H133" i="20" s="1"/>
  <c r="K133" i="20"/>
  <c r="D133" i="20"/>
  <c r="G128" i="20"/>
  <c r="H127" i="20"/>
  <c r="D127" i="20"/>
  <c r="E127" i="20" s="1"/>
  <c r="F127" i="20" s="1"/>
  <c r="H126" i="20" s="1"/>
  <c r="D126" i="20"/>
  <c r="E126" i="20" s="1"/>
  <c r="F126" i="20" s="1"/>
  <c r="H125" i="20" s="1"/>
  <c r="D125" i="20"/>
  <c r="E125" i="20" s="1"/>
  <c r="F125" i="20" s="1"/>
  <c r="H124" i="20" s="1"/>
  <c r="D124" i="20"/>
  <c r="E124" i="20" s="1"/>
  <c r="F124" i="20" s="1"/>
  <c r="H123" i="20" s="1"/>
  <c r="K123" i="20"/>
  <c r="D123" i="20"/>
  <c r="E123" i="20" s="1"/>
  <c r="F123" i="20" s="1"/>
  <c r="H118" i="20"/>
  <c r="G118" i="20"/>
  <c r="F118" i="20"/>
  <c r="E118" i="20"/>
  <c r="D118" i="20"/>
  <c r="H108" i="20"/>
  <c r="H98" i="20"/>
  <c r="H87" i="20"/>
  <c r="G87" i="20"/>
  <c r="F87" i="20"/>
  <c r="E87" i="20"/>
  <c r="D87" i="20"/>
  <c r="C87" i="20"/>
  <c r="B87" i="20"/>
  <c r="H76" i="20"/>
  <c r="H70" i="20"/>
  <c r="K59" i="20"/>
  <c r="I43" i="20"/>
  <c r="F42" i="20"/>
  <c r="E42" i="20"/>
  <c r="G42" i="20" s="1"/>
  <c r="H42" i="20" s="1"/>
  <c r="J42" i="20" s="1"/>
  <c r="F41" i="20"/>
  <c r="E41" i="20"/>
  <c r="G41" i="20" s="1"/>
  <c r="H41" i="20" s="1"/>
  <c r="J41" i="20" s="1"/>
  <c r="F40" i="20"/>
  <c r="E40" i="20"/>
  <c r="G40" i="20" s="1"/>
  <c r="H40" i="20" s="1"/>
  <c r="J40" i="20" s="1"/>
  <c r="F39" i="20"/>
  <c r="E39" i="20"/>
  <c r="G39" i="20" s="1"/>
  <c r="H39" i="20" s="1"/>
  <c r="J39" i="20" s="1"/>
  <c r="F38" i="20"/>
  <c r="E38" i="20"/>
  <c r="G38" i="20" s="1"/>
  <c r="A38" i="20"/>
  <c r="A39" i="20" s="1"/>
  <c r="A40" i="20" s="1"/>
  <c r="A41" i="20" s="1"/>
  <c r="A42" i="20" s="1"/>
  <c r="M37" i="20"/>
  <c r="G9" i="20"/>
  <c r="D8" i="20"/>
  <c r="E8" i="20" s="1"/>
  <c r="F8" i="20" s="1"/>
  <c r="H8" i="20" s="1"/>
  <c r="D7" i="20"/>
  <c r="E7" i="20" s="1"/>
  <c r="F7" i="20" s="1"/>
  <c r="H7" i="20" s="1"/>
  <c r="D6" i="20"/>
  <c r="E6" i="20" s="1"/>
  <c r="F6" i="20" s="1"/>
  <c r="H6" i="20" s="1"/>
  <c r="D5" i="20"/>
  <c r="E5" i="20" s="1"/>
  <c r="F5" i="20" s="1"/>
  <c r="H5" i="20" s="1"/>
  <c r="D4" i="20"/>
  <c r="E4" i="20" s="1"/>
  <c r="F4" i="20" s="1"/>
  <c r="H4" i="20" s="1"/>
  <c r="A4" i="20"/>
  <c r="A5" i="20" s="1"/>
  <c r="A6" i="20" s="1"/>
  <c r="A7" i="20" s="1"/>
  <c r="A8" i="20" s="1"/>
  <c r="I569" i="18"/>
  <c r="G569" i="18"/>
  <c r="H565" i="18"/>
  <c r="G565" i="18"/>
  <c r="E565" i="18"/>
  <c r="D565" i="18"/>
  <c r="H564" i="18"/>
  <c r="G564" i="18"/>
  <c r="K564" i="18" s="1"/>
  <c r="E564" i="18"/>
  <c r="D564" i="18"/>
  <c r="L563" i="18"/>
  <c r="K563" i="18"/>
  <c r="J563" i="18"/>
  <c r="I563" i="18"/>
  <c r="F563" i="18"/>
  <c r="D563" i="18"/>
  <c r="L562" i="18"/>
  <c r="K562" i="18"/>
  <c r="J562" i="18"/>
  <c r="I562" i="18"/>
  <c r="F562" i="18"/>
  <c r="D562" i="18"/>
  <c r="H568" i="18" s="1"/>
  <c r="L561" i="18"/>
  <c r="K561" i="18"/>
  <c r="J561" i="18"/>
  <c r="I561" i="18"/>
  <c r="F561" i="18"/>
  <c r="D561" i="18"/>
  <c r="H567" i="18" s="1"/>
  <c r="I558" i="18"/>
  <c r="G558" i="18"/>
  <c r="G557" i="18"/>
  <c r="K557" i="18" s="1"/>
  <c r="E557" i="18"/>
  <c r="F557" i="18" s="1"/>
  <c r="D557" i="18"/>
  <c r="H556" i="18"/>
  <c r="G556" i="18"/>
  <c r="K556" i="18" s="1"/>
  <c r="E556" i="18"/>
  <c r="D556" i="18"/>
  <c r="L555" i="18"/>
  <c r="K555" i="18"/>
  <c r="J555" i="18"/>
  <c r="I555" i="18"/>
  <c r="F555" i="18"/>
  <c r="D555" i="18"/>
  <c r="K554" i="18"/>
  <c r="I554" i="18"/>
  <c r="D554" i="18"/>
  <c r="K553" i="18"/>
  <c r="I553" i="18"/>
  <c r="D553" i="18"/>
  <c r="K550" i="18"/>
  <c r="I548" i="18"/>
  <c r="I547" i="18"/>
  <c r="G547" i="18"/>
  <c r="G546" i="18"/>
  <c r="I545" i="18"/>
  <c r="G545" i="18"/>
  <c r="O543" i="18"/>
  <c r="F543" i="18"/>
  <c r="N543" i="18" s="1"/>
  <c r="E543" i="18"/>
  <c r="K543" i="18" s="1"/>
  <c r="O542" i="18"/>
  <c r="N542" i="18"/>
  <c r="M542" i="18"/>
  <c r="L542" i="18"/>
  <c r="K542" i="18"/>
  <c r="J542" i="18"/>
  <c r="I542" i="18"/>
  <c r="H542" i="18"/>
  <c r="G542" i="18"/>
  <c r="O541" i="18"/>
  <c r="O540" i="18"/>
  <c r="N540" i="18"/>
  <c r="M540" i="18"/>
  <c r="L540" i="18"/>
  <c r="K540" i="18"/>
  <c r="J540" i="18"/>
  <c r="I540" i="18"/>
  <c r="H540" i="18"/>
  <c r="G540" i="18"/>
  <c r="D540" i="18"/>
  <c r="O539" i="18"/>
  <c r="N539" i="18"/>
  <c r="M539" i="18"/>
  <c r="L539" i="18"/>
  <c r="L541" i="18" s="1"/>
  <c r="K539" i="18"/>
  <c r="K541" i="18" s="1"/>
  <c r="J539" i="18"/>
  <c r="I539" i="18"/>
  <c r="H539" i="18"/>
  <c r="G539" i="18"/>
  <c r="D539" i="18"/>
  <c r="O535" i="18"/>
  <c r="F535" i="18"/>
  <c r="N535" i="18" s="1"/>
  <c r="E535" i="18"/>
  <c r="K535" i="18" s="1"/>
  <c r="O534" i="18"/>
  <c r="N534" i="18"/>
  <c r="M534" i="18"/>
  <c r="L534" i="18"/>
  <c r="K534" i="18"/>
  <c r="J534" i="18"/>
  <c r="I534" i="18"/>
  <c r="H534" i="18"/>
  <c r="G534" i="18"/>
  <c r="O533" i="18"/>
  <c r="O532" i="18"/>
  <c r="N532" i="18"/>
  <c r="M532" i="18"/>
  <c r="L532" i="18"/>
  <c r="K532" i="18"/>
  <c r="J532" i="18"/>
  <c r="I532" i="18"/>
  <c r="H532" i="18"/>
  <c r="G532" i="18"/>
  <c r="D532" i="18"/>
  <c r="O531" i="18"/>
  <c r="N531" i="18"/>
  <c r="M531" i="18"/>
  <c r="L531" i="18"/>
  <c r="L533" i="18" s="1"/>
  <c r="K531" i="18"/>
  <c r="K533" i="18" s="1"/>
  <c r="J531" i="18"/>
  <c r="I531" i="18"/>
  <c r="H531" i="18"/>
  <c r="G531" i="18"/>
  <c r="D531" i="18"/>
  <c r="J461" i="18"/>
  <c r="J460" i="18"/>
  <c r="J459" i="18"/>
  <c r="H459" i="18"/>
  <c r="G459" i="18"/>
  <c r="J458" i="18"/>
  <c r="H458" i="18"/>
  <c r="G458" i="18"/>
  <c r="H457" i="18"/>
  <c r="G457" i="18"/>
  <c r="J456" i="18"/>
  <c r="J455" i="18"/>
  <c r="J454" i="18"/>
  <c r="J453" i="18"/>
  <c r="F440" i="18"/>
  <c r="D440" i="18" s="1"/>
  <c r="E440" i="18" s="1"/>
  <c r="F439" i="18"/>
  <c r="D439" i="18" s="1"/>
  <c r="G439" i="18" s="1"/>
  <c r="F438" i="18"/>
  <c r="D438" i="18" s="1"/>
  <c r="G438" i="18" s="1"/>
  <c r="F437" i="18"/>
  <c r="D437" i="18" s="1"/>
  <c r="G425" i="18"/>
  <c r="F425" i="18"/>
  <c r="E425" i="18"/>
  <c r="M423" i="18"/>
  <c r="F423" i="18"/>
  <c r="L423" i="18" s="1"/>
  <c r="E423" i="18"/>
  <c r="K423" i="18" s="1"/>
  <c r="M422" i="18"/>
  <c r="L422" i="18"/>
  <c r="K422" i="18"/>
  <c r="J422" i="18"/>
  <c r="I422" i="18"/>
  <c r="H422" i="18"/>
  <c r="G422" i="18"/>
  <c r="M421" i="18"/>
  <c r="M420" i="18"/>
  <c r="L420" i="18"/>
  <c r="K420" i="18"/>
  <c r="J420" i="18"/>
  <c r="I420" i="18"/>
  <c r="H420" i="18"/>
  <c r="G420" i="18"/>
  <c r="D420" i="18"/>
  <c r="M419" i="18"/>
  <c r="L419" i="18"/>
  <c r="K419" i="18"/>
  <c r="J419" i="18"/>
  <c r="I419" i="18"/>
  <c r="H419" i="18"/>
  <c r="G419" i="18"/>
  <c r="D419" i="18"/>
  <c r="M418" i="18"/>
  <c r="L418" i="18"/>
  <c r="L421" i="18" s="1"/>
  <c r="K418" i="18"/>
  <c r="K421" i="18" s="1"/>
  <c r="J418" i="18"/>
  <c r="J423" i="18" s="1"/>
  <c r="I418" i="18"/>
  <c r="H418" i="18"/>
  <c r="G418" i="18"/>
  <c r="D418" i="18"/>
  <c r="D423" i="18" s="1"/>
  <c r="H393" i="18" a="1"/>
  <c r="H394" i="18" s="1"/>
  <c r="AG392" i="18" a="1"/>
  <c r="AH393" i="18" s="1"/>
  <c r="AC392" i="18" a="1"/>
  <c r="AD393" i="18" s="1"/>
  <c r="Y392" i="18" a="1"/>
  <c r="Z393" i="18" s="1"/>
  <c r="AI389" i="18"/>
  <c r="AE389" i="18"/>
  <c r="AA389" i="18"/>
  <c r="J380" i="18"/>
  <c r="J381" i="18" s="1"/>
  <c r="S331" i="18"/>
  <c r="G331" i="18"/>
  <c r="P331" i="18" s="1"/>
  <c r="F331" i="18"/>
  <c r="O331" i="18" s="1"/>
  <c r="E331" i="18"/>
  <c r="N331" i="18" s="1"/>
  <c r="S330" i="18"/>
  <c r="R330" i="18"/>
  <c r="Q330" i="18"/>
  <c r="P330" i="18"/>
  <c r="O330" i="18"/>
  <c r="N330" i="18"/>
  <c r="M330" i="18"/>
  <c r="L330" i="18"/>
  <c r="K330" i="18"/>
  <c r="J330" i="18"/>
  <c r="I330" i="18"/>
  <c r="H330" i="18"/>
  <c r="S329" i="18"/>
  <c r="S328" i="18"/>
  <c r="R328" i="18"/>
  <c r="Q328" i="18"/>
  <c r="P328" i="18"/>
  <c r="O328" i="18"/>
  <c r="N328" i="18"/>
  <c r="M328" i="18"/>
  <c r="L328" i="18"/>
  <c r="K328" i="18"/>
  <c r="J328" i="18"/>
  <c r="I328" i="18"/>
  <c r="H328" i="18"/>
  <c r="D328" i="18"/>
  <c r="S327" i="18"/>
  <c r="R327" i="18"/>
  <c r="Q327" i="18"/>
  <c r="P327" i="18"/>
  <c r="O327" i="18"/>
  <c r="N327" i="18"/>
  <c r="M327" i="18"/>
  <c r="L327" i="18"/>
  <c r="K327" i="18"/>
  <c r="J327" i="18"/>
  <c r="I327" i="18"/>
  <c r="H327" i="18"/>
  <c r="D327" i="18"/>
  <c r="S326" i="18"/>
  <c r="R326" i="18"/>
  <c r="Q326" i="18"/>
  <c r="P326" i="18"/>
  <c r="O326" i="18"/>
  <c r="N326" i="18"/>
  <c r="M326" i="18"/>
  <c r="L326" i="18"/>
  <c r="K326" i="18"/>
  <c r="J326" i="18"/>
  <c r="I326" i="18"/>
  <c r="H326" i="18"/>
  <c r="D326" i="18"/>
  <c r="I322" i="18"/>
  <c r="E322" i="18"/>
  <c r="H322" i="18" s="1"/>
  <c r="I321" i="18"/>
  <c r="H321" i="18"/>
  <c r="G321" i="18"/>
  <c r="F321" i="18"/>
  <c r="I320" i="18"/>
  <c r="I319" i="18"/>
  <c r="H319" i="18"/>
  <c r="G319" i="18"/>
  <c r="F319" i="18"/>
  <c r="D319" i="18"/>
  <c r="I318" i="18"/>
  <c r="H318" i="18"/>
  <c r="G318" i="18"/>
  <c r="F318" i="18"/>
  <c r="D318" i="18"/>
  <c r="I314" i="18"/>
  <c r="I313" i="18"/>
  <c r="H313" i="18"/>
  <c r="G313" i="18"/>
  <c r="F313" i="18"/>
  <c r="D313" i="18"/>
  <c r="I312" i="18"/>
  <c r="H312" i="18"/>
  <c r="G312" i="18"/>
  <c r="F312" i="18"/>
  <c r="D312" i="18"/>
  <c r="E259" i="18"/>
  <c r="E258" i="18"/>
  <c r="B230" i="18"/>
  <c r="C230" i="18" s="1"/>
  <c r="B229" i="18"/>
  <c r="C229" i="18" s="1"/>
  <c r="B228" i="18"/>
  <c r="C228" i="18" s="1"/>
  <c r="B227" i="18"/>
  <c r="C227" i="18" s="1"/>
  <c r="B226" i="18"/>
  <c r="C226" i="18" s="1"/>
  <c r="B225" i="18"/>
  <c r="C225" i="18" s="1"/>
  <c r="B224" i="18"/>
  <c r="C224" i="18" s="1"/>
  <c r="B223" i="18"/>
  <c r="C223" i="18" s="1"/>
  <c r="B222" i="18"/>
  <c r="C222" i="18" s="1"/>
  <c r="W209" i="18" a="1"/>
  <c r="W209" i="18" s="1"/>
  <c r="AE204" i="18"/>
  <c r="W203" i="18" a="1"/>
  <c r="S202" i="18"/>
  <c r="G202" i="18"/>
  <c r="F202" i="18"/>
  <c r="O202" i="18" s="1"/>
  <c r="E202" i="18"/>
  <c r="N202" i="18" s="1"/>
  <c r="S201" i="18"/>
  <c r="R201" i="18"/>
  <c r="Q201" i="18"/>
  <c r="P201" i="18"/>
  <c r="O201" i="18"/>
  <c r="N201" i="18"/>
  <c r="M201" i="18"/>
  <c r="L201" i="18"/>
  <c r="K201" i="18"/>
  <c r="J201" i="18"/>
  <c r="I201" i="18"/>
  <c r="H201" i="18"/>
  <c r="S200" i="18"/>
  <c r="S199" i="18"/>
  <c r="R199" i="18"/>
  <c r="Q199" i="18"/>
  <c r="P199" i="18"/>
  <c r="O199" i="18"/>
  <c r="N199" i="18"/>
  <c r="M199" i="18"/>
  <c r="L199" i="18"/>
  <c r="K199" i="18"/>
  <c r="J199" i="18"/>
  <c r="I199" i="18"/>
  <c r="H199" i="18"/>
  <c r="D199" i="18"/>
  <c r="S198" i="18"/>
  <c r="R198" i="18"/>
  <c r="Q198" i="18"/>
  <c r="P198" i="18"/>
  <c r="O198" i="18"/>
  <c r="N198" i="18"/>
  <c r="M198" i="18"/>
  <c r="L198" i="18"/>
  <c r="K198" i="18"/>
  <c r="J198" i="18"/>
  <c r="I198" i="18"/>
  <c r="H198" i="18"/>
  <c r="D198" i="18"/>
  <c r="S197" i="18"/>
  <c r="R197" i="18"/>
  <c r="Q197" i="18"/>
  <c r="P197" i="18"/>
  <c r="O197" i="18"/>
  <c r="N197" i="18"/>
  <c r="M197" i="18"/>
  <c r="L197" i="18"/>
  <c r="K197" i="18"/>
  <c r="J197" i="18"/>
  <c r="I197" i="18"/>
  <c r="H197" i="18"/>
  <c r="D197" i="18"/>
  <c r="L117" i="18"/>
  <c r="K117" i="18"/>
  <c r="J117" i="18"/>
  <c r="I117" i="18"/>
  <c r="H117" i="18"/>
  <c r="G117" i="18"/>
  <c r="D117" i="18"/>
  <c r="H54" i="18"/>
  <c r="E54" i="18"/>
  <c r="G54" i="18" s="1"/>
  <c r="D54" i="18"/>
  <c r="F54" i="18" s="1"/>
  <c r="I53" i="18"/>
  <c r="H53" i="18"/>
  <c r="G53" i="18"/>
  <c r="F53" i="18"/>
  <c r="I52" i="18"/>
  <c r="H52" i="18"/>
  <c r="I51" i="18"/>
  <c r="H51" i="18"/>
  <c r="G51" i="18"/>
  <c r="F51" i="18"/>
  <c r="N50" i="18"/>
  <c r="O50" i="18" s="1"/>
  <c r="K50" i="18"/>
  <c r="I50" i="18"/>
  <c r="H50" i="18"/>
  <c r="G50" i="18"/>
  <c r="F50" i="18"/>
  <c r="N49" i="18"/>
  <c r="O49" i="18" s="1"/>
  <c r="N48" i="18"/>
  <c r="S28" i="18"/>
  <c r="S27" i="18"/>
  <c r="R27" i="18"/>
  <c r="Q27" i="18"/>
  <c r="M27" i="18"/>
  <c r="L27" i="18"/>
  <c r="K27" i="18"/>
  <c r="J27" i="18"/>
  <c r="I27" i="18"/>
  <c r="H27" i="18"/>
  <c r="D27" i="18"/>
  <c r="S26" i="18"/>
  <c r="R26" i="18"/>
  <c r="Q26" i="18"/>
  <c r="M26" i="18"/>
  <c r="L26" i="18"/>
  <c r="K26" i="18"/>
  <c r="J26" i="18"/>
  <c r="I26" i="18"/>
  <c r="H26" i="18"/>
  <c r="D26" i="18"/>
  <c r="S25" i="18"/>
  <c r="R25" i="18"/>
  <c r="Q25" i="18"/>
  <c r="M25" i="18"/>
  <c r="L25" i="18"/>
  <c r="K25" i="18"/>
  <c r="J25" i="18"/>
  <c r="I25" i="18"/>
  <c r="H25" i="18"/>
  <c r="D25" i="18"/>
  <c r="P21" i="18"/>
  <c r="O21" i="18"/>
  <c r="N21" i="18"/>
  <c r="P20" i="18"/>
  <c r="O20" i="18"/>
  <c r="N20" i="18"/>
  <c r="P19" i="18"/>
  <c r="O19" i="18"/>
  <c r="N19" i="18"/>
  <c r="K19" i="18"/>
  <c r="J19" i="18"/>
  <c r="J18" i="18" s="1"/>
  <c r="G18" i="18"/>
  <c r="G17" i="18"/>
  <c r="F17" i="18"/>
  <c r="E17" i="18"/>
  <c r="U16" i="18"/>
  <c r="G16" i="18"/>
  <c r="F16" i="18"/>
  <c r="E16" i="18"/>
  <c r="U15" i="18"/>
  <c r="T15" i="18"/>
  <c r="S15" i="18"/>
  <c r="R15" i="18"/>
  <c r="P15" i="18"/>
  <c r="U14" i="18"/>
  <c r="T14" i="18"/>
  <c r="S14" i="18"/>
  <c r="R14" i="18"/>
  <c r="P14" i="18"/>
  <c r="C13" i="18"/>
  <c r="B13" i="18"/>
  <c r="U5" i="18"/>
  <c r="U4" i="18"/>
  <c r="T4" i="18"/>
  <c r="S4" i="18"/>
  <c r="R4" i="18"/>
  <c r="P4" i="18"/>
  <c r="U3" i="18"/>
  <c r="T3" i="18"/>
  <c r="S3" i="18"/>
  <c r="R3" i="18"/>
  <c r="P3" i="18"/>
  <c r="F182" i="19"/>
  <c r="E182" i="19"/>
  <c r="D182" i="19"/>
  <c r="C182" i="19"/>
  <c r="B182" i="19"/>
  <c r="F173" i="19"/>
  <c r="E173" i="19"/>
  <c r="D173" i="19"/>
  <c r="C173" i="19"/>
  <c r="B173" i="19"/>
  <c r="C165" i="19"/>
  <c r="B165" i="19"/>
  <c r="F164" i="19"/>
  <c r="E164" i="19"/>
  <c r="D164" i="19"/>
  <c r="F163" i="19"/>
  <c r="E163" i="19"/>
  <c r="D163" i="19"/>
  <c r="F162" i="19"/>
  <c r="E162" i="19"/>
  <c r="D162" i="19"/>
  <c r="I161" i="19"/>
  <c r="F161" i="19"/>
  <c r="E161" i="19"/>
  <c r="D161" i="19"/>
  <c r="F136" i="19"/>
  <c r="E136" i="19"/>
  <c r="D136" i="19"/>
  <c r="C136" i="19"/>
  <c r="B136" i="19"/>
  <c r="C127" i="19"/>
  <c r="B127" i="19"/>
  <c r="F126" i="19"/>
  <c r="E126" i="19"/>
  <c r="D126" i="19"/>
  <c r="F125" i="19"/>
  <c r="E125" i="19"/>
  <c r="D125" i="19"/>
  <c r="F124" i="19"/>
  <c r="E124" i="19"/>
  <c r="D124" i="19"/>
  <c r="F123" i="19"/>
  <c r="E123" i="19"/>
  <c r="D123" i="19"/>
  <c r="F117" i="19"/>
  <c r="E117" i="19"/>
  <c r="D117" i="19"/>
  <c r="C117" i="19"/>
  <c r="B117" i="19"/>
  <c r="F109" i="19"/>
  <c r="E109" i="19"/>
  <c r="D109" i="19"/>
  <c r="C109" i="19"/>
  <c r="B109" i="19"/>
  <c r="C100" i="19"/>
  <c r="B100" i="19"/>
  <c r="F99" i="19"/>
  <c r="E99" i="19"/>
  <c r="D99" i="19"/>
  <c r="F98" i="19"/>
  <c r="E98" i="19"/>
  <c r="D98" i="19"/>
  <c r="F97" i="19"/>
  <c r="E97" i="19"/>
  <c r="D97" i="19"/>
  <c r="F96" i="19"/>
  <c r="E96" i="19"/>
  <c r="D96" i="19"/>
  <c r="F84" i="19"/>
  <c r="E84" i="19"/>
  <c r="D84" i="19"/>
  <c r="C84" i="19"/>
  <c r="B84" i="19"/>
  <c r="F76" i="19"/>
  <c r="E76" i="19"/>
  <c r="D76" i="19"/>
  <c r="C76" i="19"/>
  <c r="B76" i="19"/>
  <c r="H62" i="19"/>
  <c r="C56" i="19"/>
  <c r="B56" i="19"/>
  <c r="F55" i="19"/>
  <c r="E55" i="19"/>
  <c r="D55" i="19"/>
  <c r="F54" i="19"/>
  <c r="E54" i="19"/>
  <c r="D54" i="19"/>
  <c r="F53" i="19"/>
  <c r="E53" i="19"/>
  <c r="D53" i="19"/>
  <c r="F52" i="19"/>
  <c r="E52" i="19"/>
  <c r="D52" i="19"/>
  <c r="F39" i="19"/>
  <c r="E39" i="19"/>
  <c r="D39" i="19"/>
  <c r="C39" i="19"/>
  <c r="B39" i="19"/>
  <c r="F30" i="19"/>
  <c r="E30" i="19"/>
  <c r="D30" i="19"/>
  <c r="C30" i="19"/>
  <c r="B30" i="19"/>
  <c r="C13" i="19"/>
  <c r="B13" i="19"/>
  <c r="E553" i="18" a="1"/>
  <c r="L742" i="21"/>
  <c r="B16" i="18" a="1"/>
  <c r="A16" i="18" a="1"/>
  <c r="R738" i="21" l="1"/>
  <c r="R741" i="21"/>
  <c r="J522" i="21"/>
  <c r="I491" i="21"/>
  <c r="I529" i="21"/>
  <c r="I528" i="21"/>
  <c r="I531" i="21"/>
  <c r="I493" i="21"/>
  <c r="I499" i="21" s="1"/>
  <c r="I738" i="18"/>
  <c r="M738" i="18"/>
  <c r="D738" i="18"/>
  <c r="K738" i="18"/>
  <c r="O738" i="18"/>
  <c r="D739" i="18"/>
  <c r="K739" i="18"/>
  <c r="O739" i="18"/>
  <c r="M739" i="18"/>
  <c r="I739" i="18"/>
  <c r="D737" i="18"/>
  <c r="K737" i="18"/>
  <c r="O737" i="18"/>
  <c r="M741" i="18"/>
  <c r="M737" i="18"/>
  <c r="C741" i="18"/>
  <c r="I737" i="18"/>
  <c r="G742" i="18"/>
  <c r="C742" i="18"/>
  <c r="O742" i="18" s="1"/>
  <c r="K730" i="18"/>
  <c r="O730" i="18"/>
  <c r="D730" i="18"/>
  <c r="I730" i="18"/>
  <c r="M730" i="18"/>
  <c r="D729" i="18"/>
  <c r="I729" i="18"/>
  <c r="M729" i="18"/>
  <c r="K729" i="18"/>
  <c r="O729" i="18"/>
  <c r="I728" i="18"/>
  <c r="M728" i="18"/>
  <c r="G733" i="18"/>
  <c r="C732" i="18"/>
  <c r="C733" i="18"/>
  <c r="O733" i="18" s="1"/>
  <c r="D728" i="18"/>
  <c r="K728" i="18"/>
  <c r="O728" i="18"/>
  <c r="M732" i="18"/>
  <c r="I696" i="18"/>
  <c r="H696" i="18"/>
  <c r="I687" i="18"/>
  <c r="H687" i="18"/>
  <c r="H678" i="18"/>
  <c r="I423" i="18"/>
  <c r="L324" i="21"/>
  <c r="G287" i="20"/>
  <c r="H287" i="20" s="1"/>
  <c r="J287" i="20" s="1"/>
  <c r="G322" i="18"/>
  <c r="T5" i="18"/>
  <c r="D321" i="18"/>
  <c r="G285" i="20"/>
  <c r="H285" i="20" s="1"/>
  <c r="J285" i="20" s="1"/>
  <c r="G299" i="20"/>
  <c r="H299" i="20" s="1"/>
  <c r="J299" i="20" s="1"/>
  <c r="P433" i="21"/>
  <c r="N433" i="21" s="1"/>
  <c r="R433" i="21" s="1"/>
  <c r="K202" i="22"/>
  <c r="L202" i="22" s="1"/>
  <c r="I564" i="18"/>
  <c r="R5" i="18"/>
  <c r="S16" i="18"/>
  <c r="M28" i="18"/>
  <c r="P26" i="18" s="1"/>
  <c r="L543" i="18"/>
  <c r="L564" i="18"/>
  <c r="D56" i="19"/>
  <c r="Q28" i="18"/>
  <c r="F52" i="18"/>
  <c r="O200" i="18"/>
  <c r="W210" i="18"/>
  <c r="D314" i="18"/>
  <c r="F322" i="18"/>
  <c r="J331" i="18"/>
  <c r="N329" i="18"/>
  <c r="R329" i="18"/>
  <c r="J533" i="18"/>
  <c r="L535" i="18"/>
  <c r="I556" i="18"/>
  <c r="F564" i="18"/>
  <c r="J564" i="18"/>
  <c r="G296" i="20"/>
  <c r="H296" i="20" s="1"/>
  <c r="J296" i="20" s="1"/>
  <c r="G298" i="20"/>
  <c r="H298" i="20" s="1"/>
  <c r="J298" i="20" s="1"/>
  <c r="E165" i="19"/>
  <c r="I28" i="18"/>
  <c r="D329" i="18"/>
  <c r="K329" i="18"/>
  <c r="F300" i="20"/>
  <c r="H429" i="21"/>
  <c r="K212" i="22"/>
  <c r="F56" i="19"/>
  <c r="E100" i="19"/>
  <c r="S5" i="18"/>
  <c r="R16" i="18"/>
  <c r="H202" i="18"/>
  <c r="L202" i="18"/>
  <c r="K200" i="18"/>
  <c r="E437" i="18"/>
  <c r="M535" i="18"/>
  <c r="H541" i="18"/>
  <c r="F128" i="20"/>
  <c r="H138" i="20"/>
  <c r="V445" i="21"/>
  <c r="E56" i="19"/>
  <c r="F165" i="19"/>
  <c r="P5" i="18"/>
  <c r="D28" i="18"/>
  <c r="J29" i="18" s="1"/>
  <c r="K28" i="18"/>
  <c r="N27" i="18" s="1"/>
  <c r="J28" i="18"/>
  <c r="G314" i="18"/>
  <c r="H320" i="18"/>
  <c r="G421" i="18"/>
  <c r="G423" i="18"/>
  <c r="F43" i="20"/>
  <c r="G297" i="20"/>
  <c r="H297" i="20" s="1"/>
  <c r="J297" i="20" s="1"/>
  <c r="J211" i="22"/>
  <c r="K211" i="22" s="1"/>
  <c r="H421" i="18"/>
  <c r="H423" i="18"/>
  <c r="H533" i="18"/>
  <c r="H535" i="18"/>
  <c r="D138" i="20"/>
  <c r="E133" i="20"/>
  <c r="F133" i="20" s="1"/>
  <c r="F138" i="20" s="1"/>
  <c r="N445" i="21"/>
  <c r="P27" i="18"/>
  <c r="X204" i="18"/>
  <c r="X203" i="18"/>
  <c r="W203" i="18"/>
  <c r="D320" i="18"/>
  <c r="D322" i="18"/>
  <c r="F100" i="19"/>
  <c r="D100" i="19"/>
  <c r="F127" i="19"/>
  <c r="N51" i="18"/>
  <c r="D202" i="18"/>
  <c r="D200" i="18"/>
  <c r="K202" i="18"/>
  <c r="Q202" i="18"/>
  <c r="R202" i="18"/>
  <c r="W204" i="18"/>
  <c r="I329" i="18"/>
  <c r="M331" i="18"/>
  <c r="Q329" i="18"/>
  <c r="L331" i="18"/>
  <c r="R331" i="18"/>
  <c r="Q331" i="18"/>
  <c r="J393" i="18"/>
  <c r="N541" i="18"/>
  <c r="H546" i="18"/>
  <c r="I565" i="18"/>
  <c r="K565" i="18"/>
  <c r="G286" i="20"/>
  <c r="H286" i="20" s="1"/>
  <c r="J286" i="20" s="1"/>
  <c r="E300" i="20"/>
  <c r="G295" i="20"/>
  <c r="H295" i="20" s="1"/>
  <c r="H141" i="21"/>
  <c r="I141" i="21" s="1"/>
  <c r="I142" i="21" s="1"/>
  <c r="I21" i="22"/>
  <c r="I31" i="22"/>
  <c r="I32" i="22" s="1"/>
  <c r="K203" i="22"/>
  <c r="L28" i="18"/>
  <c r="O27" i="18" s="1"/>
  <c r="R28" i="18"/>
  <c r="M202" i="18"/>
  <c r="N533" i="18"/>
  <c r="M541" i="18"/>
  <c r="F290" i="20"/>
  <c r="H28" i="18"/>
  <c r="I202" i="18"/>
  <c r="Q200" i="18"/>
  <c r="D534" i="18"/>
  <c r="J535" i="18"/>
  <c r="I541" i="18"/>
  <c r="H545" i="18"/>
  <c r="H148" i="20"/>
  <c r="D127" i="19"/>
  <c r="E127" i="19"/>
  <c r="D165" i="19"/>
  <c r="P16" i="18"/>
  <c r="T16" i="18"/>
  <c r="G52" i="18"/>
  <c r="K52" i="18" s="1"/>
  <c r="K51" i="18" s="1"/>
  <c r="L51" i="18" s="1"/>
  <c r="J200" i="18"/>
  <c r="N200" i="18"/>
  <c r="R200" i="18"/>
  <c r="H200" i="18"/>
  <c r="L200" i="18"/>
  <c r="P200" i="18"/>
  <c r="X209" i="18"/>
  <c r="F314" i="18"/>
  <c r="F320" i="18"/>
  <c r="D331" i="18"/>
  <c r="O329" i="18"/>
  <c r="J421" i="18"/>
  <c r="G535" i="18"/>
  <c r="I535" i="18"/>
  <c r="D542" i="18"/>
  <c r="J543" i="18"/>
  <c r="H543" i="18"/>
  <c r="E9" i="20"/>
  <c r="E128" i="20"/>
  <c r="D128" i="20"/>
  <c r="G289" i="20"/>
  <c r="H289" i="20" s="1"/>
  <c r="J289" i="20" s="1"/>
  <c r="I113" i="21"/>
  <c r="I114" i="21" s="1"/>
  <c r="P434" i="21"/>
  <c r="P435" i="21"/>
  <c r="C16" i="22"/>
  <c r="E554" i="18"/>
  <c r="F554" i="18" s="1"/>
  <c r="E553" i="18"/>
  <c r="A18" i="18"/>
  <c r="A17" i="18"/>
  <c r="A16" i="18"/>
  <c r="B16" i="18"/>
  <c r="B18" i="18"/>
  <c r="B17" i="18"/>
  <c r="J202" i="18"/>
  <c r="I331" i="18"/>
  <c r="G533" i="18"/>
  <c r="E143" i="20"/>
  <c r="D148" i="20"/>
  <c r="I54" i="18"/>
  <c r="D201" i="18"/>
  <c r="G320" i="18"/>
  <c r="M329" i="18"/>
  <c r="H38" i="20"/>
  <c r="G43" i="20"/>
  <c r="F173" i="20"/>
  <c r="E178" i="20"/>
  <c r="E290" i="20"/>
  <c r="G288" i="20"/>
  <c r="O48" i="18"/>
  <c r="I200" i="18"/>
  <c r="M200" i="18"/>
  <c r="P202" i="18"/>
  <c r="X210" i="18"/>
  <c r="D330" i="18"/>
  <c r="K331" i="18"/>
  <c r="Z392" i="18"/>
  <c r="Y392" i="18"/>
  <c r="AD392" i="18"/>
  <c r="AC392" i="18"/>
  <c r="AH392" i="18"/>
  <c r="AG392" i="18"/>
  <c r="J394" i="18"/>
  <c r="I393" i="18"/>
  <c r="I394" i="18"/>
  <c r="H393" i="18"/>
  <c r="D421" i="18"/>
  <c r="D422" i="18"/>
  <c r="G437" i="18"/>
  <c r="E439" i="18"/>
  <c r="I533" i="18"/>
  <c r="M533" i="18"/>
  <c r="D535" i="18"/>
  <c r="D541" i="18"/>
  <c r="L565" i="18"/>
  <c r="J565" i="18"/>
  <c r="F565" i="18"/>
  <c r="H60" i="21"/>
  <c r="I60" i="21" s="1"/>
  <c r="I61" i="21" s="1"/>
  <c r="H314" i="18"/>
  <c r="H329" i="18"/>
  <c r="L329" i="18"/>
  <c r="P329" i="18"/>
  <c r="J329" i="18"/>
  <c r="H331" i="18"/>
  <c r="Y393" i="18"/>
  <c r="AC393" i="18"/>
  <c r="AG393" i="18"/>
  <c r="I421" i="18"/>
  <c r="E438" i="18"/>
  <c r="G440" i="18"/>
  <c r="H438" i="18" s="1"/>
  <c r="D533" i="18"/>
  <c r="G543" i="18"/>
  <c r="G541" i="18"/>
  <c r="J541" i="18"/>
  <c r="D543" i="18"/>
  <c r="F9" i="20"/>
  <c r="K134" i="20"/>
  <c r="K144" i="20"/>
  <c r="E310" i="20"/>
  <c r="I543" i="18"/>
  <c r="M543" i="18"/>
  <c r="H569" i="18"/>
  <c r="J569" i="18" s="1"/>
  <c r="K124" i="20"/>
  <c r="H128" i="20"/>
  <c r="D310" i="20"/>
  <c r="L556" i="18"/>
  <c r="J556" i="18"/>
  <c r="F556" i="18"/>
  <c r="B13" i="20"/>
  <c r="H9" i="20"/>
  <c r="A11" i="20" s="1"/>
  <c r="E43" i="20"/>
  <c r="F310" i="20"/>
  <c r="D9" i="20"/>
  <c r="B12" i="20"/>
  <c r="D178" i="20"/>
  <c r="H305" i="20"/>
  <c r="H11" i="21"/>
  <c r="I11" i="21" s="1"/>
  <c r="S68" i="21"/>
  <c r="I429" i="21"/>
  <c r="I557" i="18"/>
  <c r="H127" i="21"/>
  <c r="I127" i="21" s="1"/>
  <c r="I128" i="21" s="1"/>
  <c r="G208" i="22"/>
  <c r="I208" i="22" s="1"/>
  <c r="K208" i="22" s="1"/>
  <c r="I533" i="21" l="1"/>
  <c r="I539" i="21" s="1"/>
  <c r="K742" i="18"/>
  <c r="K740" i="18"/>
  <c r="M742" i="18"/>
  <c r="M740" i="18"/>
  <c r="D742" i="18"/>
  <c r="D740" i="18"/>
  <c r="D741" i="18"/>
  <c r="K741" i="18"/>
  <c r="O741" i="18"/>
  <c r="I742" i="18"/>
  <c r="I740" i="18"/>
  <c r="D731" i="18"/>
  <c r="D733" i="18"/>
  <c r="D732" i="18"/>
  <c r="M731" i="18"/>
  <c r="M733" i="18"/>
  <c r="I731" i="18"/>
  <c r="I733" i="18"/>
  <c r="O732" i="18"/>
  <c r="K732" i="18"/>
  <c r="K731" i="18"/>
  <c r="K733" i="18"/>
  <c r="G703" i="18"/>
  <c r="H703" i="18"/>
  <c r="I703" i="18"/>
  <c r="I702" i="18"/>
  <c r="G702" i="18"/>
  <c r="H702" i="18"/>
  <c r="H701" i="18"/>
  <c r="C705" i="18"/>
  <c r="G705" i="18"/>
  <c r="D706" i="18"/>
  <c r="I701" i="18"/>
  <c r="H705" i="18"/>
  <c r="E706" i="18"/>
  <c r="I705" i="18"/>
  <c r="F706" i="18"/>
  <c r="G701" i="18"/>
  <c r="C706" i="18"/>
  <c r="I694" i="18"/>
  <c r="M694" i="18"/>
  <c r="Q694" i="18"/>
  <c r="J694" i="18"/>
  <c r="N694" i="18"/>
  <c r="D694" i="18"/>
  <c r="K694" i="18"/>
  <c r="O694" i="18"/>
  <c r="H694" i="18"/>
  <c r="L694" i="18"/>
  <c r="P694" i="18"/>
  <c r="H693" i="18"/>
  <c r="L693" i="18"/>
  <c r="P693" i="18"/>
  <c r="I693" i="18"/>
  <c r="M693" i="18"/>
  <c r="Q693" i="18"/>
  <c r="J693" i="18"/>
  <c r="N693" i="18"/>
  <c r="D693" i="18"/>
  <c r="K693" i="18"/>
  <c r="O693" i="18"/>
  <c r="D692" i="18"/>
  <c r="K692" i="18"/>
  <c r="O692" i="18"/>
  <c r="G697" i="18"/>
  <c r="H692" i="18"/>
  <c r="L692" i="18"/>
  <c r="P692" i="18"/>
  <c r="N696" i="18"/>
  <c r="C697" i="18"/>
  <c r="Q697" i="18" s="1"/>
  <c r="I692" i="18"/>
  <c r="M692" i="18"/>
  <c r="Q692" i="18"/>
  <c r="O696" i="18"/>
  <c r="E697" i="18"/>
  <c r="J692" i="18"/>
  <c r="N692" i="18"/>
  <c r="C696" i="18"/>
  <c r="P696" i="18"/>
  <c r="F697" i="18"/>
  <c r="I685" i="18"/>
  <c r="M685" i="18"/>
  <c r="Q685" i="18"/>
  <c r="D685" i="18"/>
  <c r="K685" i="18"/>
  <c r="O685" i="18"/>
  <c r="H685" i="18"/>
  <c r="L685" i="18"/>
  <c r="J685" i="18"/>
  <c r="N685" i="18"/>
  <c r="P685" i="18"/>
  <c r="D683" i="18"/>
  <c r="K683" i="18"/>
  <c r="O683" i="18"/>
  <c r="O687" i="18"/>
  <c r="E688" i="18"/>
  <c r="I683" i="18"/>
  <c r="M683" i="18"/>
  <c r="Q683" i="18"/>
  <c r="G688" i="18"/>
  <c r="J683" i="18"/>
  <c r="N683" i="18"/>
  <c r="C687" i="18"/>
  <c r="C688" i="18"/>
  <c r="Q688" i="18" s="1"/>
  <c r="H683" i="18"/>
  <c r="L683" i="18"/>
  <c r="P683" i="18"/>
  <c r="P687" i="18"/>
  <c r="F688" i="18"/>
  <c r="N687" i="18"/>
  <c r="H684" i="18"/>
  <c r="L684" i="18"/>
  <c r="P684" i="18"/>
  <c r="J684" i="18"/>
  <c r="N684" i="18"/>
  <c r="D684" i="18"/>
  <c r="D688" i="18" s="1"/>
  <c r="K684" i="18"/>
  <c r="K686" i="18" s="1"/>
  <c r="O684" i="18"/>
  <c r="O686" i="18" s="1"/>
  <c r="I684" i="18"/>
  <c r="M684" i="18"/>
  <c r="Q684" i="18"/>
  <c r="I676" i="18"/>
  <c r="M676" i="18"/>
  <c r="Q676" i="18"/>
  <c r="J676" i="18"/>
  <c r="N676" i="18"/>
  <c r="D676" i="18"/>
  <c r="K676" i="18"/>
  <c r="O676" i="18"/>
  <c r="H676" i="18"/>
  <c r="L676" i="18"/>
  <c r="P676" i="18"/>
  <c r="H675" i="18"/>
  <c r="L675" i="18"/>
  <c r="P675" i="18"/>
  <c r="I675" i="18"/>
  <c r="M675" i="18"/>
  <c r="Q675" i="18"/>
  <c r="J675" i="18"/>
  <c r="N675" i="18"/>
  <c r="D675" i="18"/>
  <c r="K675" i="18"/>
  <c r="O675" i="18"/>
  <c r="D674" i="18"/>
  <c r="K674" i="18"/>
  <c r="O674" i="18"/>
  <c r="O678" i="18"/>
  <c r="F679" i="18"/>
  <c r="H674" i="18"/>
  <c r="L674" i="18"/>
  <c r="P674" i="18"/>
  <c r="P678" i="18"/>
  <c r="G679" i="18"/>
  <c r="I674" i="18"/>
  <c r="M674" i="18"/>
  <c r="Q674" i="18"/>
  <c r="C679" i="18"/>
  <c r="Q679" i="18" s="1"/>
  <c r="J674" i="18"/>
  <c r="N674" i="18"/>
  <c r="C678" i="18"/>
  <c r="N678" i="18"/>
  <c r="E679" i="18"/>
  <c r="D667" i="18"/>
  <c r="I667" i="18"/>
  <c r="F667" i="18"/>
  <c r="G667" i="18"/>
  <c r="H667" i="18"/>
  <c r="F666" i="18"/>
  <c r="C669" i="18"/>
  <c r="C670" i="18"/>
  <c r="I670" i="18" s="1"/>
  <c r="G666" i="18"/>
  <c r="E670" i="18"/>
  <c r="H666" i="18"/>
  <c r="D666" i="18"/>
  <c r="I666" i="18"/>
  <c r="H669" i="18"/>
  <c r="O25" i="18"/>
  <c r="E138" i="20"/>
  <c r="J52" i="18"/>
  <c r="E21" i="18"/>
  <c r="O26" i="18"/>
  <c r="O28" i="18" s="1"/>
  <c r="L50" i="18"/>
  <c r="L52" i="18" s="1"/>
  <c r="E19" i="18"/>
  <c r="I33" i="22"/>
  <c r="I36" i="22" s="1"/>
  <c r="I44" i="22" s="1"/>
  <c r="A44" i="22" s="1"/>
  <c r="P25" i="18"/>
  <c r="N25" i="18"/>
  <c r="K204" i="22"/>
  <c r="K220" i="22" s="1"/>
  <c r="K221" i="22" s="1"/>
  <c r="K236" i="22" s="1"/>
  <c r="H557" i="18"/>
  <c r="L557" i="18" s="1"/>
  <c r="G300" i="20"/>
  <c r="Y209" i="18" a="1"/>
  <c r="Y209" i="18" s="1"/>
  <c r="P29" i="18"/>
  <c r="E18" i="18"/>
  <c r="H396" i="18"/>
  <c r="AA392" i="18" a="1"/>
  <c r="AA392" i="18" s="1"/>
  <c r="AB382" i="18" s="1"/>
  <c r="J567" i="18"/>
  <c r="I567" i="18" s="1"/>
  <c r="E567" i="18" s="1"/>
  <c r="G567" i="18" s="1"/>
  <c r="Y203" i="18" a="1"/>
  <c r="N26" i="18"/>
  <c r="N28" i="18" s="1"/>
  <c r="H547" i="18"/>
  <c r="T445" i="21"/>
  <c r="N434" i="21" s="1"/>
  <c r="R434" i="21" s="1"/>
  <c r="P28" i="18"/>
  <c r="AI392" i="18" a="1"/>
  <c r="AI393" i="18" s="1"/>
  <c r="AD383" i="18" s="1"/>
  <c r="J568" i="18"/>
  <c r="I568" i="18" s="1"/>
  <c r="E568" i="18" s="1"/>
  <c r="F568" i="18" s="1"/>
  <c r="E20" i="18"/>
  <c r="H558" i="18"/>
  <c r="J553" i="18"/>
  <c r="L553" i="18"/>
  <c r="F553" i="18"/>
  <c r="L554" i="18"/>
  <c r="J554" i="18"/>
  <c r="H43" i="20"/>
  <c r="J38" i="20"/>
  <c r="H437" i="18"/>
  <c r="H288" i="20"/>
  <c r="G290" i="20"/>
  <c r="H440" i="18"/>
  <c r="H439" i="18"/>
  <c r="O51" i="18"/>
  <c r="P48" i="18" s="1"/>
  <c r="K305" i="20"/>
  <c r="H310" i="20"/>
  <c r="K306" i="20"/>
  <c r="AE392" i="18" a="1"/>
  <c r="F178" i="20"/>
  <c r="H173" i="20"/>
  <c r="I437" i="21"/>
  <c r="H437" i="21" s="1"/>
  <c r="I434" i="21"/>
  <c r="H434" i="21" s="1"/>
  <c r="I432" i="21"/>
  <c r="I438" i="21"/>
  <c r="H438" i="21" s="1"/>
  <c r="I435" i="21"/>
  <c r="H435" i="21" s="1"/>
  <c r="H300" i="20"/>
  <c r="J295" i="20"/>
  <c r="E148" i="20"/>
  <c r="F143" i="20"/>
  <c r="F148" i="20" s="1"/>
  <c r="K233" i="22" l="1"/>
  <c r="H704" i="18"/>
  <c r="I704" i="18"/>
  <c r="H706" i="18"/>
  <c r="G706" i="18"/>
  <c r="G704" i="18"/>
  <c r="I706" i="18"/>
  <c r="K697" i="18"/>
  <c r="P688" i="18"/>
  <c r="M697" i="18"/>
  <c r="I695" i="18"/>
  <c r="I697" i="18"/>
  <c r="L695" i="18"/>
  <c r="L697" i="18"/>
  <c r="D697" i="18"/>
  <c r="M695" i="18"/>
  <c r="M696" i="18"/>
  <c r="Q696" i="18"/>
  <c r="L696" i="18"/>
  <c r="K696" i="18"/>
  <c r="H695" i="18"/>
  <c r="H697" i="18"/>
  <c r="D696" i="18"/>
  <c r="D695" i="18"/>
  <c r="N695" i="18"/>
  <c r="N697" i="18"/>
  <c r="J695" i="18"/>
  <c r="J697" i="18"/>
  <c r="P697" i="18"/>
  <c r="P695" i="18"/>
  <c r="O697" i="18"/>
  <c r="O695" i="18"/>
  <c r="K695" i="18"/>
  <c r="F670" i="18"/>
  <c r="H677" i="18"/>
  <c r="K679" i="18"/>
  <c r="D679" i="18"/>
  <c r="L688" i="18"/>
  <c r="O688" i="18"/>
  <c r="L686" i="18"/>
  <c r="H686" i="18"/>
  <c r="H688" i="18"/>
  <c r="K688" i="18"/>
  <c r="D686" i="18"/>
  <c r="D687" i="18"/>
  <c r="Q687" i="18"/>
  <c r="K687" i="18"/>
  <c r="M687" i="18"/>
  <c r="L687" i="18"/>
  <c r="P686" i="18"/>
  <c r="N686" i="18"/>
  <c r="N688" i="18"/>
  <c r="M688" i="18"/>
  <c r="M686" i="18"/>
  <c r="J686" i="18"/>
  <c r="J688" i="18"/>
  <c r="I688" i="18"/>
  <c r="I686" i="18"/>
  <c r="P679" i="18"/>
  <c r="L677" i="18"/>
  <c r="P677" i="18"/>
  <c r="O679" i="18"/>
  <c r="O677" i="18"/>
  <c r="M678" i="18"/>
  <c r="Q678" i="18"/>
  <c r="L678" i="18"/>
  <c r="K678" i="18"/>
  <c r="D678" i="18"/>
  <c r="D677" i="18"/>
  <c r="L679" i="18"/>
  <c r="N677" i="18"/>
  <c r="N679" i="18"/>
  <c r="M679" i="18"/>
  <c r="M677" i="18"/>
  <c r="J677" i="18"/>
  <c r="J679" i="18"/>
  <c r="I679" i="18"/>
  <c r="I677" i="18"/>
  <c r="K677" i="18"/>
  <c r="H679" i="18"/>
  <c r="F668" i="18"/>
  <c r="G668" i="18"/>
  <c r="D668" i="18"/>
  <c r="D669" i="18"/>
  <c r="G670" i="18"/>
  <c r="H668" i="18"/>
  <c r="H670" i="18"/>
  <c r="I669" i="18"/>
  <c r="G669" i="18"/>
  <c r="D670" i="18"/>
  <c r="K230" i="22"/>
  <c r="F567" i="18"/>
  <c r="K235" i="22"/>
  <c r="K228" i="22"/>
  <c r="K231" i="22"/>
  <c r="K234" i="22"/>
  <c r="D19" i="18"/>
  <c r="Y210" i="18"/>
  <c r="AA393" i="18"/>
  <c r="AB383" i="18" s="1"/>
  <c r="Y383" i="18" s="1"/>
  <c r="AE383" i="18" s="1"/>
  <c r="J557" i="18"/>
  <c r="AI392" i="18"/>
  <c r="AD382" i="18" s="1"/>
  <c r="AJ382" i="18" s="1"/>
  <c r="G568" i="18"/>
  <c r="Y203" i="18"/>
  <c r="AA203" i="18" s="1"/>
  <c r="AB203" i="18" s="1"/>
  <c r="Y204" i="18"/>
  <c r="AA204" i="18" s="1"/>
  <c r="AB204" i="18" s="1"/>
  <c r="I441" i="21"/>
  <c r="I447" i="21" s="1"/>
  <c r="H432" i="21"/>
  <c r="H441" i="21" s="1"/>
  <c r="J288" i="20"/>
  <c r="H290" i="20"/>
  <c r="AJ383" i="18"/>
  <c r="AA383" i="18"/>
  <c r="AG383" i="18" s="1"/>
  <c r="M295" i="20"/>
  <c r="M296" i="20"/>
  <c r="J300" i="20"/>
  <c r="P50" i="18"/>
  <c r="P49" i="18"/>
  <c r="F569" i="18"/>
  <c r="Y382" i="18"/>
  <c r="AE382" i="18" s="1"/>
  <c r="AH382" i="18"/>
  <c r="AE392" i="18"/>
  <c r="AC381" i="18" s="1"/>
  <c r="AE393" i="18"/>
  <c r="AC383" i="18" s="1"/>
  <c r="H178" i="20"/>
  <c r="K173" i="20"/>
  <c r="K174" i="20"/>
  <c r="M38" i="20"/>
  <c r="J43" i="20"/>
  <c r="M39" i="20"/>
  <c r="H447" i="21" l="1"/>
  <c r="AA382" i="18"/>
  <c r="AG382" i="18" s="1"/>
  <c r="AK382" i="18" s="1"/>
  <c r="AH383" i="18"/>
  <c r="K237" i="22"/>
  <c r="K244" i="22" s="1"/>
  <c r="P51" i="18"/>
  <c r="AI383" i="18"/>
  <c r="Z383" i="18"/>
  <c r="AF383" i="18" s="1"/>
  <c r="Z381" i="18"/>
  <c r="AF381" i="18" s="1"/>
  <c r="AI381" i="18"/>
  <c r="AL383" i="18"/>
  <c r="AK383" i="18"/>
  <c r="M286" i="20"/>
  <c r="J290" i="20"/>
  <c r="AL382" i="18"/>
  <c r="B245" i="22"/>
  <c r="E732" i="18" l="1"/>
  <c r="P732" i="18" s="1"/>
  <c r="E733" i="18"/>
  <c r="F729" i="18" l="1"/>
  <c r="F732" i="18"/>
  <c r="P733" i="18"/>
  <c r="F733" i="18"/>
  <c r="F730" i="18"/>
  <c r="L732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Roccou</author>
  </authors>
  <commentList>
    <comment ref="O200" authorId="0" shapeId="0" xr:uid="{D5A1CB29-90FB-4D3E-8EE7-7538C49D1DB8}">
      <text>
        <r>
          <rPr>
            <b/>
            <sz val="9"/>
            <color indexed="81"/>
            <rFont val="Tahoma"/>
            <family val="2"/>
          </rPr>
          <t>Roccou:</t>
        </r>
        <r>
          <rPr>
            <sz val="9"/>
            <color indexed="81"/>
            <rFont val="Tahoma"/>
            <family val="2"/>
          </rPr>
          <t xml:space="preserve">
Llevar a T o a OT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Roccou</author>
  </authors>
  <commentList>
    <comment ref="P1" authorId="0" shapeId="0" xr:uid="{4235AC22-8449-430C-94E6-BD4FBE068BC0}">
      <text>
        <r>
          <rPr>
            <b/>
            <sz val="9"/>
            <color indexed="81"/>
            <rFont val="Tahoma"/>
            <family val="2"/>
          </rPr>
          <t>Roccou:</t>
        </r>
        <r>
          <rPr>
            <sz val="9"/>
            <color indexed="81"/>
            <rFont val="Tahoma"/>
            <family val="2"/>
          </rPr>
          <t xml:space="preserve">
Optimization
Start: 21/08/21
End: 22/08/21</t>
        </r>
      </text>
    </comment>
    <comment ref="S1" authorId="0" shapeId="0" xr:uid="{7520C38C-0375-4821-BB7D-F2156951B1E6}">
      <text>
        <r>
          <rPr>
            <b/>
            <sz val="9"/>
            <color indexed="81"/>
            <rFont val="Tahoma"/>
            <family val="2"/>
          </rPr>
          <t>Roccou:</t>
        </r>
        <r>
          <rPr>
            <sz val="9"/>
            <color indexed="81"/>
            <rFont val="Tahoma"/>
            <family val="2"/>
          </rPr>
          <t xml:space="preserve">
Optimization
Start: 23/08/21
End: 21/09/21</t>
        </r>
      </text>
    </comment>
    <comment ref="W1" authorId="0" shapeId="0" xr:uid="{ABFD0D1C-7D44-4ECD-849C-CBCC71ACA8B1}">
      <text>
        <r>
          <rPr>
            <b/>
            <sz val="9"/>
            <color indexed="81"/>
            <rFont val="Tahoma"/>
            <family val="2"/>
          </rPr>
          <t>Roccou:</t>
        </r>
        <r>
          <rPr>
            <sz val="9"/>
            <color indexed="81"/>
            <rFont val="Tahoma"/>
            <family val="2"/>
          </rPr>
          <t xml:space="preserve">
Optimization
Start: 21/09/21
End: 28/09/21</t>
        </r>
      </text>
    </comment>
    <comment ref="Z1" authorId="0" shapeId="0" xr:uid="{9BE4CC53-7596-484B-BDC7-50239ED1D8F6}">
      <text>
        <r>
          <rPr>
            <b/>
            <sz val="9"/>
            <color indexed="81"/>
            <rFont val="Tahoma"/>
            <family val="2"/>
          </rPr>
          <t>Roccou:</t>
        </r>
        <r>
          <rPr>
            <sz val="9"/>
            <color indexed="81"/>
            <rFont val="Tahoma"/>
            <family val="2"/>
          </rPr>
          <t xml:space="preserve">
Optimization
Start: 29/09/21
End: 01/10/21</t>
        </r>
      </text>
    </comment>
    <comment ref="AE1" authorId="0" shapeId="0" xr:uid="{195CF827-49A8-4F62-B956-8BCD45C68988}">
      <text>
        <r>
          <rPr>
            <b/>
            <sz val="9"/>
            <color indexed="81"/>
            <rFont val="Tahoma"/>
            <family val="2"/>
          </rPr>
          <t>Roccou:</t>
        </r>
        <r>
          <rPr>
            <sz val="9"/>
            <color indexed="81"/>
            <rFont val="Tahoma"/>
            <family val="2"/>
          </rPr>
          <t xml:space="preserve">
Optimization
Start: 3/10/21
End: 5/10/21</t>
        </r>
      </text>
    </comment>
    <comment ref="AH1" authorId="0" shapeId="0" xr:uid="{71BA8AF4-19EE-421B-8BAF-CB6251285B0C}">
      <text>
        <r>
          <rPr>
            <b/>
            <sz val="9"/>
            <color indexed="81"/>
            <rFont val="Tahoma"/>
            <family val="2"/>
          </rPr>
          <t>Roccou:</t>
        </r>
        <r>
          <rPr>
            <sz val="9"/>
            <color indexed="81"/>
            <rFont val="Tahoma"/>
            <family val="2"/>
          </rPr>
          <t xml:space="preserve">
Optimization
Start: 21/09/21
End: 28/09/21</t>
        </r>
      </text>
    </comment>
    <comment ref="AK1" authorId="0" shapeId="0" xr:uid="{91E9C480-85FA-4F8F-866C-47653057C8A8}">
      <text>
        <r>
          <rPr>
            <b/>
            <sz val="9"/>
            <color indexed="81"/>
            <rFont val="Tahoma"/>
            <family val="2"/>
          </rPr>
          <t>Roccou:</t>
        </r>
        <r>
          <rPr>
            <sz val="9"/>
            <color indexed="81"/>
            <rFont val="Tahoma"/>
            <family val="2"/>
          </rPr>
          <t xml:space="preserve">
Optimization
Start: 01/10/21
End: 04/10/21</t>
        </r>
      </text>
    </comment>
    <comment ref="AN1" authorId="0" shapeId="0" xr:uid="{97D3D02E-976B-4A0E-86C6-0D5BAED8C59A}">
      <text>
        <r>
          <rPr>
            <b/>
            <sz val="9"/>
            <color indexed="81"/>
            <rFont val="Tahoma"/>
            <family val="2"/>
          </rPr>
          <t>Roccou:</t>
        </r>
        <r>
          <rPr>
            <sz val="9"/>
            <color indexed="81"/>
            <rFont val="Tahoma"/>
            <family val="2"/>
          </rPr>
          <t xml:space="preserve">
Optimization
Start: 04/10/21
End: 04/10/21</t>
        </r>
      </text>
    </comment>
    <comment ref="AQ1" authorId="0" shapeId="0" xr:uid="{58FA0FA1-DC71-40D1-A5B2-199180939293}">
      <text>
        <r>
          <rPr>
            <b/>
            <sz val="9"/>
            <color indexed="81"/>
            <rFont val="Tahoma"/>
            <family val="2"/>
          </rPr>
          <t>Roccou:</t>
        </r>
        <r>
          <rPr>
            <sz val="9"/>
            <color indexed="81"/>
            <rFont val="Tahoma"/>
            <family val="2"/>
          </rPr>
          <t xml:space="preserve">
Optimization
Start: 10/10/21
End: 11/10/21</t>
        </r>
      </text>
    </comment>
  </commentList>
</comments>
</file>

<file path=xl/sharedStrings.xml><?xml version="1.0" encoding="utf-8"?>
<sst xmlns="http://schemas.openxmlformats.org/spreadsheetml/2006/main" count="7946" uniqueCount="1429">
  <si>
    <t>formulas</t>
  </si>
  <si>
    <t>currencies</t>
  </si>
  <si>
    <t>currency</t>
  </si>
  <si>
    <t>symbol</t>
  </si>
  <si>
    <t>table_type</t>
  </si>
  <si>
    <t>Bolivianos</t>
  </si>
  <si>
    <t>Boliviano</t>
  </si>
  <si>
    <t>BOB</t>
  </si>
  <si>
    <t>table_style</t>
  </si>
  <si>
    <t>table_rowstripe</t>
  </si>
  <si>
    <t>N</t>
  </si>
  <si>
    <t>X</t>
  </si>
  <si>
    <t>Y</t>
  </si>
  <si>
    <t>Total</t>
  </si>
  <si>
    <t>X'</t>
  </si>
  <si>
    <t>Y'</t>
  </si>
  <si>
    <t>Regresión Lineal - Proceso</t>
  </si>
  <si>
    <t>Extrapolación</t>
  </si>
  <si>
    <t>&lt;3: Error</t>
  </si>
  <si>
    <t>1 Col(mx1): Y</t>
  </si>
  <si>
    <t>2x2: Y</t>
  </si>
  <si>
    <t>3x3: Y</t>
  </si>
  <si>
    <t>2Col(mx2):X,Y</t>
  </si>
  <si>
    <t>2Col(mx3):X,Y,E</t>
  </si>
  <si>
    <t>1 Row(1xn): Y</t>
  </si>
  <si>
    <t>2Row(2xn): X,Y</t>
  </si>
  <si>
    <t>2Row(3xn):X,Y,E</t>
  </si>
  <si>
    <t>&gt;3 Col or Row: Y</t>
  </si>
  <si>
    <t>1A: Y</t>
  </si>
  <si>
    <t>2A:X,Y</t>
  </si>
  <si>
    <t>3A: X,Y,E</t>
  </si>
  <si>
    <t>&gt;3A: Error</t>
  </si>
  <si>
    <t>Balance Metalúrgico - Método Convencional</t>
  </si>
  <si>
    <t>#</t>
  </si>
  <si>
    <t>PRODUCTO</t>
  </si>
  <si>
    <t>PESO</t>
  </si>
  <si>
    <t>%P</t>
  </si>
  <si>
    <t>%B1</t>
  </si>
  <si>
    <t>%B2</t>
  </si>
  <si>
    <t>DM Ag</t>
  </si>
  <si>
    <t>UNIDADES B1</t>
  </si>
  <si>
    <t>UNIDADES B2</t>
  </si>
  <si>
    <t>FINOS B1</t>
  </si>
  <si>
    <t>FINOS B2</t>
  </si>
  <si>
    <t>%Rec B1</t>
  </si>
  <si>
    <t>%Rec B2</t>
  </si>
  <si>
    <t>Rc</t>
  </si>
  <si>
    <t>%Rec Ag</t>
  </si>
  <si>
    <t>A</t>
  </si>
  <si>
    <t>B1</t>
  </si>
  <si>
    <t>B2</t>
  </si>
  <si>
    <t>C</t>
  </si>
  <si>
    <t>UNIDADES AG</t>
  </si>
  <si>
    <t>FINOS AG</t>
  </si>
  <si>
    <t>PESO Ag [T]</t>
  </si>
  <si>
    <t>PESO Ag [OT]</t>
  </si>
  <si>
    <t>OPCIONALES</t>
  </si>
  <si>
    <t>FIJOS</t>
  </si>
  <si>
    <t>OPCIONAL</t>
  </si>
  <si>
    <t>Números:</t>
  </si>
  <si>
    <t>Valores</t>
  </si>
  <si>
    <t>Producto</t>
  </si>
  <si>
    <t>Peso</t>
  </si>
  <si>
    <t>Unidades B1</t>
  </si>
  <si>
    <t>Finos B1</t>
  </si>
  <si>
    <t>Balance Metalúrgico - 2 Productos</t>
  </si>
  <si>
    <t>=+EQL_BALMET_ECONOMICO_LeyCabeza(400;52,18;50;82,32)</t>
  </si>
  <si>
    <t>=+EQL_BALMET_ECONOMICO_LeyCabeza(400;0,07;45;53,05)</t>
  </si>
  <si>
    <t>TODO BALMET FRM:</t>
  </si>
  <si>
    <t>TODO BALMET UDF:</t>
  </si>
  <si>
    <t>Incluir dos casillas para Cabeza Ensayada y Cabeza Calculada</t>
  </si>
  <si>
    <t>Adicionar cáculos Cabezas en Clase AppEqBalmet</t>
  </si>
  <si>
    <t>Mejorar cálculos de DM y g/T en AppEqBalmet</t>
  </si>
  <si>
    <t>Añadir unidades de peso a encabezados de Balmet</t>
  </si>
  <si>
    <t>OK</t>
  </si>
  <si>
    <t>Reparar Finos en Complejos</t>
  </si>
  <si>
    <t>Permitir indicar orígen de alimentación: inicio o fin</t>
  </si>
  <si>
    <t>Corregir orígen de alimentación: inicio/fin</t>
  </si>
  <si>
    <t>Incluir opción para Cabeza Ensayada y Cabeza Calculada</t>
  </si>
  <si>
    <t>Peso[T]</t>
  </si>
  <si>
    <t>Peso[%]</t>
  </si>
  <si>
    <t>B1[%]</t>
  </si>
  <si>
    <t>Ag[DM]</t>
  </si>
  <si>
    <t>Unidad B1</t>
  </si>
  <si>
    <t>Unidad Ag</t>
  </si>
  <si>
    <t>Fino B1[T]</t>
  </si>
  <si>
    <t>Fino Ag[g]</t>
  </si>
  <si>
    <t>Peso Ag[T]</t>
  </si>
  <si>
    <t>Peso Ag[OT]</t>
  </si>
  <si>
    <t>Ratio</t>
  </si>
  <si>
    <t>C. Ensayada</t>
  </si>
  <si>
    <t>C. Calculada</t>
  </si>
  <si>
    <t>B2[%]</t>
  </si>
  <si>
    <t>Unidad B2</t>
  </si>
  <si>
    <t>Balance Metalúrgico - 3 Productos</t>
  </si>
  <si>
    <t>Fino B2[T]</t>
  </si>
  <si>
    <t>Cadenas</t>
  </si>
  <si>
    <t>Rangos</t>
  </si>
  <si>
    <t>Números</t>
  </si>
  <si>
    <t>=+EQL_BALMET_ECONOMICO_LeyCabeza(C52;C50;E50;G50)</t>
  </si>
  <si>
    <t>=+EQL_BALMET_ECONOMICO_LeyCabeza(400;"0,07";"45";"53,05")</t>
  </si>
  <si>
    <t>=+EQL_BALMET_ECONOMICO_LeyCabeza(400;"0,07;110";"45;50";"53,05;65,2";"%;g/T")</t>
  </si>
  <si>
    <t>=+EQL_BALMET_ECONOMICO_LeyCabeza(C50:C51;C50:C51;D50:E50;(F50;G50))</t>
  </si>
  <si>
    <t>=+EQL_BALMET_ECONOMICO_LeyCabeza(C50:C51;C50:C51;D50:E50;F50:G50)</t>
  </si>
  <si>
    <t>=+EQL_BALMET_ECONOMICO_LeyCabeza(C52;C50;D50;F50)</t>
  </si>
  <si>
    <t>=+EQL_BALMET_ECONOMICO_LeyProducto(400;0,07;45;53,05)</t>
  </si>
  <si>
    <t>=+EQL_BALMET_ECONOMICO_LeyProducto(C52;C50;D52;F50)</t>
  </si>
  <si>
    <t>=+EQL_BALMET_ECONOMICO_LeyProducto(C52;C50;D52;F50;;E52;G50)</t>
  </si>
  <si>
    <t>Reparar Frm para a y b (txts para leyes, etc., txt para cx ley y %R</t>
  </si>
  <si>
    <t>Validar entradas de Frm</t>
  </si>
  <si>
    <t>En ClaseBalmet, crear algoritmo que obtenga Alim y Leyes</t>
  </si>
  <si>
    <t>Enlazar Vista a Controlador</t>
  </si>
  <si>
    <t>Llamar a A o B</t>
  </si>
  <si>
    <t>Llamar a Alim y leyes</t>
  </si>
  <si>
    <t>Llamar a Balmet Eng</t>
  </si>
  <si>
    <t>Imprimir en hoja de cálculo</t>
  </si>
  <si>
    <t>Enlazar Balmet Selección con Vista y Controlador</t>
  </si>
  <si>
    <t>En controlador (llamar a a o b, llamar a Alim y Leyes, llamar a BalmetEng)</t>
  </si>
  <si>
    <t>Algoritmo para validar entradas de Balmet Selección</t>
  </si>
  <si>
    <t>Llevar Frm Balmet a independiente</t>
  </si>
  <si>
    <t>Levar Frm Balmet eco a independiente</t>
  </si>
  <si>
    <t>Crear manejador de controles comunes en Frm</t>
  </si>
  <si>
    <t>Crear métodos de creación de controles con sus propiedades básicas</t>
  </si>
  <si>
    <t>=+EQL_BALMET_ECONOMICO_LeyCabeza(C52;C50;D50;F50;;E50;G50)</t>
  </si>
  <si>
    <t>=+EQL_BALMET_ECONOMICO_LeyCabeza(C43;C40:C41;(E40;F41);(N40;O41);;G40;P40)</t>
  </si>
  <si>
    <t>Balmet eco</t>
  </si>
  <si>
    <t>Balmet</t>
  </si>
  <si>
    <t>=+EQL_BALMET(1000;"3;6;1,71")</t>
  </si>
  <si>
    <t>=+EQL_BALMET(400;"3;60;2;0,5;8;4;50;1,5";;1)</t>
  </si>
  <si>
    <t>=+EQL_BALMET("1000";"3;6;1,71")</t>
  </si>
  <si>
    <t>=+EQL_BALMET("400";"3;60;2;0,5;8;4;50;1,5";;1)</t>
  </si>
  <si>
    <t>=+EQL_BALMET(C52;D50:D52;;;1)</t>
  </si>
  <si>
    <t>=+EQL_BALMET(C43;E40:F43;;1;1)</t>
  </si>
  <si>
    <t>Balmet Rec</t>
  </si>
  <si>
    <t>Balmet Cx</t>
  </si>
  <si>
    <t>Balmet RecCx</t>
  </si>
  <si>
    <t>U</t>
  </si>
  <si>
    <t>%R</t>
  </si>
  <si>
    <t>P</t>
  </si>
  <si>
    <t>DM</t>
  </si>
  <si>
    <t>=+EQL_BALMET_Rec(1000;"3;6;1,71")</t>
  </si>
  <si>
    <t>=+EQL_BALMET_Rec(400;"3;60;2;0,5;8;4;50;1,5";;1)</t>
  </si>
  <si>
    <t>=+EQL_BALMET_Rec("1000";"3;6;1,71")</t>
  </si>
  <si>
    <t>=+EQL_BALMET_Rec("400";"3;60;2;0,5;8;4;50;1,5";;1)</t>
  </si>
  <si>
    <t>=+EQL_BALMET_Rec(C52;D50:D52;;;1)</t>
  </si>
  <si>
    <t>=+EQL_BALMET_Rec(C43;E40:F43;;1;1)</t>
  </si>
  <si>
    <t>=+EQL_BALMET_Rec(C43;E40:F43;;1;1;1)</t>
  </si>
  <si>
    <t>=+EQL_BALMET_COMPLEJOS(1000;"3;6;1,71";"2;50;0,9")</t>
  </si>
  <si>
    <t>=+EQL_BALMET_COMPLEJOS("1000";"3;6;1,71";"2;50;0,9")</t>
  </si>
  <si>
    <t>=+EQL_BALMET_COMPLEJOS(C52;D50:D52;E50:E52;;;;1)</t>
  </si>
  <si>
    <t>=+EQL_BALMET_COMPLEJOS(C43;E40:F43;G40:G43;;;1;1)</t>
  </si>
  <si>
    <t>=+EQL_BALMET_COMPLEJOS_Rec(1000;"3;6;1,71";"2;50;0,9")</t>
  </si>
  <si>
    <t>=+EQL_BALMET_COMPLEJOS_Rec(C43;E40:F43;F40:F43;;;1;1)</t>
  </si>
  <si>
    <t>Cbz Ensayada</t>
  </si>
  <si>
    <t>Cbz Calculada</t>
  </si>
  <si>
    <t>Balance Metalúrgico - 4 Productos</t>
  </si>
  <si>
    <t>=+EQL_BALMET($P$77;$R$75:$R$77;1;0;1)</t>
  </si>
  <si>
    <t>Zn[%]</t>
  </si>
  <si>
    <t>%Rec Zn</t>
  </si>
  <si>
    <t>Zn</t>
  </si>
  <si>
    <t>POR EL PUNTO!, HAY QUE CAMBIAR A STR LA CONSTANTE</t>
  </si>
  <si>
    <t>Balmet FRM</t>
  </si>
  <si>
    <t>Balmet SEL</t>
  </si>
  <si>
    <t>Balmet UDF's</t>
  </si>
  <si>
    <t>Balmet FRM eco</t>
  </si>
  <si>
    <t>Opción en balmet selection para elegir celda en frm, en config ribbon</t>
  </si>
  <si>
    <t>%</t>
  </si>
  <si>
    <t>Pb</t>
  </si>
  <si>
    <t>Ag</t>
  </si>
  <si>
    <t>En validación, preguntar por la celda selección y preguntar si se imprime en área con contenido.</t>
  </si>
  <si>
    <t>No ceros en alim</t>
  </si>
  <si>
    <t>no mayores a 18números</t>
  </si>
  <si>
    <t>Compacto|extendido en balmet selections para config</t>
  </si>
  <si>
    <t>moneda para config</t>
  </si>
  <si>
    <t>table_selections_compact</t>
  </si>
  <si>
    <t>Cabezas en selection balmet</t>
  </si>
  <si>
    <t>table_selections_heads</t>
  </si>
  <si>
    <t>Pb[%]</t>
  </si>
  <si>
    <t>Fino Zn[T]</t>
  </si>
  <si>
    <t>Fino Pb[T]</t>
  </si>
  <si>
    <t>%Rec Pb</t>
  </si>
  <si>
    <t>table_selections_cell</t>
  </si>
  <si>
    <t>Nombres y unidades genéricas</t>
  </si>
  <si>
    <t>Arreglar para que balmet reciba pesos desde controlador</t>
  </si>
  <si>
    <t>administrar desde controlador resultados de pesos para preparar balmet, el modelo actual es riesgoso</t>
  </si>
  <si>
    <t>Controlar la devolución de peso en balmet app para el dbl y vector</t>
  </si>
  <si>
    <t>Controlar errores finales</t>
  </si>
  <si>
    <t>TODO REGRESSION FRM</t>
  </si>
  <si>
    <t>TODO REGRESSION SELECTION</t>
  </si>
  <si>
    <t>TODO REGRESSION UDF</t>
  </si>
  <si>
    <t>Optimizar Clase con patrón Balmet</t>
  </si>
  <si>
    <t>Optimizar validación</t>
  </si>
  <si>
    <t>Optimizar generación de frm con patrón Balmet</t>
  </si>
  <si>
    <t>Optimizar EXE con patrón Balmet</t>
  </si>
  <si>
    <t>Optimizar con patrón Balmet</t>
  </si>
  <si>
    <t>Limpieza</t>
  </si>
  <si>
    <t>=+EQL_REGRESION_LINEAL(C9:C12)</t>
  </si>
  <si>
    <t>=+EQL_REGRESION_LINEAL_n(C9:C12)</t>
  </si>
  <si>
    <t>=+EQL_REGRESION_LINEAL_Se(C9:C12)</t>
  </si>
  <si>
    <t>=+EQL_REGRESION_LINEAL_a(C9:C12)</t>
  </si>
  <si>
    <t>=+EQL_REGRESION_LINEAL_r(C9:C12)</t>
  </si>
  <si>
    <t>=+EQL_REGRESION_LINEAL_b(C9:C12)</t>
  </si>
  <si>
    <t>=+EQL_REGRESION_LINEAL_r2(C9:C12)</t>
  </si>
  <si>
    <t>Aumentar controles check (Orígen de datos, OPT Extrapolar|Interpolar)</t>
  </si>
  <si>
    <t>TODO REGRESSION CONFIG</t>
  </si>
  <si>
    <t>XY</t>
  </si>
  <si>
    <r>
      <t>X</t>
    </r>
    <r>
      <rPr>
        <b/>
        <vertAlign val="superscript"/>
        <sz val="11"/>
        <color theme="0"/>
        <rFont val="Calibri"/>
        <family val="2"/>
        <scheme val="minor"/>
      </rPr>
      <t>2</t>
    </r>
  </si>
  <si>
    <r>
      <t>Y</t>
    </r>
    <r>
      <rPr>
        <b/>
        <vertAlign val="superscript"/>
        <sz val="11"/>
        <color theme="0"/>
        <rFont val="Calibri"/>
        <family val="2"/>
        <scheme val="minor"/>
      </rPr>
      <t>2</t>
    </r>
  </si>
  <si>
    <t>Coeficientes</t>
  </si>
  <si>
    <t>Coeficiente a:</t>
  </si>
  <si>
    <t>Coeficiente b:</t>
  </si>
  <si>
    <t>Coeficiente de correlación (r):</t>
  </si>
  <si>
    <t>Ecuación de Tendencia Y' = a + b(X')</t>
  </si>
  <si>
    <r>
      <t>Coeficiente de determinación (r</t>
    </r>
    <r>
      <rPr>
        <b/>
        <i/>
        <vertAlign val="superscript"/>
        <sz val="11"/>
        <color theme="1"/>
        <rFont val="Calibri"/>
        <family val="2"/>
        <scheme val="minor"/>
      </rPr>
      <t>2</t>
    </r>
    <r>
      <rPr>
        <b/>
        <i/>
        <sz val="11"/>
        <color theme="1"/>
        <rFont val="Calibri"/>
        <family val="2"/>
        <scheme val="minor"/>
      </rPr>
      <t>):</t>
    </r>
  </si>
  <si>
    <r>
      <t>Error estándar de la determinación (S</t>
    </r>
    <r>
      <rPr>
        <b/>
        <i/>
        <vertAlign val="subscript"/>
        <sz val="11"/>
        <color theme="1"/>
        <rFont val="Calibri"/>
        <family val="2"/>
        <scheme val="minor"/>
      </rPr>
      <t>e</t>
    </r>
    <r>
      <rPr>
        <b/>
        <i/>
        <sz val="11"/>
        <color theme="1"/>
        <rFont val="Calibri"/>
        <family val="2"/>
        <scheme val="minor"/>
      </rPr>
      <t>):</t>
    </r>
  </si>
  <si>
    <t>Extrapolación compacta</t>
  </si>
  <si>
    <t>PROYECCIÓN PROYECTO DE NEGOCIO [BOB]</t>
  </si>
  <si>
    <t>DATOS BASE:</t>
  </si>
  <si>
    <t>Tiempo [Años]</t>
  </si>
  <si>
    <t>Inversión</t>
  </si>
  <si>
    <t>Cotización'</t>
  </si>
  <si>
    <t>Valor Bruto</t>
  </si>
  <si>
    <t>Egresos [2%]</t>
  </si>
  <si>
    <t>Utilidad Neta</t>
  </si>
  <si>
    <t>Valor Residual</t>
  </si>
  <si>
    <t>Flujo Neto de Caja</t>
  </si>
  <si>
    <t>X [Años]</t>
  </si>
  <si>
    <t>Y [CTZ]</t>
  </si>
  <si>
    <t>VAN [BOB]:</t>
  </si>
  <si>
    <t>TIR:</t>
  </si>
  <si>
    <t>TODO PROJECTIONS CONFIG</t>
  </si>
  <si>
    <t>TODO PROJECTION FRM</t>
  </si>
  <si>
    <t>Quitar Txts de unidad y divisa</t>
  </si>
  <si>
    <t>Divisas</t>
  </si>
  <si>
    <t>TODO PROJECTION CLASS</t>
  </si>
  <si>
    <t>Generar X[-n - 0]</t>
  </si>
  <si>
    <t>Obtener tiempo []</t>
  </si>
  <si>
    <t>Obtener Regresión []</t>
  </si>
  <si>
    <t>Valor Bruto []</t>
  </si>
  <si>
    <t>Egresos</t>
  </si>
  <si>
    <t>VR</t>
  </si>
  <si>
    <t>FNC</t>
  </si>
  <si>
    <t>TODO PROJECTION CONTROLLER</t>
  </si>
  <si>
    <t>VAN, TIR, VIAB, en [] independiente</t>
  </si>
  <si>
    <t>Imprimir</t>
  </si>
  <si>
    <t>Gráfico</t>
  </si>
  <si>
    <t>USD</t>
  </si>
  <si>
    <t>Se obtiene de Unidad de peso la unidad de Ctz Ej.: OT/USD</t>
  </si>
  <si>
    <t>Se obtiene de Divisa la unidad de precio de Ctz (dinámico)</t>
  </si>
  <si>
    <t>Añadir lista de Unidades peso y lista de nombres mineral multiselect</t>
  </si>
  <si>
    <t>Comportamiento</t>
  </si>
  <si>
    <t>Indicadores</t>
  </si>
  <si>
    <t>Resultados</t>
  </si>
  <si>
    <t>COMPORTAMIENTO</t>
  </si>
  <si>
    <t>Definir ME como opción única</t>
  </si>
  <si>
    <t>Inversión [BOB]</t>
  </si>
  <si>
    <t>Cotización [BOB/TF]</t>
  </si>
  <si>
    <t>Valor Bruto Pb [BOB]</t>
  </si>
  <si>
    <t>Utilidad Neta [BOB]</t>
  </si>
  <si>
    <t>Valor Residual [BOB]</t>
  </si>
  <si>
    <t>-</t>
  </si>
  <si>
    <t>PROYECCIÓN PROYECTO DE NEGOCIO</t>
  </si>
  <si>
    <t>Comportamiento [Años]</t>
  </si>
  <si>
    <t>Rentable desde 1</t>
  </si>
  <si>
    <t>VAN [BOB]</t>
  </si>
  <si>
    <t>TIR [%]</t>
  </si>
  <si>
    <t>Tiempo [Días]</t>
  </si>
  <si>
    <t>Inversión [USD]</t>
  </si>
  <si>
    <t>Cotización [USD/TF]</t>
  </si>
  <si>
    <t>Valor Bruto Pb [USD]</t>
  </si>
  <si>
    <t>Egresos [3%]</t>
  </si>
  <si>
    <t>Utilidad Neta [USD]</t>
  </si>
  <si>
    <t>Valor Residual [USD]</t>
  </si>
  <si>
    <t>Flujo Neto de Caja [USD]</t>
  </si>
  <si>
    <t>Comportamiento [Días]</t>
  </si>
  <si>
    <t>VAN [USD]</t>
  </si>
  <si>
    <t>Egresos [4%]</t>
  </si>
  <si>
    <t>Proyecto Inviable</t>
  </si>
  <si>
    <t>X [Años]</t>
  </si>
  <si>
    <t>Y [CTZ]</t>
  </si>
  <si>
    <r>
      <t>X</t>
    </r>
    <r>
      <rPr>
        <b/>
        <vertAlign val="superscript"/>
        <sz val="12"/>
        <color rgb="FF000000" tint="0.39997558519241921"/>
        <rFont val="Calibri"/>
        <family val="2"/>
      </rPr>
      <t>2</t>
    </r>
  </si>
  <si>
    <r>
      <t>Y</t>
    </r>
    <r>
      <rPr>
        <b/>
        <vertAlign val="superscript"/>
        <sz val="12"/>
        <color rgb="FF000000" tint="0.39997558519241921"/>
        <rFont val="Calibri"/>
        <family val="2"/>
      </rPr>
      <t>2</t>
    </r>
  </si>
  <si>
    <r>
      <t>Coeficiente de determinación (r</t>
    </r>
    <r>
      <rPr>
        <i/>
        <vertAlign val="superscript"/>
        <sz val="10"/>
        <color rgb="FF000000"/>
        <rFont val="Calibri"/>
        <family val="2"/>
      </rPr>
      <t>2</t>
    </r>
    <r>
      <rPr>
        <i/>
        <sz val="10"/>
        <color rgb="FF000000"/>
        <rFont val="Calibri"/>
        <family val="2"/>
      </rPr>
      <t>):</t>
    </r>
  </si>
  <si>
    <r>
      <t>Error estándar de la determinación (S</t>
    </r>
    <r>
      <rPr>
        <i/>
        <vertAlign val="subscript"/>
        <sz val="10"/>
        <color rgb="FF000000"/>
        <rFont val="Calibri"/>
        <family val="2"/>
      </rPr>
      <t>e</t>
    </r>
    <r>
      <rPr>
        <i/>
        <sz val="10"/>
        <color rgb="FF000000"/>
        <rFont val="Calibri"/>
        <family val="2"/>
      </rPr>
      <t>):</t>
    </r>
  </si>
  <si>
    <t>Rentable desde 4</t>
  </si>
  <si>
    <t>Flujo Neto de Caja [BOB]</t>
  </si>
  <si>
    <t>Rentable desde 3</t>
  </si>
  <si>
    <t>Egresos [0%]</t>
  </si>
  <si>
    <t>Cotización [USD/LF]</t>
  </si>
  <si>
    <t>Valor Bruto Zn [USD]</t>
  </si>
  <si>
    <t>Rentable desde 2</t>
  </si>
  <si>
    <t>Cotización'Pb [USD/TF]</t>
  </si>
  <si>
    <t>Cotización'Zn [USD/LF]</t>
  </si>
  <si>
    <t>Cotización' Pb[BOB/TF]</t>
  </si>
  <si>
    <t>Cotización' Zn[BOB/LF]</t>
  </si>
  <si>
    <t>Valor Bruto Zn [BOB]</t>
  </si>
  <si>
    <t>Rentable desde 1 Años</t>
  </si>
  <si>
    <t>Cotización' Ag[BOB/OT]</t>
  </si>
  <si>
    <t>Valor Bruto Ag [BOB]</t>
  </si>
  <si>
    <t>Cotización' Pb[USD/TF]</t>
  </si>
  <si>
    <t>Rentable desde 3 Años</t>
  </si>
  <si>
    <t>(EXPRESADO EN BOLIVIANOS)</t>
  </si>
  <si>
    <t>LIQUIDACIÓN</t>
  </si>
  <si>
    <t>Simulación</t>
  </si>
  <si>
    <t>FECHA</t>
  </si>
  <si>
    <t>LOTE</t>
  </si>
  <si>
    <t>PROVEDOR</t>
  </si>
  <si>
    <t>Código:</t>
  </si>
  <si>
    <t>Nombre:</t>
  </si>
  <si>
    <t>ABC</t>
  </si>
  <si>
    <t>CI:</t>
  </si>
  <si>
    <t>Tipo:</t>
  </si>
  <si>
    <t>Cooperativista</t>
  </si>
  <si>
    <t>Ag, Zn</t>
  </si>
  <si>
    <t>NIT:</t>
  </si>
  <si>
    <t>NIM:</t>
  </si>
  <si>
    <t>Lugar:</t>
  </si>
  <si>
    <t>Leyes</t>
  </si>
  <si>
    <t>Valor USD</t>
  </si>
  <si>
    <t>Valor BOB</t>
  </si>
  <si>
    <t>RETENCIONES DE LEY</t>
  </si>
  <si>
    <t>Anticipo</t>
  </si>
  <si>
    <t>LIQUIDACIÓN FINAL</t>
  </si>
  <si>
    <t>Líquido Pagable (Saldo a favor):</t>
  </si>
  <si>
    <t>Son:</t>
  </si>
  <si>
    <t>DPTO. COMPRAS</t>
  </si>
  <si>
    <t>CAJERO</t>
  </si>
  <si>
    <t>Abc</t>
  </si>
  <si>
    <t>Tabla bonos</t>
  </si>
  <si>
    <t>Descuentos</t>
  </si>
  <si>
    <t>TODO LIQMIN CONFIG</t>
  </si>
  <si>
    <t>TODO LIQMIN CLASS</t>
  </si>
  <si>
    <t>TODO LIQMIN CONTROLLER</t>
  </si>
  <si>
    <t>TODO LIQMIN FRM</t>
  </si>
  <si>
    <t>LIQUIDACIÓN DE MINERALES</t>
  </si>
  <si>
    <t>Encabezado y pie personalizable</t>
  </si>
  <si>
    <t>Cabecera</t>
  </si>
  <si>
    <t>Datos de liquidación</t>
  </si>
  <si>
    <t>Datos provedor | Datos mineral</t>
  </si>
  <si>
    <t>DATOS PROVEDOR</t>
  </si>
  <si>
    <t>DATOS MINERAL</t>
  </si>
  <si>
    <t>USD/Pto</t>
  </si>
  <si>
    <t>Bono transporte</t>
  </si>
  <si>
    <t>(+) BONOS</t>
  </si>
  <si>
    <t>Otros</t>
  </si>
  <si>
    <t>OTRAS RETENCIONES</t>
  </si>
  <si>
    <t>DETERMINACIÓN VALOR BRUTO</t>
  </si>
  <si>
    <t>RM-Ag</t>
  </si>
  <si>
    <t>RM-Zn</t>
  </si>
  <si>
    <t>COMIBOL</t>
  </si>
  <si>
    <t>CNS</t>
  </si>
  <si>
    <t>FEDECOMIN</t>
  </si>
  <si>
    <t>FENCOMIN</t>
  </si>
  <si>
    <t>WILSTERMAN</t>
  </si>
  <si>
    <t>COOPERATIVA</t>
  </si>
  <si>
    <t>Zn: 12%</t>
  </si>
  <si>
    <t>TOTAL DESCUENTOS:</t>
  </si>
  <si>
    <t>TOTAL VALOR BRUTO:</t>
  </si>
  <si>
    <t>TIPO DE CAMBIO</t>
  </si>
  <si>
    <t>USD/BOB</t>
  </si>
  <si>
    <t>DESTINO</t>
  </si>
  <si>
    <t>Ag: 200 DM</t>
  </si>
  <si>
    <t>Liq. Parcial, Final</t>
  </si>
  <si>
    <t>Lote/Lotes</t>
  </si>
  <si>
    <t>Dpto Compras, Cajero, Provedor</t>
  </si>
  <si>
    <t>Números a letras</t>
  </si>
  <si>
    <t>Página personalizable</t>
  </si>
  <si>
    <t>a</t>
  </si>
  <si>
    <t>b</t>
  </si>
  <si>
    <t>Autoconfigurar página</t>
  </si>
  <si>
    <t>Autoconfigurar página Chk</t>
  </si>
  <si>
    <t>Advertir que se requiere primera celda de page</t>
  </si>
  <si>
    <t>[…]</t>
  </si>
  <si>
    <t>Complejo</t>
  </si>
  <si>
    <t>Mineral</t>
  </si>
  <si>
    <t>Tipo</t>
  </si>
  <si>
    <t>Muestra</t>
  </si>
  <si>
    <t>Ingreso</t>
  </si>
  <si>
    <t>LUGAR</t>
  </si>
  <si>
    <t>Procedencia, transportista, etc., se relacionan con</t>
  </si>
  <si>
    <t>Datos internos</t>
  </si>
  <si>
    <t>Liquidación se relaciona con Lote, y Muestra</t>
  </si>
  <si>
    <t>Tablilla de pesaje con Muestra</t>
  </si>
  <si>
    <t>Humedad 2%</t>
  </si>
  <si>
    <t>Merma 1%</t>
  </si>
  <si>
    <t>PS [TN]</t>
  </si>
  <si>
    <t>PNS [TN]</t>
  </si>
  <si>
    <t>(-) DEDUCCIONES</t>
  </si>
  <si>
    <t>DESCUENTOS</t>
  </si>
  <si>
    <t>PHB [TN]</t>
  </si>
  <si>
    <t>T/C</t>
  </si>
  <si>
    <t>DETERMINACIÓN PESO PAGABLE</t>
  </si>
  <si>
    <t>DATOS DE LIQUIDACIÓN</t>
  </si>
  <si>
    <t>Destino:</t>
  </si>
  <si>
    <t>Liquidación:</t>
  </si>
  <si>
    <t>Lote:</t>
  </si>
  <si>
    <t>Fecha:</t>
  </si>
  <si>
    <t>d</t>
  </si>
  <si>
    <t>eee</t>
  </si>
  <si>
    <t>r</t>
  </si>
  <si>
    <t>e</t>
  </si>
  <si>
    <t>aaa</t>
  </si>
  <si>
    <t>f</t>
  </si>
  <si>
    <t>s</t>
  </si>
  <si>
    <t>BOB/USD</t>
  </si>
  <si>
    <t>Promediar</t>
  </si>
  <si>
    <t>TOTAL DEDUCCIONES:</t>
  </si>
  <si>
    <t>Simulación/cliente/provedor/archivo/enmpresa…</t>
  </si>
  <si>
    <t>currency_main</t>
  </si>
  <si>
    <t>currency_foreign</t>
  </si>
  <si>
    <t>purch_destiny</t>
  </si>
  <si>
    <t>SIMULACIÓN</t>
  </si>
  <si>
    <t>EMPRESA</t>
  </si>
  <si>
    <t>PORCENTAJE</t>
  </si>
  <si>
    <t>CONCEPTO</t>
  </si>
  <si>
    <t>BONO</t>
  </si>
  <si>
    <t>VALOR</t>
  </si>
  <si>
    <t>DESCUENTO</t>
  </si>
  <si>
    <t>MUESTRA</t>
  </si>
  <si>
    <t>FECHA INGRESO</t>
  </si>
  <si>
    <t>TIPO</t>
  </si>
  <si>
    <t>CONTENIDOS</t>
  </si>
  <si>
    <t>LEYES</t>
  </si>
  <si>
    <t>UNIDADES</t>
  </si>
  <si>
    <t>PRECIO</t>
  </si>
  <si>
    <t>SELECTED</t>
  </si>
  <si>
    <t>Copia: tabla para empresa, provedor, etc</t>
  </si>
  <si>
    <t>Pie de firma: tabla con Cajero, etc</t>
  </si>
  <si>
    <t>Si particular, omitir otras retenciones</t>
  </si>
  <si>
    <t>Si varias liq a la vez anular promedio y págs</t>
  </si>
  <si>
    <t>Validar #Datos=#bonos=#descuentos si Varios activo</t>
  </si>
  <si>
    <t>Validación en exe</t>
  </si>
  <si>
    <t>Validar _ para rangos</t>
  </si>
  <si>
    <t>Validar máximo 10 liquidaciones por vez</t>
  </si>
  <si>
    <t>Algoritmos de vaciado de datos en tablas por cada botón</t>
  </si>
  <si>
    <t>Preparar datos y enviar a controlador.</t>
  </si>
  <si>
    <t>Bucle para varias páginas</t>
  </si>
  <si>
    <t>Nombres y apellidos</t>
  </si>
  <si>
    <t>Fecha</t>
  </si>
  <si>
    <t>Humedad</t>
  </si>
  <si>
    <t>Merma</t>
  </si>
  <si>
    <t>Peso Bruto</t>
  </si>
  <si>
    <t>Tipo Mineral</t>
  </si>
  <si>
    <t>Contenidos</t>
  </si>
  <si>
    <t>Unidades</t>
  </si>
  <si>
    <t>Precio/Pto</t>
  </si>
  <si>
    <t>Bono</t>
  </si>
  <si>
    <t>Valor</t>
  </si>
  <si>
    <t>Descuento</t>
  </si>
  <si>
    <t>Pepe Pérez</t>
  </si>
  <si>
    <t>Cuco Soso</t>
  </si>
  <si>
    <t>Tiro Moro</t>
  </si>
  <si>
    <t>Exto Fiko</t>
  </si>
  <si>
    <t>particular</t>
  </si>
  <si>
    <t>M-2</t>
  </si>
  <si>
    <t>M-3</t>
  </si>
  <si>
    <t>M-4</t>
  </si>
  <si>
    <t>mineral</t>
  </si>
  <si>
    <t>complejo</t>
  </si>
  <si>
    <t>broza</t>
  </si>
  <si>
    <t>M-0</t>
  </si>
  <si>
    <t>complejos</t>
  </si>
  <si>
    <t>Zn;pb</t>
  </si>
  <si>
    <t>cu;ag</t>
  </si>
  <si>
    <t>Pb;m</t>
  </si>
  <si>
    <t>1;2</t>
  </si>
  <si>
    <t>2;3</t>
  </si>
  <si>
    <t>dm;%</t>
  </si>
  <si>
    <t>g/t;%</t>
  </si>
  <si>
    <t>g/l</t>
  </si>
  <si>
    <t>1;1</t>
  </si>
  <si>
    <t>2;2</t>
  </si>
  <si>
    <t>HUMEDAD</t>
  </si>
  <si>
    <t>MERMA</t>
  </si>
  <si>
    <t>PESO HÚMEDO BRUTO</t>
  </si>
  <si>
    <t>M-5</t>
  </si>
  <si>
    <t># - Muestra</t>
  </si>
  <si>
    <t>company_logo</t>
  </si>
  <si>
    <t>company_address</t>
  </si>
  <si>
    <t>company_phone</t>
  </si>
  <si>
    <t>company_email</t>
  </si>
  <si>
    <t>company_name</t>
  </si>
  <si>
    <t>company_header</t>
  </si>
  <si>
    <t>Permitir hasta 5 complejos</t>
  </si>
  <si>
    <t>Trabajar con tabla RM</t>
  </si>
  <si>
    <t>Llenar cbo con muestras</t>
  </si>
  <si>
    <t>Sobreentender RM</t>
  </si>
  <si>
    <t>Obtener p/c muestra: Bono, rets y descuentos</t>
  </si>
  <si>
    <t>Retenciones editables config RM completa | Todas | ninguna | valores</t>
  </si>
  <si>
    <t>Todas | Ninguna | Valores en Rets, bonos y descuentos</t>
  </si>
  <si>
    <t>UNIDAD</t>
  </si>
  <si>
    <t>COTIZACIÓN</t>
  </si>
  <si>
    <t>EXPORTACIÓN</t>
  </si>
  <si>
    <t>VENTA INTERNA</t>
  </si>
  <si>
    <t>ELEMENTO</t>
  </si>
  <si>
    <t>MINERAL</t>
  </si>
  <si>
    <t>Zinc</t>
  </si>
  <si>
    <t>L.F.</t>
  </si>
  <si>
    <t>Estaño</t>
  </si>
  <si>
    <t>Sn</t>
  </si>
  <si>
    <t>Oro</t>
  </si>
  <si>
    <t>Au</t>
  </si>
  <si>
    <t>O.T.</t>
  </si>
  <si>
    <t>Oro de minerales sulfurosos</t>
  </si>
  <si>
    <t>Oro de yacimientos marginales</t>
  </si>
  <si>
    <t>Plata</t>
  </si>
  <si>
    <t>Antimonio</t>
  </si>
  <si>
    <t>Sb</t>
  </si>
  <si>
    <t>T.M.F.</t>
  </si>
  <si>
    <t>Plomo</t>
  </si>
  <si>
    <t>Wolfram</t>
  </si>
  <si>
    <t>W</t>
  </si>
  <si>
    <t>Cobre</t>
  </si>
  <si>
    <t>Cu</t>
  </si>
  <si>
    <t>Bismuto</t>
  </si>
  <si>
    <t>Bi</t>
  </si>
  <si>
    <t>Au(1)</t>
  </si>
  <si>
    <t>Au(2)</t>
  </si>
  <si>
    <t>LIQUIDACIÓN FINAL (VALOR BRUTO - DEDUCCIONES + BONOS)</t>
  </si>
  <si>
    <t>TOTAL BONOS:</t>
  </si>
  <si>
    <t>VALOR BRUTO</t>
  </si>
  <si>
    <t>RM detalle</t>
  </si>
  <si>
    <t>orepurchase_rmdetail</t>
  </si>
  <si>
    <t>TOTAL PESO BRUTO HÚMEDO</t>
  </si>
  <si>
    <t>DATOS MINERAL Y PESO BRUTO HÚMEDO</t>
  </si>
  <si>
    <t>TOTAL PESO PAGABLE</t>
  </si>
  <si>
    <t>PROMEDIOS</t>
  </si>
  <si>
    <t>Promedios</t>
  </si>
  <si>
    <t>Merma [%]</t>
  </si>
  <si>
    <t>Humedad [%]</t>
  </si>
  <si>
    <t>SIMPLE</t>
  </si>
  <si>
    <t>MÚLTIPLE</t>
  </si>
  <si>
    <t>2DM</t>
  </si>
  <si>
    <t>12"%"</t>
  </si>
  <si>
    <t>RC</t>
  </si>
  <si>
    <t>DESCUENTOS:</t>
  </si>
  <si>
    <t>RETENCIONES DE LEY - IMPUESTOS Y OTROS [%]:</t>
  </si>
  <si>
    <t>RETENCIONES DE LEY - REGALÍAS [%]:</t>
  </si>
  <si>
    <t>UNIT</t>
  </si>
  <si>
    <t>RETENCIONES OTRAS [%]:</t>
  </si>
  <si>
    <t>Bonos y Descuentos: len Bono =  len Valor</t>
  </si>
  <si>
    <t>Bonos y Descuentos: Valor = #</t>
  </si>
  <si>
    <t>Dólares Americanos</t>
  </si>
  <si>
    <t>Dólar Americano</t>
  </si>
  <si>
    <t>Casilla de bonos y descuentos: activar en todo seleccionado</t>
  </si>
  <si>
    <t>Firmas</t>
  </si>
  <si>
    <t>VC-253</t>
  </si>
  <si>
    <t>Bono de transporte</t>
  </si>
  <si>
    <t>DATOS LIQUIDACIÓN</t>
  </si>
  <si>
    <t>Unknown Place</t>
  </si>
  <si>
    <t>T/C:</t>
  </si>
  <si>
    <t>C.I.:</t>
  </si>
  <si>
    <t>PBH [T]</t>
  </si>
  <si>
    <t>PBS [T]</t>
  </si>
  <si>
    <t>1.</t>
  </si>
  <si>
    <t>Ley</t>
  </si>
  <si>
    <t>USD/PTO</t>
  </si>
  <si>
    <t>Valor [USD]</t>
  </si>
  <si>
    <t>Valor [BOB]</t>
  </si>
  <si>
    <t>TOTAL VALOR BRUTO</t>
  </si>
  <si>
    <t>RM</t>
  </si>
  <si>
    <t>TOTAL DEDUCCIONES</t>
  </si>
  <si>
    <t>TOTAL BONOS</t>
  </si>
  <si>
    <t>VALOR USD</t>
  </si>
  <si>
    <t>VALOR BOB</t>
  </si>
  <si>
    <t>Líquido pagable (Saldo a favor):</t>
  </si>
  <si>
    <t>LIQUIDACIÓN FINAL (VALOR BRUTO - DEDUCCIONES)</t>
  </si>
  <si>
    <t>Líquido pagable (Sin saldo):</t>
  </si>
  <si>
    <t>NUEVE MIL CUATROCIENTOS CUARENTA Y DOS 04/100 BOLIVIANOS</t>
  </si>
  <si>
    <t>CIENTO QUINCE 58/100 BOLIVIANOS</t>
  </si>
  <si>
    <t>TRESCIENTOS VEINTE 94/100 BOLIVIANOS</t>
  </si>
  <si>
    <t>(EXPRESADO EN DÓLARES AMERICANOS)</t>
  </si>
  <si>
    <t>LIQ. N°:</t>
  </si>
  <si>
    <t>LOTE:</t>
  </si>
  <si>
    <t>FECHA:</t>
  </si>
  <si>
    <t>, Sábado, 15 de Mayo de 2021 - 15/05/21 7:19:58 p. m.</t>
  </si>
  <si>
    <t>Razón Social:</t>
  </si>
  <si>
    <t>Pepeto</t>
  </si>
  <si>
    <t>Elemento</t>
  </si>
  <si>
    <t>Cotización</t>
  </si>
  <si>
    <t>TMBH:</t>
  </si>
  <si>
    <t>TMNS:</t>
  </si>
  <si>
    <t>USD/TMS</t>
  </si>
  <si>
    <t>Condiciones</t>
  </si>
  <si>
    <t>Ley pagable</t>
  </si>
  <si>
    <t>Precio USD/TMF</t>
  </si>
  <si>
    <t>MENOS: DEDUCCIONES POR TRATAMIENTO</t>
  </si>
  <si>
    <t>MAQUILA:</t>
  </si>
  <si>
    <t>Ajuste Escalador:</t>
  </si>
  <si>
    <t>Actual</t>
  </si>
  <si>
    <t>Base</t>
  </si>
  <si>
    <t>Diferencia</t>
  </si>
  <si>
    <t>USD/TMF</t>
  </si>
  <si>
    <t>Penalidades:</t>
  </si>
  <si>
    <t>Precio USD</t>
  </si>
  <si>
    <t>P/C %</t>
  </si>
  <si>
    <t>Penalidad</t>
  </si>
  <si>
    <t>As</t>
  </si>
  <si>
    <t>SiO2</t>
  </si>
  <si>
    <t>Fe</t>
  </si>
  <si>
    <t>Total Deducciones por Tratamiento:</t>
  </si>
  <si>
    <t>VALOR NETO POR TONELADA</t>
  </si>
  <si>
    <t>DETERMINACIÓN DEL VALOR FINAL</t>
  </si>
  <si>
    <t>Valor Neto Total: (1331,37  *  000)</t>
  </si>
  <si>
    <t>MENOS: DEDUCCIONES ADMINISTRATIVAS/GASTOS GENERALES</t>
  </si>
  <si>
    <t>10,2</t>
  </si>
  <si>
    <t>Supervisión y Análisis</t>
  </si>
  <si>
    <t>Flete</t>
  </si>
  <si>
    <t>283,33</t>
  </si>
  <si>
    <t>SON:</t>
  </si>
  <si>
    <t>DOSCIENTOS NOVENTA Y OCHO 24/100 DÓLARES AMERICANOS</t>
  </si>
  <si>
    <t>GERENCIA</t>
  </si>
  <si>
    <t>H2O</t>
  </si>
  <si>
    <t>VERIFICAR FUNCIONAMIENTO DE BALMETECO EN 2P</t>
  </si>
  <si>
    <t>Unknown Provider</t>
  </si>
  <si>
    <t># Muestra</t>
  </si>
  <si>
    <t>PBH [TN]</t>
  </si>
  <si>
    <t>1. VC-253</t>
  </si>
  <si>
    <t>2. M-0</t>
  </si>
  <si>
    <t>3. M-2</t>
  </si>
  <si>
    <t>Zn,pb</t>
  </si>
  <si>
    <t>2.</t>
  </si>
  <si>
    <t>3.</t>
  </si>
  <si>
    <t xml:space="preserve">3. </t>
  </si>
  <si>
    <t xml:space="preserve">~3. </t>
  </si>
  <si>
    <t>DOCE MIL OCHOCIENTOS DOS 23/100 Bolivianos</t>
  </si>
  <si>
    <t>TODO GENERAL</t>
  </si>
  <si>
    <t>EHGLOBAL A LOCAL</t>
  </si>
  <si>
    <t>RIBBON CON OBJETO Ó ARRAY</t>
  </si>
  <si>
    <t>EHGLOBAL CON NUM ERROR Y MSG ERROR</t>
  </si>
  <si>
    <t>DOS MIL TREINTA Y UN 22/100 Bolivianos</t>
  </si>
  <si>
    <t>APP PARA HABILITAR/INHABILITAR RIBBON EN HOJAS CERO</t>
  </si>
  <si>
    <t>REVISAR CONFIG, CONTROLES DEBEN CARGAR SUS ESTADOS AL INICIO</t>
  </si>
  <si>
    <t>MENÚ EXTENDIDO PARA AYUDA</t>
  </si>
  <si>
    <t>MINA</t>
  </si>
  <si>
    <t>MUNICIPIO</t>
  </si>
  <si>
    <t>FECHA ENTREGA</t>
  </si>
  <si>
    <t>FECHA LIQUIDACIÓN</t>
  </si>
  <si>
    <t>LAB. QUÍMICO</t>
  </si>
  <si>
    <t>CERTIFICADO #</t>
  </si>
  <si>
    <t>DATOS PROV</t>
  </si>
  <si>
    <t>DATOS LOTE</t>
  </si>
  <si>
    <t>DATOS AQMC</t>
  </si>
  <si>
    <t>LEY</t>
  </si>
  <si>
    <t>PBH</t>
  </si>
  <si>
    <t>DATOS CNC</t>
  </si>
  <si>
    <t>[]</t>
  </si>
  <si>
    <t>CTZ</t>
  </si>
  <si>
    <t>VALORACIÓN</t>
  </si>
  <si>
    <t>COSTO TRAT.</t>
  </si>
  <si>
    <t>PENALIDADES</t>
  </si>
  <si>
    <t>DESCUENTOS POR EXPORTACIÓN</t>
  </si>
  <si>
    <t>ROLLBACK</t>
  </si>
  <si>
    <t>REFINACIÓN</t>
  </si>
  <si>
    <t>RETENCIONES INSTITUCIONALES</t>
  </si>
  <si>
    <t>BONOS</t>
  </si>
  <si>
    <t>LÍQUIDO PAGABLE</t>
  </si>
  <si>
    <t>LIQUIDACIÓN DE CONCENTRADOS MINERALES</t>
  </si>
  <si>
    <t>CI</t>
  </si>
  <si>
    <t>NIT</t>
  </si>
  <si>
    <t>NIM</t>
  </si>
  <si>
    <t>PROCEDENCIA</t>
  </si>
  <si>
    <t>DATOS CONCENTRADO</t>
  </si>
  <si>
    <t>H20</t>
  </si>
  <si>
    <t>PBS</t>
  </si>
  <si>
    <t>PNS</t>
  </si>
  <si>
    <t>DATOS DE CONTENIDOS EN CONCENTRADO</t>
  </si>
  <si>
    <t>ALÍCUOTA RM</t>
  </si>
  <si>
    <t>COSTO TRATAMIENTO</t>
  </si>
  <si>
    <t>DEDUCCIONES</t>
  </si>
  <si>
    <t>Mínima</t>
  </si>
  <si>
    <t>y/o Al</t>
  </si>
  <si>
    <t>Valor MN</t>
  </si>
  <si>
    <t>Valor ME</t>
  </si>
  <si>
    <t>Maquila</t>
  </si>
  <si>
    <t>Ajuste</t>
  </si>
  <si>
    <t>Escalador</t>
  </si>
  <si>
    <t>Concepto</t>
  </si>
  <si>
    <t>Condición</t>
  </si>
  <si>
    <t>Deducción</t>
  </si>
  <si>
    <t>Límite</t>
  </si>
  <si>
    <t>Total Deducciones</t>
  </si>
  <si>
    <t>Total Bonos</t>
  </si>
  <si>
    <t>Líquido pagable:</t>
  </si>
  <si>
    <t>(EN DÓLARES AMERICANOS)</t>
  </si>
  <si>
    <t>Controles TXT</t>
  </si>
  <si>
    <t>Controles LST</t>
  </si>
  <si>
    <t>Frame0</t>
  </si>
  <si>
    <t>Frame1</t>
  </si>
  <si>
    <t>Frame2</t>
  </si>
  <si>
    <t>Frame3</t>
  </si>
  <si>
    <t>Frame4</t>
  </si>
  <si>
    <t>Frame5</t>
  </si>
  <si>
    <t>1Txt, 1Btn</t>
  </si>
  <si>
    <t>1Txt</t>
  </si>
  <si>
    <t>1Cbo</t>
  </si>
  <si>
    <t>1Btn</t>
  </si>
  <si>
    <t>Llenar todo</t>
  </si>
  <si>
    <t>1Cbo, 3Txt</t>
  </si>
  <si>
    <t>3Txt</t>
  </si>
  <si>
    <t>1Cbo, 4Txt</t>
  </si>
  <si>
    <t>2Cbo, 4Txt, 6Btn, 1Lst</t>
  </si>
  <si>
    <t>2Opt, 1Txt, 1Btn</t>
  </si>
  <si>
    <t>1Txt,1Chk</t>
  </si>
  <si>
    <t>1Tabla</t>
  </si>
  <si>
    <t>~5Tablas</t>
  </si>
  <si>
    <t>&lt;=15</t>
  </si>
  <si>
    <t>&lt;=10</t>
  </si>
  <si>
    <t>&lt;=cont</t>
  </si>
  <si>
    <t>*</t>
  </si>
  <si>
    <t>&lt;10</t>
  </si>
  <si>
    <t>Descuentos por exportación</t>
  </si>
  <si>
    <t>concepto</t>
  </si>
  <si>
    <t>%|valor</t>
  </si>
  <si>
    <t>Retenciones de ley</t>
  </si>
  <si>
    <t>Retenciones de institucionales</t>
  </si>
  <si>
    <t>Rollback</t>
  </si>
  <si>
    <t>Bonos</t>
  </si>
  <si>
    <t>BASE</t>
  </si>
  <si>
    <t>CONDICIÓN</t>
  </si>
  <si>
    <t>DEDUCCIÓN</t>
  </si>
  <si>
    <t>LÍMITE</t>
  </si>
  <si>
    <t>1Cbo, 2Txt</t>
  </si>
  <si>
    <t>ACTUAL</t>
  </si>
  <si>
    <t>y/o</t>
  </si>
  <si>
    <t>Pagable al</t>
  </si>
  <si>
    <t>2Cbo, 3Txt</t>
  </si>
  <si>
    <t>Y/O</t>
  </si>
  <si>
    <t>Just for edition</t>
  </si>
  <si>
    <t>CÓDIGO</t>
  </si>
  <si>
    <t>BOOTC</t>
  </si>
  <si>
    <t>INGRESO</t>
  </si>
  <si>
    <t>TODO LIQCNC CONFIG</t>
  </si>
  <si>
    <t>TODO LIQCNC CLASS</t>
  </si>
  <si>
    <t>Título</t>
  </si>
  <si>
    <t>Costo tratamiento</t>
  </si>
  <si>
    <t>Refinación</t>
  </si>
  <si>
    <t>Penalidades</t>
  </si>
  <si>
    <t>Deducciones</t>
  </si>
  <si>
    <t>Final</t>
  </si>
  <si>
    <t>TODO LIQCNC CONTROLLER</t>
  </si>
  <si>
    <t>TODO LIQCNC FRM</t>
  </si>
  <si>
    <t>El mineral elegido debe incluir su unidad por algoritmo (Ej. Ag: 2 DM, Au: 4 g/T, Zn: 8 %)</t>
  </si>
  <si>
    <t>DEDUC. MÍNIMA [u]</t>
  </si>
  <si>
    <t>PAGABLE AL [%]</t>
  </si>
  <si>
    <t>Cotización sale de tabla RMs con su unidad (sólo en classcnc)</t>
  </si>
  <si>
    <t>Promediar RM</t>
  </si>
  <si>
    <t>Incluir HotKeys en botones</t>
  </si>
  <si>
    <t>Validar máximos de datos</t>
  </si>
  <si>
    <t>Nunca se afecta a Combos ni Listbox cuando se enlazan a tablas</t>
  </si>
  <si>
    <t>Contenidos (Dos vectores para unidades: Ley y Ctz)</t>
  </si>
  <si>
    <t>Valoración (Un vector para Ley de transacción. Ej. OT en Ag)</t>
  </si>
  <si>
    <t>CONVERSIÓN</t>
  </si>
  <si>
    <t>UNIDAD MINERAL</t>
  </si>
  <si>
    <t>g/T</t>
  </si>
  <si>
    <t>% a LF</t>
  </si>
  <si>
    <t>g/T a OT</t>
  </si>
  <si>
    <t>DM a OT</t>
  </si>
  <si>
    <t>% a TMF</t>
  </si>
  <si>
    <t>Total Valoración:</t>
  </si>
  <si>
    <t>REGALÍAS</t>
  </si>
  <si>
    <t>Pagable</t>
  </si>
  <si>
    <t>Total valor bruto por tonelada</t>
  </si>
  <si>
    <t>Total valor bruto</t>
  </si>
  <si>
    <t>o</t>
  </si>
  <si>
    <t>Potosí</t>
  </si>
  <si>
    <t>Pipo</t>
  </si>
  <si>
    <t>VALOR DIRECTO</t>
  </si>
  <si>
    <t>Regalías se seleccionan automáticamente tras la selección de contenidos del usuario</t>
  </si>
  <si>
    <t>Provedor:</t>
  </si>
  <si>
    <t>N/D</t>
  </si>
  <si>
    <t>Mina:</t>
  </si>
  <si>
    <t>Procedencia:</t>
  </si>
  <si>
    <t>MERMA [%]</t>
  </si>
  <si>
    <t>PNS [T]</t>
  </si>
  <si>
    <t>Valor [USD/T]</t>
  </si>
  <si>
    <t>COSTO REFINACIÓN</t>
  </si>
  <si>
    <t>Total valor bruto por tonelada:</t>
  </si>
  <si>
    <t>Alinear a la derecha en views desde segunda columna (tabas estáticas)</t>
  </si>
  <si>
    <t>18-%</t>
  </si>
  <si>
    <t>y</t>
  </si>
  <si>
    <t>Refinación Plomo</t>
  </si>
  <si>
    <t>Refinación Plata</t>
  </si>
  <si>
    <t>Flete Transporte Pototsí-Puerto</t>
  </si>
  <si>
    <t>Supervisión y análisis</t>
  </si>
  <si>
    <t>80-DM</t>
  </si>
  <si>
    <t>Total valor bruto [USD]:</t>
  </si>
  <si>
    <t>Total Deducciones [USD]:</t>
  </si>
  <si>
    <t>[USD]</t>
  </si>
  <si>
    <t>FORMULAS</t>
  </si>
  <si>
    <t>Pagable [%]</t>
  </si>
  <si>
    <t>Condición[%]</t>
  </si>
  <si>
    <t>Producción</t>
  </si>
  <si>
    <t>Total Bonos [USD]:</t>
  </si>
  <si>
    <t>Tiempo</t>
  </si>
  <si>
    <t>NÚMEROS</t>
  </si>
  <si>
    <t>CUARENTA Y SEIS MIL SETECIENTOS TREINTA Y DOS 61/100 DÓLARES AMERICANOS</t>
  </si>
  <si>
    <t>Formulario, limpiar todo cnc y listo.</t>
  </si>
  <si>
    <t>CONDICIÓN [%]</t>
  </si>
  <si>
    <t>TC</t>
  </si>
  <si>
    <t>MN</t>
  </si>
  <si>
    <t>MAQUILA</t>
  </si>
  <si>
    <t>ESCALADOR</t>
  </si>
  <si>
    <t>DED. MIN.</t>
  </si>
  <si>
    <t>PAGABLE</t>
  </si>
  <si>
    <t>DATOS TRATAMIENTO</t>
  </si>
  <si>
    <t>CONTENIDOS Y CONDICIONES</t>
  </si>
  <si>
    <t>DEDUCCIONES-EXPORTACIÓN</t>
  </si>
  <si>
    <t>DEDUCCIONES OTRAS</t>
  </si>
  <si>
    <t>Transporte</t>
  </si>
  <si>
    <t>GASTOS EXPORTACIÓN</t>
  </si>
  <si>
    <t>Corregir Chk de Select All</t>
  </si>
  <si>
    <t>TODO CONFIG VIEW</t>
  </si>
  <si>
    <t>Currencies</t>
  </si>
  <si>
    <t>CHK</t>
  </si>
  <si>
    <t>TXT</t>
  </si>
  <si>
    <t>TXT+LST</t>
  </si>
  <si>
    <t>excliqliteconfigpurrm</t>
  </si>
  <si>
    <t>excliqliteconfigpurretentions</t>
  </si>
  <si>
    <t>excliqliteconfigpurretentionsother</t>
  </si>
  <si>
    <t>excliqliteconpurpenalties</t>
  </si>
  <si>
    <t>excliqliteconpurdedexp</t>
  </si>
  <si>
    <t>TAB1</t>
  </si>
  <si>
    <t>TAB2</t>
  </si>
  <si>
    <t>TAB3</t>
  </si>
  <si>
    <t>TAB4</t>
  </si>
  <si>
    <t>Singular</t>
  </si>
  <si>
    <t>Plural</t>
  </si>
  <si>
    <t>Símbolo</t>
  </si>
  <si>
    <t>"M1"</t>
  </si>
  <si>
    <t>Moneda local</t>
  </si>
  <si>
    <t>Establecer</t>
  </si>
  <si>
    <t>Moneda Extranjera</t>
  </si>
  <si>
    <t>Divisa</t>
  </si>
  <si>
    <t>Selecciones</t>
  </si>
  <si>
    <t>Resultados compactos en Balmet y RL Selección</t>
  </si>
  <si>
    <t>Mostrar Resultados de Cabeza calculada en Balmets</t>
  </si>
  <si>
    <t>Página</t>
  </si>
  <si>
    <t>Logo</t>
  </si>
  <si>
    <t>Cargar</t>
  </si>
  <si>
    <t>Nombre Empresa</t>
  </si>
  <si>
    <t>Dirección</t>
  </si>
  <si>
    <t>Teléfono</t>
  </si>
  <si>
    <t>Correo E.</t>
  </si>
  <si>
    <t>Bool</t>
  </si>
  <si>
    <t>Sólo en Encabezado</t>
  </si>
  <si>
    <t>Destino de documento:</t>
  </si>
  <si>
    <t>Guardar Cambios</t>
  </si>
  <si>
    <t>Liquidaciones</t>
  </si>
  <si>
    <t>Regalías</t>
  </si>
  <si>
    <t>Regalías resumidas</t>
  </si>
  <si>
    <t>Guardar</t>
  </si>
  <si>
    <t>+ / - x</t>
  </si>
  <si>
    <t>+ / x</t>
  </si>
  <si>
    <t>CBO</t>
  </si>
  <si>
    <t>Peso Chileno</t>
  </si>
  <si>
    <t>$</t>
  </si>
  <si>
    <t>Pesos Chilenos</t>
  </si>
  <si>
    <t>Peso Uruguayo</t>
  </si>
  <si>
    <t>Pesos Uruguayos</t>
  </si>
  <si>
    <t>$UY</t>
  </si>
  <si>
    <t>sdf</t>
  </si>
  <si>
    <t>fa</t>
  </si>
  <si>
    <t>asfa@hot.com</t>
  </si>
  <si>
    <t>Platino</t>
  </si>
  <si>
    <t>Pt</t>
  </si>
  <si>
    <t>SENARECOM</t>
  </si>
  <si>
    <t>CERRO</t>
  </si>
  <si>
    <t>Mejorar ClassBalmet</t>
  </si>
  <si>
    <t>UDF'S CON USO CLARO</t>
  </si>
  <si>
    <t>HABILITAR UD'S INTERNAMENTE PARA OBTENER PESOS</t>
  </si>
  <si>
    <t>GENERAR UN BALMET ABSTRACTO QUE RESULTE EN UNA MATRIZ A PARTIR DE ALIM, PESOS Y LEYES</t>
  </si>
  <si>
    <t>BALMET SELECTION DEBE ENVIAR SUS DATOS A BALMET PARA OBTENER LA MATRIZ FINAL</t>
  </si>
  <si>
    <t>BALMET ECO DEBE ENVIAR SUS DATOS A BALMET PARA OBTENER LA MATRIZ FINAL</t>
  </si>
  <si>
    <t>BALMET DEBE SER INDEPENDIENTE DE RES EN TODOS SUS MÉTODOS INTERNOS</t>
  </si>
  <si>
    <t>BALMET DEBE DETECTAR SI LOS RESULTADOS SON NEGATIVOS Y GENERAR UN ERROR POR POSICIÓN DE LEYES DE CABEZA INCORRECTO</t>
  </si>
  <si>
    <t>DETALLES FALTANTES EN VISTAS</t>
  </si>
  <si>
    <t>Cu[g/L]</t>
  </si>
  <si>
    <t>Unidad Cu</t>
  </si>
  <si>
    <t>Fino Cu[T]</t>
  </si>
  <si>
    <t>%Rec Cu</t>
  </si>
  <si>
    <t>V[L]</t>
  </si>
  <si>
    <t>Ley T/L</t>
  </si>
  <si>
    <t>F[T]</t>
  </si>
  <si>
    <t>%V</t>
  </si>
  <si>
    <t>MEJORA BALMET G/L NEXT VERSION</t>
  </si>
  <si>
    <t>V</t>
  </si>
  <si>
    <t>Leyes[…]</t>
  </si>
  <si>
    <t>Unidades[…]</t>
  </si>
  <si>
    <t>Finos[…]</t>
  </si>
  <si>
    <t>%R[…]</t>
  </si>
  <si>
    <t>Paladio</t>
  </si>
  <si>
    <t>Rutenio</t>
  </si>
  <si>
    <t>Rodio</t>
  </si>
  <si>
    <t>Osmio</t>
  </si>
  <si>
    <t>Iridio</t>
  </si>
  <si>
    <t>Cobalto</t>
  </si>
  <si>
    <t>Molibdeno</t>
  </si>
  <si>
    <t>Níquel</t>
  </si>
  <si>
    <t>Hierro</t>
  </si>
  <si>
    <t>Manganeso</t>
  </si>
  <si>
    <t>Cromo</t>
  </si>
  <si>
    <t>Litio</t>
  </si>
  <si>
    <t>Berilio</t>
  </si>
  <si>
    <t>Boro</t>
  </si>
  <si>
    <t>Sodio</t>
  </si>
  <si>
    <t>Magnesio</t>
  </si>
  <si>
    <t>Aluminio</t>
  </si>
  <si>
    <t>Silicio</t>
  </si>
  <si>
    <t>Fósforo</t>
  </si>
  <si>
    <t>Azúfre</t>
  </si>
  <si>
    <t>Potasio</t>
  </si>
  <si>
    <t>Calcio</t>
  </si>
  <si>
    <t>Escandio</t>
  </si>
  <si>
    <t>Titanio</t>
  </si>
  <si>
    <t>Vanadio</t>
  </si>
  <si>
    <t>Galio</t>
  </si>
  <si>
    <t>Germanio</t>
  </si>
  <si>
    <t>Arsénico</t>
  </si>
  <si>
    <t>Selenio</t>
  </si>
  <si>
    <t>Bromo</t>
  </si>
  <si>
    <t>Rubidio</t>
  </si>
  <si>
    <t>Estroncio</t>
  </si>
  <si>
    <t>Ytrio</t>
  </si>
  <si>
    <t>Circonio</t>
  </si>
  <si>
    <t>Niobio</t>
  </si>
  <si>
    <t>Pd</t>
  </si>
  <si>
    <t>Ru</t>
  </si>
  <si>
    <t>Rh</t>
  </si>
  <si>
    <t>Os</t>
  </si>
  <si>
    <t>Ir</t>
  </si>
  <si>
    <t>Co</t>
  </si>
  <si>
    <t>Mo</t>
  </si>
  <si>
    <t>Ni</t>
  </si>
  <si>
    <t>Mn</t>
  </si>
  <si>
    <t>Cr</t>
  </si>
  <si>
    <t>Li</t>
  </si>
  <si>
    <t>Be</t>
  </si>
  <si>
    <t>B</t>
  </si>
  <si>
    <t>Na</t>
  </si>
  <si>
    <t>Mg</t>
  </si>
  <si>
    <t>Al</t>
  </si>
  <si>
    <t>Si</t>
  </si>
  <si>
    <t>S</t>
  </si>
  <si>
    <t>K</t>
  </si>
  <si>
    <t>Ca</t>
  </si>
  <si>
    <t>Sc</t>
  </si>
  <si>
    <t>Ti</t>
  </si>
  <si>
    <t>Ga</t>
  </si>
  <si>
    <t>Ge</t>
  </si>
  <si>
    <t>Se</t>
  </si>
  <si>
    <t>Br</t>
  </si>
  <si>
    <t>Rb</t>
  </si>
  <si>
    <t>Sr</t>
  </si>
  <si>
    <t>Zr</t>
  </si>
  <si>
    <t>Nb</t>
  </si>
  <si>
    <t>Cd</t>
  </si>
  <si>
    <t>In</t>
  </si>
  <si>
    <t>Te</t>
  </si>
  <si>
    <t>Cs</t>
  </si>
  <si>
    <t>Ba</t>
  </si>
  <si>
    <t>Hf</t>
  </si>
  <si>
    <t>Ta</t>
  </si>
  <si>
    <t>Re</t>
  </si>
  <si>
    <t>Tl</t>
  </si>
  <si>
    <t>Po</t>
  </si>
  <si>
    <t>At</t>
  </si>
  <si>
    <t>Fr</t>
  </si>
  <si>
    <t>Cadmio</t>
  </si>
  <si>
    <t>Indio</t>
  </si>
  <si>
    <t>Teluro</t>
  </si>
  <si>
    <t>Cesio</t>
  </si>
  <si>
    <t>Bario</t>
  </si>
  <si>
    <t>Hafnio</t>
  </si>
  <si>
    <t>Tántalo</t>
  </si>
  <si>
    <t>Renio</t>
  </si>
  <si>
    <t>Talio</t>
  </si>
  <si>
    <t>Polonio</t>
  </si>
  <si>
    <t>Astato</t>
  </si>
  <si>
    <t>Francio</t>
  </si>
  <si>
    <t>VALORES REQUERIDOS</t>
  </si>
  <si>
    <t>ALIM</t>
  </si>
  <si>
    <t>[S, V]</t>
  </si>
  <si>
    <t>NORMAL</t>
  </si>
  <si>
    <t>[CX]</t>
  </si>
  <si>
    <t>NOMBRES</t>
  </si>
  <si>
    <t>[%V]</t>
  </si>
  <si>
    <t>FINOS</t>
  </si>
  <si>
    <t>PESO CX[T]</t>
  </si>
  <si>
    <t>PESO CX[OT]</t>
  </si>
  <si>
    <t>RATIO</t>
  </si>
  <si>
    <t>CABEZAS</t>
  </si>
  <si>
    <t>PETICIONES OPCIONALES EN FRM</t>
  </si>
  <si>
    <t>PETICIONES OPCIONALES UDF</t>
  </si>
  <si>
    <t>[V]</t>
  </si>
  <si>
    <t>PESO CX[T, OT, G]</t>
  </si>
  <si>
    <t>%REC</t>
  </si>
  <si>
    <t>EN ECO</t>
  </si>
  <si>
    <t>VALIDACIONES</t>
  </si>
  <si>
    <t>Alimentación != 0</t>
  </si>
  <si>
    <t>Leyes: no souperiores a sus límites en los casos de unidades: %, DM, g/T, g/L</t>
  </si>
  <si>
    <t>Nombres: únicos, en caso Cx: de lista para Cx.</t>
  </si>
  <si>
    <t>Unidades: Si existe DM en normal, se omite en Cx. No se admite % en Cx</t>
  </si>
  <si>
    <t>Unidad</t>
  </si>
  <si>
    <t>g/L</t>
  </si>
  <si>
    <t>Alimentación != 0, si existe g/L, debe existir mínimamente dos valores [Sólido T. Volúmen m3]</t>
  </si>
  <si>
    <t>si existe g/L: debe existir mínimamente un valor, el de alim en sólido que se toma también como valor de volumen [Sólido T. Volúmen m3]</t>
  </si>
  <si>
    <t>el primer valor != 0; la suma de los siguientes valores != 0</t>
  </si>
  <si>
    <t>Zn 2da</t>
  </si>
  <si>
    <t>Zn 3ra</t>
  </si>
  <si>
    <t>Pb 2da</t>
  </si>
  <si>
    <t>Pb 3ra</t>
  </si>
  <si>
    <t>Unidades: Si existe DM, en la misma dirección, el vector de nombres debe tener Ag</t>
  </si>
  <si>
    <t>Si Usuario no especifica nombres, se crean nombres genéricos</t>
  </si>
  <si>
    <t>Si Usuario especifica cantidad de nombres menores a la cantidad de productos, se completa la lista de nombres con genéricos</t>
  </si>
  <si>
    <t>Si Usuario especifica nombres de cx en balmet normal, la unidad de cada nombre debe ser contrastada con la tabla de unidades cx.</t>
  </si>
  <si>
    <t>Las unidades por defecto para normal son %</t>
  </si>
  <si>
    <t>Las unidades por defencto para cx son DM</t>
  </si>
  <si>
    <t>Si Usuario no especifica Unidades, aplicar unidades por defecto según la cantidad de productos de balmet</t>
  </si>
  <si>
    <t>Si Usuario sólo especifica una unidad para Balmet y  si Balmet tiene más de dos productos, aplicar esa unidad para todos los productos</t>
  </si>
  <si>
    <t>Si Usuario, además, especifica cx, aplicar unidad de cx por defecto0.</t>
  </si>
  <si>
    <t>Si Usuario especifica unidades menores a producots y mayores a uno, generar error.</t>
  </si>
  <si>
    <t>=+EQL_BALMET_CURRENT(C377;Q14:Q16;M8:M10;"Zn")</t>
  </si>
  <si>
    <t>1. Obtener U con VA</t>
  </si>
  <si>
    <t>2. Obtener %R con W</t>
  </si>
  <si>
    <t>3. Obtener Ui con %R</t>
  </si>
  <si>
    <t>4. Obtener V con Ui/Gi</t>
  </si>
  <si>
    <t>=+EQL_BALMET_PORCENTAJE_EN_PESO_CURRENT(400;B456:B458;C456:C458;"Zn")</t>
  </si>
  <si>
    <t>=+EQL_BALMET_CURRENT(400;B456:B458;C456:C458;"Zn";"g/l")</t>
  </si>
  <si>
    <t>=+EQL_BALMET_VOLUMEN_CURRENT(400;B456:B458;C456:C458;"Zn";"g/l")</t>
  </si>
  <si>
    <t>=+EQL_BALMET_PORCENTAJE_EN_VOLUMEN_CURRENT(400;B456:B458;C456:C458;"Zn";"g/l")</t>
  </si>
  <si>
    <t>=+EQL_BALMET_CABEZAS_ENSAYADA_CALCULADA_CURRENT(400;B456:B458;C456:C458;"Zn";"g/l")</t>
  </si>
  <si>
    <t>=+EQL_BALMET_UNIDADES_CURRENT(400;B456:B458;C456:C458;"Zn";"g/l";;;1)</t>
  </si>
  <si>
    <t>=+EQL_BALMET_FINOS_CURRENT(400;B456:B458;C456:C458;"Zn";"g/l";;;0)</t>
  </si>
  <si>
    <t>=+EQL_BALMET_FINOS_COMPLEJO_CURRENT(400;B456:B458;C456:C458;"Zn";"g/l")</t>
  </si>
  <si>
    <t>=+EQL_BALMET_RECUPERACION_CURRENT(400;B456:B458;C456:C458;"Zn";"g/l")</t>
  </si>
  <si>
    <t>=+EQL_BALMET_RECUPERACION_COMPLEJO_CURRENT(400;B457:B459;C457:C459;"Zn";"g/l")</t>
  </si>
  <si>
    <t>=+EQL_BALMET_RATIO_CURRENT(400;B457:B459;C457:C459;"Zn";"g/l")</t>
  </si>
  <si>
    <t>=+EQL_BALMET_CURRENT(400;B477:B479;C477:C479;"Zn")</t>
  </si>
  <si>
    <t>=+EQL_BALMET_CURRENT(C376;E373:F376;;;;2)</t>
  </si>
  <si>
    <t>=+EQL_BALMET_PORCENTAJE_EN_PESO_CURRENT(400;E373:F376;G373:G376;"Zn";;1)</t>
  </si>
  <si>
    <t>=+EQL_BALMET_CURRENT(400;E373:F376;G373:G376;"Zn";"g/l";2)</t>
  </si>
  <si>
    <t>=+EQL_BALMET_VOLUMEN_CURRENT("400;550";E373:F376;G373:G376;"Zn";"g/l";1)</t>
  </si>
  <si>
    <t>=+EQL_BALMET_PORCENTAJE_EN_VOLUMEN_CURRENT(400;E373:F376;G373:G376;"Zn";"g/l";1)</t>
  </si>
  <si>
    <t>=+EQL_BALMET_CABEZAS_ENSAYADA_CALCULADA_CURRENT(400;E373:F376;G373:G376;"Zn";"g/l";1)</t>
  </si>
  <si>
    <t>=+EQL_BALMET_UNIDADES_CURRENT(400;E373:F376;G373:G376;"Zn";"g/l";1;;1)</t>
  </si>
  <si>
    <t>=+EQL_BALMET_FINOS_CURRENT(400;E373:F376;G373:G376;"Zn";"g/l";1)</t>
  </si>
  <si>
    <t>=+EQL_BALMET_FINOS_COMPLEJO_CURRENT(400;E373:F376;G373:G376;"Zn";"g/l";1)</t>
  </si>
  <si>
    <t>&lt;--</t>
  </si>
  <si>
    <t>=+EQL_BALMET_RECUPERACION_CURRENT(400;E373:F376;G373:G376;"Zn";"g/l";1)</t>
  </si>
  <si>
    <t>=+EQL_BALMET_RECUPERACION_COMPLEJO_CURRENT(400;E373:F376;G373:G376;"Zn";"g/l";1)</t>
  </si>
  <si>
    <t>=+EQL_BALMET_RATIO_CURRENT(400;E373:F376;G373:G376;"Zn";"g/l";1)</t>
  </si>
  <si>
    <t>Leyes: no superiores a sus límites en los casos de unidades: %, DM, g/T, g/L</t>
  </si>
  <si>
    <t>NO FORMULAS</t>
  </si>
  <si>
    <t>Volumen[L]</t>
  </si>
  <si>
    <t>Volumen[%]</t>
  </si>
  <si>
    <t>=+EQL_BALMET_VOLUMEN_CURRENT(500;B477:B479;C477:C479;"Zn";"g/l")</t>
  </si>
  <si>
    <t>Ag[g/L]</t>
  </si>
  <si>
    <t>Fino Ag[T]</t>
  </si>
  <si>
    <t>=+EQL_BALMET_PORCENTAJE_EN_PESO_CURRENT(400;B477:B479;C477:C479;"Zn")</t>
  </si>
  <si>
    <t>=+EQL_BALMET_CURRENT(400;B477:B479;C477:C479;"Zn";"g/l")</t>
  </si>
  <si>
    <t>=+EQL_BALMET_PORCENTAJE_EN_VOLUMEN_CURRENT(400;B477:B479;C477:C479;"Zn";"g/l")</t>
  </si>
  <si>
    <t>=+EQL_BALMET_CABEZAS_ENSAYADA_CALCULADA_CURRENT(400;B478:B480;C478:C480;"Zn";"g/l")</t>
  </si>
  <si>
    <t>=+EQL_BALMET_UNIDADES_CURRENT(400;B477:B479;C477:C479;"Zn";"g/l";;;1)</t>
  </si>
  <si>
    <t>=+EQL_BALMET_FINOS_CURRENT(400;B477:B479;C477:C479;"Zn";"g/l";;;0)</t>
  </si>
  <si>
    <t>=+EQL_BALMET_FINOS_COMPLEJO_CURRENT(400;B477:B479;C477:C479;"Zn";"g/l")</t>
  </si>
  <si>
    <t>=+EQL_BALMET_RECUPERACION_CURRENT(400;B477:B479;C477:C479;"Zn";"g/l")</t>
  </si>
  <si>
    <t>=+EQL_BALMET_RECUPERACION_COMPLEJO_CURRENT(400;B477:B479;C477:C479;"Zn";"g/l")</t>
  </si>
  <si>
    <t>=+EQL_BALMET_RATIO_CURRENT(400;B477:B479;C477:C479;"Zn";"g/l")</t>
  </si>
  <si>
    <t>CABEZAS: PESO|VOLUMEN ALIM, PESO|VOL CNC, LEY CNC, %R</t>
  </si>
  <si>
    <t>CNC LEY: PESO|VOLUMEN ALIM, PESO|VOL CNC, LEY CBZ, %R</t>
  </si>
  <si>
    <t>BALMET ECO</t>
  </si>
  <si>
    <t>ALIM(PESO|VOLUMEN): [2]</t>
  </si>
  <si>
    <t>K(PESO|VOLUMEN): [~10]</t>
  </si>
  <si>
    <t>CBZ:[~10]</t>
  </si>
  <si>
    <t>%R:[~10]</t>
  </si>
  <si>
    <t>=Aa%R/100K</t>
  </si>
  <si>
    <t>LEY:[~10]</t>
  </si>
  <si>
    <t>=100A/%RKk</t>
  </si>
  <si>
    <t>TODO BALMET ECO UDF</t>
  </si>
  <si>
    <t>Si existe una unidad g/L como mínimo, se crea Volumen</t>
  </si>
  <si>
    <t>No puede existir DM's repetidos</t>
  </si>
  <si>
    <t>No ceros</t>
  </si>
  <si>
    <t>VALIDACIÓN: si existe una sola (o la por defecto) será base</t>
  </si>
  <si>
    <t>CÁLCULO: Aplicar fórmula y devolver array</t>
  </si>
  <si>
    <t>TODO BALMET OBJECTO</t>
  </si>
  <si>
    <t>Obtener valor de a o k en array</t>
  </si>
  <si>
    <t>Obtener matriz de leyes</t>
  </si>
  <si>
    <t>Junto a Alim(Peso|Vol) enviar a NúcleoBalmet</t>
  </si>
  <si>
    <t>Devolver Matriz Balmet</t>
  </si>
  <si>
    <t>TODO BALMET VIEW</t>
  </si>
  <si>
    <t>Mejorar lectuda de datos para leyes</t>
  </si>
  <si>
    <t>Mejorar lectura de datos en textbox</t>
  </si>
  <si>
    <t>ALGORITMO QUE REVISE EXISTENCIA DE HOJAS, TABLAS Y CAMPOS DB</t>
  </si>
  <si>
    <t>=+EQL_BALMET_ECONOMICO_LEY_CABEZA_CURRENT(C563;C561;G561;J567)</t>
  </si>
  <si>
    <t>tabla de elementos balmet</t>
  </si>
  <si>
    <t>para eco: hallar leyes por promedios o determinantes NXT Version</t>
  </si>
  <si>
    <t>Recursos, eliminar BBooError</t>
  </si>
  <si>
    <t>Llevar las interfaces de clases App a implementación de interface</t>
  </si>
  <si>
    <t>Crear interface controlador</t>
  </si>
  <si>
    <t>Crear ResourcesApp y llevar código común de Balmet y otros a esa clase</t>
  </si>
  <si>
    <t>Crear Evento personalizado en vista y enlazar a controlador</t>
  </si>
  <si>
    <t>Liberar de dependencias de librerás a objetos referenciados</t>
  </si>
  <si>
    <t>Probar funcionamiento de Balmet</t>
  </si>
  <si>
    <t>Optimizar RibbonController</t>
  </si>
  <si>
    <t>Crear Clase Modelo e incrustar método de revisión de datos iniciales</t>
  </si>
  <si>
    <t>Optimizar Clases controlador y vista haciendo que soliciten rqst a Modelo</t>
  </si>
  <si>
    <t>Optimizar DatePicker y MsgBox</t>
  </si>
  <si>
    <t>Caso , o ; en fórmulas y fórmulas UDF</t>
  </si>
  <si>
    <t>Implementar sistema en base a DDC UML</t>
  </si>
  <si>
    <t>TODO MODEL</t>
  </si>
  <si>
    <t>Revisión de Fuente local de datos (datasheet)</t>
  </si>
  <si>
    <t>Revisión de tablas</t>
  </si>
  <si>
    <t>revisión de campos</t>
  </si>
  <si>
    <t>Tabla de versión y datos de autor</t>
  </si>
  <si>
    <t>CRUD con LO</t>
  </si>
  <si>
    <t>ver_minor</t>
  </si>
  <si>
    <t>ver_mayor</t>
  </si>
  <si>
    <t>ver_patch</t>
  </si>
  <si>
    <t>ver_appname</t>
  </si>
  <si>
    <t>ver_author</t>
  </si>
  <si>
    <t>ver_mail</t>
  </si>
  <si>
    <t>ver_slogan</t>
  </si>
  <si>
    <t>ver_year</t>
  </si>
  <si>
    <t>ver_origin</t>
  </si>
  <si>
    <t>ver_git</t>
  </si>
  <si>
    <t>ver_license</t>
  </si>
  <si>
    <t>excliq lite</t>
  </si>
  <si>
    <t>Roberto Carlos Romay Medina</t>
  </si>
  <si>
    <t>Básicos Excel para Comercialización de minerales en Bolivia.</t>
  </si>
  <si>
    <t>Potosí - Bolivia</t>
  </si>
  <si>
    <t>https://github.com/roccouu/</t>
  </si>
  <si>
    <t>MIT</t>
  </si>
  <si>
    <t>SEPARADORES DE PARÁMETROS Y DECIMALES</t>
  </si>
  <si>
    <t>elCTTNAME</t>
  </si>
  <si>
    <t>D</t>
  </si>
  <si>
    <t>E</t>
  </si>
  <si>
    <t>Sol</t>
  </si>
  <si>
    <t>Soles</t>
  </si>
  <si>
    <t>S/.</t>
  </si>
  <si>
    <t>=+EQL_BALMET_ECONOMICO_LEY_PRODUCTOS_CURRENT(C563;C561;G563;J567)</t>
  </si>
  <si>
    <t>Aumentar Chk 1/P</t>
  </si>
  <si>
    <t>Potojsi</t>
  </si>
  <si>
    <t>jerjes</t>
  </si>
  <si>
    <t>Promed. Ag</t>
  </si>
  <si>
    <t>Promed. Zn</t>
  </si>
  <si>
    <t>Promed. pb</t>
  </si>
  <si>
    <t>DOCE MIL OCHOCIENTOS NOVENTA Y UN 47/100 Bolivianos</t>
  </si>
  <si>
    <t>OBTENER EL PRECIO DE CADA ELEMENTO</t>
  </si>
  <si>
    <t>PROMEDIOS:</t>
  </si>
  <si>
    <t>Se requiere PNS a partir de PBH</t>
  </si>
  <si>
    <t>SUMAR EL PRECIO DE ELEMENTOS REPETIDOS</t>
  </si>
  <si>
    <t>CADA SUMA DIVIDIRLA ENTRE PPP Y/O PNS</t>
  </si>
  <si>
    <t>Joe</t>
  </si>
  <si>
    <t>FIJAR PRECIO A MISMO VALOR</t>
  </si>
  <si>
    <t>REQUISITOS: MINERAL:UNIDAD:PPP</t>
  </si>
  <si>
    <t>Si se promedia, colocar promedio Min</t>
  </si>
  <si>
    <t>Si no se promedia, colocar el nomre del min</t>
  </si>
  <si>
    <t>Aumentar Chk Promediar todos los precios</t>
  </si>
  <si>
    <t>dm</t>
  </si>
  <si>
    <t>pb</t>
  </si>
  <si>
    <t>%;%</t>
  </si>
  <si>
    <t>GROSS</t>
  </si>
  <si>
    <t>~</t>
  </si>
  <si>
    <t>=SUMA(((I416*(1-(5,5*0,01)))*(1-(1*0,01))*6,5*13,1);((I420*(1-(3*0,01)))*(1-(8*0,01))*4*5))/(SUMA(((I416*(1-(5,5*0,01)))*(1-(1*0,01)));((I420*(1-(3*0,01)))*(1-(8*0,01))))*9,05)</t>
  </si>
  <si>
    <t>=SUMA(((M422*(1-(5,5*0,01)))*(1-(1*0,01))*6,5*13,1);((M429*(1-(3*0,01)))*(1-(8*0,01))*4*5))/(SUMA(((M422*(1-(5,5*0,01)))*(1-(1*0,01)));((M429*(1-(3*0,01)))*(1-(8*0,01))))*O433)</t>
  </si>
  <si>
    <t>FACTOR</t>
  </si>
  <si>
    <t>LF</t>
  </si>
  <si>
    <t>OT</t>
  </si>
  <si>
    <t>TMF</t>
  </si>
  <si>
    <t>Validación de unidades para liquidación</t>
  </si>
  <si>
    <t>LF -&gt; $/T</t>
  </si>
  <si>
    <t>TMF -&gt; $/T</t>
  </si>
  <si>
    <t>OT -&gt; $/OT</t>
  </si>
  <si>
    <t>CONFIG</t>
  </si>
  <si>
    <t>FACTOR LOCAL</t>
  </si>
  <si>
    <t>DATOS CONCENTRADO (PWeigth)</t>
  </si>
  <si>
    <t>DATOS DE CONTENIDOS EN CONCENTRADO (Pcontents)</t>
  </si>
  <si>
    <t>9 o A1</t>
  </si>
  <si>
    <t>6 o A1</t>
  </si>
  <si>
    <t>A1</t>
  </si>
  <si>
    <t>RngTotalAssessment</t>
  </si>
  <si>
    <t>RngTotalDeductions</t>
  </si>
  <si>
    <t>RngTotalBonus</t>
  </si>
  <si>
    <t>PBH, PBS</t>
  </si>
  <si>
    <t>TotalAssessment</t>
  </si>
  <si>
    <t>TotalDed</t>
  </si>
  <si>
    <t>TotalBon</t>
  </si>
  <si>
    <t>RETENCIONES INSTITUCIONALES OTRAS [%]:</t>
  </si>
  <si>
    <t>RETENCIONES DE LEY - INSTITUCIONALES [%]:</t>
  </si>
  <si>
    <t>RETENCIONES DE LEY - REGALÍAS</t>
  </si>
  <si>
    <t>RETENCIONES DE LEY - INSTITUCIONALES</t>
  </si>
  <si>
    <t>RETENCIONES INSTITUCIONALES OTRAS</t>
  </si>
  <si>
    <t>4|2</t>
  </si>
  <si>
    <t>TOMARECOM</t>
  </si>
  <si>
    <t>…</t>
  </si>
  <si>
    <t>OJO: FORMULAS+RLSEL+CELL</t>
  </si>
  <si>
    <t>Optimizar Frm a patrón de diseño + cajas de texto con botón</t>
  </si>
  <si>
    <t>CÓDIGOS DE COLOR</t>
  </si>
  <si>
    <t>REALIZADO</t>
  </si>
  <si>
    <t>rocky.romay@gmail.com</t>
  </si>
  <si>
    <t>Resaltar control con CMB cuando espera cierre asíncrono.</t>
  </si>
  <si>
    <t>Ficha General y Número de decimales en config</t>
  </si>
  <si>
    <t>Ficha Elementos químicos en config</t>
  </si>
  <si>
    <t>PATRÓN VISTAS FRM</t>
  </si>
  <si>
    <t>CREAR CONTROLES</t>
  </si>
  <si>
    <t>LAYOUT</t>
  </si>
  <si>
    <t>TOOLTIPS</t>
  </si>
  <si>
    <t>VALORES</t>
  </si>
  <si>
    <t>EVENTOS</t>
  </si>
  <si>
    <t>Opcional: Ajustar al tamaño del control requerido</t>
  </si>
  <si>
    <t>Opcional: fondo del contenedor principal de CMB</t>
  </si>
  <si>
    <t>Fino B1[g]</t>
  </si>
  <si>
    <t>Rec. B1[%]</t>
  </si>
  <si>
    <t>Alim</t>
  </si>
  <si>
    <t>Unidad Zn</t>
  </si>
  <si>
    <t>Fino Zn[g]</t>
  </si>
  <si>
    <t>Fino Ag[OT]</t>
  </si>
  <si>
    <t>Rec. Zn[%]</t>
  </si>
  <si>
    <t>Rec. Ag[%]</t>
  </si>
  <si>
    <t>SELECTIONS</t>
  </si>
  <si>
    <t>3 areas:</t>
  </si>
  <si>
    <t>Feeds</t>
  </si>
  <si>
    <t>Grades</t>
  </si>
  <si>
    <t>GradesCx (optional)</t>
  </si>
  <si>
    <t>Names &amp; Units as txt's (optional)</t>
  </si>
  <si>
    <t>Ag[dm]</t>
  </si>
  <si>
    <t>Unidad Pb</t>
  </si>
  <si>
    <t>Fino Pb[g]</t>
  </si>
  <si>
    <t>Rec. Pb[%]</t>
  </si>
  <si>
    <t>HOTKEYS</t>
  </si>
  <si>
    <t>DROPBUTTONS</t>
  </si>
  <si>
    <t>VALIDACIÓN FINAL</t>
  </si>
  <si>
    <t>PREPARAR SOLICITUD</t>
  </si>
  <si>
    <t>EJECUTAR OBJETIVO</t>
  </si>
  <si>
    <t>IMPRIMIR/MOSTRAR RESULTADOS</t>
  </si>
  <si>
    <t>IMPRIMIR/MOSTRAR ERRORES</t>
  </si>
  <si>
    <t>FINALIZAR VISTA</t>
  </si>
  <si>
    <t>PATRÓN CLS CTRL</t>
  </si>
  <si>
    <t>Extraer datos de Req</t>
  </si>
  <si>
    <t>Ejecutar núcleo</t>
  </si>
  <si>
    <t>Enviar Respuesta</t>
  </si>
  <si>
    <t>(UDF: desde 8.)</t>
  </si>
  <si>
    <t>1. Crear controles</t>
  </si>
  <si>
    <t>2. Layout</t>
  </si>
  <si>
    <t>3. Tooltips</t>
  </si>
  <si>
    <t>4. Valores</t>
  </si>
  <si>
    <t>6. Dropbuttons Txts</t>
  </si>
  <si>
    <t>7. Asignar eventos</t>
  </si>
  <si>
    <t>8. Validación final</t>
  </si>
  <si>
    <t>9. Preparar solicitud</t>
  </si>
  <si>
    <t>10. Ejecutar objetivo</t>
  </si>
  <si>
    <t>11. [Prt|Show]Resp</t>
  </si>
  <si>
    <t>12. [Prt|Show]Errors</t>
  </si>
  <si>
    <t>13. Finalizar</t>
  </si>
  <si>
    <t>VALIDACIÓN BALMET</t>
  </si>
  <si>
    <t>VALIDACIÓN BALMET ECO</t>
  </si>
  <si>
    <t>Hallar tipo de alimentación en base a unidades</t>
  </si>
  <si>
    <t>Implementar filtro de lím superior de números en res Xdata</t>
  </si>
  <si>
    <t>Implementar filtro de valores únicos en res Xdata</t>
  </si>
  <si>
    <t>Implementar propiedad IsActive en CMB</t>
  </si>
  <si>
    <t>Implementar argumento opcional AdjustAtTargetWidth en CMB</t>
  </si>
  <si>
    <t>Implementar Required en Aspect:=Tagline en CMB</t>
  </si>
  <si>
    <t>Implementar BackGround opcional en Aspect:Default en CMB</t>
  </si>
  <si>
    <t>Mejorar tema de color</t>
  </si>
  <si>
    <t>=+EQL_BALMET_ECONOMICO_LEY_CABEZA_CURRENT(E567:E568;F567:F568;G561:G562;D561:D562;;H561;I562)</t>
  </si>
  <si>
    <t>Verificar libros, hojas, celdas PROTEGIDAS antes de ejecutar acciones.</t>
  </si>
  <si>
    <t>Barra de estado con mensajes durante cada ejercicio</t>
  </si>
  <si>
    <t>Corregir mensaje de barra de estado, mediante parámetro y no FRM.caption</t>
  </si>
  <si>
    <t>BX1[g/T]</t>
  </si>
  <si>
    <t>Unidad BX1</t>
  </si>
  <si>
    <t>Fino BX1[T]</t>
  </si>
  <si>
    <t>Rec. BX1[%]</t>
  </si>
  <si>
    <t>Rec. B2[%]</t>
  </si>
  <si>
    <t>Fórmulas y validación</t>
  </si>
  <si>
    <t>=+EQL_BALMET_CURRENT(400;B477:B479;"Zn")</t>
  </si>
  <si>
    <t>dmv</t>
  </si>
  <si>
    <t>Cu[%]</t>
  </si>
  <si>
    <t>B1[g/L]</t>
  </si>
  <si>
    <t>Rec. Cu[%]</t>
  </si>
  <si>
    <t>Ratio Sólido</t>
  </si>
  <si>
    <t>Ratio Volumen</t>
  </si>
  <si>
    <t>Reemplazar puntos por comas en la lectura de datos.</t>
  </si>
  <si>
    <t>Verificar que mensajes de error desde controladores lleguen a las vistas</t>
  </si>
  <si>
    <t>B2[g/L]</t>
  </si>
  <si>
    <t>=EQL_REGRESION_LINEAL($C$201:$C$204; $B$201:$B$204; H201)</t>
  </si>
  <si>
    <t>=EQL_REGRESION_LINEAL_a($C$201:$C$204; $B$201:z)</t>
  </si>
  <si>
    <t>=EQL_REGRESION_LINEAL_b($C$201:$C$204; $B$201:$B$204)</t>
  </si>
  <si>
    <t>=EQL_REGRESION_LINEAL_r($C$201:$C$204; $B$201:$B$204)</t>
  </si>
  <si>
    <t>=EQL_REGRESION_LINEAL_r2($C$201:$C$204; $B$201:$B$204)</t>
  </si>
  <si>
    <t>=EQL_REGRESION_LINEAL_se($C$201:$C$204; $B$201:$B$204)</t>
  </si>
  <si>
    <t>Sólo extrapolar Config (Extrapolación compacta)</t>
  </si>
  <si>
    <t>INTERPOLAR (next version)</t>
  </si>
  <si>
    <t>Tabla de precios (excliq only)</t>
  </si>
  <si>
    <t>Números de redondeo (next version)</t>
  </si>
  <si>
    <t>REALIZAR</t>
  </si>
  <si>
    <t>PROCESO</t>
  </si>
  <si>
    <t>Tiempo [Semanas]</t>
  </si>
  <si>
    <t>Cotización' B1[BOB/TF]</t>
  </si>
  <si>
    <t>Valor Bruto B1 [BOB]</t>
  </si>
  <si>
    <t>Egresos [2,05%]</t>
  </si>
  <si>
    <t>Proyecto Inviable Semanas</t>
  </si>
  <si>
    <t>Optimización final y limpieza</t>
  </si>
  <si>
    <t>Crear módulo para constantes y variables personalizadas</t>
  </si>
  <si>
    <t>HOTKEYS &amp; TABINDEX</t>
  </si>
  <si>
    <t>5. Hotkeys&amp;TabIndex</t>
  </si>
  <si>
    <t>pur_rmdetail</t>
  </si>
  <si>
    <t>pur_destination</t>
  </si>
  <si>
    <t>SIMULACIÓN;PROVEDOR;EMPRESA;CLIENTE</t>
  </si>
  <si>
    <t>RETENCIONES</t>
  </si>
  <si>
    <t>RETENCIONES OTRAS</t>
  </si>
  <si>
    <t>Cotización' B2[BOB/TF]</t>
  </si>
  <si>
    <t>Valor Bruto B2 [BOB]</t>
  </si>
  <si>
    <t>PARTE2</t>
  </si>
  <si>
    <t>CÓDIGO PROVEDOR</t>
  </si>
  <si>
    <t>TRANSPORTISTA</t>
  </si>
  <si>
    <t>PLACA</t>
  </si>
  <si>
    <t>CÓDIGO PESAJE</t>
  </si>
  <si>
    <t>1;1;0;0</t>
  </si>
  <si>
    <t>M-6</t>
  </si>
  <si>
    <t>cu;pb</t>
  </si>
  <si>
    <t>2;2,1</t>
  </si>
  <si>
    <t>g/t;g/t</t>
  </si>
  <si>
    <t>TIPO PROVEDOR</t>
  </si>
  <si>
    <t>Desconocido</t>
  </si>
  <si>
    <t>pur_average</t>
  </si>
  <si>
    <t>pur_resumed_retentions</t>
  </si>
  <si>
    <t>pur_resumed_retentionsother</t>
  </si>
  <si>
    <t>pur_resumed_discounts</t>
  </si>
  <si>
    <t>pur_resumed_bonus</t>
  </si>
  <si>
    <t>AverageAnyway: Para forzar promedio leyes</t>
  </si>
  <si>
    <t>1. RM-Zn</t>
  </si>
  <si>
    <t>2. RM-Pb</t>
  </si>
  <si>
    <t>1. CNS</t>
  </si>
  <si>
    <t>2. COMIBOL</t>
  </si>
  <si>
    <t>1. b 1</t>
  </si>
  <si>
    <t>Transportista:</t>
  </si>
  <si>
    <t>Placa Mov.:</t>
  </si>
  <si>
    <t>Cód. Peso:</t>
  </si>
  <si>
    <t>1. M-0</t>
  </si>
  <si>
    <t>2. M-2</t>
  </si>
  <si>
    <t>Cooperativa:</t>
  </si>
  <si>
    <t>~pb</t>
  </si>
  <si>
    <t>cooperativista</t>
  </si>
  <si>
    <t>2. TOMARECOM</t>
  </si>
  <si>
    <t>1..</t>
  </si>
  <si>
    <t>2..</t>
  </si>
  <si>
    <t>DOCE MIL OCHOCIENTOS NOVENTA Y UN 47/100 BOLIVIANOS</t>
  </si>
  <si>
    <t>OCHOCIENTOS CINCUENTA Y SIETE 71/100 BOLIVIANOS</t>
  </si>
  <si>
    <t>SETECIENTOS SIETE 68/100 BOLIVIANOS</t>
  </si>
  <si>
    <t>CIENTO NOVENTA Y UN 34/100 BOLIVIANOS</t>
  </si>
  <si>
    <t>QUINIENTOS VEINTE 96/100 BOLIVIANOS</t>
  </si>
  <si>
    <t>SETECIENTOS SIETE 68/100 Bolivianos</t>
  </si>
  <si>
    <t>CIENTO NOVENTA Y UN 34/100 Bolivianos</t>
  </si>
  <si>
    <t>QUINIENTOS VEINTE 96/100 Bolivianos</t>
  </si>
  <si>
    <t>18[%]</t>
  </si>
  <si>
    <t>80[DM]</t>
  </si>
  <si>
    <t>Total Valoración</t>
  </si>
  <si>
    <t>Sio2</t>
  </si>
  <si>
    <t>TOTAL VALOR BRUTO [USD]:</t>
  </si>
  <si>
    <t>Descuentos Varios</t>
  </si>
  <si>
    <t>TOTAL DEDUCCIONES [USD]:</t>
  </si>
  <si>
    <t>B 1</t>
  </si>
  <si>
    <t>TOTAL BONOS [USD]</t>
  </si>
  <si>
    <t>Corregir míscuos fallos</t>
  </si>
  <si>
    <t>SEIS MILLONES QUINIENTOS VEINTIOCHO MIL QUINIENTOS OCHENTA Y DOS 18/100 Dólares Americanos</t>
  </si>
  <si>
    <t>28/09/21</t>
  </si>
  <si>
    <t>pur_resumed_exports</t>
  </si>
  <si>
    <t>Corregir Tabindex</t>
  </si>
  <si>
    <t>Logo[0|1|2], dirección[0|1|2], telf[0|1|2]...</t>
  </si>
  <si>
    <t>NO</t>
  </si>
  <si>
    <t>SI</t>
  </si>
  <si>
    <t>Mejorar CMB para Multipage</t>
  </si>
  <si>
    <t>Cotejar tablas con elementos qmc</t>
  </si>
  <si>
    <t>TODO HELP</t>
  </si>
  <si>
    <t>Captura de imágenes</t>
  </si>
  <si>
    <t>Crear vectores con tips de ayuda</t>
  </si>
  <si>
    <t>Crear algoritmo para mostrar ayuda</t>
  </si>
  <si>
    <t>Menú de ayuda selecciones en ribbon</t>
  </si>
  <si>
    <t>Ruta de ayuda web</t>
  </si>
  <si>
    <t>TODO ABOUT &amp; LICENSE</t>
  </si>
  <si>
    <t>Creación de formularios</t>
  </si>
  <si>
    <t>Anexo de datos</t>
  </si>
  <si>
    <t>LIMPIEZA DE SISTEMA FINAL</t>
  </si>
  <si>
    <t>Sílice</t>
  </si>
  <si>
    <t>Función cerrar en index</t>
  </si>
  <si>
    <t>Ayudas de UDF's</t>
  </si>
  <si>
    <t>Mejorar Todos los íconos Ribbon (crear para ayuda RL - Balmet sel)</t>
  </si>
  <si>
    <t>VERSIONING</t>
  </si>
  <si>
    <t>Refactorizar código</t>
  </si>
  <si>
    <t>Verificar que versión sea la más actual</t>
  </si>
  <si>
    <t>Guardar cambios en silencio al cerrar Excel</t>
  </si>
  <si>
    <t>Íconos generales a grupos ribbon</t>
  </si>
  <si>
    <t>M-1</t>
  </si>
  <si>
    <t>1;1;1;1;0</t>
  </si>
  <si>
    <t>E:\InfoProyectos\htdocs\msprojects\excliqliterepo\project-dev\assets\ribbonimages\finals\eql_img_v1.1.1\eqhelp\hlp-excliq32.png[0]</t>
  </si>
  <si>
    <t>ABC[0]</t>
  </si>
  <si>
    <t>Fa #2[0]</t>
  </si>
  <si>
    <t>fa@mail.com[0]</t>
  </si>
  <si>
    <t>591-63939693[0]</t>
  </si>
  <si>
    <t>TODO FUNCTIONALITY</t>
  </si>
  <si>
    <t>REGRESSION</t>
  </si>
  <si>
    <t>BALMET</t>
  </si>
  <si>
    <t>PROJECT PROJECTION</t>
  </si>
  <si>
    <t>LIQMIN</t>
  </si>
  <si>
    <t>LIQCNC</t>
  </si>
  <si>
    <t>HELP</t>
  </si>
  <si>
    <t>ABOUT</t>
  </si>
  <si>
    <t>Supervisión Y Análisis</t>
  </si>
  <si>
    <t>Laboratorio Químico</t>
  </si>
  <si>
    <t>Líquido pagable (Saldo en contra):</t>
  </si>
  <si>
    <t>ONCE MIL QUINIENTOS SETENTA Y CUATRO 34/100 Dólares Americanos</t>
  </si>
  <si>
    <t>CUARENTA Y SIETE MIL TRESCIENTOS OCHO 49/100 Dólares Americanos</t>
  </si>
  <si>
    <t>Mineral Complejo</t>
  </si>
  <si>
    <t>Zn;Ag</t>
  </si>
  <si>
    <t>9,2;5</t>
  </si>
  <si>
    <t>%;DM</t>
  </si>
  <si>
    <t>Transporte|250</t>
  </si>
  <si>
    <t>aaaa</t>
  </si>
  <si>
    <t>1. M-1</t>
  </si>
  <si>
    <t>~Ag</t>
  </si>
  <si>
    <t>2. RM-Ag</t>
  </si>
  <si>
    <t>1. FEDECOMIN</t>
  </si>
  <si>
    <t>2. FENCOMIN</t>
  </si>
  <si>
    <t>3. WILSTERMAN</t>
  </si>
  <si>
    <t>4. COOPERATIVA</t>
  </si>
  <si>
    <t>1. Transporte</t>
  </si>
  <si>
    <t>6,014;8,05</t>
  </si>
  <si>
    <t>OCHO MIL SEISCIENTOS CINCUENTA Y DOS 20/100 Bolivianos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</si>
</sst>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164" formatCode="#0.00"/>
    <numFmt numFmtId="165" formatCode="0.00&quot;%&quot;"/>
    <numFmt numFmtId="166" formatCode="0.000"/>
    <numFmt numFmtId="167" formatCode="&quot;%RM-Ag&quot;\ 0.00\:"/>
    <numFmt numFmtId="168" formatCode="&quot;%CNS&quot;\ 0.00\:"/>
    <numFmt numFmtId="169" formatCode="&quot;%RM-Zn&quot;\ 0.00\:"/>
    <numFmt numFmtId="170" formatCode="&quot;%COMIBOL&quot;\ 0.00\:"/>
    <numFmt numFmtId="171" formatCode="&quot;%FEDECOMIN&quot;\ 0.00\:"/>
    <numFmt numFmtId="172" formatCode="&quot;%FENCOMIN&quot;\ 0.00\:"/>
    <numFmt numFmtId="173" formatCode="&quot;%WILSTERMAN&quot;\ 0.00\:"/>
    <numFmt numFmtId="174" formatCode="&quot;%COOPERATIVA&quot;\ 0.00\:"/>
    <numFmt numFmtId="175" formatCode="0.00\ _);\(0.00\)"/>
    <numFmt numFmtId="176" formatCode="0.00\ &quot;DM&quot;"/>
    <numFmt numFmtId="177" formatCode="0.00\ &quot;%&quot;"/>
    <numFmt numFmtId="178" formatCode="0.00&quot;DM&quot;"/>
    <numFmt numFmtId="179" formatCode="0.00\ &quot;USD/LF&quot;"/>
    <numFmt numFmtId="180" formatCode="&quot;HUMEDAD &quot;\ 0.00&quot;%:&quot;"/>
    <numFmt numFmtId="181" formatCode="0.00\ &quot;OT/TM&quot;"/>
    <numFmt numFmtId="182" formatCode="0.00\ &quot;USD/OT&quot;"/>
    <numFmt numFmtId="183" formatCode="&quot;MERMA &quot;\ 0.00&quot;%:&quot;"/>
    <numFmt numFmtId="184" formatCode="&quot;Zn&quot;\ \ \ 0.00&quot; %&quot;"/>
    <numFmt numFmtId="185" formatCode="0.00&quot; %&quot;"/>
    <numFmt numFmtId="186" formatCode="0.00&quot; u&quot;"/>
    <numFmt numFmtId="187" formatCode="&quot;Ag&quot;\ \ \ 0.00&quot; %&quot;"/>
    <numFmt numFmtId="188" formatCode="0.00&quot; OT/TMF&quot;"/>
    <numFmt numFmtId="189" formatCode="&quot;Rollback:  &quot;0.00&quot; USD/TMH&quot;"/>
    <numFmt numFmtId="190" formatCode="0.00\ _);\(0.00\)&quot; USD&quot;"/>
    <numFmt numFmtId="191" formatCode="0.00&quot;LF&quot;"/>
    <numFmt numFmtId="192" formatCode="0.00&quot;OT&quot;"/>
    <numFmt numFmtId="193" formatCode="#0.00000"/>
    <numFmt numFmtId="194" formatCode="0.00000"/>
    <numFmt numFmtId="195" formatCode="dd/mm/yy"/>
  </numFmts>
  <fonts count="30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0000" tint="0.29999694814905242"/>
      <name val="Calibri"/>
      <family val="2"/>
    </font>
    <font>
      <sz val="11"/>
      <color theme="1"/>
      <name val="Consolas"/>
      <family val="3"/>
    </font>
    <font>
      <b/>
      <vertAlign val="superscript"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vertAlign val="superscript"/>
      <sz val="11"/>
      <color theme="1"/>
      <name val="Calibri"/>
      <family val="2"/>
      <scheme val="minor"/>
    </font>
    <font>
      <b/>
      <i/>
      <vertAlign val="subscript"/>
      <sz val="11"/>
      <color theme="1"/>
      <name val="Calibri"/>
      <family val="2"/>
      <scheme val="minor"/>
    </font>
    <font>
      <b/>
      <sz val="12"/>
      <color rgb="FF000000" tint="0.39997558519241921"/>
      <name val="Calibri"/>
      <family val="2"/>
    </font>
    <font>
      <b/>
      <vertAlign val="superscript"/>
      <sz val="12"/>
      <color rgb="FF000000" tint="0.39997558519241921"/>
      <name val="Calibri"/>
      <family val="2"/>
    </font>
    <font>
      <sz val="10"/>
      <color rgb="FF000000"/>
      <name val="Calibri"/>
      <family val="2"/>
    </font>
    <font>
      <i/>
      <sz val="10"/>
      <color rgb="FF000000"/>
      <name val="Calibri"/>
      <family val="2"/>
    </font>
    <font>
      <i/>
      <vertAlign val="superscript"/>
      <sz val="10"/>
      <color rgb="FF000000"/>
      <name val="Calibri"/>
      <family val="2"/>
    </font>
    <font>
      <sz val="10"/>
      <color rgb="FF000000"/>
      <name val="Calibri"/>
      <family val="2"/>
      <scheme val="minor"/>
    </font>
    <font>
      <i/>
      <vertAlign val="subscript"/>
      <sz val="10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7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FF00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EAD5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7" tint="-0.499984740745262"/>
        <bgColor indexed="64"/>
      </patternFill>
    </fill>
  </fills>
  <borders count="109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 style="thin">
        <color theme="9" tint="0.39997558519241921"/>
      </left>
      <right/>
      <top style="double">
        <color theme="9"/>
      </top>
      <bottom style="thin">
        <color theme="9" tint="0.39997558519241921"/>
      </bottom>
      <diagonal/>
    </border>
    <border>
      <left/>
      <right/>
      <top style="double">
        <color theme="9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double">
        <color theme="9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double">
        <color rgb="FF000000"/>
      </bottom>
      <diagonal/>
    </border>
    <border>
      <left style="thin">
        <color rgb="FFC8C8C8"/>
      </left>
      <right/>
      <top style="thin">
        <color rgb="FFC8C8C8"/>
      </top>
      <bottom/>
      <diagonal/>
    </border>
    <border>
      <left/>
      <right/>
      <top style="thin">
        <color rgb="FFC8C8C8"/>
      </top>
      <bottom/>
      <diagonal/>
    </border>
    <border>
      <left/>
      <right style="thin">
        <color rgb="FFC8C8C8"/>
      </right>
      <top style="thin">
        <color rgb="FFC8C8C8"/>
      </top>
      <bottom/>
      <diagonal/>
    </border>
    <border>
      <left style="thin">
        <color rgb="FFC8C8C8"/>
      </left>
      <right/>
      <top/>
      <bottom style="thin">
        <color rgb="FFC8C8C8"/>
      </bottom>
      <diagonal/>
    </border>
    <border>
      <left/>
      <right/>
      <top/>
      <bottom style="thin">
        <color rgb="FFC8C8C8"/>
      </bottom>
      <diagonal/>
    </border>
    <border>
      <left style="thin">
        <color rgb="FFC8C8C8"/>
      </left>
      <right/>
      <top/>
      <bottom/>
      <diagonal/>
    </border>
    <border>
      <left/>
      <right style="thin">
        <color rgb="FFC8C8C8"/>
      </right>
      <top/>
      <bottom/>
      <diagonal/>
    </border>
    <border>
      <left style="thin">
        <color rgb="FFC8C8C8"/>
      </left>
      <right/>
      <top style="thin">
        <color rgb="FFC8C8C8"/>
      </top>
      <bottom style="thin">
        <color rgb="FFC8C8C8"/>
      </bottom>
      <diagonal/>
    </border>
    <border>
      <left/>
      <right/>
      <top style="thin">
        <color rgb="FFC8C8C8"/>
      </top>
      <bottom style="thin">
        <color rgb="FFC8C8C8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/>
      </left>
      <right/>
      <top style="medium">
        <color theme="9"/>
      </top>
      <bottom style="double">
        <color theme="9"/>
      </bottom>
      <diagonal/>
    </border>
    <border>
      <left/>
      <right/>
      <top style="medium">
        <color theme="9"/>
      </top>
      <bottom style="double">
        <color theme="9"/>
      </bottom>
      <diagonal/>
    </border>
    <border>
      <left/>
      <right style="thin">
        <color theme="9"/>
      </right>
      <top style="medium">
        <color theme="9"/>
      </top>
      <bottom style="double">
        <color theme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9"/>
      </left>
      <right/>
      <top style="thin">
        <color theme="9"/>
      </top>
      <bottom style="hair">
        <color theme="9"/>
      </bottom>
      <diagonal/>
    </border>
    <border>
      <left/>
      <right/>
      <top style="thin">
        <color theme="9"/>
      </top>
      <bottom style="hair">
        <color theme="9"/>
      </bottom>
      <diagonal/>
    </border>
    <border>
      <left/>
      <right style="thin">
        <color theme="9"/>
      </right>
      <top style="thin">
        <color theme="9"/>
      </top>
      <bottom style="hair">
        <color theme="9"/>
      </bottom>
      <diagonal/>
    </border>
    <border>
      <left style="thin">
        <color theme="9"/>
      </left>
      <right/>
      <top style="hair">
        <color theme="9"/>
      </top>
      <bottom style="hair">
        <color theme="9"/>
      </bottom>
      <diagonal/>
    </border>
    <border>
      <left/>
      <right/>
      <top style="hair">
        <color theme="9"/>
      </top>
      <bottom style="hair">
        <color theme="9"/>
      </bottom>
      <diagonal/>
    </border>
    <border>
      <left/>
      <right style="thin">
        <color theme="9"/>
      </right>
      <top style="hair">
        <color theme="9"/>
      </top>
      <bottom style="hair">
        <color theme="9"/>
      </bottom>
      <diagonal/>
    </border>
    <border>
      <left style="thin">
        <color theme="9"/>
      </left>
      <right/>
      <top style="hair">
        <color theme="9"/>
      </top>
      <bottom/>
      <diagonal/>
    </border>
    <border>
      <left/>
      <right/>
      <top style="hair">
        <color theme="9"/>
      </top>
      <bottom/>
      <diagonal/>
    </border>
    <border>
      <left/>
      <right style="thin">
        <color theme="9"/>
      </right>
      <top style="hair">
        <color theme="9"/>
      </top>
      <bottom/>
      <diagonal/>
    </border>
    <border>
      <left style="thin">
        <color theme="9"/>
      </left>
      <right/>
      <top style="thin">
        <color theme="9"/>
      </top>
      <bottom style="double">
        <color theme="9"/>
      </bottom>
      <diagonal/>
    </border>
    <border>
      <left/>
      <right/>
      <top style="thin">
        <color theme="9"/>
      </top>
      <bottom style="double">
        <color theme="9"/>
      </bottom>
      <diagonal/>
    </border>
    <border>
      <left/>
      <right style="thin">
        <color theme="9"/>
      </right>
      <top style="thin">
        <color theme="9"/>
      </top>
      <bottom style="double">
        <color theme="9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rgb="FFC8C8C8"/>
      </bottom>
      <diagonal/>
    </border>
    <border>
      <left style="thin">
        <color indexed="64"/>
      </left>
      <right/>
      <top style="thin">
        <color rgb="FFC8C8C8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C8C8C8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rgb="FFC8C8C8"/>
      </top>
      <bottom style="thin">
        <color rgb="FFC8C8C8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9"/>
      </left>
      <right/>
      <top/>
      <bottom style="thin">
        <color theme="9"/>
      </bottom>
      <diagonal/>
    </border>
    <border>
      <left/>
      <right/>
      <top/>
      <bottom style="thin">
        <color theme="9"/>
      </bottom>
      <diagonal/>
    </border>
    <border>
      <left/>
      <right style="thin">
        <color theme="9"/>
      </right>
      <top/>
      <bottom style="thin">
        <color theme="9"/>
      </bottom>
      <diagonal/>
    </border>
    <border>
      <left style="thin">
        <color theme="9"/>
      </left>
      <right/>
      <top/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 style="hair">
        <color theme="9"/>
      </top>
      <bottom style="thin">
        <color theme="9"/>
      </bottom>
      <diagonal/>
    </border>
    <border>
      <left/>
      <right/>
      <top style="hair">
        <color theme="9"/>
      </top>
      <bottom style="thin">
        <color theme="9"/>
      </bottom>
      <diagonal/>
    </border>
    <border>
      <left/>
      <right style="thin">
        <color theme="9"/>
      </right>
      <top style="hair">
        <color theme="9"/>
      </top>
      <bottom style="thin">
        <color theme="9"/>
      </bottom>
      <diagonal/>
    </border>
    <border>
      <left style="thin">
        <color theme="9"/>
      </left>
      <right style="hair">
        <color theme="9"/>
      </right>
      <top style="hair">
        <color theme="9"/>
      </top>
      <bottom style="hair">
        <color theme="9"/>
      </bottom>
      <diagonal/>
    </border>
    <border>
      <left style="hair">
        <color theme="9"/>
      </left>
      <right style="hair">
        <color theme="9"/>
      </right>
      <top style="hair">
        <color theme="9"/>
      </top>
      <bottom style="hair">
        <color theme="9"/>
      </bottom>
      <diagonal/>
    </border>
    <border>
      <left style="hair">
        <color theme="9"/>
      </left>
      <right style="thin">
        <color theme="9"/>
      </right>
      <top style="hair">
        <color theme="9"/>
      </top>
      <bottom style="hair">
        <color theme="9"/>
      </bottom>
      <diagonal/>
    </border>
    <border>
      <left style="thin">
        <color theme="9"/>
      </left>
      <right style="hair">
        <color theme="9"/>
      </right>
      <top style="hair">
        <color theme="9"/>
      </top>
      <bottom/>
      <diagonal/>
    </border>
    <border>
      <left style="hair">
        <color theme="9"/>
      </left>
      <right style="hair">
        <color theme="9"/>
      </right>
      <top style="hair">
        <color theme="9"/>
      </top>
      <bottom/>
      <diagonal/>
    </border>
    <border>
      <left style="hair">
        <color theme="9"/>
      </left>
      <right style="thin">
        <color theme="9"/>
      </right>
      <top style="hair">
        <color theme="9"/>
      </top>
      <bottom/>
      <diagonal/>
    </border>
    <border>
      <left style="thin">
        <color theme="9"/>
      </left>
      <right/>
      <top style="double">
        <color theme="9"/>
      </top>
      <bottom style="hair">
        <color theme="9"/>
      </bottom>
      <diagonal/>
    </border>
    <border>
      <left/>
      <right/>
      <top style="double">
        <color theme="9"/>
      </top>
      <bottom style="hair">
        <color theme="9"/>
      </bottom>
      <diagonal/>
    </border>
    <border>
      <left/>
      <right style="thin">
        <color theme="9"/>
      </right>
      <top style="double">
        <color theme="9"/>
      </top>
      <bottom style="hair">
        <color theme="9"/>
      </bottom>
      <diagonal/>
    </border>
    <border>
      <left style="thin">
        <color theme="9"/>
      </left>
      <right/>
      <top style="double">
        <color theme="9"/>
      </top>
      <bottom/>
      <diagonal/>
    </border>
    <border>
      <left/>
      <right/>
      <top style="double">
        <color theme="9"/>
      </top>
      <bottom/>
      <diagonal/>
    </border>
    <border>
      <left/>
      <right style="thin">
        <color theme="9"/>
      </right>
      <top style="double">
        <color theme="9"/>
      </top>
      <bottom/>
      <diagonal/>
    </border>
    <border>
      <left style="hair">
        <color theme="9"/>
      </left>
      <right/>
      <top style="hair">
        <color theme="9"/>
      </top>
      <bottom style="hair">
        <color theme="9"/>
      </bottom>
      <diagonal/>
    </border>
    <border>
      <left style="hair">
        <color theme="9"/>
      </left>
      <right/>
      <top style="hair">
        <color theme="9"/>
      </top>
      <bottom/>
      <diagonal/>
    </border>
    <border>
      <left/>
      <right style="thin">
        <color rgb="FFC8C8C8"/>
      </right>
      <top style="thin">
        <color rgb="FFC8C8C8"/>
      </top>
      <bottom style="thin">
        <color rgb="FFC8C8C8"/>
      </bottom>
      <diagonal/>
    </border>
    <border>
      <left/>
      <right style="thin">
        <color rgb="FFC8C8C8"/>
      </right>
      <top/>
      <bottom style="thin">
        <color rgb="FFC8C8C8"/>
      </bottom>
      <diagonal/>
    </border>
    <border>
      <left style="thin">
        <color theme="9"/>
      </left>
      <right/>
      <top/>
      <bottom style="hair">
        <color theme="9"/>
      </bottom>
      <diagonal/>
    </border>
    <border>
      <left/>
      <right/>
      <top/>
      <bottom style="hair">
        <color theme="9"/>
      </bottom>
      <diagonal/>
    </border>
    <border>
      <left/>
      <right style="thin">
        <color theme="9"/>
      </right>
      <top/>
      <bottom style="hair">
        <color theme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83">
    <xf numFmtId="0" fontId="0" fillId="0" borderId="0" xfId="0"/>
    <xf numFmtId="0" fontId="1" fillId="0" borderId="0" xfId="0" applyFont="1"/>
    <xf numFmtId="0" fontId="3" fillId="0" borderId="0" xfId="0" applyFont="1"/>
    <xf numFmtId="0" fontId="2" fillId="2" borderId="1" xfId="0" applyFont="1" applyFill="1" applyBorder="1" applyAlignment="1">
      <alignment horizontal="right"/>
    </xf>
    <xf numFmtId="0" fontId="2" fillId="2" borderId="2" xfId="0" applyFont="1" applyFill="1" applyBorder="1" applyAlignment="1">
      <alignment horizontal="right"/>
    </xf>
    <xf numFmtId="0" fontId="2" fillId="2" borderId="3" xfId="0" applyFont="1" applyFill="1" applyBorder="1" applyAlignment="1">
      <alignment horizontal="right"/>
    </xf>
    <xf numFmtId="1" fontId="0" fillId="0" borderId="1" xfId="0" applyNumberFormat="1" applyFont="1" applyBorder="1"/>
    <xf numFmtId="164" fontId="0" fillId="0" borderId="2" xfId="0" applyNumberFormat="1" applyFont="1" applyBorder="1"/>
    <xf numFmtId="164" fontId="0" fillId="0" borderId="3" xfId="0" applyNumberFormat="1" applyFont="1" applyBorder="1"/>
    <xf numFmtId="164" fontId="3" fillId="0" borderId="4" xfId="0" applyNumberFormat="1" applyFont="1" applyBorder="1"/>
    <xf numFmtId="164" fontId="3" fillId="0" borderId="5" xfId="0" applyNumberFormat="1" applyFont="1" applyBorder="1"/>
    <xf numFmtId="164" fontId="3" fillId="0" borderId="6" xfId="0" applyNumberFormat="1" applyFont="1" applyBorder="1"/>
    <xf numFmtId="164" fontId="3" fillId="0" borderId="1" xfId="0" applyNumberFormat="1" applyFont="1" applyBorder="1"/>
    <xf numFmtId="164" fontId="3" fillId="0" borderId="7" xfId="0" applyNumberFormat="1" applyFont="1" applyBorder="1"/>
    <xf numFmtId="164" fontId="0" fillId="0" borderId="8" xfId="0" applyNumberFormat="1" applyFont="1" applyBorder="1"/>
    <xf numFmtId="0" fontId="2" fillId="2" borderId="0" xfId="0" applyFont="1" applyFill="1" applyBorder="1" applyAlignment="1">
      <alignment horizontal="right"/>
    </xf>
    <xf numFmtId="0" fontId="0" fillId="0" borderId="9" xfId="0" applyBorder="1" applyAlignment="1">
      <alignment horizontal="center" vertical="center"/>
    </xf>
    <xf numFmtId="2" fontId="0" fillId="0" borderId="0" xfId="0" applyNumberFormat="1"/>
    <xf numFmtId="0" fontId="0" fillId="3" borderId="0" xfId="0" applyFill="1"/>
    <xf numFmtId="0" fontId="0" fillId="4" borderId="0" xfId="0" applyFill="1"/>
    <xf numFmtId="0" fontId="4" fillId="4" borderId="0" xfId="0" applyFont="1" applyFill="1"/>
    <xf numFmtId="0" fontId="0" fillId="0" borderId="0" xfId="0" applyNumberFormat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1" fontId="0" fillId="0" borderId="7" xfId="0" applyNumberFormat="1" applyFont="1" applyBorder="1"/>
    <xf numFmtId="164" fontId="0" fillId="0" borderId="10" xfId="0" applyNumberFormat="1" applyFont="1" applyBorder="1"/>
    <xf numFmtId="0" fontId="5" fillId="0" borderId="0" xfId="0" applyFont="1"/>
    <xf numFmtId="2" fontId="2" fillId="2" borderId="2" xfId="0" applyNumberFormat="1" applyFont="1" applyFill="1" applyBorder="1" applyAlignment="1">
      <alignment horizontal="right"/>
    </xf>
    <xf numFmtId="2" fontId="2" fillId="2" borderId="3" xfId="0" applyNumberFormat="1" applyFont="1" applyFill="1" applyBorder="1" applyAlignment="1">
      <alignment horizontal="right"/>
    </xf>
    <xf numFmtId="0" fontId="0" fillId="0" borderId="0" xfId="0" quotePrefix="1"/>
    <xf numFmtId="2" fontId="0" fillId="0" borderId="0" xfId="0" applyNumberFormat="1" applyFont="1" applyFill="1" applyBorder="1"/>
    <xf numFmtId="0" fontId="0" fillId="0" borderId="0" xfId="0" applyFont="1"/>
    <xf numFmtId="1" fontId="0" fillId="0" borderId="0" xfId="0" applyNumberFormat="1" applyFont="1" applyFill="1" applyBorder="1"/>
    <xf numFmtId="164" fontId="2" fillId="2" borderId="1" xfId="0" applyNumberFormat="1" applyFont="1" applyFill="1" applyBorder="1" applyAlignment="1">
      <alignment horizontal="right"/>
    </xf>
    <xf numFmtId="164" fontId="2" fillId="2" borderId="2" xfId="0" applyNumberFormat="1" applyFont="1" applyFill="1" applyBorder="1" applyAlignment="1">
      <alignment horizontal="right"/>
    </xf>
    <xf numFmtId="164" fontId="0" fillId="5" borderId="2" xfId="0" applyNumberFormat="1" applyFont="1" applyFill="1" applyBorder="1"/>
    <xf numFmtId="0" fontId="2" fillId="2" borderId="1" xfId="0" applyFont="1" applyFill="1" applyBorder="1"/>
    <xf numFmtId="0" fontId="2" fillId="2" borderId="3" xfId="0" applyFont="1" applyFill="1" applyBorder="1"/>
    <xf numFmtId="0" fontId="7" fillId="0" borderId="1" xfId="0" applyFont="1" applyBorder="1"/>
    <xf numFmtId="0" fontId="7" fillId="0" borderId="7" xfId="0" applyFont="1" applyBorder="1"/>
    <xf numFmtId="0" fontId="4" fillId="0" borderId="0" xfId="0" applyFont="1"/>
    <xf numFmtId="0" fontId="0" fillId="0" borderId="9" xfId="0" applyBorder="1"/>
    <xf numFmtId="0" fontId="0" fillId="0" borderId="11" xfId="0" applyBorder="1"/>
    <xf numFmtId="2" fontId="0" fillId="0" borderId="11" xfId="0" applyNumberFormat="1" applyBorder="1"/>
    <xf numFmtId="165" fontId="0" fillId="0" borderId="0" xfId="0" applyNumberFormat="1"/>
    <xf numFmtId="0" fontId="0" fillId="6" borderId="0" xfId="0" applyFill="1"/>
    <xf numFmtId="0" fontId="0" fillId="0" borderId="0" xfId="0" applyFill="1" applyBorder="1" applyAlignment="1">
      <alignment horizontal="center" vertical="center"/>
    </xf>
    <xf numFmtId="0" fontId="3" fillId="0" borderId="1" xfId="0" applyFont="1" applyBorder="1"/>
    <xf numFmtId="0" fontId="0" fillId="0" borderId="3" xfId="0" applyFont="1" applyBorder="1"/>
    <xf numFmtId="0" fontId="3" fillId="0" borderId="7" xfId="0" applyFont="1" applyBorder="1"/>
    <xf numFmtId="0" fontId="0" fillId="0" borderId="8" xfId="0" applyFont="1" applyBorder="1"/>
    <xf numFmtId="0" fontId="10" fillId="0" borderId="9" xfId="0" applyFont="1" applyBorder="1"/>
    <xf numFmtId="2" fontId="12" fillId="0" borderId="0" xfId="0" applyNumberFormat="1" applyFont="1"/>
    <xf numFmtId="166" fontId="13" fillId="0" borderId="0" xfId="0" applyNumberFormat="1" applyFont="1"/>
    <xf numFmtId="166" fontId="12" fillId="0" borderId="0" xfId="0" applyNumberFormat="1" applyFont="1"/>
    <xf numFmtId="2" fontId="15" fillId="0" borderId="11" xfId="0" applyNumberFormat="1" applyFont="1" applyBorder="1"/>
    <xf numFmtId="2" fontId="12" fillId="0" borderId="11" xfId="0" applyNumberFormat="1" applyFont="1" applyBorder="1"/>
    <xf numFmtId="166" fontId="13" fillId="0" borderId="13" xfId="0" applyNumberFormat="1" applyFont="1" applyBorder="1"/>
    <xf numFmtId="166" fontId="12" fillId="0" borderId="13" xfId="0" applyNumberFormat="1" applyFont="1" applyBorder="1"/>
    <xf numFmtId="1" fontId="0" fillId="0" borderId="1" xfId="0" applyNumberFormat="1" applyFont="1" applyBorder="1" applyAlignment="1">
      <alignment horizontal="right"/>
    </xf>
    <xf numFmtId="164" fontId="0" fillId="0" borderId="2" xfId="0" applyNumberFormat="1" applyFont="1" applyBorder="1" applyAlignment="1">
      <alignment horizontal="right"/>
    </xf>
    <xf numFmtId="164" fontId="0" fillId="0" borderId="3" xfId="0" applyNumberFormat="1" applyFont="1" applyBorder="1" applyAlignment="1">
      <alignment horizontal="right"/>
    </xf>
    <xf numFmtId="0" fontId="19" fillId="7" borderId="14" xfId="0" applyFont="1" applyFill="1" applyBorder="1" applyAlignment="1">
      <alignment vertical="center"/>
    </xf>
    <xf numFmtId="14" fontId="20" fillId="0" borderId="15" xfId="0" applyNumberFormat="1" applyFont="1" applyBorder="1" applyAlignment="1">
      <alignment vertical="center"/>
    </xf>
    <xf numFmtId="0" fontId="19" fillId="7" borderId="15" xfId="0" applyFont="1" applyFill="1" applyBorder="1" applyAlignment="1">
      <alignment vertical="center"/>
    </xf>
    <xf numFmtId="0" fontId="19" fillId="7" borderId="17" xfId="0" applyFont="1" applyFill="1" applyBorder="1" applyAlignment="1">
      <alignment vertical="center"/>
    </xf>
    <xf numFmtId="0" fontId="20" fillId="0" borderId="18" xfId="0" applyFont="1" applyBorder="1" applyAlignment="1">
      <alignment vertical="center"/>
    </xf>
    <xf numFmtId="0" fontId="20" fillId="0" borderId="0" xfId="0" applyFont="1" applyAlignment="1">
      <alignment vertical="center"/>
    </xf>
    <xf numFmtId="0" fontId="20" fillId="7" borderId="15" xfId="0" applyFont="1" applyFill="1" applyBorder="1" applyAlignment="1">
      <alignment vertical="center"/>
    </xf>
    <xf numFmtId="0" fontId="20" fillId="0" borderId="19" xfId="0" applyFont="1" applyBorder="1" applyAlignment="1">
      <alignment vertical="center"/>
    </xf>
    <xf numFmtId="0" fontId="19" fillId="0" borderId="21" xfId="0" applyFont="1" applyBorder="1" applyAlignment="1">
      <alignment vertical="center"/>
    </xf>
    <xf numFmtId="0" fontId="19" fillId="0" borderId="22" xfId="0" applyFont="1" applyBorder="1" applyAlignment="1">
      <alignment vertical="center"/>
    </xf>
    <xf numFmtId="2" fontId="20" fillId="0" borderId="0" xfId="0" applyNumberFormat="1" applyFont="1" applyAlignment="1">
      <alignment vertical="center"/>
    </xf>
    <xf numFmtId="2" fontId="20" fillId="0" borderId="18" xfId="0" applyNumberFormat="1" applyFont="1" applyBorder="1" applyAlignment="1">
      <alignment vertical="center"/>
    </xf>
    <xf numFmtId="2" fontId="20" fillId="0" borderId="15" xfId="0" applyNumberFormat="1" applyFont="1" applyBorder="1" applyAlignment="1">
      <alignment vertical="center"/>
    </xf>
    <xf numFmtId="2" fontId="20" fillId="0" borderId="20" xfId="0" applyNumberFormat="1" applyFont="1" applyBorder="1" applyAlignment="1">
      <alignment vertical="center"/>
    </xf>
    <xf numFmtId="0" fontId="19" fillId="7" borderId="0" xfId="0" applyFont="1" applyFill="1" applyAlignment="1">
      <alignment horizontal="center" vertical="center"/>
    </xf>
    <xf numFmtId="0" fontId="2" fillId="8" borderId="0" xfId="0" applyFont="1" applyFill="1"/>
    <xf numFmtId="0" fontId="18" fillId="0" borderId="0" xfId="0" applyFont="1" applyAlignment="1">
      <alignment vertical="center"/>
    </xf>
    <xf numFmtId="0" fontId="20" fillId="0" borderId="0" xfId="0" applyFont="1" applyAlignment="1">
      <alignment vertical="top"/>
    </xf>
    <xf numFmtId="0" fontId="19" fillId="9" borderId="21" xfId="0" applyFont="1" applyFill="1" applyBorder="1" applyAlignment="1">
      <alignment vertical="center"/>
    </xf>
    <xf numFmtId="0" fontId="20" fillId="9" borderId="22" xfId="0" applyFont="1" applyFill="1" applyBorder="1" applyAlignment="1">
      <alignment vertical="center"/>
    </xf>
    <xf numFmtId="174" fontId="20" fillId="0" borderId="0" xfId="0" applyNumberFormat="1" applyFont="1" applyBorder="1" applyAlignment="1">
      <alignment vertical="center"/>
    </xf>
    <xf numFmtId="0" fontId="0" fillId="9" borderId="0" xfId="0" applyFill="1"/>
    <xf numFmtId="0" fontId="20" fillId="0" borderId="0" xfId="0" applyFont="1" applyFill="1" applyAlignment="1">
      <alignment vertical="center"/>
    </xf>
    <xf numFmtId="175" fontId="19" fillId="0" borderId="0" xfId="0" applyNumberFormat="1" applyFont="1" applyFill="1" applyAlignment="1">
      <alignment vertical="center"/>
    </xf>
    <xf numFmtId="0" fontId="19" fillId="0" borderId="21" xfId="0" applyFont="1" applyFill="1" applyBorder="1" applyAlignment="1">
      <alignment vertical="center"/>
    </xf>
    <xf numFmtId="2" fontId="19" fillId="0" borderId="22" xfId="0" applyNumberFormat="1" applyFont="1" applyFill="1" applyBorder="1" applyAlignment="1">
      <alignment vertical="center"/>
    </xf>
    <xf numFmtId="10" fontId="0" fillId="0" borderId="0" xfId="0" applyNumberFormat="1"/>
    <xf numFmtId="0" fontId="19" fillId="7" borderId="15" xfId="0" applyFont="1" applyFill="1" applyBorder="1" applyAlignment="1">
      <alignment horizontal="right" vertical="center"/>
    </xf>
    <xf numFmtId="0" fontId="19" fillId="7" borderId="16" xfId="0" applyFont="1" applyFill="1" applyBorder="1" applyAlignment="1">
      <alignment horizontal="right" vertical="center"/>
    </xf>
    <xf numFmtId="0" fontId="3" fillId="9" borderId="0" xfId="0" applyFont="1" applyFill="1"/>
    <xf numFmtId="0" fontId="20" fillId="0" borderId="0" xfId="0" applyFont="1" applyAlignment="1">
      <alignment horizontal="right" vertical="center"/>
    </xf>
    <xf numFmtId="14" fontId="20" fillId="0" borderId="0" xfId="0" applyNumberFormat="1" applyFont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19" fillId="0" borderId="14" xfId="0" applyFont="1" applyFill="1" applyBorder="1" applyAlignment="1">
      <alignment vertical="center"/>
    </xf>
    <xf numFmtId="0" fontId="19" fillId="9" borderId="18" xfId="0" applyFont="1" applyFill="1" applyBorder="1" applyAlignment="1">
      <alignment vertical="center"/>
    </xf>
    <xf numFmtId="2" fontId="20" fillId="0" borderId="18" xfId="0" applyNumberFormat="1" applyFont="1" applyBorder="1" applyAlignment="1">
      <alignment horizontal="left" vertical="center"/>
    </xf>
    <xf numFmtId="0" fontId="19" fillId="10" borderId="14" xfId="0" applyFont="1" applyFill="1" applyBorder="1" applyAlignment="1">
      <alignment vertical="center"/>
    </xf>
    <xf numFmtId="0" fontId="20" fillId="10" borderId="15" xfId="0" applyFont="1" applyFill="1" applyBorder="1" applyAlignment="1">
      <alignment vertical="center"/>
    </xf>
    <xf numFmtId="0" fontId="0" fillId="10" borderId="0" xfId="0" applyFill="1"/>
    <xf numFmtId="0" fontId="20" fillId="10" borderId="0" xfId="0" applyFont="1" applyFill="1" applyAlignment="1">
      <alignment vertical="center"/>
    </xf>
    <xf numFmtId="2" fontId="20" fillId="10" borderId="0" xfId="0" applyNumberFormat="1" applyFont="1" applyFill="1" applyAlignment="1">
      <alignment vertical="center"/>
    </xf>
    <xf numFmtId="0" fontId="19" fillId="10" borderId="15" xfId="0" applyFont="1" applyFill="1" applyBorder="1" applyAlignment="1">
      <alignment vertical="center"/>
    </xf>
    <xf numFmtId="0" fontId="20" fillId="10" borderId="16" xfId="0" applyFont="1" applyFill="1" applyBorder="1" applyAlignment="1">
      <alignment vertical="center"/>
    </xf>
    <xf numFmtId="0" fontId="19" fillId="7" borderId="0" xfId="0" applyFont="1" applyFill="1" applyAlignment="1">
      <alignment vertical="center"/>
    </xf>
    <xf numFmtId="0" fontId="19" fillId="0" borderId="18" xfId="0" applyFont="1" applyBorder="1" applyAlignment="1">
      <alignment vertical="center"/>
    </xf>
    <xf numFmtId="176" fontId="19" fillId="0" borderId="0" xfId="0" applyNumberFormat="1" applyFont="1" applyAlignment="1">
      <alignment vertical="center"/>
    </xf>
    <xf numFmtId="177" fontId="19" fillId="0" borderId="0" xfId="0" applyNumberFormat="1" applyFont="1" applyAlignment="1">
      <alignment vertical="center"/>
    </xf>
    <xf numFmtId="0" fontId="19" fillId="0" borderId="19" xfId="0" applyFont="1" applyBorder="1" applyAlignment="1">
      <alignment vertical="center"/>
    </xf>
    <xf numFmtId="167" fontId="19" fillId="0" borderId="19" xfId="0" applyNumberFormat="1" applyFont="1" applyBorder="1" applyAlignment="1">
      <alignment vertical="center"/>
    </xf>
    <xf numFmtId="169" fontId="19" fillId="0" borderId="19" xfId="0" applyNumberFormat="1" applyFont="1" applyBorder="1" applyAlignment="1">
      <alignment vertical="center"/>
    </xf>
    <xf numFmtId="168" fontId="19" fillId="0" borderId="0" xfId="0" applyNumberFormat="1" applyFont="1" applyAlignment="1">
      <alignment vertical="center"/>
    </xf>
    <xf numFmtId="170" fontId="19" fillId="0" borderId="0" xfId="0" applyNumberFormat="1" applyFont="1" applyAlignment="1">
      <alignment vertical="center"/>
    </xf>
    <xf numFmtId="171" fontId="19" fillId="0" borderId="0" xfId="0" applyNumberFormat="1" applyFont="1" applyAlignment="1">
      <alignment vertical="center"/>
    </xf>
    <xf numFmtId="172" fontId="19" fillId="0" borderId="0" xfId="0" applyNumberFormat="1" applyFont="1" applyAlignment="1">
      <alignment vertical="center"/>
    </xf>
    <xf numFmtId="173" fontId="19" fillId="0" borderId="0" xfId="0" applyNumberFormat="1" applyFont="1" applyAlignment="1">
      <alignment vertical="center"/>
    </xf>
    <xf numFmtId="174" fontId="19" fillId="0" borderId="18" xfId="0" applyNumberFormat="1" applyFont="1" applyBorder="1" applyAlignment="1">
      <alignment vertical="center"/>
    </xf>
    <xf numFmtId="0" fontId="19" fillId="0" borderId="0" xfId="0" applyFont="1" applyAlignment="1">
      <alignment vertical="center"/>
    </xf>
    <xf numFmtId="0" fontId="17" fillId="9" borderId="0" xfId="0" applyFont="1" applyFill="1" applyAlignment="1">
      <alignment vertical="center"/>
    </xf>
    <xf numFmtId="0" fontId="19" fillId="7" borderId="15" xfId="0" applyFont="1" applyFill="1" applyBorder="1" applyAlignment="1">
      <alignment vertical="center"/>
    </xf>
    <xf numFmtId="0" fontId="19" fillId="7" borderId="0" xfId="0" applyFont="1" applyFill="1" applyAlignment="1">
      <alignment horizontal="center" vertical="center"/>
    </xf>
    <xf numFmtId="0" fontId="17" fillId="9" borderId="0" xfId="0" applyFont="1" applyFill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3" fillId="0" borderId="26" xfId="0" applyFont="1" applyBorder="1"/>
    <xf numFmtId="0" fontId="2" fillId="8" borderId="26" xfId="0" applyFont="1" applyFill="1" applyBorder="1"/>
    <xf numFmtId="0" fontId="2" fillId="8" borderId="27" xfId="0" applyFont="1" applyFill="1" applyBorder="1"/>
    <xf numFmtId="0" fontId="2" fillId="8" borderId="28" xfId="0" applyFont="1" applyFill="1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0" xfId="0" applyBorder="1"/>
    <xf numFmtId="0" fontId="0" fillId="0" borderId="32" xfId="0" applyBorder="1"/>
    <xf numFmtId="0" fontId="0" fillId="0" borderId="33" xfId="0" applyBorder="1"/>
    <xf numFmtId="0" fontId="3" fillId="0" borderId="23" xfId="0" applyFont="1" applyBorder="1"/>
    <xf numFmtId="0" fontId="3" fillId="0" borderId="29" xfId="0" applyFont="1" applyBorder="1"/>
    <xf numFmtId="0" fontId="3" fillId="0" borderId="30" xfId="0" applyFont="1" applyBorder="1"/>
    <xf numFmtId="0" fontId="3" fillId="0" borderId="31" xfId="0" applyFont="1" applyBorder="1"/>
    <xf numFmtId="0" fontId="0" fillId="0" borderId="38" xfId="0" applyBorder="1"/>
    <xf numFmtId="0" fontId="0" fillId="0" borderId="39" xfId="0" applyBorder="1"/>
    <xf numFmtId="0" fontId="2" fillId="8" borderId="34" xfId="0" applyFont="1" applyFill="1" applyBorder="1"/>
    <xf numFmtId="0" fontId="2" fillId="8" borderId="35" xfId="0" applyFont="1" applyFill="1" applyBorder="1"/>
    <xf numFmtId="0" fontId="2" fillId="8" borderId="36" xfId="0" applyFont="1" applyFill="1" applyBorder="1"/>
    <xf numFmtId="0" fontId="3" fillId="0" borderId="37" xfId="0" applyFont="1" applyBorder="1"/>
    <xf numFmtId="0" fontId="3" fillId="0" borderId="40" xfId="0" applyFont="1" applyBorder="1"/>
    <xf numFmtId="0" fontId="0" fillId="0" borderId="41" xfId="0" applyBorder="1"/>
    <xf numFmtId="0" fontId="0" fillId="0" borderId="42" xfId="0" applyBorder="1"/>
    <xf numFmtId="0" fontId="3" fillId="0" borderId="43" xfId="0" applyFont="1" applyBorder="1"/>
    <xf numFmtId="0" fontId="3" fillId="0" borderId="44" xfId="0" applyFont="1" applyBorder="1"/>
    <xf numFmtId="0" fontId="3" fillId="0" borderId="45" xfId="0" applyFont="1" applyBorder="1"/>
    <xf numFmtId="9" fontId="0" fillId="0" borderId="0" xfId="0" applyNumberFormat="1"/>
    <xf numFmtId="0" fontId="3" fillId="0" borderId="46" xfId="0" applyFont="1" applyBorder="1"/>
    <xf numFmtId="0" fontId="21" fillId="8" borderId="34" xfId="0" applyFont="1" applyFill="1" applyBorder="1" applyAlignment="1">
      <alignment vertical="center"/>
    </xf>
    <xf numFmtId="0" fontId="21" fillId="8" borderId="35" xfId="0" applyFont="1" applyFill="1" applyBorder="1" applyAlignment="1">
      <alignment vertical="center"/>
    </xf>
    <xf numFmtId="0" fontId="2" fillId="8" borderId="35" xfId="0" applyFont="1" applyFill="1" applyBorder="1" applyAlignment="1"/>
    <xf numFmtId="0" fontId="2" fillId="8" borderId="36" xfId="0" applyFont="1" applyFill="1" applyBorder="1" applyAlignment="1"/>
    <xf numFmtId="0" fontId="0" fillId="0" borderId="38" xfId="0" applyNumberFormat="1" applyBorder="1" applyAlignment="1"/>
    <xf numFmtId="0" fontId="0" fillId="0" borderId="39" xfId="0" applyNumberFormat="1" applyBorder="1" applyAlignment="1"/>
    <xf numFmtId="0" fontId="0" fillId="0" borderId="41" xfId="0" applyNumberFormat="1" applyBorder="1" applyAlignment="1"/>
    <xf numFmtId="0" fontId="0" fillId="0" borderId="42" xfId="0" applyNumberFormat="1" applyBorder="1" applyAlignment="1"/>
    <xf numFmtId="0" fontId="3" fillId="0" borderId="44" xfId="0" applyNumberFormat="1" applyFont="1" applyBorder="1" applyAlignment="1"/>
    <xf numFmtId="0" fontId="3" fillId="0" borderId="45" xfId="0" applyNumberFormat="1" applyFont="1" applyBorder="1" applyAlignment="1"/>
    <xf numFmtId="0" fontId="2" fillId="8" borderId="34" xfId="0" applyFont="1" applyFill="1" applyBorder="1" applyAlignment="1"/>
    <xf numFmtId="2" fontId="20" fillId="0" borderId="0" xfId="0" applyNumberFormat="1" applyFont="1" applyFill="1" applyBorder="1" applyAlignment="1">
      <alignment vertical="center"/>
    </xf>
    <xf numFmtId="0" fontId="19" fillId="0" borderId="0" xfId="0" applyFont="1" applyFill="1" applyBorder="1" applyAlignment="1">
      <alignment vertical="center"/>
    </xf>
    <xf numFmtId="0" fontId="19" fillId="0" borderId="22" xfId="0" applyFont="1" applyBorder="1" applyAlignment="1">
      <alignment horizontal="right" vertical="center"/>
    </xf>
    <xf numFmtId="0" fontId="19" fillId="7" borderId="14" xfId="0" applyFont="1" applyFill="1" applyBorder="1" applyAlignment="1">
      <alignment horizontal="right" vertical="center"/>
    </xf>
    <xf numFmtId="0" fontId="3" fillId="9" borderId="0" xfId="0" applyFont="1" applyFill="1" applyAlignment="1">
      <alignment horizontal="right"/>
    </xf>
    <xf numFmtId="0" fontId="19" fillId="9" borderId="21" xfId="0" applyFont="1" applyFill="1" applyBorder="1" applyAlignment="1">
      <alignment horizontal="right" vertical="center"/>
    </xf>
    <xf numFmtId="0" fontId="19" fillId="11" borderId="22" xfId="0" applyFont="1" applyFill="1" applyBorder="1" applyAlignment="1">
      <alignment horizontal="right" vertical="center"/>
    </xf>
    <xf numFmtId="0" fontId="0" fillId="0" borderId="48" xfId="0" applyBorder="1"/>
    <xf numFmtId="0" fontId="19" fillId="0" borderId="32" xfId="0" applyFont="1" applyBorder="1" applyAlignment="1">
      <alignment vertical="center"/>
    </xf>
    <xf numFmtId="0" fontId="20" fillId="7" borderId="0" xfId="0" applyFont="1" applyFill="1" applyBorder="1" applyAlignment="1">
      <alignment vertical="center"/>
    </xf>
    <xf numFmtId="0" fontId="20" fillId="0" borderId="52" xfId="0" applyFont="1" applyBorder="1" applyAlignment="1">
      <alignment vertical="center"/>
    </xf>
    <xf numFmtId="0" fontId="20" fillId="0" borderId="49" xfId="0" applyFont="1" applyBorder="1" applyAlignment="1">
      <alignment vertical="center"/>
    </xf>
    <xf numFmtId="14" fontId="20" fillId="0" borderId="50" xfId="0" applyNumberFormat="1" applyFont="1" applyBorder="1" applyAlignment="1">
      <alignment vertical="center"/>
    </xf>
    <xf numFmtId="2" fontId="20" fillId="0" borderId="51" xfId="0" applyNumberFormat="1" applyFont="1" applyBorder="1" applyAlignment="1">
      <alignment horizontal="left" vertical="center"/>
    </xf>
    <xf numFmtId="0" fontId="0" fillId="0" borderId="51" xfId="0" applyBorder="1"/>
    <xf numFmtId="0" fontId="20" fillId="0" borderId="0" xfId="0" applyFont="1" applyFill="1" applyBorder="1" applyAlignment="1">
      <alignment vertical="center"/>
    </xf>
    <xf numFmtId="0" fontId="0" fillId="0" borderId="0" xfId="0" applyFill="1" applyBorder="1"/>
    <xf numFmtId="0" fontId="3" fillId="12" borderId="0" xfId="0" applyFont="1" applyFill="1"/>
    <xf numFmtId="0" fontId="19" fillId="0" borderId="15" xfId="0" applyFont="1" applyFill="1" applyBorder="1" applyAlignment="1">
      <alignment vertical="center"/>
    </xf>
    <xf numFmtId="0" fontId="19" fillId="0" borderId="47" xfId="0" applyFont="1" applyFill="1" applyBorder="1" applyAlignment="1">
      <alignment vertical="center"/>
    </xf>
    <xf numFmtId="0" fontId="19" fillId="0" borderId="49" xfId="0" applyFont="1" applyFill="1" applyBorder="1" applyAlignment="1">
      <alignment vertical="center"/>
    </xf>
    <xf numFmtId="0" fontId="19" fillId="0" borderId="50" xfId="0" applyFont="1" applyFill="1" applyBorder="1" applyAlignment="1">
      <alignment vertical="center"/>
    </xf>
    <xf numFmtId="0" fontId="19" fillId="0" borderId="51" xfId="0" applyFont="1" applyFill="1" applyBorder="1" applyAlignment="1">
      <alignment vertical="center"/>
    </xf>
    <xf numFmtId="0" fontId="19" fillId="7" borderId="14" xfId="0" applyFont="1" applyFill="1" applyBorder="1" applyAlignment="1">
      <alignment horizontal="left" vertical="center"/>
    </xf>
    <xf numFmtId="0" fontId="21" fillId="13" borderId="53" xfId="0" applyFont="1" applyFill="1" applyBorder="1" applyAlignment="1">
      <alignment vertical="center"/>
    </xf>
    <xf numFmtId="0" fontId="21" fillId="13" borderId="22" xfId="0" applyFont="1" applyFill="1" applyBorder="1" applyAlignment="1">
      <alignment vertical="center"/>
    </xf>
    <xf numFmtId="0" fontId="3" fillId="0" borderId="0" xfId="0" applyFont="1" applyFill="1" applyBorder="1"/>
    <xf numFmtId="14" fontId="0" fillId="0" borderId="0" xfId="0" applyNumberFormat="1"/>
    <xf numFmtId="20" fontId="0" fillId="0" borderId="0" xfId="0" applyNumberFormat="1"/>
    <xf numFmtId="0" fontId="0" fillId="14" borderId="54" xfId="0" applyFont="1" applyFill="1" applyBorder="1"/>
    <xf numFmtId="0" fontId="0" fillId="14" borderId="55" xfId="0" applyFont="1" applyFill="1" applyBorder="1"/>
    <xf numFmtId="0" fontId="0" fillId="14" borderId="53" xfId="0" applyFont="1" applyFill="1" applyBorder="1"/>
    <xf numFmtId="0" fontId="21" fillId="13" borderId="55" xfId="0" applyFont="1" applyFill="1" applyBorder="1" applyAlignment="1">
      <alignment vertical="center"/>
    </xf>
    <xf numFmtId="0" fontId="21" fillId="13" borderId="56" xfId="0" applyFont="1" applyFill="1" applyBorder="1" applyAlignment="1">
      <alignment vertical="center"/>
    </xf>
    <xf numFmtId="0" fontId="20" fillId="0" borderId="15" xfId="0" applyFont="1" applyFill="1" applyBorder="1" applyAlignment="1">
      <alignment vertical="center"/>
    </xf>
    <xf numFmtId="0" fontId="0" fillId="0" borderId="0" xfId="0" applyFill="1"/>
    <xf numFmtId="167" fontId="19" fillId="0" borderId="19" xfId="0" applyNumberFormat="1" applyFont="1" applyFill="1" applyBorder="1" applyAlignment="1">
      <alignment vertical="center"/>
    </xf>
    <xf numFmtId="2" fontId="20" fillId="0" borderId="0" xfId="0" applyNumberFormat="1" applyFont="1" applyFill="1" applyAlignment="1">
      <alignment vertical="center"/>
    </xf>
    <xf numFmtId="169" fontId="19" fillId="0" borderId="19" xfId="0" applyNumberFormat="1" applyFont="1" applyFill="1" applyBorder="1" applyAlignment="1">
      <alignment vertical="center"/>
    </xf>
    <xf numFmtId="168" fontId="19" fillId="0" borderId="0" xfId="0" applyNumberFormat="1" applyFont="1" applyFill="1" applyAlignment="1">
      <alignment vertical="center"/>
    </xf>
    <xf numFmtId="170" fontId="19" fillId="0" borderId="0" xfId="0" applyNumberFormat="1" applyFont="1" applyFill="1" applyAlignment="1">
      <alignment vertical="center"/>
    </xf>
    <xf numFmtId="171" fontId="19" fillId="0" borderId="0" xfId="0" applyNumberFormat="1" applyFont="1" applyFill="1" applyAlignment="1">
      <alignment vertical="center"/>
    </xf>
    <xf numFmtId="172" fontId="19" fillId="0" borderId="0" xfId="0" applyNumberFormat="1" applyFont="1" applyFill="1" applyAlignment="1">
      <alignment vertical="center"/>
    </xf>
    <xf numFmtId="173" fontId="19" fillId="0" borderId="0" xfId="0" applyNumberFormat="1" applyFont="1" applyFill="1" applyAlignment="1">
      <alignment vertical="center"/>
    </xf>
    <xf numFmtId="174" fontId="19" fillId="0" borderId="18" xfId="0" applyNumberFormat="1" applyFont="1" applyFill="1" applyBorder="1" applyAlignment="1">
      <alignment vertical="center"/>
    </xf>
    <xf numFmtId="0" fontId="20" fillId="0" borderId="16" xfId="0" applyFont="1" applyFill="1" applyBorder="1" applyAlignment="1">
      <alignment vertical="center"/>
    </xf>
    <xf numFmtId="0" fontId="19" fillId="12" borderId="22" xfId="0" applyFont="1" applyFill="1" applyBorder="1" applyAlignment="1">
      <alignment vertical="center"/>
    </xf>
    <xf numFmtId="0" fontId="19" fillId="12" borderId="21" xfId="0" applyFont="1" applyFill="1" applyBorder="1" applyAlignment="1">
      <alignment vertical="center"/>
    </xf>
    <xf numFmtId="0" fontId="20" fillId="12" borderId="22" xfId="0" applyFont="1" applyFill="1" applyBorder="1" applyAlignment="1">
      <alignment vertical="center"/>
    </xf>
    <xf numFmtId="0" fontId="19" fillId="12" borderId="21" xfId="0" applyFont="1" applyFill="1" applyBorder="1" applyAlignment="1">
      <alignment horizontal="right" vertical="center"/>
    </xf>
    <xf numFmtId="2" fontId="20" fillId="0" borderId="0" xfId="0" applyNumberFormat="1" applyFont="1" applyBorder="1" applyAlignment="1">
      <alignment vertical="center"/>
    </xf>
    <xf numFmtId="0" fontId="19" fillId="0" borderId="0" xfId="0" applyNumberFormat="1" applyFont="1" applyAlignment="1">
      <alignment vertical="center"/>
    </xf>
    <xf numFmtId="0" fontId="2" fillId="13" borderId="55" xfId="0" applyFont="1" applyFill="1" applyBorder="1"/>
    <xf numFmtId="0" fontId="2" fillId="13" borderId="54" xfId="0" applyFont="1" applyFill="1" applyBorder="1"/>
    <xf numFmtId="0" fontId="2" fillId="13" borderId="53" xfId="0" applyFont="1" applyFill="1" applyBorder="1"/>
    <xf numFmtId="0" fontId="0" fillId="0" borderId="54" xfId="0" applyFont="1" applyBorder="1"/>
    <xf numFmtId="0" fontId="0" fillId="0" borderId="55" xfId="0" applyFont="1" applyBorder="1"/>
    <xf numFmtId="0" fontId="0" fillId="0" borderId="53" xfId="0" applyFont="1" applyBorder="1"/>
    <xf numFmtId="14" fontId="0" fillId="14" borderId="53" xfId="0" applyNumberFormat="1" applyFont="1" applyFill="1" applyBorder="1"/>
    <xf numFmtId="14" fontId="0" fillId="0" borderId="53" xfId="0" applyNumberFormat="1" applyFont="1" applyBorder="1"/>
    <xf numFmtId="2" fontId="3" fillId="0" borderId="0" xfId="0" applyNumberFormat="1" applyFont="1"/>
    <xf numFmtId="0" fontId="0" fillId="15" borderId="0" xfId="0" applyFill="1"/>
    <xf numFmtId="0" fontId="19" fillId="15" borderId="16" xfId="0" applyFont="1" applyFill="1" applyBorder="1" applyAlignment="1">
      <alignment horizontal="right" vertical="center"/>
    </xf>
    <xf numFmtId="2" fontId="0" fillId="0" borderId="0" xfId="0" applyNumberFormat="1" applyFill="1"/>
    <xf numFmtId="2" fontId="19" fillId="0" borderId="14" xfId="0" applyNumberFormat="1" applyFont="1" applyFill="1" applyBorder="1" applyAlignment="1">
      <alignment vertical="center"/>
    </xf>
    <xf numFmtId="2" fontId="20" fillId="0" borderId="51" xfId="0" applyNumberFormat="1" applyFont="1" applyBorder="1" applyAlignment="1">
      <alignment vertical="center"/>
    </xf>
    <xf numFmtId="0" fontId="0" fillId="14" borderId="57" xfId="0" applyFont="1" applyFill="1" applyBorder="1"/>
    <xf numFmtId="0" fontId="2" fillId="8" borderId="23" xfId="0" applyFont="1" applyFill="1" applyBorder="1" applyAlignment="1">
      <alignment horizontal="center"/>
    </xf>
    <xf numFmtId="0" fontId="2" fillId="8" borderId="24" xfId="0" applyFont="1" applyFill="1" applyBorder="1" applyAlignment="1">
      <alignment horizontal="center"/>
    </xf>
    <xf numFmtId="0" fontId="2" fillId="8" borderId="25" xfId="0" applyFont="1" applyFill="1" applyBorder="1" applyAlignment="1">
      <alignment horizontal="center"/>
    </xf>
    <xf numFmtId="0" fontId="0" fillId="0" borderId="58" xfId="0" applyNumberFormat="1" applyBorder="1" applyAlignment="1">
      <alignment horizontal="center"/>
    </xf>
    <xf numFmtId="0" fontId="0" fillId="0" borderId="59" xfId="0" applyNumberFormat="1" applyBorder="1" applyAlignment="1">
      <alignment horizontal="center"/>
    </xf>
    <xf numFmtId="0" fontId="0" fillId="0" borderId="60" xfId="0" applyNumberFormat="1" applyBorder="1" applyAlignment="1">
      <alignment horizontal="center"/>
    </xf>
    <xf numFmtId="0" fontId="18" fillId="0" borderId="59" xfId="0" applyNumberFormat="1" applyFont="1" applyBorder="1" applyAlignment="1">
      <alignment horizontal="center"/>
    </xf>
    <xf numFmtId="0" fontId="3" fillId="0" borderId="63" xfId="0" applyFont="1" applyBorder="1"/>
    <xf numFmtId="0" fontId="0" fillId="0" borderId="65" xfId="0" applyNumberFormat="1" applyBorder="1" applyAlignment="1"/>
    <xf numFmtId="2" fontId="0" fillId="0" borderId="64" xfId="0" applyNumberFormat="1" applyBorder="1" applyAlignment="1"/>
    <xf numFmtId="2" fontId="0" fillId="0" borderId="38" xfId="0" applyNumberFormat="1" applyBorder="1" applyAlignment="1"/>
    <xf numFmtId="2" fontId="0" fillId="0" borderId="39" xfId="0" applyNumberFormat="1" applyBorder="1" applyAlignment="1"/>
    <xf numFmtId="2" fontId="0" fillId="0" borderId="65" xfId="0" applyNumberFormat="1" applyBorder="1" applyAlignment="1"/>
    <xf numFmtId="0" fontId="2" fillId="8" borderId="23" xfId="0" applyFont="1" applyFill="1" applyBorder="1" applyAlignment="1"/>
    <xf numFmtId="0" fontId="2" fillId="8" borderId="24" xfId="0" applyFont="1" applyFill="1" applyBorder="1" applyAlignment="1"/>
    <xf numFmtId="0" fontId="2" fillId="8" borderId="25" xfId="0" applyFont="1" applyFill="1" applyBorder="1" applyAlignment="1"/>
    <xf numFmtId="0" fontId="3" fillId="0" borderId="66" xfId="0" applyFont="1" applyBorder="1"/>
    <xf numFmtId="0" fontId="3" fillId="0" borderId="66" xfId="0" applyFont="1" applyBorder="1" applyAlignment="1"/>
    <xf numFmtId="0" fontId="3" fillId="0" borderId="58" xfId="0" applyFont="1" applyBorder="1"/>
    <xf numFmtId="0" fontId="3" fillId="0" borderId="69" xfId="0" applyFont="1" applyBorder="1"/>
    <xf numFmtId="2" fontId="3" fillId="0" borderId="67" xfId="0" applyNumberFormat="1" applyFont="1" applyBorder="1" applyAlignment="1"/>
    <xf numFmtId="2" fontId="3" fillId="0" borderId="68" xfId="0" applyNumberFormat="1" applyFont="1" applyBorder="1" applyAlignment="1"/>
    <xf numFmtId="2" fontId="0" fillId="0" borderId="70" xfId="0" applyNumberFormat="1" applyBorder="1" applyAlignment="1"/>
    <xf numFmtId="2" fontId="0" fillId="0" borderId="71" xfId="0" applyNumberFormat="1" applyBorder="1" applyAlignment="1"/>
    <xf numFmtId="2" fontId="3" fillId="0" borderId="44" xfId="0" applyNumberFormat="1" applyFont="1" applyBorder="1" applyAlignment="1"/>
    <xf numFmtId="2" fontId="3" fillId="0" borderId="45" xfId="0" applyNumberFormat="1" applyFont="1" applyBorder="1" applyAlignment="1"/>
    <xf numFmtId="2" fontId="3" fillId="0" borderId="24" xfId="0" applyNumberFormat="1" applyFont="1" applyBorder="1" applyAlignment="1"/>
    <xf numFmtId="2" fontId="3" fillId="0" borderId="25" xfId="0" applyNumberFormat="1" applyFont="1" applyBorder="1" applyAlignment="1"/>
    <xf numFmtId="0" fontId="2" fillId="8" borderId="75" xfId="0" applyFont="1" applyFill="1" applyBorder="1" applyAlignment="1"/>
    <xf numFmtId="0" fontId="2" fillId="8" borderId="76" xfId="0" applyFont="1" applyFill="1" applyBorder="1" applyAlignment="1"/>
    <xf numFmtId="0" fontId="2" fillId="8" borderId="77" xfId="0" applyFont="1" applyFill="1" applyBorder="1" applyAlignment="1"/>
    <xf numFmtId="0" fontId="3" fillId="0" borderId="69" xfId="0" quotePrefix="1" applyFont="1" applyBorder="1"/>
    <xf numFmtId="178" fontId="0" fillId="0" borderId="70" xfId="0" applyNumberFormat="1" applyBorder="1" applyAlignment="1"/>
    <xf numFmtId="0" fontId="2" fillId="8" borderId="72" xfId="0" applyFont="1" applyFill="1" applyBorder="1" applyAlignment="1"/>
    <xf numFmtId="0" fontId="2" fillId="8" borderId="73" xfId="0" applyFont="1" applyFill="1" applyBorder="1" applyAlignment="1"/>
    <xf numFmtId="0" fontId="2" fillId="8" borderId="74" xfId="0" applyFont="1" applyFill="1" applyBorder="1" applyAlignment="1"/>
    <xf numFmtId="2" fontId="0" fillId="0" borderId="41" xfId="0" applyNumberFormat="1" applyBorder="1" applyAlignment="1"/>
    <xf numFmtId="2" fontId="0" fillId="0" borderId="42" xfId="0" applyNumberFormat="1" applyBorder="1" applyAlignment="1"/>
    <xf numFmtId="0" fontId="3" fillId="0" borderId="61" xfId="0" applyFont="1" applyBorder="1"/>
    <xf numFmtId="0" fontId="3" fillId="0" borderId="61" xfId="0" applyFont="1" applyBorder="1" applyAlignment="1"/>
    <xf numFmtId="2" fontId="3" fillId="0" borderId="62" xfId="0" applyNumberFormat="1" applyFont="1" applyBorder="1" applyAlignment="1"/>
    <xf numFmtId="2" fontId="3" fillId="0" borderId="0" xfId="0" applyNumberFormat="1" applyFont="1" applyBorder="1" applyAlignment="1"/>
    <xf numFmtId="0" fontId="2" fillId="8" borderId="0" xfId="0" applyFont="1" applyFill="1" applyAlignment="1"/>
    <xf numFmtId="0" fontId="0" fillId="0" borderId="0" xfId="0" applyNumberFormat="1" applyAlignment="1"/>
    <xf numFmtId="0" fontId="2" fillId="8" borderId="0" xfId="0" applyFont="1" applyFill="1" applyAlignment="1">
      <alignment horizontal="center"/>
    </xf>
    <xf numFmtId="2" fontId="3" fillId="0" borderId="78" xfId="0" applyNumberFormat="1" applyFont="1" applyBorder="1" applyAlignment="1"/>
    <xf numFmtId="2" fontId="0" fillId="0" borderId="79" xfId="0" applyNumberFormat="1" applyBorder="1" applyAlignment="1"/>
    <xf numFmtId="165" fontId="0" fillId="0" borderId="70" xfId="0" applyNumberFormat="1" applyBorder="1" applyAlignment="1"/>
    <xf numFmtId="2" fontId="0" fillId="0" borderId="67" xfId="0" applyNumberFormat="1" applyBorder="1" applyAlignment="1"/>
    <xf numFmtId="2" fontId="0" fillId="0" borderId="68" xfId="0" applyNumberFormat="1" applyBorder="1" applyAlignment="1"/>
    <xf numFmtId="178" fontId="0" fillId="0" borderId="67" xfId="0" applyNumberFormat="1" applyBorder="1" applyAlignment="1"/>
    <xf numFmtId="0" fontId="2" fillId="8" borderId="23" xfId="0" applyNumberFormat="1" applyFont="1" applyFill="1" applyBorder="1" applyAlignment="1">
      <alignment horizontal="center"/>
    </xf>
    <xf numFmtId="0" fontId="2" fillId="8" borderId="24" xfId="0" applyNumberFormat="1" applyFont="1" applyFill="1" applyBorder="1" applyAlignment="1">
      <alignment horizontal="center"/>
    </xf>
    <xf numFmtId="0" fontId="2" fillId="8" borderId="25" xfId="0" applyNumberFormat="1" applyFont="1" applyFill="1" applyBorder="1" applyAlignment="1">
      <alignment horizontal="center"/>
    </xf>
    <xf numFmtId="14" fontId="0" fillId="0" borderId="38" xfId="0" applyNumberFormat="1" applyBorder="1" applyAlignment="1"/>
    <xf numFmtId="14" fontId="3" fillId="0" borderId="67" xfId="0" applyNumberFormat="1" applyFont="1" applyBorder="1" applyAlignment="1"/>
    <xf numFmtId="14" fontId="0" fillId="0" borderId="70" xfId="0" applyNumberFormat="1" applyBorder="1" applyAlignment="1"/>
    <xf numFmtId="0" fontId="19" fillId="7" borderId="21" xfId="0" applyFont="1" applyFill="1" applyBorder="1" applyAlignment="1">
      <alignment vertical="center"/>
    </xf>
    <xf numFmtId="0" fontId="20" fillId="0" borderId="22" xfId="0" applyFont="1" applyBorder="1" applyAlignment="1">
      <alignment vertical="center"/>
    </xf>
    <xf numFmtId="0" fontId="19" fillId="7" borderId="22" xfId="0" applyFont="1" applyFill="1" applyBorder="1" applyAlignment="1">
      <alignment vertical="center"/>
    </xf>
    <xf numFmtId="0" fontId="19" fillId="7" borderId="19" xfId="0" applyFont="1" applyFill="1" applyBorder="1" applyAlignment="1">
      <alignment vertical="center"/>
    </xf>
    <xf numFmtId="0" fontId="20" fillId="0" borderId="14" xfId="0" applyFont="1" applyBorder="1" applyAlignment="1">
      <alignment vertical="center"/>
    </xf>
    <xf numFmtId="0" fontId="20" fillId="0" borderId="15" xfId="0" applyFont="1" applyBorder="1" applyAlignment="1">
      <alignment vertical="center"/>
    </xf>
    <xf numFmtId="0" fontId="20" fillId="0" borderId="16" xfId="0" applyFont="1" applyBorder="1" applyAlignment="1">
      <alignment vertical="center"/>
    </xf>
    <xf numFmtId="0" fontId="20" fillId="7" borderId="0" xfId="0" applyFont="1" applyFill="1" applyAlignment="1">
      <alignment vertical="center"/>
    </xf>
    <xf numFmtId="0" fontId="20" fillId="7" borderId="20" xfId="0" applyFont="1" applyFill="1" applyBorder="1" applyAlignment="1">
      <alignment vertical="center"/>
    </xf>
    <xf numFmtId="0" fontId="20" fillId="0" borderId="20" xfId="0" applyFont="1" applyBorder="1" applyAlignment="1">
      <alignment vertical="center"/>
    </xf>
    <xf numFmtId="0" fontId="20" fillId="0" borderId="17" xfId="0" applyFont="1" applyBorder="1" applyAlignment="1">
      <alignment vertical="center"/>
    </xf>
    <xf numFmtId="0" fontId="20" fillId="0" borderId="81" xfId="0" applyFont="1" applyBorder="1" applyAlignment="1">
      <alignment vertical="center"/>
    </xf>
    <xf numFmtId="0" fontId="20" fillId="7" borderId="16" xfId="0" applyFont="1" applyFill="1" applyBorder="1" applyAlignment="1">
      <alignment vertical="center"/>
    </xf>
    <xf numFmtId="0" fontId="20" fillId="0" borderId="80" xfId="0" applyFont="1" applyBorder="1" applyAlignment="1">
      <alignment vertical="center"/>
    </xf>
    <xf numFmtId="185" fontId="20" fillId="0" borderId="0" xfId="0" applyNumberFormat="1" applyFont="1" applyAlignment="1">
      <alignment vertical="center"/>
    </xf>
    <xf numFmtId="186" fontId="20" fillId="0" borderId="0" xfId="0" applyNumberFormat="1" applyFont="1" applyAlignment="1">
      <alignment vertical="center"/>
    </xf>
    <xf numFmtId="185" fontId="20" fillId="0" borderId="18" xfId="0" applyNumberFormat="1" applyFont="1" applyBorder="1" applyAlignment="1">
      <alignment vertical="center"/>
    </xf>
    <xf numFmtId="186" fontId="20" fillId="0" borderId="18" xfId="0" applyNumberFormat="1" applyFont="1" applyBorder="1" applyAlignment="1">
      <alignment vertical="center"/>
    </xf>
    <xf numFmtId="0" fontId="20" fillId="0" borderId="0" xfId="0" applyFont="1" applyAlignment="1">
      <alignment horizontal="center" vertical="center"/>
    </xf>
    <xf numFmtId="0" fontId="19" fillId="0" borderId="14" xfId="0" applyFont="1" applyBorder="1" applyAlignment="1">
      <alignment vertical="center"/>
    </xf>
    <xf numFmtId="0" fontId="19" fillId="0" borderId="17" xfId="0" applyFont="1" applyBorder="1" applyAlignment="1">
      <alignment vertical="center"/>
    </xf>
    <xf numFmtId="0" fontId="20" fillId="7" borderId="19" xfId="0" applyFont="1" applyFill="1" applyBorder="1" applyAlignment="1">
      <alignment vertical="center"/>
    </xf>
    <xf numFmtId="0" fontId="20" fillId="7" borderId="17" xfId="0" applyFont="1" applyFill="1" applyBorder="1" applyAlignment="1">
      <alignment vertical="center"/>
    </xf>
    <xf numFmtId="14" fontId="0" fillId="0" borderId="38" xfId="0" applyNumberFormat="1" applyBorder="1" applyAlignment="1"/>
    <xf numFmtId="14" fontId="3" fillId="0" borderId="67" xfId="0" applyNumberFormat="1" applyFont="1" applyBorder="1" applyAlignment="1"/>
    <xf numFmtId="14" fontId="0" fillId="0" borderId="67" xfId="0" applyNumberFormat="1" applyBorder="1" applyAlignment="1"/>
    <xf numFmtId="14" fontId="0" fillId="0" borderId="70" xfId="0" applyNumberFormat="1" applyBorder="1" applyAlignment="1"/>
    <xf numFmtId="0" fontId="3" fillId="0" borderId="66" xfId="0" quotePrefix="1" applyFont="1" applyBorder="1"/>
    <xf numFmtId="165" fontId="0" fillId="0" borderId="67" xfId="0" applyNumberFormat="1" applyBorder="1" applyAlignment="1"/>
    <xf numFmtId="2" fontId="0" fillId="0" borderId="78" xfId="0" applyNumberFormat="1" applyBorder="1" applyAlignment="1"/>
    <xf numFmtId="14" fontId="0" fillId="0" borderId="38" xfId="0" applyNumberFormat="1" applyBorder="1" applyAlignment="1"/>
    <xf numFmtId="14" fontId="3" fillId="0" borderId="67" xfId="0" applyNumberFormat="1" applyFont="1" applyBorder="1" applyAlignment="1"/>
    <xf numFmtId="14" fontId="0" fillId="0" borderId="67" xfId="0" applyNumberFormat="1" applyBorder="1" applyAlignment="1"/>
    <xf numFmtId="14" fontId="0" fillId="0" borderId="70" xfId="0" applyNumberFormat="1" applyBorder="1" applyAlignment="1"/>
    <xf numFmtId="14" fontId="0" fillId="0" borderId="38" xfId="0" applyNumberFormat="1" applyBorder="1" applyAlignment="1"/>
    <xf numFmtId="14" fontId="3" fillId="0" borderId="67" xfId="0" applyNumberFormat="1" applyFont="1" applyBorder="1" applyAlignment="1"/>
    <xf numFmtId="14" fontId="0" fillId="0" borderId="67" xfId="0" applyNumberFormat="1" applyBorder="1" applyAlignment="1"/>
    <xf numFmtId="14" fontId="0" fillId="0" borderId="70" xfId="0" applyNumberFormat="1" applyBorder="1" applyAlignment="1"/>
    <xf numFmtId="14" fontId="0" fillId="0" borderId="38" xfId="0" applyNumberFormat="1" applyBorder="1" applyAlignment="1"/>
    <xf numFmtId="14" fontId="3" fillId="0" borderId="67" xfId="0" applyNumberFormat="1" applyFont="1" applyBorder="1" applyAlignment="1"/>
    <xf numFmtId="14" fontId="0" fillId="0" borderId="67" xfId="0" applyNumberFormat="1" applyBorder="1" applyAlignment="1"/>
    <xf numFmtId="14" fontId="0" fillId="0" borderId="70" xfId="0" applyNumberFormat="1" applyBorder="1" applyAlignment="1"/>
    <xf numFmtId="0" fontId="0" fillId="17" borderId="0" xfId="0" applyFill="1"/>
    <xf numFmtId="0" fontId="2" fillId="17" borderId="0" xfId="0" applyFont="1" applyFill="1"/>
    <xf numFmtId="0" fontId="0" fillId="0" borderId="0" xfId="0" applyAlignment="1">
      <alignment horizontal="center"/>
    </xf>
    <xf numFmtId="0" fontId="24" fillId="18" borderId="0" xfId="0" applyFont="1" applyFill="1"/>
    <xf numFmtId="0" fontId="24" fillId="0" borderId="0" xfId="0" applyFont="1" applyFill="1"/>
    <xf numFmtId="0" fontId="25" fillId="0" borderId="0" xfId="0" applyFont="1" applyFill="1"/>
    <xf numFmtId="0" fontId="21" fillId="17" borderId="0" xfId="0" applyFont="1" applyFill="1" applyAlignment="1">
      <alignment vertical="center"/>
    </xf>
    <xf numFmtId="0" fontId="2" fillId="17" borderId="0" xfId="0" applyFont="1" applyFill="1" applyAlignment="1">
      <alignment horizontal="center"/>
    </xf>
    <xf numFmtId="0" fontId="0" fillId="19" borderId="0" xfId="0" applyFill="1"/>
    <xf numFmtId="0" fontId="20" fillId="19" borderId="0" xfId="0" applyFont="1" applyFill="1" applyAlignment="1">
      <alignment vertical="center"/>
    </xf>
    <xf numFmtId="0" fontId="20" fillId="19" borderId="0" xfId="0" applyFont="1" applyFill="1" applyAlignment="1">
      <alignment horizontal="right" vertical="center"/>
    </xf>
    <xf numFmtId="0" fontId="0" fillId="20" borderId="0" xfId="0" applyFill="1"/>
    <xf numFmtId="0" fontId="2" fillId="0" borderId="0" xfId="0" applyFont="1" applyFill="1"/>
    <xf numFmtId="14" fontId="0" fillId="0" borderId="38" xfId="0" applyNumberFormat="1" applyBorder="1" applyAlignment="1"/>
    <xf numFmtId="14" fontId="3" fillId="0" borderId="67" xfId="0" applyNumberFormat="1" applyFont="1" applyBorder="1" applyAlignment="1"/>
    <xf numFmtId="14" fontId="0" fillId="0" borderId="67" xfId="0" applyNumberFormat="1" applyBorder="1" applyAlignment="1"/>
    <xf numFmtId="14" fontId="0" fillId="0" borderId="70" xfId="0" applyNumberFormat="1" applyBorder="1" applyAlignment="1"/>
    <xf numFmtId="0" fontId="20" fillId="19" borderId="0" xfId="0" applyFont="1" applyFill="1" applyAlignment="1">
      <alignment horizontal="left" vertical="center"/>
    </xf>
    <xf numFmtId="2" fontId="20" fillId="0" borderId="0" xfId="0" applyNumberFormat="1" applyFont="1" applyAlignment="1">
      <alignment vertical="center"/>
    </xf>
    <xf numFmtId="0" fontId="26" fillId="0" borderId="0" xfId="0" applyFont="1" applyFill="1"/>
    <xf numFmtId="0" fontId="0" fillId="0" borderId="64" xfId="0" applyNumberFormat="1" applyBorder="1" applyAlignment="1"/>
    <xf numFmtId="2" fontId="3" fillId="0" borderId="0" xfId="0" applyNumberFormat="1" applyFont="1" applyFill="1" applyBorder="1" applyAlignment="1"/>
    <xf numFmtId="14" fontId="3" fillId="0" borderId="61" xfId="0" applyNumberFormat="1" applyFont="1" applyBorder="1"/>
    <xf numFmtId="0" fontId="3" fillId="0" borderId="37" xfId="0" applyFont="1" applyBorder="1" applyAlignment="1"/>
    <xf numFmtId="14" fontId="0" fillId="0" borderId="38" xfId="0" applyNumberFormat="1" applyBorder="1" applyAlignment="1"/>
    <xf numFmtId="2" fontId="3" fillId="0" borderId="38" xfId="0" applyNumberFormat="1" applyFont="1" applyBorder="1" applyAlignment="1">
      <alignment horizontal="right"/>
    </xf>
    <xf numFmtId="2" fontId="3" fillId="0" borderId="39" xfId="0" applyNumberFormat="1" applyFont="1" applyBorder="1" applyAlignment="1">
      <alignment horizontal="right"/>
    </xf>
    <xf numFmtId="2" fontId="0" fillId="0" borderId="38" xfId="0" applyNumberFormat="1" applyBorder="1" applyAlignment="1">
      <alignment horizontal="right"/>
    </xf>
    <xf numFmtId="2" fontId="0" fillId="0" borderId="39" xfId="0" applyNumberFormat="1" applyBorder="1" applyAlignment="1">
      <alignment horizontal="right"/>
    </xf>
    <xf numFmtId="2" fontId="0" fillId="0" borderId="41" xfId="0" applyNumberFormat="1" applyBorder="1" applyAlignment="1">
      <alignment horizontal="right"/>
    </xf>
    <xf numFmtId="2" fontId="0" fillId="0" borderId="42" xfId="0" applyNumberFormat="1" applyBorder="1" applyAlignment="1">
      <alignment horizontal="right"/>
    </xf>
    <xf numFmtId="2" fontId="3" fillId="0" borderId="44" xfId="0" applyNumberFormat="1" applyFont="1" applyBorder="1" applyAlignment="1">
      <alignment horizontal="right"/>
    </xf>
    <xf numFmtId="2" fontId="3" fillId="0" borderId="45" xfId="0" applyNumberFormat="1" applyFont="1" applyBorder="1" applyAlignment="1">
      <alignment horizontal="right"/>
    </xf>
    <xf numFmtId="2" fontId="3" fillId="0" borderId="67" xfId="0" applyNumberFormat="1" applyFont="1" applyBorder="1" applyAlignment="1">
      <alignment horizontal="right"/>
    </xf>
    <xf numFmtId="2" fontId="3" fillId="0" borderId="68" xfId="0" applyNumberFormat="1" applyFont="1" applyBorder="1" applyAlignment="1">
      <alignment horizontal="right"/>
    </xf>
    <xf numFmtId="2" fontId="0" fillId="0" borderId="0" xfId="0" applyNumberFormat="1" applyBorder="1" applyAlignment="1">
      <alignment horizontal="right"/>
    </xf>
    <xf numFmtId="2" fontId="0" fillId="0" borderId="62" xfId="0" applyNumberFormat="1" applyBorder="1" applyAlignment="1">
      <alignment horizontal="right"/>
    </xf>
    <xf numFmtId="2" fontId="0" fillId="0" borderId="67" xfId="0" applyNumberFormat="1" applyBorder="1" applyAlignment="1">
      <alignment horizontal="right"/>
    </xf>
    <xf numFmtId="2" fontId="3" fillId="0" borderId="24" xfId="0" applyNumberFormat="1" applyFont="1" applyBorder="1" applyAlignment="1">
      <alignment horizontal="right"/>
    </xf>
    <xf numFmtId="2" fontId="3" fillId="0" borderId="25" xfId="0" applyNumberFormat="1" applyFont="1" applyBorder="1" applyAlignment="1">
      <alignment horizontal="right"/>
    </xf>
    <xf numFmtId="0" fontId="3" fillId="0" borderId="82" xfId="0" applyFont="1" applyBorder="1"/>
    <xf numFmtId="2" fontId="0" fillId="0" borderId="83" xfId="0" applyNumberFormat="1" applyBorder="1" applyAlignment="1">
      <alignment horizontal="right"/>
    </xf>
    <xf numFmtId="2" fontId="0" fillId="0" borderId="84" xfId="0" applyNumberFormat="1" applyBorder="1" applyAlignment="1">
      <alignment horizontal="right"/>
    </xf>
    <xf numFmtId="165" fontId="0" fillId="0" borderId="67" xfId="0" applyNumberFormat="1" applyBorder="1" applyAlignment="1">
      <alignment horizontal="right"/>
    </xf>
    <xf numFmtId="191" fontId="0" fillId="0" borderId="68" xfId="0" applyNumberFormat="1" applyBorder="1" applyAlignment="1">
      <alignment horizontal="right"/>
    </xf>
    <xf numFmtId="178" fontId="0" fillId="0" borderId="0" xfId="0" applyNumberFormat="1" applyBorder="1" applyAlignment="1">
      <alignment horizontal="right"/>
    </xf>
    <xf numFmtId="192" fontId="0" fillId="0" borderId="62" xfId="0" applyNumberFormat="1" applyBorder="1" applyAlignment="1">
      <alignment horizontal="right"/>
    </xf>
    <xf numFmtId="165" fontId="0" fillId="0" borderId="38" xfId="0" applyNumberFormat="1" applyBorder="1" applyAlignment="1">
      <alignment horizontal="right"/>
    </xf>
    <xf numFmtId="192" fontId="0" fillId="0" borderId="41" xfId="0" applyNumberFormat="1" applyBorder="1" applyAlignment="1">
      <alignment horizontal="right"/>
    </xf>
    <xf numFmtId="14" fontId="3" fillId="0" borderId="67" xfId="0" applyNumberFormat="1" applyFont="1" applyBorder="1" applyAlignment="1"/>
    <xf numFmtId="14" fontId="0" fillId="0" borderId="67" xfId="0" applyNumberFormat="1" applyBorder="1" applyAlignment="1"/>
    <xf numFmtId="14" fontId="0" fillId="0" borderId="70" xfId="0" applyNumberFormat="1" applyBorder="1" applyAlignment="1"/>
    <xf numFmtId="0" fontId="0" fillId="21" borderId="0" xfId="0" applyFill="1"/>
    <xf numFmtId="14" fontId="0" fillId="0" borderId="38" xfId="0" applyNumberFormat="1" applyBorder="1" applyAlignment="1"/>
    <xf numFmtId="14" fontId="2" fillId="8" borderId="35" xfId="0" applyNumberFormat="1" applyFont="1" applyFill="1" applyBorder="1" applyAlignment="1"/>
    <xf numFmtId="0" fontId="2" fillId="8" borderId="23" xfId="0" applyNumberFormat="1" applyFont="1" applyFill="1" applyBorder="1" applyAlignment="1"/>
    <xf numFmtId="0" fontId="2" fillId="8" borderId="24" xfId="0" applyNumberFormat="1" applyFont="1" applyFill="1" applyBorder="1" applyAlignment="1"/>
    <xf numFmtId="0" fontId="2" fillId="8" borderId="25" xfId="0" applyNumberFormat="1" applyFont="1" applyFill="1" applyBorder="1" applyAlignment="1"/>
    <xf numFmtId="0" fontId="2" fillId="8" borderId="34" xfId="0" applyNumberFormat="1" applyFont="1" applyFill="1" applyBorder="1" applyAlignment="1"/>
    <xf numFmtId="0" fontId="2" fillId="8" borderId="35" xfId="0" applyNumberFormat="1" applyFont="1" applyFill="1" applyBorder="1" applyAlignment="1"/>
    <xf numFmtId="0" fontId="3" fillId="0" borderId="37" xfId="0" applyNumberFormat="1" applyFont="1" applyBorder="1" applyAlignment="1"/>
    <xf numFmtId="0" fontId="3" fillId="0" borderId="66" xfId="0" applyNumberFormat="1" applyFont="1" applyBorder="1" applyAlignment="1"/>
    <xf numFmtId="14" fontId="3" fillId="0" borderId="61" xfId="0" applyNumberFormat="1" applyFont="1" applyBorder="1" applyAlignment="1"/>
    <xf numFmtId="0" fontId="27" fillId="0" borderId="0" xfId="0" applyFont="1"/>
    <xf numFmtId="0" fontId="2" fillId="22" borderId="0" xfId="0" applyFont="1" applyFill="1"/>
    <xf numFmtId="0" fontId="0" fillId="0" borderId="85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90" xfId="0" applyBorder="1"/>
    <xf numFmtId="0" fontId="0" fillId="0" borderId="91" xfId="0" applyBorder="1"/>
    <xf numFmtId="0" fontId="0" fillId="0" borderId="92" xfId="0" applyBorder="1"/>
    <xf numFmtId="0" fontId="0" fillId="20" borderId="85" xfId="0" applyFill="1" applyBorder="1" applyAlignment="1">
      <alignment horizontal="center" vertical="center"/>
    </xf>
    <xf numFmtId="0" fontId="0" fillId="20" borderId="85" xfId="0" applyFill="1" applyBorder="1"/>
    <xf numFmtId="0" fontId="0" fillId="0" borderId="85" xfId="0" applyFill="1" applyBorder="1"/>
    <xf numFmtId="0" fontId="0" fillId="0" borderId="97" xfId="0" applyFill="1" applyBorder="1"/>
    <xf numFmtId="0" fontId="0" fillId="0" borderId="98" xfId="0" quotePrefix="1" applyFill="1" applyBorder="1"/>
    <xf numFmtId="0" fontId="0" fillId="0" borderId="98" xfId="0" applyFill="1" applyBorder="1"/>
    <xf numFmtId="0" fontId="0" fillId="0" borderId="99" xfId="0" applyFill="1" applyBorder="1"/>
    <xf numFmtId="0" fontId="0" fillId="0" borderId="100" xfId="0" applyFill="1" applyBorder="1"/>
    <xf numFmtId="0" fontId="0" fillId="0" borderId="101" xfId="0" applyFill="1" applyBorder="1"/>
    <xf numFmtId="0" fontId="0" fillId="0" borderId="94" xfId="0" applyBorder="1"/>
    <xf numFmtId="0" fontId="0" fillId="0" borderId="95" xfId="0" applyBorder="1"/>
    <xf numFmtId="0" fontId="0" fillId="0" borderId="96" xfId="0" applyBorder="1"/>
    <xf numFmtId="0" fontId="0" fillId="0" borderId="97" xfId="0" applyBorder="1"/>
    <xf numFmtId="0" fontId="0" fillId="0" borderId="98" xfId="0" applyBorder="1"/>
    <xf numFmtId="0" fontId="0" fillId="0" borderId="102" xfId="0" applyBorder="1"/>
    <xf numFmtId="0" fontId="0" fillId="0" borderId="98" xfId="0" quotePrefix="1" applyBorder="1"/>
    <xf numFmtId="0" fontId="0" fillId="0" borderId="103" xfId="0" applyBorder="1"/>
    <xf numFmtId="0" fontId="0" fillId="0" borderId="104" xfId="0" applyBorder="1"/>
    <xf numFmtId="0" fontId="0" fillId="0" borderId="105" xfId="0" applyBorder="1"/>
    <xf numFmtId="0" fontId="0" fillId="0" borderId="99" xfId="0" applyBorder="1"/>
    <xf numFmtId="0" fontId="0" fillId="0" borderId="100" xfId="0" applyBorder="1"/>
    <xf numFmtId="0" fontId="0" fillId="0" borderId="101" xfId="0" applyBorder="1"/>
    <xf numFmtId="0" fontId="0" fillId="20" borderId="93" xfId="0" applyFill="1" applyBorder="1"/>
    <xf numFmtId="0" fontId="0" fillId="20" borderId="106" xfId="0" applyFill="1" applyBorder="1"/>
    <xf numFmtId="0" fontId="0" fillId="0" borderId="102" xfId="0" applyFill="1" applyBorder="1"/>
    <xf numFmtId="0" fontId="0" fillId="0" borderId="107" xfId="0" quotePrefix="1" applyFill="1" applyBorder="1"/>
    <xf numFmtId="0" fontId="0" fillId="20" borderId="108" xfId="0" applyFill="1" applyBorder="1"/>
    <xf numFmtId="0" fontId="0" fillId="20" borderId="86" xfId="0" quotePrefix="1" applyFill="1" applyBorder="1"/>
    <xf numFmtId="0" fontId="2" fillId="23" borderId="0" xfId="0" applyFont="1" applyFill="1"/>
    <xf numFmtId="164" fontId="0" fillId="0" borderId="0" xfId="0" applyNumberFormat="1" applyFont="1" applyFill="1" applyBorder="1"/>
    <xf numFmtId="0" fontId="0" fillId="6" borderId="0" xfId="0" quotePrefix="1" applyFill="1"/>
    <xf numFmtId="0" fontId="0" fillId="18" borderId="0" xfId="0" quotePrefix="1" applyFill="1"/>
    <xf numFmtId="0" fontId="0" fillId="18" borderId="0" xfId="0" applyFill="1"/>
    <xf numFmtId="164" fontId="0" fillId="4" borderId="2" xfId="0" applyNumberFormat="1" applyFont="1" applyFill="1" applyBorder="1"/>
    <xf numFmtId="164" fontId="0" fillId="4" borderId="10" xfId="0" applyNumberFormat="1" applyFont="1" applyFill="1" applyBorder="1"/>
    <xf numFmtId="164" fontId="0" fillId="4" borderId="3" xfId="0" applyNumberFormat="1" applyFont="1" applyFill="1" applyBorder="1"/>
    <xf numFmtId="164" fontId="0" fillId="4" borderId="8" xfId="0" applyNumberFormat="1" applyFont="1" applyFill="1" applyBorder="1"/>
    <xf numFmtId="193" fontId="0" fillId="0" borderId="0" xfId="0" applyNumberFormat="1" applyFont="1" applyFill="1" applyBorder="1"/>
    <xf numFmtId="194" fontId="0" fillId="0" borderId="0" xfId="0" applyNumberFormat="1"/>
    <xf numFmtId="1" fontId="0" fillId="0" borderId="0" xfId="0" applyNumberFormat="1" applyFont="1" applyBorder="1"/>
    <xf numFmtId="164" fontId="0" fillId="0" borderId="0" xfId="0" applyNumberFormat="1" applyFont="1" applyBorder="1"/>
    <xf numFmtId="164" fontId="0" fillId="0" borderId="0" xfId="0" applyNumberFormat="1"/>
    <xf numFmtId="164" fontId="28" fillId="0" borderId="0" xfId="0" applyNumberFormat="1" applyFont="1" applyFill="1" applyBorder="1"/>
    <xf numFmtId="0" fontId="2" fillId="5" borderId="0" xfId="0" applyFont="1" applyFill="1"/>
    <xf numFmtId="14" fontId="0" fillId="0" borderId="38" xfId="0" applyNumberFormat="1" applyBorder="1" applyAlignment="1"/>
    <xf numFmtId="14" fontId="3" fillId="0" borderId="67" xfId="0" applyNumberFormat="1" applyFont="1" applyBorder="1" applyAlignment="1"/>
    <xf numFmtId="14" fontId="0" fillId="0" borderId="67" xfId="0" applyNumberFormat="1" applyBorder="1" applyAlignment="1"/>
    <xf numFmtId="14" fontId="0" fillId="0" borderId="70" xfId="0" applyNumberFormat="1" applyBorder="1" applyAlignment="1"/>
    <xf numFmtId="14" fontId="0" fillId="0" borderId="38" xfId="0" applyNumberFormat="1" applyBorder="1" applyAlignment="1"/>
    <xf numFmtId="14" fontId="3" fillId="0" borderId="67" xfId="0" applyNumberFormat="1" applyFont="1" applyBorder="1" applyAlignment="1"/>
    <xf numFmtId="14" fontId="0" fillId="0" borderId="67" xfId="0" applyNumberFormat="1" applyBorder="1" applyAlignment="1"/>
    <xf numFmtId="14" fontId="0" fillId="0" borderId="70" xfId="0" applyNumberFormat="1" applyBorder="1" applyAlignment="1"/>
    <xf numFmtId="2" fontId="0" fillId="0" borderId="0" xfId="0" applyNumberFormat="1" applyFont="1" applyFill="1" applyBorder="1" applyAlignment="1">
      <alignment horizontal="left"/>
    </xf>
    <xf numFmtId="2" fontId="0" fillId="0" borderId="0" xfId="0" applyNumberFormat="1" applyFill="1" applyBorder="1" applyAlignment="1">
      <alignment horizontal="right"/>
    </xf>
    <xf numFmtId="0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2" fillId="24" borderId="0" xfId="0" applyFont="1" applyFill="1"/>
    <xf numFmtId="164" fontId="27" fillId="0" borderId="2" xfId="0" applyNumberFormat="1" applyFont="1" applyBorder="1"/>
    <xf numFmtId="164" fontId="27" fillId="0" borderId="10" xfId="0" applyNumberFormat="1" applyFont="1" applyBorder="1"/>
    <xf numFmtId="164" fontId="29" fillId="0" borderId="2" xfId="0" applyNumberFormat="1" applyFont="1" applyBorder="1"/>
    <xf numFmtId="164" fontId="29" fillId="0" borderId="10" xfId="0" applyNumberFormat="1" applyFont="1" applyBorder="1"/>
    <xf numFmtId="164" fontId="0" fillId="10" borderId="2" xfId="0" applyNumberFormat="1" applyFont="1" applyFill="1" applyBorder="1"/>
    <xf numFmtId="164" fontId="0" fillId="26" borderId="2" xfId="0" applyNumberFormat="1" applyFont="1" applyFill="1" applyBorder="1"/>
    <xf numFmtId="164" fontId="0" fillId="27" borderId="2" xfId="0" applyNumberFormat="1" applyFont="1" applyFill="1" applyBorder="1"/>
    <xf numFmtId="0" fontId="0" fillId="26" borderId="0" xfId="0" applyFill="1"/>
    <xf numFmtId="0" fontId="0" fillId="25" borderId="0" xfId="0" applyFill="1" applyAlignment="1">
      <alignment horizontal="left" vertical="center"/>
    </xf>
    <xf numFmtId="0" fontId="3" fillId="25" borderId="0" xfId="0" applyFont="1" applyFill="1" applyAlignment="1">
      <alignment horizontal="left" vertical="center"/>
    </xf>
    <xf numFmtId="0" fontId="3" fillId="28" borderId="0" xfId="0" applyFont="1" applyFill="1"/>
    <xf numFmtId="0" fontId="2" fillId="29" borderId="0" xfId="0" applyFont="1" applyFill="1"/>
    <xf numFmtId="0" fontId="0" fillId="27" borderId="0" xfId="0" applyFill="1"/>
    <xf numFmtId="164" fontId="0" fillId="0" borderId="2" xfId="0" quotePrefix="1" applyNumberFormat="1" applyFont="1" applyBorder="1"/>
    <xf numFmtId="164" fontId="0" fillId="0" borderId="8" xfId="0" quotePrefix="1" applyNumberFormat="1" applyFont="1" applyBorder="1"/>
    <xf numFmtId="164" fontId="0" fillId="0" borderId="3" xfId="0" quotePrefix="1" applyNumberFormat="1" applyFont="1" applyBorder="1"/>
    <xf numFmtId="0" fontId="2" fillId="13" borderId="0" xfId="0" applyFont="1" applyFill="1" applyBorder="1"/>
    <xf numFmtId="0" fontId="0" fillId="0" borderId="57" xfId="0" applyFont="1" applyBorder="1"/>
    <xf numFmtId="14" fontId="0" fillId="0" borderId="38" xfId="0" applyNumberFormat="1" applyBorder="1" applyAlignment="1"/>
    <xf numFmtId="14" fontId="3" fillId="0" borderId="67" xfId="0" applyNumberFormat="1" applyFont="1" applyBorder="1" applyAlignment="1"/>
    <xf numFmtId="14" fontId="0" fillId="0" borderId="67" xfId="0" applyNumberFormat="1" applyBorder="1" applyAlignment="1"/>
    <xf numFmtId="14" fontId="0" fillId="0" borderId="70" xfId="0" applyNumberFormat="1" applyBorder="1" applyAlignment="1"/>
    <xf numFmtId="14" fontId="0" fillId="0" borderId="38" xfId="0" applyNumberFormat="1" applyBorder="1" applyAlignment="1"/>
    <xf numFmtId="14" fontId="3" fillId="0" borderId="67" xfId="0" applyNumberFormat="1" applyFont="1" applyBorder="1" applyAlignment="1"/>
    <xf numFmtId="14" fontId="0" fillId="0" borderId="67" xfId="0" applyNumberFormat="1" applyBorder="1" applyAlignment="1"/>
    <xf numFmtId="14" fontId="0" fillId="0" borderId="70" xfId="0" applyNumberFormat="1" applyBorder="1" applyAlignment="1"/>
    <xf numFmtId="0" fontId="2" fillId="5" borderId="75" xfId="0" applyFont="1" applyFill="1" applyBorder="1" applyAlignment="1"/>
    <xf numFmtId="0" fontId="2" fillId="5" borderId="76" xfId="0" applyFont="1" applyFill="1" applyBorder="1" applyAlignment="1"/>
    <xf numFmtId="0" fontId="2" fillId="5" borderId="77" xfId="0" applyFont="1" applyFill="1" applyBorder="1" applyAlignment="1"/>
    <xf numFmtId="2" fontId="0" fillId="5" borderId="67" xfId="0" applyNumberFormat="1" applyFill="1" applyBorder="1" applyAlignment="1"/>
    <xf numFmtId="2" fontId="0" fillId="5" borderId="70" xfId="0" applyNumberFormat="1" applyFill="1" applyBorder="1" applyAlignment="1"/>
    <xf numFmtId="2" fontId="0" fillId="5" borderId="68" xfId="0" applyNumberFormat="1" applyFill="1" applyBorder="1" applyAlignment="1"/>
    <xf numFmtId="2" fontId="0" fillId="5" borderId="71" xfId="0" applyNumberFormat="1" applyFill="1" applyBorder="1" applyAlignment="1"/>
    <xf numFmtId="14" fontId="0" fillId="0" borderId="38" xfId="0" applyNumberFormat="1" applyBorder="1" applyAlignment="1"/>
    <xf numFmtId="14" fontId="3" fillId="0" borderId="67" xfId="0" applyNumberFormat="1" applyFont="1" applyBorder="1" applyAlignment="1"/>
    <xf numFmtId="14" fontId="0" fillId="0" borderId="70" xfId="0" applyNumberFormat="1" applyBorder="1" applyAlignment="1"/>
    <xf numFmtId="14" fontId="0" fillId="0" borderId="67" xfId="0" applyNumberFormat="1" applyBorder="1" applyAlignment="1"/>
    <xf numFmtId="2" fontId="0" fillId="0" borderId="59" xfId="0" applyNumberFormat="1" applyBorder="1" applyAlignment="1"/>
    <xf numFmtId="2" fontId="0" fillId="0" borderId="60" xfId="0" applyNumberFormat="1" applyBorder="1" applyAlignment="1"/>
    <xf numFmtId="14" fontId="0" fillId="0" borderId="38" xfId="0" applyNumberFormat="1" applyBorder="1" applyAlignment="1"/>
    <xf numFmtId="14" fontId="2" fillId="8" borderId="35" xfId="0" applyNumberFormat="1" applyFont="1" applyFill="1" applyBorder="1" applyAlignment="1"/>
    <xf numFmtId="14" fontId="0" fillId="0" borderId="38" xfId="0" applyNumberFormat="1" applyBorder="1" applyAlignment="1"/>
    <xf numFmtId="14" fontId="2" fillId="8" borderId="35" xfId="0" applyNumberFormat="1" applyFont="1" applyFill="1" applyBorder="1" applyAlignment="1"/>
    <xf numFmtId="14" fontId="2" fillId="13" borderId="0" xfId="0" applyNumberFormat="1" applyFont="1" applyFill="1" applyBorder="1"/>
    <xf numFmtId="0" fontId="0" fillId="14" borderId="0" xfId="0" applyFont="1" applyFill="1" applyBorder="1"/>
    <xf numFmtId="14" fontId="0" fillId="0" borderId="38" xfId="0" applyNumberFormat="1" applyBorder="1" applyAlignment="1"/>
    <xf numFmtId="14" fontId="2" fillId="8" borderId="35" xfId="0" applyNumberFormat="1" applyFont="1" applyFill="1" applyBorder="1" applyAlignment="1"/>
    <xf numFmtId="0" fontId="4" fillId="0" borderId="12" xfId="0" applyFont="1" applyBorder="1"/>
    <xf numFmtId="2" fontId="0" fillId="0" borderId="0" xfId="0" applyNumberFormat="1" applyBorder="1" applyAlignment="1">
      <alignment horizontal="left" vertical="top"/>
    </xf>
    <xf numFmtId="2" fontId="0" fillId="0" borderId="62" xfId="0" applyNumberFormat="1" applyBorder="1" applyAlignment="1">
      <alignment horizontal="left" vertical="top"/>
    </xf>
    <xf numFmtId="2" fontId="0" fillId="0" borderId="59" xfId="0" applyNumberFormat="1" applyBorder="1" applyAlignment="1">
      <alignment horizontal="left" vertical="top"/>
    </xf>
    <xf numFmtId="2" fontId="0" fillId="0" borderId="60" xfId="0" applyNumberFormat="1" applyBorder="1" applyAlignment="1">
      <alignment horizontal="left" vertical="top"/>
    </xf>
    <xf numFmtId="175" fontId="19" fillId="16" borderId="18" xfId="0" applyNumberFormat="1" applyFont="1" applyFill="1" applyBorder="1" applyAlignment="1">
      <alignment vertical="center"/>
    </xf>
    <xf numFmtId="175" fontId="19" fillId="16" borderId="81" xfId="0" applyNumberFormat="1" applyFont="1" applyFill="1" applyBorder="1" applyAlignment="1">
      <alignment vertical="center"/>
    </xf>
    <xf numFmtId="0" fontId="19" fillId="7" borderId="0" xfId="0" applyFont="1" applyFill="1" applyAlignment="1">
      <alignment horizontal="center" vertical="center"/>
    </xf>
    <xf numFmtId="190" fontId="19" fillId="16" borderId="15" xfId="0" applyNumberFormat="1" applyFont="1" applyFill="1" applyBorder="1" applyAlignment="1">
      <alignment vertical="center"/>
    </xf>
    <xf numFmtId="190" fontId="19" fillId="16" borderId="16" xfId="0" applyNumberFormat="1" applyFont="1" applyFill="1" applyBorder="1" applyAlignment="1">
      <alignment vertical="center"/>
    </xf>
    <xf numFmtId="0" fontId="20" fillId="0" borderId="0" xfId="0" applyFont="1" applyAlignment="1">
      <alignment vertical="top"/>
    </xf>
    <xf numFmtId="0" fontId="20" fillId="0" borderId="20" xfId="0" applyFont="1" applyBorder="1" applyAlignment="1">
      <alignment vertical="top"/>
    </xf>
    <xf numFmtId="0" fontId="20" fillId="0" borderId="18" xfId="0" applyFont="1" applyBorder="1" applyAlignment="1">
      <alignment vertical="top"/>
    </xf>
    <xf numFmtId="0" fontId="20" fillId="0" borderId="81" xfId="0" applyFont="1" applyBorder="1" applyAlignment="1">
      <alignment vertical="top"/>
    </xf>
    <xf numFmtId="189" fontId="20" fillId="0" borderId="19" xfId="0" applyNumberFormat="1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2" fontId="20" fillId="0" borderId="20" xfId="0" applyNumberFormat="1" applyFont="1" applyBorder="1" applyAlignment="1">
      <alignment vertical="center"/>
    </xf>
    <xf numFmtId="2" fontId="19" fillId="16" borderId="18" xfId="0" applyNumberFormat="1" applyFont="1" applyFill="1" applyBorder="1" applyAlignment="1">
      <alignment vertical="center"/>
    </xf>
    <xf numFmtId="2" fontId="19" fillId="16" borderId="81" xfId="0" applyNumberFormat="1" applyFont="1" applyFill="1" applyBorder="1" applyAlignment="1">
      <alignment vertical="center"/>
    </xf>
    <xf numFmtId="2" fontId="20" fillId="0" borderId="18" xfId="0" applyNumberFormat="1" applyFont="1" applyBorder="1" applyAlignment="1">
      <alignment vertical="center"/>
    </xf>
    <xf numFmtId="2" fontId="20" fillId="0" borderId="81" xfId="0" applyNumberFormat="1" applyFont="1" applyBorder="1" applyAlignment="1">
      <alignment vertical="center"/>
    </xf>
    <xf numFmtId="0" fontId="19" fillId="7" borderId="15" xfId="0" applyFont="1" applyFill="1" applyBorder="1" applyAlignment="1">
      <alignment horizontal="center" vertical="center"/>
    </xf>
    <xf numFmtId="0" fontId="19" fillId="7" borderId="16" xfId="0" applyFont="1" applyFill="1" applyBorder="1" applyAlignment="1">
      <alignment horizontal="center" vertical="center"/>
    </xf>
    <xf numFmtId="2" fontId="19" fillId="16" borderId="15" xfId="0" applyNumberFormat="1" applyFont="1" applyFill="1" applyBorder="1" applyAlignment="1">
      <alignment vertical="center"/>
    </xf>
    <xf numFmtId="2" fontId="19" fillId="16" borderId="16" xfId="0" applyNumberFormat="1" applyFont="1" applyFill="1" applyBorder="1" applyAlignment="1">
      <alignment vertical="center"/>
    </xf>
    <xf numFmtId="175" fontId="19" fillId="16" borderId="22" xfId="0" applyNumberFormat="1" applyFont="1" applyFill="1" applyBorder="1" applyAlignment="1">
      <alignment vertical="center"/>
    </xf>
    <xf numFmtId="175" fontId="19" fillId="16" borderId="80" xfId="0" applyNumberFormat="1" applyFont="1" applyFill="1" applyBorder="1" applyAlignment="1">
      <alignment vertical="center"/>
    </xf>
    <xf numFmtId="187" fontId="20" fillId="0" borderId="17" xfId="0" applyNumberFormat="1" applyFont="1" applyBorder="1" applyAlignment="1">
      <alignment horizontal="left" vertical="center"/>
    </xf>
    <xf numFmtId="187" fontId="20" fillId="0" borderId="18" xfId="0" applyNumberFormat="1" applyFont="1" applyBorder="1" applyAlignment="1">
      <alignment horizontal="left" vertical="center"/>
    </xf>
    <xf numFmtId="188" fontId="20" fillId="0" borderId="18" xfId="0" applyNumberFormat="1" applyFont="1" applyBorder="1" applyAlignment="1">
      <alignment vertical="center"/>
    </xf>
    <xf numFmtId="2" fontId="20" fillId="0" borderId="18" xfId="0" applyNumberFormat="1" applyFont="1" applyBorder="1" applyAlignment="1">
      <alignment horizontal="center" vertical="center"/>
    </xf>
    <xf numFmtId="0" fontId="19" fillId="0" borderId="22" xfId="0" applyFont="1" applyBorder="1" applyAlignment="1">
      <alignment vertical="center"/>
    </xf>
    <xf numFmtId="0" fontId="19" fillId="0" borderId="22" xfId="0" applyFont="1" applyBorder="1" applyAlignment="1">
      <alignment horizontal="right" vertical="center"/>
    </xf>
    <xf numFmtId="0" fontId="19" fillId="0" borderId="80" xfId="0" applyFont="1" applyBorder="1" applyAlignment="1">
      <alignment horizontal="right" vertical="center"/>
    </xf>
    <xf numFmtId="0" fontId="20" fillId="0" borderId="17" xfId="0" applyFont="1" applyBorder="1" applyAlignment="1">
      <alignment horizontal="left" vertical="center"/>
    </xf>
    <xf numFmtId="0" fontId="20" fillId="0" borderId="18" xfId="0" applyFont="1" applyBorder="1" applyAlignment="1">
      <alignment horizontal="left" vertical="center"/>
    </xf>
    <xf numFmtId="179" fontId="20" fillId="0" borderId="15" xfId="0" applyNumberFormat="1" applyFont="1" applyBorder="1" applyAlignment="1">
      <alignment vertical="center"/>
    </xf>
    <xf numFmtId="179" fontId="20" fillId="0" borderId="16" xfId="0" applyNumberFormat="1" applyFont="1" applyBorder="1" applyAlignment="1">
      <alignment vertical="center"/>
    </xf>
    <xf numFmtId="180" fontId="20" fillId="0" borderId="19" xfId="0" applyNumberFormat="1" applyFont="1" applyBorder="1" applyAlignment="1">
      <alignment horizontal="left" vertical="center"/>
    </xf>
    <xf numFmtId="0" fontId="20" fillId="0" borderId="15" xfId="0" applyFont="1" applyBorder="1" applyAlignment="1">
      <alignment vertical="center"/>
    </xf>
    <xf numFmtId="165" fontId="20" fillId="0" borderId="15" xfId="0" applyNumberFormat="1" applyFont="1" applyBorder="1" applyAlignment="1">
      <alignment vertical="center"/>
    </xf>
    <xf numFmtId="183" fontId="20" fillId="0" borderId="19" xfId="0" applyNumberFormat="1" applyFont="1" applyBorder="1" applyAlignment="1">
      <alignment horizontal="left" vertical="center"/>
    </xf>
    <xf numFmtId="183" fontId="20" fillId="0" borderId="0" xfId="0" applyNumberFormat="1" applyFont="1" applyAlignment="1">
      <alignment horizontal="left" vertical="center"/>
    </xf>
    <xf numFmtId="0" fontId="20" fillId="0" borderId="0" xfId="0" applyFont="1" applyAlignment="1">
      <alignment vertical="center"/>
    </xf>
    <xf numFmtId="181" fontId="20" fillId="0" borderId="0" xfId="0" applyNumberFormat="1" applyFont="1" applyAlignment="1">
      <alignment vertical="center"/>
    </xf>
    <xf numFmtId="182" fontId="20" fillId="0" borderId="0" xfId="0" applyNumberFormat="1" applyFont="1" applyAlignment="1">
      <alignment vertical="center"/>
    </xf>
    <xf numFmtId="182" fontId="20" fillId="0" borderId="20" xfId="0" applyNumberFormat="1" applyFont="1" applyBorder="1" applyAlignment="1">
      <alignment vertical="center"/>
    </xf>
    <xf numFmtId="0" fontId="20" fillId="0" borderId="14" xfId="0" applyFont="1" applyBorder="1" applyAlignment="1">
      <alignment horizontal="left" vertical="center"/>
    </xf>
    <xf numFmtId="0" fontId="20" fillId="0" borderId="15" xfId="0" applyFont="1" applyBorder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0" fillId="0" borderId="22" xfId="0" applyFont="1" applyBorder="1" applyAlignment="1">
      <alignment vertical="center"/>
    </xf>
    <xf numFmtId="0" fontId="19" fillId="7" borderId="22" xfId="0" applyFont="1" applyFill="1" applyBorder="1" applyAlignment="1">
      <alignment vertical="center"/>
    </xf>
    <xf numFmtId="0" fontId="19" fillId="7" borderId="80" xfId="0" applyFont="1" applyFill="1" applyBorder="1" applyAlignment="1">
      <alignment vertical="center"/>
    </xf>
    <xf numFmtId="0" fontId="20" fillId="0" borderId="20" xfId="0" applyFont="1" applyBorder="1" applyAlignment="1">
      <alignment horizontal="left" vertical="center"/>
    </xf>
    <xf numFmtId="2" fontId="20" fillId="0" borderId="15" xfId="0" applyNumberFormat="1" applyFont="1" applyBorder="1" applyAlignment="1">
      <alignment vertical="center"/>
    </xf>
    <xf numFmtId="2" fontId="20" fillId="0" borderId="16" xfId="0" applyNumberFormat="1" applyFont="1" applyBorder="1" applyAlignment="1">
      <alignment vertical="center"/>
    </xf>
    <xf numFmtId="2" fontId="19" fillId="16" borderId="21" xfId="0" applyNumberFormat="1" applyFont="1" applyFill="1" applyBorder="1" applyAlignment="1">
      <alignment vertical="center"/>
    </xf>
    <xf numFmtId="2" fontId="19" fillId="16" borderId="80" xfId="0" applyNumberFormat="1" applyFont="1" applyFill="1" applyBorder="1" applyAlignment="1">
      <alignment vertical="center"/>
    </xf>
    <xf numFmtId="0" fontId="20" fillId="0" borderId="0" xfId="0" applyFont="1" applyAlignment="1">
      <alignment horizontal="center" vertical="center"/>
    </xf>
    <xf numFmtId="185" fontId="20" fillId="0" borderId="15" xfId="0" applyNumberFormat="1" applyFont="1" applyBorder="1" applyAlignment="1">
      <alignment vertical="center"/>
    </xf>
    <xf numFmtId="0" fontId="19" fillId="0" borderId="21" xfId="0" applyFont="1" applyBorder="1" applyAlignment="1">
      <alignment horizontal="left" vertical="center"/>
    </xf>
    <xf numFmtId="0" fontId="19" fillId="0" borderId="22" xfId="0" applyFont="1" applyBorder="1" applyAlignment="1">
      <alignment horizontal="left" vertical="center"/>
    </xf>
    <xf numFmtId="0" fontId="19" fillId="0" borderId="22" xfId="0" applyFont="1" applyBorder="1" applyAlignment="1">
      <alignment horizontal="center" vertical="center"/>
    </xf>
    <xf numFmtId="184" fontId="20" fillId="0" borderId="14" xfId="0" applyNumberFormat="1" applyFont="1" applyBorder="1" applyAlignment="1">
      <alignment horizontal="left" vertical="center"/>
    </xf>
    <xf numFmtId="184" fontId="20" fillId="0" borderId="15" xfId="0" applyNumberFormat="1" applyFont="1" applyBorder="1" applyAlignment="1">
      <alignment horizontal="left" vertical="center"/>
    </xf>
    <xf numFmtId="0" fontId="0" fillId="0" borderId="0" xfId="0" applyFill="1" applyBorder="1" applyAlignment="1">
      <alignment horizontal="center"/>
    </xf>
    <xf numFmtId="195" fontId="0" fillId="0" borderId="38" xfId="0" applyNumberFormat="1" applyBorder="1" applyAlignment="1"/>
    <xf numFmtId="195" fontId="3" fillId="0" borderId="67" xfId="0" applyNumberFormat="1" applyFont="1" applyBorder="1" applyAlignment="1"/>
    <xf numFmtId="195" fontId="0" fillId="0" borderId="70" xfId="0" applyNumberFormat="1" applyBorder="1" applyAlignment="1"/>
  </cellXfs>
  <cellStyles count="1">
    <cellStyle name="Normal" xfId="0" builtinId="0"/>
  </cellStyles>
  <dxfs count="441">
    <dxf>
      <font>
        <b/>
        <i val="0"/>
        <strike val="0"/>
        <color theme="0"/>
      </font>
      <fill>
        <patternFill>
          <bgColor theme="9"/>
        </patternFill>
      </fill>
    </dxf>
    <dxf>
      <font>
        <b/>
        <i val="0"/>
        <strike val="0"/>
        <color theme="0"/>
      </font>
      <fill>
        <patternFill>
          <bgColor theme="5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strike val="0"/>
        <color theme="0"/>
      </font>
      <fill>
        <patternFill>
          <bgColor theme="9"/>
        </patternFill>
      </fill>
    </dxf>
    <dxf>
      <font>
        <b/>
        <i val="0"/>
        <strike val="0"/>
        <color theme="0"/>
      </font>
      <fill>
        <patternFill>
          <bgColor theme="5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font>
        <b/>
        <i val="0"/>
        <strike val="0"/>
        <color theme="0"/>
      </font>
      <fill>
        <patternFill>
          <bgColor theme="9"/>
        </patternFill>
      </fill>
    </dxf>
    <dxf>
      <font>
        <b/>
        <i val="0"/>
        <strike val="0"/>
        <color theme="0"/>
      </font>
      <fill>
        <patternFill>
          <bgColor theme="5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strike val="0"/>
        <color theme="0"/>
      </font>
      <fill>
        <patternFill>
          <bgColor theme="9"/>
        </patternFill>
      </fill>
    </dxf>
    <dxf>
      <font>
        <b/>
        <i val="0"/>
        <strike val="0"/>
        <color theme="0"/>
      </font>
      <fill>
        <patternFill>
          <bgColor theme="5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font>
        <b/>
        <i val="0"/>
        <strike val="0"/>
        <color theme="0"/>
      </font>
      <fill>
        <patternFill>
          <bgColor theme="9"/>
        </patternFill>
      </fill>
    </dxf>
    <dxf>
      <font>
        <b/>
        <i val="0"/>
        <strike val="0"/>
        <color theme="0"/>
      </font>
      <fill>
        <patternFill>
          <bgColor theme="5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strike val="0"/>
        <color theme="0"/>
      </font>
      <fill>
        <patternFill>
          <bgColor theme="9"/>
        </patternFill>
      </fill>
    </dxf>
    <dxf>
      <font>
        <b/>
        <i val="0"/>
        <strike val="0"/>
        <color theme="0"/>
      </font>
      <fill>
        <patternFill>
          <bgColor theme="5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font>
        <b/>
        <i val="0"/>
        <strike val="0"/>
        <color theme="0"/>
      </font>
      <fill>
        <patternFill>
          <bgColor theme="9"/>
        </patternFill>
      </fill>
    </dxf>
    <dxf>
      <font>
        <b/>
        <i val="0"/>
        <strike val="0"/>
        <color theme="0"/>
      </font>
      <fill>
        <patternFill>
          <bgColor theme="5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strike val="0"/>
        <color theme="0"/>
      </font>
      <fill>
        <patternFill>
          <bgColor theme="9"/>
        </patternFill>
      </fill>
    </dxf>
    <dxf>
      <font>
        <b/>
        <i val="0"/>
        <strike val="0"/>
        <color theme="0"/>
      </font>
      <fill>
        <patternFill>
          <bgColor theme="5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font>
        <b/>
        <i val="0"/>
        <strike val="0"/>
        <color theme="0"/>
      </font>
      <fill>
        <patternFill>
          <bgColor theme="9"/>
        </patternFill>
      </fill>
    </dxf>
    <dxf>
      <font>
        <b/>
        <i val="0"/>
        <strike val="0"/>
        <color theme="0"/>
      </font>
      <fill>
        <patternFill>
          <bgColor theme="5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strike val="0"/>
        <color theme="0"/>
      </font>
      <fill>
        <patternFill>
          <bgColor theme="9"/>
        </patternFill>
      </fill>
    </dxf>
    <dxf>
      <font>
        <b/>
        <i val="0"/>
        <strike val="0"/>
        <color theme="0"/>
      </font>
      <fill>
        <patternFill>
          <bgColor theme="5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strike val="0"/>
        <color theme="0"/>
      </font>
      <fill>
        <patternFill>
          <bgColor theme="9"/>
        </patternFill>
      </fill>
    </dxf>
    <dxf>
      <font>
        <b/>
        <i val="0"/>
        <strike val="0"/>
        <color theme="0"/>
      </font>
      <fill>
        <patternFill>
          <bgColor theme="5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strike val="0"/>
        <color theme="0"/>
      </font>
      <fill>
        <patternFill>
          <bgColor theme="9"/>
        </patternFill>
      </fill>
    </dxf>
    <dxf>
      <font>
        <b/>
        <i val="0"/>
        <strike val="0"/>
        <color theme="0"/>
      </font>
      <fill>
        <patternFill>
          <bgColor theme="5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font>
        <b/>
        <i val="0"/>
        <strike val="0"/>
        <color theme="0"/>
      </font>
      <fill>
        <patternFill>
          <bgColor theme="9"/>
        </patternFill>
      </fill>
    </dxf>
    <dxf>
      <font>
        <b/>
        <i val="0"/>
        <strike val="0"/>
        <color theme="0"/>
      </font>
      <fill>
        <patternFill>
          <bgColor theme="5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strike val="0"/>
        <color theme="0"/>
      </font>
      <fill>
        <patternFill>
          <bgColor theme="9"/>
        </patternFill>
      </fill>
    </dxf>
    <dxf>
      <font>
        <b/>
        <i val="0"/>
        <strike val="0"/>
        <color theme="0"/>
      </font>
      <fill>
        <patternFill>
          <bgColor theme="5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font>
        <b/>
        <i val="0"/>
        <strike val="0"/>
        <color theme="0"/>
      </font>
      <fill>
        <patternFill>
          <bgColor theme="9"/>
        </patternFill>
      </fill>
    </dxf>
    <dxf>
      <font>
        <b/>
        <i val="0"/>
        <strike val="0"/>
        <color theme="0"/>
      </font>
      <fill>
        <patternFill>
          <bgColor theme="5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strike val="0"/>
        <color theme="0"/>
      </font>
      <fill>
        <patternFill>
          <bgColor theme="9"/>
        </patternFill>
      </fill>
    </dxf>
    <dxf>
      <font>
        <b/>
        <i val="0"/>
        <strike val="0"/>
        <color theme="0"/>
      </font>
      <fill>
        <patternFill>
          <bgColor theme="5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strike val="0"/>
        <color theme="0"/>
      </font>
      <fill>
        <patternFill>
          <bgColor theme="9"/>
        </patternFill>
      </fill>
    </dxf>
    <dxf>
      <font>
        <b/>
        <i val="0"/>
        <strike val="0"/>
        <color theme="0"/>
      </font>
      <fill>
        <patternFill>
          <bgColor theme="5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strike val="0"/>
        <color theme="0"/>
      </font>
      <fill>
        <patternFill>
          <bgColor theme="9"/>
        </patternFill>
      </fill>
    </dxf>
    <dxf>
      <font>
        <b/>
        <i val="0"/>
        <strike val="0"/>
        <color theme="0"/>
      </font>
      <fill>
        <patternFill>
          <bgColor theme="5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strike val="0"/>
        <color theme="0"/>
      </font>
      <fill>
        <patternFill>
          <bgColor theme="9"/>
        </patternFill>
      </fill>
    </dxf>
    <dxf>
      <font>
        <b/>
        <i val="0"/>
        <strike val="0"/>
        <color theme="0"/>
      </font>
      <fill>
        <patternFill>
          <bgColor theme="5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strike val="0"/>
        <color theme="0"/>
      </font>
      <fill>
        <patternFill>
          <bgColor theme="9"/>
        </patternFill>
      </fill>
    </dxf>
    <dxf>
      <font>
        <b/>
        <i val="0"/>
        <strike val="0"/>
        <color theme="0"/>
      </font>
      <fill>
        <patternFill>
          <bgColor theme="5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strike val="0"/>
        <color theme="0"/>
      </font>
      <fill>
        <patternFill>
          <bgColor theme="9"/>
        </patternFill>
      </fill>
    </dxf>
    <dxf>
      <font>
        <b/>
        <i val="0"/>
        <strike val="0"/>
        <color theme="0"/>
      </font>
      <fill>
        <patternFill>
          <bgColor theme="5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strike val="0"/>
        <color theme="0"/>
      </font>
      <fill>
        <patternFill>
          <bgColor theme="9"/>
        </patternFill>
      </fill>
    </dxf>
    <dxf>
      <font>
        <b/>
        <i val="0"/>
        <strike val="0"/>
        <color theme="0"/>
      </font>
      <fill>
        <patternFill>
          <bgColor theme="5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strike val="0"/>
        <color theme="0"/>
      </font>
      <fill>
        <patternFill>
          <bgColor theme="9"/>
        </patternFill>
      </fill>
    </dxf>
    <dxf>
      <font>
        <b/>
        <i val="0"/>
        <strike val="0"/>
        <color theme="0"/>
      </font>
      <fill>
        <patternFill>
          <bgColor theme="5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strike val="0"/>
        <color theme="0"/>
      </font>
      <fill>
        <patternFill>
          <bgColor theme="9"/>
        </patternFill>
      </fill>
    </dxf>
    <dxf>
      <font>
        <b/>
        <i val="0"/>
        <strike val="0"/>
        <color theme="0"/>
      </font>
      <fill>
        <patternFill>
          <bgColor theme="5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strike val="0"/>
        <color theme="0"/>
      </font>
      <fill>
        <patternFill>
          <bgColor theme="9"/>
        </patternFill>
      </fill>
    </dxf>
    <dxf>
      <font>
        <b/>
        <i val="0"/>
        <strike val="0"/>
        <color theme="0"/>
      </font>
      <fill>
        <patternFill>
          <bgColor theme="5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strike val="0"/>
        <color theme="0"/>
      </font>
      <fill>
        <patternFill>
          <bgColor theme="9"/>
        </patternFill>
      </fill>
    </dxf>
    <dxf>
      <font>
        <b/>
        <i val="0"/>
        <strike val="0"/>
        <color theme="0"/>
      </font>
      <fill>
        <patternFill>
          <bgColor theme="5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strike val="0"/>
        <color theme="0"/>
      </font>
      <fill>
        <patternFill>
          <bgColor theme="9"/>
        </patternFill>
      </fill>
    </dxf>
    <dxf>
      <font>
        <b/>
        <i val="0"/>
        <strike val="0"/>
        <color theme="0"/>
      </font>
      <fill>
        <patternFill>
          <bgColor theme="5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font>
        <b/>
        <i val="0"/>
        <strike val="0"/>
        <color theme="0"/>
      </font>
      <fill>
        <patternFill>
          <bgColor theme="9"/>
        </patternFill>
      </fill>
    </dxf>
    <dxf>
      <font>
        <b/>
        <i val="0"/>
        <strike val="0"/>
        <color theme="0"/>
      </font>
      <fill>
        <patternFill>
          <bgColor theme="5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strike val="0"/>
        <color theme="0"/>
      </font>
      <fill>
        <patternFill>
          <bgColor theme="9"/>
        </patternFill>
      </fill>
    </dxf>
    <dxf>
      <font>
        <b/>
        <i val="0"/>
        <strike val="0"/>
        <color theme="0"/>
      </font>
      <fill>
        <patternFill>
          <bgColor theme="5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strike/>
      </font>
      <fill>
        <patternFill>
          <bgColor theme="9" tint="0.79998168889431442"/>
        </patternFill>
      </fill>
    </dxf>
    <dxf>
      <font>
        <strike val="0"/>
        <color theme="7"/>
      </font>
    </dxf>
    <dxf>
      <font>
        <strike val="0"/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19" formatCode="dd/mm/yy"/>
    </dxf>
    <dxf>
      <numFmt numFmtId="19" formatCode="dd/mm/yy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colors>
    <mruColors>
      <color rgb="FFF5EBFF"/>
      <color rgb="FFCC99FF"/>
      <color rgb="FFEAD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BO"/>
              <a:t>Regresión Lineal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4"/>
          </c:marker>
          <c:trendline>
            <c:spPr>
              <a:ln w="19685">
                <a:solidFill>
                  <a:schemeClr val="accent6"/>
                </a:solidFill>
                <a:prstDash val="solid"/>
              </a:ln>
            </c:spPr>
            <c:trendlineType val="linear"/>
            <c:dispRSqr val="1"/>
            <c:dispEq val="1"/>
            <c:trendlineLbl>
              <c:layout>
                <c:manualLayout>
                  <c:x val="-0.15220629921259843"/>
                  <c:y val="0.44368976377952762"/>
                </c:manualLayout>
              </c:layout>
              <c:numFmt formatCode="General" sourceLinked="0"/>
              <c:txPr>
                <a:bodyPr/>
                <a:lstStyle/>
                <a:p>
                  <a:pPr algn="l">
                    <a:defRPr/>
                  </a:pPr>
                  <a:endParaRPr lang="es-BO"/>
                </a:p>
              </c:txPr>
            </c:trendlineLbl>
          </c:trendline>
          <c:xVal>
            <c:numRef>
              <c:f>RegrTests!$B$80:$B$83</c:f>
              <c:numCache>
                <c:formatCode>#0.00</c:formatCode>
                <c:ptCount val="4"/>
                <c:pt idx="0">
                  <c:v>-3</c:v>
                </c:pt>
                <c:pt idx="1">
                  <c:v>-2</c:v>
                </c:pt>
                <c:pt idx="2">
                  <c:v>-1</c:v>
                </c:pt>
                <c:pt idx="3">
                  <c:v>0</c:v>
                </c:pt>
              </c:numCache>
            </c:numRef>
          </c:xVal>
          <c:yVal>
            <c:numRef>
              <c:f>RegrTests!$C$80:$C$83</c:f>
              <c:numCache>
                <c:formatCode>#0.00</c:formatCode>
                <c:ptCount val="4"/>
                <c:pt idx="0">
                  <c:v>1.2</c:v>
                </c:pt>
                <c:pt idx="1">
                  <c:v>1.5</c:v>
                </c:pt>
                <c:pt idx="2">
                  <c:v>1.3</c:v>
                </c:pt>
                <c:pt idx="3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45-45E4-A376-6486CA6E6C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921184"/>
        <c:axId val="990941568"/>
      </c:scatterChart>
      <c:valAx>
        <c:axId val="99092118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s-BO"/>
                  <a:t>X</a:t>
                </a:r>
              </a:p>
            </c:rich>
          </c:tx>
          <c:overlay val="0"/>
        </c:title>
        <c:numFmt formatCode="#0.00" sourceLinked="1"/>
        <c:majorTickMark val="out"/>
        <c:minorTickMark val="none"/>
        <c:tickLblPos val="nextTo"/>
        <c:crossAx val="990941568"/>
        <c:crosses val="autoZero"/>
        <c:crossBetween val="midCat"/>
      </c:valAx>
      <c:valAx>
        <c:axId val="9909415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BO"/>
                  <a:t>Y</a:t>
                </a:r>
              </a:p>
            </c:rich>
          </c:tx>
          <c:overlay val="0"/>
        </c:title>
        <c:numFmt formatCode="#0.00" sourceLinked="1"/>
        <c:majorTickMark val="out"/>
        <c:minorTickMark val="none"/>
        <c:tickLblPos val="nextTo"/>
        <c:crossAx val="99092118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BO"/>
              <a:t>Regresión Lineal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4"/>
          </c:marker>
          <c:trendline>
            <c:spPr>
              <a:ln w="19685">
                <a:solidFill>
                  <a:schemeClr val="accent6"/>
                </a:solidFill>
                <a:prstDash val="solid"/>
              </a:ln>
            </c:spPr>
            <c:trendlineType val="linear"/>
            <c:dispRSqr val="1"/>
            <c:dispEq val="1"/>
            <c:trendlineLbl>
              <c:layout>
                <c:manualLayout>
                  <c:x val="-7.4475196850393707E-2"/>
                  <c:y val="0.44368976377952762"/>
                </c:manualLayout>
              </c:layout>
              <c:numFmt formatCode="General" sourceLinked="0"/>
              <c:txPr>
                <a:bodyPr/>
                <a:lstStyle/>
                <a:p>
                  <a:pPr algn="l">
                    <a:defRPr/>
                  </a:pPr>
                  <a:endParaRPr lang="es-BO"/>
                </a:p>
              </c:txPr>
            </c:trendlineLbl>
          </c:trendline>
          <c:xVal>
            <c:numRef>
              <c:f>RegrTests!$B$132:$B$135</c:f>
              <c:numCache>
                <c:formatCode>#0.00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RegrTests!$C$132:$C$135</c:f>
              <c:numCache>
                <c:formatCode>#0.00</c:formatCode>
                <c:ptCount val="4"/>
                <c:pt idx="0">
                  <c:v>1.2</c:v>
                </c:pt>
                <c:pt idx="1">
                  <c:v>1.5</c:v>
                </c:pt>
                <c:pt idx="2">
                  <c:v>1.3</c:v>
                </c:pt>
                <c:pt idx="3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F16-4930-9674-0D95437DB7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5158415"/>
        <c:axId val="1898768239"/>
      </c:scatterChart>
      <c:valAx>
        <c:axId val="2015158415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s-BO"/>
                  <a:t>X</a:t>
                </a:r>
              </a:p>
            </c:rich>
          </c:tx>
          <c:overlay val="0"/>
        </c:title>
        <c:numFmt formatCode="#0.00" sourceLinked="1"/>
        <c:majorTickMark val="out"/>
        <c:minorTickMark val="none"/>
        <c:tickLblPos val="nextTo"/>
        <c:crossAx val="1898768239"/>
        <c:crosses val="autoZero"/>
        <c:crossBetween val="midCat"/>
      </c:valAx>
      <c:valAx>
        <c:axId val="189876823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BO"/>
                  <a:t>Y</a:t>
                </a:r>
              </a:p>
            </c:rich>
          </c:tx>
          <c:overlay val="0"/>
        </c:title>
        <c:numFmt formatCode="#0.00" sourceLinked="1"/>
        <c:majorTickMark val="out"/>
        <c:minorTickMark val="none"/>
        <c:tickLblPos val="nextTo"/>
        <c:crossAx val="2015158415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BO"/>
              <a:t>Regresión Lineal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4"/>
          </c:marker>
          <c:trendline>
            <c:spPr>
              <a:ln w="19685">
                <a:solidFill>
                  <a:schemeClr val="accent6"/>
                </a:solidFill>
                <a:prstDash val="solid"/>
              </a:ln>
            </c:spPr>
            <c:trendlineType val="linear"/>
            <c:dispRSqr val="1"/>
            <c:dispEq val="1"/>
            <c:trendlineLbl>
              <c:layout>
                <c:manualLayout>
                  <c:x val="-7.8700393700787408E-2"/>
                  <c:y val="0.44368976377952762"/>
                </c:manualLayout>
              </c:layout>
              <c:numFmt formatCode="General" sourceLinked="0"/>
              <c:txPr>
                <a:bodyPr/>
                <a:lstStyle/>
                <a:p>
                  <a:pPr algn="l">
                    <a:defRPr/>
                  </a:pPr>
                  <a:endParaRPr lang="es-BO"/>
                </a:p>
              </c:txPr>
            </c:trendlineLbl>
          </c:trendline>
          <c:xVal>
            <c:numLit>
              <c:formatCode>General</c:formatCode>
              <c:ptCount val="4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</c:numLit>
          </c:xVal>
          <c:yVal>
            <c:numLit>
              <c:formatCode>General</c:formatCode>
              <c:ptCount val="4"/>
              <c:pt idx="0">
                <c:v>1.2</c:v>
              </c:pt>
              <c:pt idx="1">
                <c:v>1.5</c:v>
              </c:pt>
              <c:pt idx="2">
                <c:v>1.3</c:v>
              </c:pt>
              <c:pt idx="3">
                <c:v>1.5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74B0-4E10-8C5C-7725D8EFF1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8834575"/>
        <c:axId val="1778832495"/>
      </c:scatterChart>
      <c:valAx>
        <c:axId val="1778834575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s-BO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8832495"/>
        <c:crosses val="autoZero"/>
        <c:crossBetween val="midCat"/>
      </c:valAx>
      <c:valAx>
        <c:axId val="177883249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BO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8834575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BO"/>
              <a:t>Flujo Neto de Caja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ProjecTests!$H$3:$H$8</c:f>
              <c:numCache>
                <c:formatCode>0.00</c:formatCode>
                <c:ptCount val="6"/>
                <c:pt idx="0">
                  <c:v>-1000</c:v>
                </c:pt>
                <c:pt idx="1">
                  <c:v>301.90000000000003</c:v>
                </c:pt>
                <c:pt idx="2">
                  <c:v>308.76</c:v>
                </c:pt>
                <c:pt idx="3">
                  <c:v>315.62000000000006</c:v>
                </c:pt>
                <c:pt idx="4">
                  <c:v>322.48</c:v>
                </c:pt>
                <c:pt idx="5">
                  <c:v>329.34000000000009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D89-4019-B8A1-989C68A3D0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9911535"/>
        <c:axId val="609913199"/>
      </c:barChart>
      <c:catAx>
        <c:axId val="6099115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BO"/>
                  <a:t>Años</a:t>
                </a:r>
              </a:p>
            </c:rich>
          </c:tx>
          <c:overlay val="0"/>
        </c:title>
        <c:majorTickMark val="out"/>
        <c:minorTickMark val="none"/>
        <c:tickLblPos val="nextTo"/>
        <c:crossAx val="609913199"/>
        <c:crosses val="autoZero"/>
        <c:auto val="1"/>
        <c:lblAlgn val="ctr"/>
        <c:lblOffset val="100"/>
        <c:noMultiLvlLbl val="0"/>
      </c:catAx>
      <c:valAx>
        <c:axId val="60991319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BO"/>
                  <a:t>BOB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609911535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BO"/>
              <a:t>Flujo Neto de Caja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ProjecTests!$H$3:$H$8</c:f>
              <c:numCache>
                <c:formatCode>0.00</c:formatCode>
                <c:ptCount val="6"/>
                <c:pt idx="0">
                  <c:v>-1000</c:v>
                </c:pt>
                <c:pt idx="1">
                  <c:v>301.90000000000003</c:v>
                </c:pt>
                <c:pt idx="2">
                  <c:v>308.76</c:v>
                </c:pt>
                <c:pt idx="3">
                  <c:v>315.62000000000006</c:v>
                </c:pt>
                <c:pt idx="4">
                  <c:v>322.48</c:v>
                </c:pt>
                <c:pt idx="5">
                  <c:v>329.34000000000009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B5-45CB-8F36-5508CC563A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9911535"/>
        <c:axId val="609913199"/>
      </c:barChart>
      <c:catAx>
        <c:axId val="6099115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BO"/>
                  <a:t>Años</a:t>
                </a:r>
              </a:p>
            </c:rich>
          </c:tx>
          <c:overlay val="0"/>
        </c:title>
        <c:majorTickMark val="out"/>
        <c:minorTickMark val="none"/>
        <c:tickLblPos val="nextTo"/>
        <c:crossAx val="609913199"/>
        <c:crosses val="autoZero"/>
        <c:auto val="1"/>
        <c:lblAlgn val="ctr"/>
        <c:lblOffset val="100"/>
        <c:noMultiLvlLbl val="0"/>
      </c:catAx>
      <c:valAx>
        <c:axId val="60991319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BO"/>
                  <a:t>BOB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609911535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8</xdr:col>
      <xdr:colOff>278130</xdr:colOff>
      <xdr:row>41</xdr:row>
      <xdr:rowOff>114300</xdr:rowOff>
    </xdr:to>
    <xdr:pic>
      <xdr:nvPicPr>
        <xdr:cNvPr id="4" name="eqlimgregressio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97280"/>
          <a:ext cx="6991350" cy="6515100"/>
        </a:xfrm>
        <a:prstGeom prst="rect">
          <a:avLst/>
        </a:prstGeom>
      </xdr:spPr>
    </xdr:pic>
    <xdr:clientData/>
  </xdr:twoCellAnchor>
  <xdr:twoCellAnchor editAs="oneCell">
    <xdr:from>
      <xdr:col>0</xdr:col>
      <xdr:colOff>282360</xdr:colOff>
      <xdr:row>7</xdr:row>
      <xdr:rowOff>175680</xdr:rowOff>
    </xdr:from>
    <xdr:to>
      <xdr:col>8</xdr:col>
      <xdr:colOff>560490</xdr:colOff>
      <xdr:row>43</xdr:row>
      <xdr:rowOff>107100</xdr:rowOff>
    </xdr:to>
    <xdr:pic>
      <xdr:nvPicPr>
        <xdr:cNvPr id="16" name="eqlimgbalmet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360" y="1455840"/>
          <a:ext cx="6991350" cy="6515100"/>
        </a:xfrm>
        <a:prstGeom prst="rect">
          <a:avLst/>
        </a:prstGeom>
      </xdr:spPr>
    </xdr:pic>
    <xdr:clientData/>
  </xdr:twoCellAnchor>
  <xdr:twoCellAnchor editAs="oneCell">
    <xdr:from>
      <xdr:col>0</xdr:col>
      <xdr:colOff>584760</xdr:colOff>
      <xdr:row>9</xdr:row>
      <xdr:rowOff>173280</xdr:rowOff>
    </xdr:from>
    <xdr:to>
      <xdr:col>9</xdr:col>
      <xdr:colOff>70410</xdr:colOff>
      <xdr:row>45</xdr:row>
      <xdr:rowOff>104700</xdr:rowOff>
    </xdr:to>
    <xdr:pic>
      <xdr:nvPicPr>
        <xdr:cNvPr id="18" name="eqlimgbalmeteco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4760" y="1819200"/>
          <a:ext cx="6991350" cy="6515100"/>
        </a:xfrm>
        <a:prstGeom prst="rect">
          <a:avLst/>
        </a:prstGeom>
      </xdr:spPr>
    </xdr:pic>
    <xdr:clientData/>
  </xdr:twoCellAnchor>
  <xdr:twoCellAnchor editAs="oneCell">
    <xdr:from>
      <xdr:col>1</xdr:col>
      <xdr:colOff>66180</xdr:colOff>
      <xdr:row>11</xdr:row>
      <xdr:rowOff>180480</xdr:rowOff>
    </xdr:from>
    <xdr:to>
      <xdr:col>9</xdr:col>
      <xdr:colOff>344310</xdr:colOff>
      <xdr:row>47</xdr:row>
      <xdr:rowOff>111900</xdr:rowOff>
    </xdr:to>
    <xdr:pic>
      <xdr:nvPicPr>
        <xdr:cNvPr id="8" name="eqlimgprojection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660" y="2192160"/>
          <a:ext cx="6991350" cy="6515100"/>
        </a:xfrm>
        <a:prstGeom prst="rect">
          <a:avLst/>
        </a:prstGeom>
      </xdr:spPr>
    </xdr:pic>
    <xdr:clientData/>
  </xdr:twoCellAnchor>
  <xdr:twoCellAnchor editAs="oneCell">
    <xdr:from>
      <xdr:col>1</xdr:col>
      <xdr:colOff>353760</xdr:colOff>
      <xdr:row>13</xdr:row>
      <xdr:rowOff>170880</xdr:rowOff>
    </xdr:from>
    <xdr:to>
      <xdr:col>9</xdr:col>
      <xdr:colOff>631890</xdr:colOff>
      <xdr:row>49</xdr:row>
      <xdr:rowOff>102300</xdr:rowOff>
    </xdr:to>
    <xdr:pic>
      <xdr:nvPicPr>
        <xdr:cNvPr id="20" name="eqlimgoreinvoice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6240" y="2548320"/>
          <a:ext cx="6991350" cy="65151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266700</xdr:colOff>
      <xdr:row>4</xdr:row>
      <xdr:rowOff>82153</xdr:rowOff>
    </xdr:to>
    <xdr:pic>
      <xdr:nvPicPr>
        <xdr:cNvPr id="22" name="eqlimgribbonmenu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772400" cy="813673"/>
        </a:xfrm>
        <a:prstGeom prst="rect">
          <a:avLst/>
        </a:prstGeom>
      </xdr:spPr>
    </xdr:pic>
    <xdr:clientData/>
  </xdr:twoCellAnchor>
  <xdr:twoCellAnchor editAs="oneCell">
    <xdr:from>
      <xdr:col>1</xdr:col>
      <xdr:colOff>627660</xdr:colOff>
      <xdr:row>15</xdr:row>
      <xdr:rowOff>170460</xdr:rowOff>
    </xdr:from>
    <xdr:to>
      <xdr:col>10</xdr:col>
      <xdr:colOff>113310</xdr:colOff>
      <xdr:row>51</xdr:row>
      <xdr:rowOff>101880</xdr:rowOff>
    </xdr:to>
    <xdr:pic>
      <xdr:nvPicPr>
        <xdr:cNvPr id="12" name="eqlimgconcentrateinvoice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0140" y="2913660"/>
          <a:ext cx="6991350" cy="6515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77</xdr:row>
      <xdr:rowOff>0</xdr:rowOff>
    </xdr:from>
    <xdr:to>
      <xdr:col>19</xdr:col>
      <xdr:colOff>325120</xdr:colOff>
      <xdr:row>93</xdr:row>
      <xdr:rowOff>172720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129</xdr:row>
      <xdr:rowOff>1</xdr:rowOff>
    </xdr:from>
    <xdr:to>
      <xdr:col>19</xdr:col>
      <xdr:colOff>325120</xdr:colOff>
      <xdr:row>145</xdr:row>
      <xdr:rowOff>172721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139</xdr:row>
      <xdr:rowOff>182879</xdr:rowOff>
    </xdr:from>
    <xdr:to>
      <xdr:col>8</xdr:col>
      <xdr:colOff>744220</xdr:colOff>
      <xdr:row>157</xdr:row>
      <xdr:rowOff>66039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0</xdr:rowOff>
    </xdr:from>
    <xdr:to>
      <xdr:col>6</xdr:col>
      <xdr:colOff>629920</xdr:colOff>
      <xdr:row>30</xdr:row>
      <xdr:rowOff>66040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7620</xdr:colOff>
      <xdr:row>34</xdr:row>
      <xdr:rowOff>15240</xdr:rowOff>
    </xdr:from>
    <xdr:to>
      <xdr:col>20</xdr:col>
      <xdr:colOff>637540</xdr:colOff>
      <xdr:row>51</xdr:row>
      <xdr:rowOff>20320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98EC663-B789-4377-B3A7-C57D0D3476AF}" name="eqlconfigapp_sys" displayName="eqlconfigapp_sys" ref="A1:AF2" totalsRowShown="0" headerRowDxfId="440" dataDxfId="439" tableBorderDxfId="438">
  <autoFilter ref="A1:AF2" xr:uid="{A98EC663-B789-4377-B3A7-C57D0D3476AF}"/>
  <tableColumns count="32">
    <tableColumn id="1" xr3:uid="{1CEA1395-E971-4905-A541-565A18CE6570}" name="formulas" dataDxfId="437"/>
    <tableColumn id="2" xr3:uid="{671CE8BC-3D57-41AC-AC98-6FE5BFF3A899}" name="table_type" dataDxfId="436"/>
    <tableColumn id="3" xr3:uid="{1E24E95B-2E01-4B6B-82B5-BAA1DFB9AE74}" name="table_style" dataDxfId="435"/>
    <tableColumn id="4" xr3:uid="{BC993CF7-1C3C-4A70-9A61-D7B4B2CB7B7B}" name="table_rowstripe" dataDxfId="434"/>
    <tableColumn id="5" xr3:uid="{52155B67-67A5-4F3C-B037-5B2019FF7133}" name="table_selections_cell" dataDxfId="433"/>
    <tableColumn id="6" xr3:uid="{F5D727B3-FEDA-4440-BC6C-F641822D4FA4}" name="table_selections_compact" dataDxfId="432"/>
    <tableColumn id="7" xr3:uid="{7C7900BB-FBA9-4297-BC47-EB24A370136B}" name="table_selections_heads" dataDxfId="431"/>
    <tableColumn id="8" xr3:uid="{04DDD7B9-0815-47DF-BCF1-099936430305}" name="pur_average" dataDxfId="430"/>
    <tableColumn id="9" xr3:uid="{4698F922-95A5-4192-90B7-2BD96B2DE94E}" name="pur_rmdetail" dataDxfId="429"/>
    <tableColumn id="10" xr3:uid="{355F9620-6804-49B4-94ED-43B1E2A1CE8F}" name="pur_resumed_retentions" dataDxfId="428"/>
    <tableColumn id="11" xr3:uid="{A4F599AE-D53E-40CB-B931-798A97DC1B3E}" name="pur_resumed_retentionsother" dataDxfId="427"/>
    <tableColumn id="12" xr3:uid="{503CF24C-B27F-40E5-9290-3045E45C422E}" name="pur_resumed_discounts" dataDxfId="426"/>
    <tableColumn id="13" xr3:uid="{AF24F20D-90F6-4536-9048-995217ACF97E}" name="pur_resumed_bonus" dataDxfId="425"/>
    <tableColumn id="14" xr3:uid="{211809CC-B266-4E5B-A62A-5699F1CA6AB1}" name="pur_resumed_exports" dataDxfId="424"/>
    <tableColumn id="15" xr3:uid="{B1DAEDA6-8BAD-4483-928B-9BD863B1E24E}" name="pur_destination" dataDxfId="423"/>
    <tableColumn id="16" xr3:uid="{356AF5F6-CDCC-48AE-93D6-1C0366D9ED8B}" name="company_logo" dataDxfId="422"/>
    <tableColumn id="17" xr3:uid="{74FFA211-203F-4A81-BECB-5D5A58A65799}" name="company_name" dataDxfId="421"/>
    <tableColumn id="18" xr3:uid="{ABFAB1F3-9460-49B3-A3DD-8A3432D11BB3}" name="company_address" dataDxfId="420"/>
    <tableColumn id="19" xr3:uid="{B90631AA-A7B8-41A4-B179-8D2F58F63209}" name="company_phone" dataDxfId="419"/>
    <tableColumn id="20" xr3:uid="{CED04146-A463-44F7-8C99-64665A30DC2A}" name="company_email" dataDxfId="418"/>
    <tableColumn id="21" xr3:uid="{EED37CDB-3A87-4167-8701-D86A5FD65864}" name="company_header" dataDxfId="417"/>
    <tableColumn id="22" xr3:uid="{97D3B8CA-320D-4FBA-8F24-FE6363055848}" name="ver_appname" dataDxfId="416"/>
    <tableColumn id="23" xr3:uid="{889D803A-029D-4AA7-B39D-C46DCEC39DB3}" name="ver_mayor" dataDxfId="415"/>
    <tableColumn id="24" xr3:uid="{B0F6CF88-E56A-4F81-9372-72D7686C43AF}" name="ver_minor" dataDxfId="414"/>
    <tableColumn id="25" xr3:uid="{CB8531EF-EFBF-46E5-B6D9-5F0CABC62679}" name="ver_patch" dataDxfId="413"/>
    <tableColumn id="26" xr3:uid="{A7E2A67F-12F9-4585-8386-52A97B9BE775}" name="ver_author" dataDxfId="412"/>
    <tableColumn id="27" xr3:uid="{402EF273-E2A8-4E99-A0E2-4ABD6ED86044}" name="ver_mail" dataDxfId="411"/>
    <tableColumn id="28" xr3:uid="{8BF64F3F-E7A2-4440-9953-014742B498E0}" name="ver_slogan" dataDxfId="410"/>
    <tableColumn id="29" xr3:uid="{78E2CF91-4E52-42BB-A8F6-5FD741B1A55F}" name="ver_year" dataDxfId="409"/>
    <tableColumn id="30" xr3:uid="{73F169C2-5A5B-484E-8A9B-0284A5A9CED8}" name="ver_origin" dataDxfId="408"/>
    <tableColumn id="31" xr3:uid="{6CEEA624-AC90-4E81-A17B-8983D68F470A}" name="ver_git" dataDxfId="407"/>
    <tableColumn id="32" xr3:uid="{80BDF5AC-3F1D-42AE-80B4-89A30DDCB8E3}" name="ver_license" dataDxfId="40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66EA4D3-2E4E-43AD-B40C-FDF9AD9FEE23}" name="eqlconfigcurrencies_sys" displayName="eqlconfigcurrencies_sys" ref="AH1:AL5" totalsRowShown="0" headerRowDxfId="405" tableBorderDxfId="404">
  <autoFilter ref="AH1:AL5" xr:uid="{566EA4D3-2E4E-43AD-B40C-FDF9AD9FEE23}"/>
  <tableColumns count="5">
    <tableColumn id="1" xr3:uid="{31F96F0A-3077-4F8F-9631-E2AEBAD00242}" name="currency"/>
    <tableColumn id="2" xr3:uid="{66869651-5336-4BC0-B7B4-141E5A47DC1C}" name="currencies"/>
    <tableColumn id="3" xr3:uid="{0ED1334B-F62B-497F-9632-9E67F7119BC9}" name="symbol"/>
    <tableColumn id="4" xr3:uid="{0920C367-E4A6-443B-8255-C076C5AB515B}" name="currency_main"/>
    <tableColumn id="5" xr3:uid="{720A7C82-45A7-4BE8-B29F-39D88594BF91}" name="currency_foreig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3C9AB2C2-7738-4C96-9803-F0FC4D089BA8}" name="eqlconfigpurrm_sys" displayName="eqlconfigpurrm_sys" ref="AN1:AW13" totalsRowShown="0" headerRowDxfId="403" dataDxfId="402" tableBorderDxfId="401">
  <autoFilter ref="AN1:AW13" xr:uid="{3C9AB2C2-7738-4C96-9803-F0FC4D089BA8}"/>
  <tableColumns count="10">
    <tableColumn id="1" xr3:uid="{B239D426-66A8-4D79-9CB7-EEC7844EC28B}" name="MINERAL" dataDxfId="400"/>
    <tableColumn id="2" xr3:uid="{2D856695-D353-43D7-AFCC-A0620EE05B50}" name="ELEMENTO" dataDxfId="399"/>
    <tableColumn id="3" xr3:uid="{739A9E2D-6C55-4B89-9D69-72106D135F4E}" name="UNIDAD" dataDxfId="398"/>
    <tableColumn id="4" xr3:uid="{C376417F-94AB-4A92-B67C-3D2091215010}" name="COTIZACIÓN" dataDxfId="397"/>
    <tableColumn id="5" xr3:uid="{1A7CFB8D-693F-40EE-80AF-97C3EBE68CFB}" name="EXPORTACIÓN" dataDxfId="396"/>
    <tableColumn id="6" xr3:uid="{9E717A49-13DE-49ED-BE8F-431631884E5E}" name="VENTA INTERNA" dataDxfId="395"/>
    <tableColumn id="7" xr3:uid="{3733F6ED-F6D5-4F24-A7F8-DD45B8D095A5}" name="UNIDAD MINERAL" dataDxfId="394"/>
    <tableColumn id="8" xr3:uid="{517F91E0-A4E5-4D2D-ABA8-D2BDE4714297}" name="CONVERSIÓN" dataDxfId="393"/>
    <tableColumn id="9" xr3:uid="{FBC45BE3-78C5-462B-B69E-C9644D275543}" name="FACTOR" dataDxfId="392"/>
    <tableColumn id="10" xr3:uid="{02826B46-B24E-441C-B06A-62BD8F7E81CF}" name="FACTOR LOCAL" dataDxfId="39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E3C5D8D4-4F57-41B5-B9F4-EA613A71BF41}" name="eqlconfigchemicalelements_sys" displayName="eqlconfigchemicalelements_sys" ref="AY1:BA61" totalsRowShown="0" headerRowDxfId="390" dataDxfId="389" tableBorderDxfId="388">
  <autoFilter ref="AY1:BA61" xr:uid="{E3C5D8D4-4F57-41B5-B9F4-EA613A71BF41}"/>
  <tableColumns count="3">
    <tableColumn id="1" xr3:uid="{9E3A7967-0BFE-478C-94FF-C426C67526CF}" name="Elemento" dataDxfId="387"/>
    <tableColumn id="2" xr3:uid="{C454284D-6FEF-41F9-A06B-E9D15221A6CB}" name="Símbolo" dataDxfId="386"/>
    <tableColumn id="3" xr3:uid="{AFC673EB-7607-4986-B565-A932A77B5048}" name="Complejo" dataDxfId="38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23321EB-2D99-40DC-AF8C-384519C31321}" name="eqlconfigchemicalelementscx_sys" displayName="eqlconfigchemicalelementscx_sys" ref="BC1:BD9" totalsRowShown="0" headerRowDxfId="384" dataDxfId="383" tableBorderDxfId="382">
  <autoFilter ref="BC1:BD9" xr:uid="{D23321EB-2D99-40DC-AF8C-384519C31321}"/>
  <tableColumns count="2">
    <tableColumn id="1" xr3:uid="{71C1E57A-1AE2-407F-A23D-1DEB3A15A53D}" name="Elemento" dataDxfId="381"/>
    <tableColumn id="2" xr3:uid="{EA1179A2-3D5E-4C4C-A6FF-13BBFC7F1A87}" name="Símbolo" dataDxfId="38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527116D-BB80-4A49-A6FF-1B3F1875CE38}" name="eqlconfigchemicalunits_sys" displayName="eqlconfigchemicalunits_sys" ref="BF1:BF5" totalsRowShown="0" headerRowDxfId="379" tableBorderDxfId="378">
  <autoFilter ref="BF1:BF5" xr:uid="{B527116D-BB80-4A49-A6FF-1B3F1875CE38}"/>
  <tableColumns count="1">
    <tableColumn id="1" xr3:uid="{1F8EA4EA-3BA0-448D-A4A0-89952C53456F}" name="Unidad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D1FDBA47-D24E-4275-940F-D572FBCBB2B1}" name="eqlconfigchemicalunitscx_sys" displayName="eqlconfigchemicalunitscx_sys" ref="BH1:BH4" totalsRowShown="0" headerRowDxfId="377" tableBorderDxfId="376">
  <autoFilter ref="BH1:BH4" xr:uid="{D1FDBA47-D24E-4275-940F-D572FBCBB2B1}"/>
  <tableColumns count="1">
    <tableColumn id="1" xr3:uid="{8E007BD2-EE85-4D14-9AF6-2B3AC5108154}" name="Unidad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9B033FCD-1F4E-4827-83BE-424408130081}" name="eqldatatest_sys" displayName="eqldatatest_sys" ref="BJ1:BN6" totalsRowShown="0" headerRowDxfId="375" dataDxfId="374" tableBorderDxfId="373">
  <autoFilter ref="BJ1:BN6" xr:uid="{9B033FCD-1F4E-4827-83BE-424408130081}"/>
  <tableColumns count="5">
    <tableColumn id="1" xr3:uid="{EC6F2BA6-164C-4FF8-92D6-3698464D11F1}" name="A" dataDxfId="372"/>
    <tableColumn id="2" xr3:uid="{E69E93E5-675C-4ED9-8AB6-94C653FC7115}" name="B" dataDxfId="371"/>
    <tableColumn id="3" xr3:uid="{41F30424-D92D-4D4F-80A4-F921D7802F8C}" name="C" dataDxfId="370"/>
    <tableColumn id="4" xr3:uid="{BC0B5030-036E-467C-B12F-BF896BA9DCEB}" name="D" dataDxfId="369"/>
    <tableColumn id="5" xr3:uid="{E9B84F59-A4FA-4900-A5F3-702F66AF9EC6}" name="E" dataDxfId="36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FCF158E-1EA9-44A7-8553-15D702B9E798}" name="eqlpurchasemin_pur" displayName="eqlpurchasemin_pur" ref="A1:AD2" totalsRowShown="0" headerRowDxfId="367" tableBorderDxfId="366">
  <autoFilter ref="A1:AD2" xr:uid="{2FCF158E-1EA9-44A7-8553-15D702B9E798}"/>
  <tableColumns count="30">
    <tableColumn id="1" xr3:uid="{9756CBCD-621A-4085-8D01-C810713CC100}" name="MUESTRA"/>
    <tableColumn id="2" xr3:uid="{BF1CDE18-244E-48C4-ACEA-5A2DA217B058}" name="FECHA INGRESO"/>
    <tableColumn id="3" xr3:uid="{78B75C58-DB0E-4376-8856-68C513587042}" name="HUMEDAD"/>
    <tableColumn id="4" xr3:uid="{7750BB22-708A-49CF-8226-BEF0C3AD015F}" name="MERMA"/>
    <tableColumn id="5" xr3:uid="{A23F0F95-5893-4E01-BA8E-8F49B1C495A6}" name="PESO HÚMEDO BRUTO"/>
    <tableColumn id="6" xr3:uid="{10D2C989-0585-4120-86FB-47E3D5A820A7}" name="TIPO"/>
    <tableColumn id="7" xr3:uid="{E1C8654D-776C-4954-A9BA-3B6388A56832}" name="CONTENIDOS"/>
    <tableColumn id="8" xr3:uid="{023DB7CC-0613-4684-84D3-96A581FF2BEC}" name="LEYES"/>
    <tableColumn id="9" xr3:uid="{8C05E3FA-C972-49BE-BBE0-B19CC46460A9}" name="UNIDADES"/>
    <tableColumn id="10" xr3:uid="{0491E22A-DB7F-4C63-912C-2E24D09D8F8E}" name="PRECIO"/>
    <tableColumn id="11" xr3:uid="{6714CA61-E159-40C9-AE67-D66DACA111FB}" name="BONOS"/>
    <tableColumn id="12" xr3:uid="{18BA69EE-DDC6-43C2-ACC6-34C7A2C85296}" name="DESCUENTOS"/>
    <tableColumn id="13" xr3:uid="{0AFB0BBB-0782-4DF5-A592-9A9CCFD67C76}" name="RETENCIONES"/>
    <tableColumn id="14" xr3:uid="{1733AF76-89A0-45FB-A88A-49EDFB6ACB64}" name="RETENCIONES OTRAS"/>
    <tableColumn id="15" xr3:uid="{D1129EE3-B75F-4AFC-99E5-99AA9B06B0D0}" name="PARTE2"/>
    <tableColumn id="16" xr3:uid="{91FE81E8-E5F8-4602-B84C-212B3C531591}" name="LOTE"/>
    <tableColumn id="17" xr3:uid="{1F728FC9-DA23-4370-961F-A892CEA62E0E}" name="LIQUIDACIÓN"/>
    <tableColumn id="18" xr3:uid="{5474C802-1044-4F1D-88EE-4AAF22F95C8D}" name="FECHA LIQUIDACIÓN"/>
    <tableColumn id="19" xr3:uid="{AC99BF7F-9839-400F-8D9F-D1D79FD8B978}" name="TC"/>
    <tableColumn id="20" xr3:uid="{0C5A4B34-E981-49E6-93B6-A4B94C1C3AEC}" name="CÓDIGO PROVEDOR"/>
    <tableColumn id="21" xr3:uid="{FE6EB897-20F9-4F90-9A93-71C5983F7F11}" name="PROVEDOR"/>
    <tableColumn id="22" xr3:uid="{C9792BDB-E521-4014-A933-6AC036021090}" name="TIPO PROVEDOR"/>
    <tableColumn id="23" xr3:uid="{77A370AB-6A8B-4706-967A-6D039733DAE5}" name="CI"/>
    <tableColumn id="24" xr3:uid="{98CD9418-BDB0-4D21-8B2A-144031ED8F6D}" name="NIT"/>
    <tableColumn id="25" xr3:uid="{1399F41B-922D-4085-AF40-3B91584C82C2}" name="NIM"/>
    <tableColumn id="26" xr3:uid="{8C739477-C781-41AD-AF5D-12A9D4A3C733}" name="MINA"/>
    <tableColumn id="27" xr3:uid="{CC33A44C-417F-4BCF-8348-9E52CF43318F}" name="COOPERATIVA"/>
    <tableColumn id="28" xr3:uid="{4C8E9342-3664-4FF7-BF76-9458B297B332}" name="TRANSPORTISTA"/>
    <tableColumn id="29" xr3:uid="{B4AF965B-2541-43E5-A865-4AE60AB19BEC}" name="PLACA"/>
    <tableColumn id="30" xr3:uid="{E30E39EF-2D27-46A0-93C1-A334BD6B7525}" name="CÓDIGO PESAJ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7106914-6F7D-4BD5-A6DF-3FA27C6B6CB9}" name="eqlpurchasecnc_pur" displayName="eqlpurchasecnc_pur" ref="AF1:BA2" totalsRowShown="0">
  <autoFilter ref="AF1:BA2" xr:uid="{67106914-6F7D-4BD5-A6DF-3FA27C6B6CB9}"/>
  <tableColumns count="22">
    <tableColumn id="1" xr3:uid="{5DFF0E32-6FC7-4179-B42E-983B2F135219}" name="LIQUIDACIÓN"/>
    <tableColumn id="2" xr3:uid="{0D52CFCE-FA22-4781-99E2-572F4D6ED288}" name="LOTE"/>
    <tableColumn id="3" xr3:uid="{EE9D3D8B-9F5F-4BC0-8E99-1CA59BF547E0}" name="FECHA" dataDxfId="365"/>
    <tableColumn id="4" xr3:uid="{DC6CDB01-F17E-41BE-A4FA-5DA433F9FEA9}" name="LUGAR"/>
    <tableColumn id="5" xr3:uid="{221AE53F-539E-4703-864E-BF410BCDF335}" name="T/C"/>
    <tableColumn id="6" xr3:uid="{4822717E-0466-42A4-937D-2D58CC187DAD}" name="BOOTC"/>
    <tableColumn id="7" xr3:uid="{CBEAD801-F4E9-467B-8F5D-641BC26CC414}" name="PROVEDOR"/>
    <tableColumn id="8" xr3:uid="{3F51FFC3-827E-4C09-AE92-ED0648679B4A}" name="CÓDIGO"/>
    <tableColumn id="9" xr3:uid="{0505BD83-0DED-4068-9CB8-FF1EF702D7B7}" name="TIPO"/>
    <tableColumn id="10" xr3:uid="{E9D8697E-5675-4B18-AF99-6C7D81F47B84}" name="CI"/>
    <tableColumn id="11" xr3:uid="{549C5A00-24E6-46F2-9F7E-F3E1B0209483}" name="NIT"/>
    <tableColumn id="12" xr3:uid="{6E863EAC-5D70-4FDC-A2F7-007060E18458}" name="NIM"/>
    <tableColumn id="13" xr3:uid="{AC09C877-2A71-4FB9-A949-26096D372233}" name="COOPERATIVA"/>
    <tableColumn id="14" xr3:uid="{F8AEB12D-D72B-49B3-905A-59CCE863585F}" name="MINA"/>
    <tableColumn id="15" xr3:uid="{0EF94554-10A0-48B0-9285-97C504EAC744}" name="PROCEDENCIA"/>
    <tableColumn id="16" xr3:uid="{21239921-9114-4ADD-8AD8-B0162C6D90F0}" name="INGRESO" dataDxfId="364"/>
    <tableColumn id="17" xr3:uid="{4F2F5D41-2091-45DC-B105-987BC027438F}" name="PBH"/>
    <tableColumn id="18" xr3:uid="{C039778F-6D00-4A24-8E05-AC59A2931D0B}" name="H2O"/>
    <tableColumn id="19" xr3:uid="{BBB9D5F4-DC03-4E10-984F-F5AF029C7C87}" name="MERMA"/>
    <tableColumn id="20" xr3:uid="{3959B94B-492F-405E-A3BD-D1BFA88ABE9E}" name="Maquila"/>
    <tableColumn id="21" xr3:uid="{EC807238-15AF-4B73-AE27-0A433FB19D59}" name="Base"/>
    <tableColumn id="22" xr3:uid="{E2570510-5A40-458D-AF36-7D6DF4DDA61C}" name="Escalador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288C6EB-3753-4ADB-8C45-5AECE66873FC}" name="eqlpurchasecnccontents_pur" displayName="eqlpurchasecnccontents_pur" ref="BC1:BK3" totalsRowShown="0">
  <autoFilter ref="BC1:BK3" xr:uid="{6288C6EB-3753-4ADB-8C45-5AECE66873FC}"/>
  <tableColumns count="9">
    <tableColumn id="1" xr3:uid="{2B7681F7-B8F9-4629-97BF-99F4641220FF}" name="CONTENIDOS"/>
    <tableColumn id="2" xr3:uid="{2642874E-7AEA-483B-B2F2-A72EA158F285}" name="LEY"/>
    <tableColumn id="3" xr3:uid="{0E19F1B9-B6B3-4D84-B59A-E35607EEC198}" name="DEDUC. MÍNIMA [u]"/>
    <tableColumn id="4" xr3:uid="{A29F4C39-C6D1-4CCF-83D3-96B744F02DAD}" name="Y/O"/>
    <tableColumn id="5" xr3:uid="{CF49D8E2-0D37-4BD3-88E4-E9D1A4994019}" name="PAGABLE AL [%]"/>
    <tableColumn id="6" xr3:uid="{8169F745-4361-4DC7-A85A-774154797F77}" name="UNIDAD"/>
    <tableColumn id="7" xr3:uid="{D1B58DB1-52EA-471B-9B3E-F33BC1788078}" name="CONCEPTO"/>
    <tableColumn id="8" xr3:uid="{310DECB7-A145-4067-8FD6-49CE12017986}" name="BASE"/>
    <tableColumn id="9" xr3:uid="{10FC57FC-7741-4D68-8BEC-0945297EB916}" name="CONDICIÓN [%]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E89232E-D29C-4004-A420-5078742E6243}" name="eqlpurchasecncpenalties_pur" displayName="eqlpurchasecncpenalties_pur" ref="BM1:BR7" totalsRowShown="0">
  <autoFilter ref="BM1:BR7" xr:uid="{0E89232E-D29C-4004-A420-5078742E6243}"/>
  <tableColumns count="6">
    <tableColumn id="1" xr3:uid="{444E8D04-CD7A-4D52-AA6E-3E1C5FFD2126}" name="ELEMENTO"/>
    <tableColumn id="2" xr3:uid="{C25814B6-B9A1-45F1-8DB2-F66226801AAB}" name="ACTUAL"/>
    <tableColumn id="3" xr3:uid="{BD4CA381-5615-450F-95CB-8FF57CF36233}" name="BASE"/>
    <tableColumn id="4" xr3:uid="{1E5A482B-33F7-489F-89DF-B0489927D619}" name="DEDUCCIÓN"/>
    <tableColumn id="5" xr3:uid="{0D2D02B7-017C-414D-A90A-C79D49D0DA74}" name="LÍMITE"/>
    <tableColumn id="6" xr3:uid="{3B6A48CF-2D77-47FC-9CAF-AC30E06EA83A}" name="SELECTED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DA322F5E-505B-4700-90A5-EFF137148497}" name="eqlpurchasecncdedexp_pur" displayName="eqlpurchasecncdedexp_pur" ref="BT1:BX3" totalsRowShown="0">
  <autoFilter ref="BT1:BX3" xr:uid="{DA322F5E-505B-4700-90A5-EFF137148497}"/>
  <tableColumns count="5">
    <tableColumn id="1" xr3:uid="{F3C4E8F8-3FE7-407C-83D8-388B37DF9099}" name="CONCEPTO"/>
    <tableColumn id="2" xr3:uid="{DCECF5E5-8BF6-4D62-B2D7-968568E97441}" name="PORCENTAJE"/>
    <tableColumn id="3" xr3:uid="{6A116C20-ABBA-4DBB-A542-0D7AE6B52EB9}" name="VALOR"/>
    <tableColumn id="4" xr3:uid="{53219719-6AF7-4F5F-94F1-0F98621CB5CE}" name="VALOR DIRECTO"/>
    <tableColumn id="5" xr3:uid="{78D60A1F-0E28-4AF5-BF76-D50641922A2F}" name="SELECTED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C40A7F9-A4A9-4E70-80FA-A9FEF21B871C}" name="eqlconfigpurretentions_temp" displayName="eqlconfigpurretentions_temp" ref="A1:C5" totalsRowShown="0" headerRowDxfId="363" tableBorderDxfId="362">
  <autoFilter ref="A1:C5" xr:uid="{BC40A7F9-A4A9-4E70-80FA-A9FEF21B871C}"/>
  <tableColumns count="3">
    <tableColumn id="1" xr3:uid="{4D688831-1823-44E1-9221-DE4562AE3550}" name="CONCEPTO"/>
    <tableColumn id="2" xr3:uid="{158EBD5C-9BD2-42AD-A2E9-B3294B99E59C}" name="PORCENTAJE"/>
    <tableColumn id="3" xr3:uid="{0B011C40-CA10-4738-B3D8-8FE5537272C5}" name="SELECTED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D7DBFD5-6049-4030-B767-7C688A790152}" name="eqlconfigpurretentionsother_temp" displayName="eqlconfigpurretentionsother_temp" ref="E1:G6" totalsRowShown="0" headerRowDxfId="361" tableBorderDxfId="360">
  <autoFilter ref="E1:G6" xr:uid="{8D7DBFD5-6049-4030-B767-7C688A790152}"/>
  <tableColumns count="3">
    <tableColumn id="1" xr3:uid="{DBD592D1-306F-4D57-91F1-A08791D66B55}" name="CONCEPTO"/>
    <tableColumn id="2" xr3:uid="{3919456B-CFEF-429B-A881-E614DCB8F5BA}" name="PORCENTAJE"/>
    <tableColumn id="3" xr3:uid="{483C7DFB-77F9-49CA-B84C-EF8DAF523825}" name="SELECTED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51903E3-05F8-451B-A53F-8E10F69E36D8}" name="eqlpurbonus_temp" displayName="eqlpurbonus_temp" ref="I1:K2" insertRow="1" totalsRowShown="0" headerRowDxfId="359" dataDxfId="358" tableBorderDxfId="357">
  <autoFilter ref="I1:K2" xr:uid="{951903E3-05F8-451B-A53F-8E10F69E36D8}"/>
  <tableColumns count="3">
    <tableColumn id="1" xr3:uid="{95CE17CF-1F0D-4131-AF9D-BB98A577D9E0}" name="MUESTRA" dataDxfId="356"/>
    <tableColumn id="2" xr3:uid="{6D1F4123-EED1-4F39-9C82-AF927E79CD3F}" name="BONO" dataDxfId="355"/>
    <tableColumn id="3" xr3:uid="{093FB9DF-D441-4725-8FB6-FF4FA64A38B9}" name="VALOR" dataDxfId="354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500E1FB-FB79-48A2-83E7-B243AB04B06C}" name="eqlpurdiscounts_temp" displayName="eqlpurdiscounts_temp" ref="M1:O2" totalsRowShown="0" headerRowDxfId="353" dataDxfId="352" tableBorderDxfId="351">
  <autoFilter ref="M1:O2" xr:uid="{5500E1FB-FB79-48A2-83E7-B243AB04B06C}"/>
  <tableColumns count="3">
    <tableColumn id="1" xr3:uid="{5E0E6817-622F-4C16-9D6A-9464A5700318}" name="MUESTRA" dataDxfId="350"/>
    <tableColumn id="2" xr3:uid="{1E8ABF50-6949-4130-8C19-577C09146F56}" name="DESCUENTO" dataDxfId="349"/>
    <tableColumn id="3" xr3:uid="{4BE4C8D2-6EE6-4927-94DB-FB58924EF77A}" name="VALOR" dataDxfId="348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3ADBE468-36AF-415F-B74D-7337587490F1}" name="eqlfilteretst_b" displayName="eqlfilteretst_b" ref="I8:P20" totalsRowShown="0">
  <autoFilter ref="I8:P20" xr:uid="{3D300880-DE6C-4F83-9A24-9269189967D6}"/>
  <tableColumns count="8">
    <tableColumn id="1" xr3:uid="{214BC94A-BB90-4AFB-A047-08DA766F32FC}" name="MINERAL"/>
    <tableColumn id="2" xr3:uid="{8366A9D0-AD84-4064-8BCE-ABCCC4BCE9C0}" name="ELEMENTO"/>
    <tableColumn id="3" xr3:uid="{35136B25-81F7-4F80-AA22-9AD349D4680A}" name="UNIDAD"/>
    <tableColumn id="4" xr3:uid="{BB6D16B3-3B68-4034-A11F-ABB9DC9DF4F7}" name="COTIZACIÓN"/>
    <tableColumn id="5" xr3:uid="{060323F6-7636-4CBC-BA6C-243FFD93D618}" name="EXPORTACIÓN"/>
    <tableColumn id="6" xr3:uid="{5FED6C37-7769-45B0-A49C-2EA268624E0B}" name="VENTA INTERNA"/>
    <tableColumn id="7" xr3:uid="{21C209B3-34C0-4932-B4FF-9B10C22BB2CB}" name="UNIDAD MINERAL"/>
    <tableColumn id="8" xr3:uid="{FDCCA3AE-40EE-44DF-B4B4-FD8F3E696A2A}" name="CONVERSIÓN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9F2E0A3C-2339-4B15-A5FB-16DE61B9286C}" name="eqlfilteretst_a" displayName="eqlfilteretst_a" ref="A8:E12" totalsRowShown="0">
  <autoFilter ref="A8:E12" xr:uid="{B5B5530A-6EB8-42BC-822B-F6FE6528913E}"/>
  <tableColumns count="5">
    <tableColumn id="1" xr3:uid="{156E551E-E4CE-4214-B04D-8912B243E114}" name="A"/>
    <tableColumn id="2" xr3:uid="{937F38BF-1F62-4D65-8361-42449E86D2E6}" name="B"/>
    <tableColumn id="3" xr3:uid="{196CC7A6-F2E0-467F-849B-DBF056F6E9FE}" name="C"/>
    <tableColumn id="4" xr3:uid="{346661EF-4908-44D3-A775-DF317AE77B58}" name="D"/>
    <tableColumn id="5" xr3:uid="{4ED3A58C-669A-440F-A0E6-7C0D508E8E02}" name="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5" Type="http://schemas.openxmlformats.org/officeDocument/2006/relationships/table" Target="../tables/table13.xml"/><Relationship Id="rId4" Type="http://schemas.openxmlformats.org/officeDocument/2006/relationships/table" Target="../tables/table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table" Target="../tables/table14.xml"/><Relationship Id="rId4" Type="http://schemas.openxmlformats.org/officeDocument/2006/relationships/table" Target="../tables/table17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table" Target="../tables/table1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44503-3559-40D8-9678-6EF29647D0E7}">
  <sheetPr codeName="excliqlites"/>
  <dimension ref="A1"/>
  <sheetViews>
    <sheetView workbookViewId="0">
      <selection activeCell="J1" sqref="J1"/>
    </sheetView>
  </sheetViews>
  <sheetFormatPr baseColWidth="10" defaultRowHeight="14.4" x14ac:dyDescent="0.3"/>
  <cols>
    <col min="6" max="7" width="13.33203125" customWidth="1"/>
    <col min="8" max="8" width="13.44140625" customWidth="1"/>
  </cols>
  <sheetData/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7D459-0E86-4463-B3D6-69AF6D8CBC5F}">
  <sheetPr codeName="excliqlitedatasheetsys"/>
  <dimension ref="A1:BT61"/>
  <sheetViews>
    <sheetView topLeftCell="AJ1" workbookViewId="0">
      <selection activeCell="AV7" sqref="AV7"/>
    </sheetView>
  </sheetViews>
  <sheetFormatPr baseColWidth="10" defaultRowHeight="14.4" outlineLevelCol="1" x14ac:dyDescent="0.3"/>
  <cols>
    <col min="1" max="1" width="11.5546875" customWidth="1" outlineLevel="1"/>
    <col min="2" max="2" width="11.88671875" customWidth="1" outlineLevel="1"/>
    <col min="3" max="3" width="12" customWidth="1" outlineLevel="1"/>
    <col min="4" max="4" width="16" customWidth="1" outlineLevel="1"/>
    <col min="5" max="5" width="20.109375" customWidth="1" outlineLevel="1"/>
    <col min="6" max="6" width="24.6640625" customWidth="1" outlineLevel="1"/>
    <col min="7" max="8" width="22.33203125" customWidth="1" outlineLevel="1"/>
    <col min="9" max="9" width="13.77734375" customWidth="1" outlineLevel="1"/>
    <col min="10" max="10" width="23.6640625" customWidth="1" outlineLevel="1"/>
    <col min="11" max="11" width="28.21875" customWidth="1" outlineLevel="1"/>
    <col min="12" max="12" width="23.109375" customWidth="1" outlineLevel="1"/>
    <col min="13" max="13" width="20.33203125" customWidth="1" outlineLevel="1"/>
    <col min="14" max="14" width="21.33203125" customWidth="1" outlineLevel="1"/>
    <col min="15" max="15" width="16.21875" customWidth="1" outlineLevel="1"/>
    <col min="16" max="16" width="16.5546875" customWidth="1" outlineLevel="1"/>
    <col min="17" max="18" width="18.21875" customWidth="1" outlineLevel="1"/>
    <col min="19" max="19" width="17.21875" customWidth="1" outlineLevel="1"/>
    <col min="20" max="21" width="17.6640625" customWidth="1" outlineLevel="1"/>
    <col min="22" max="22" width="14.5546875" customWidth="1" outlineLevel="1"/>
    <col min="23" max="23" width="12" customWidth="1" outlineLevel="1"/>
    <col min="24" max="24" width="11.5546875" customWidth="1" outlineLevel="1"/>
    <col min="25" max="26" width="12.21875" customWidth="1" outlineLevel="1"/>
    <col min="27" max="28" width="12" customWidth="1" outlineLevel="1"/>
    <col min="29" max="30" width="11.5546875" customWidth="1" outlineLevel="1"/>
    <col min="31" max="32" width="12.21875" customWidth="1" outlineLevel="1"/>
    <col min="34" max="36" width="11.5546875" customWidth="1" outlineLevel="1"/>
    <col min="37" max="37" width="15.44140625" customWidth="1" outlineLevel="1"/>
    <col min="38" max="38" width="17.21875" customWidth="1" outlineLevel="1"/>
    <col min="40" max="40" width="11.5546875" customWidth="1" outlineLevel="1"/>
    <col min="41" max="41" width="12.21875" customWidth="1" outlineLevel="1"/>
    <col min="42" max="42" width="11.5546875" customWidth="1" outlineLevel="1"/>
    <col min="43" max="43" width="13.44140625" customWidth="1" outlineLevel="1"/>
    <col min="44" max="44" width="15.109375" customWidth="1" outlineLevel="1"/>
    <col min="45" max="45" width="16.6640625" customWidth="1" outlineLevel="1"/>
    <col min="46" max="46" width="18.109375" customWidth="1" outlineLevel="1"/>
    <col min="47" max="47" width="14.21875" customWidth="1" outlineLevel="1"/>
    <col min="48" max="48" width="11.5546875" customWidth="1" outlineLevel="1"/>
    <col min="49" max="49" width="15.44140625" customWidth="1" outlineLevel="1"/>
    <col min="51" max="53" width="11.5546875" customWidth="1" outlineLevel="1"/>
    <col min="55" max="56" width="11.5546875" customWidth="1" outlineLevel="1"/>
    <col min="58" max="58" width="11.5546875" customWidth="1" outlineLevel="1"/>
    <col min="60" max="60" width="11.5546875" customWidth="1" outlineLevel="1"/>
    <col min="62" max="66" width="11.5546875" customWidth="1" outlineLevel="1"/>
  </cols>
  <sheetData>
    <row r="1" spans="1:72" x14ac:dyDescent="0.3">
      <c r="A1" s="481" t="s">
        <v>0</v>
      </c>
      <c r="B1" s="481" t="s">
        <v>4</v>
      </c>
      <c r="C1" s="481" t="s">
        <v>8</v>
      </c>
      <c r="D1" s="481" t="s">
        <v>9</v>
      </c>
      <c r="E1" s="481" t="s">
        <v>181</v>
      </c>
      <c r="F1" s="481" t="s">
        <v>174</v>
      </c>
      <c r="G1" s="481" t="s">
        <v>176</v>
      </c>
      <c r="H1" s="481" t="s">
        <v>1325</v>
      </c>
      <c r="I1" s="481" t="s">
        <v>1306</v>
      </c>
      <c r="J1" s="481" t="s">
        <v>1326</v>
      </c>
      <c r="K1" s="481" t="s">
        <v>1327</v>
      </c>
      <c r="L1" s="481" t="s">
        <v>1328</v>
      </c>
      <c r="M1" s="481" t="s">
        <v>1329</v>
      </c>
      <c r="N1" s="481" t="s">
        <v>1367</v>
      </c>
      <c r="O1" s="481" t="s">
        <v>1307</v>
      </c>
      <c r="P1" s="481" t="s">
        <v>477</v>
      </c>
      <c r="Q1" s="481" t="s">
        <v>481</v>
      </c>
      <c r="R1" s="481" t="s">
        <v>478</v>
      </c>
      <c r="S1" s="481" t="s">
        <v>479</v>
      </c>
      <c r="T1" s="481" t="s">
        <v>480</v>
      </c>
      <c r="U1" s="481" t="s">
        <v>482</v>
      </c>
      <c r="V1" s="481" t="s">
        <v>1119</v>
      </c>
      <c r="W1" s="481" t="s">
        <v>1117</v>
      </c>
      <c r="X1" s="481" t="s">
        <v>1116</v>
      </c>
      <c r="Y1" s="481" t="s">
        <v>1118</v>
      </c>
      <c r="Z1" s="481" t="s">
        <v>1120</v>
      </c>
      <c r="AA1" s="481" t="s">
        <v>1121</v>
      </c>
      <c r="AB1" s="481" t="s">
        <v>1122</v>
      </c>
      <c r="AC1" s="481" t="s">
        <v>1123</v>
      </c>
      <c r="AD1" s="481" t="s">
        <v>1124</v>
      </c>
      <c r="AE1" s="481" t="s">
        <v>1125</v>
      </c>
      <c r="AF1" s="481" t="s">
        <v>1126</v>
      </c>
      <c r="AH1" s="481" t="s">
        <v>2</v>
      </c>
      <c r="AI1" s="481" t="s">
        <v>1</v>
      </c>
      <c r="AJ1" s="481" t="s">
        <v>3</v>
      </c>
      <c r="AK1" s="481" t="s">
        <v>408</v>
      </c>
      <c r="AL1" s="481" t="s">
        <v>409</v>
      </c>
      <c r="AN1" s="481" t="s">
        <v>495</v>
      </c>
      <c r="AO1" s="481" t="s">
        <v>494</v>
      </c>
      <c r="AP1" s="481" t="s">
        <v>490</v>
      </c>
      <c r="AQ1" s="481" t="s">
        <v>491</v>
      </c>
      <c r="AR1" s="481" t="s">
        <v>492</v>
      </c>
      <c r="AS1" s="481" t="s">
        <v>493</v>
      </c>
      <c r="AT1" s="481" t="s">
        <v>753</v>
      </c>
      <c r="AU1" s="481" t="s">
        <v>752</v>
      </c>
      <c r="AV1" s="481" t="s">
        <v>1166</v>
      </c>
      <c r="AW1" s="481" t="s">
        <v>1175</v>
      </c>
      <c r="AY1" s="481" t="s">
        <v>578</v>
      </c>
      <c r="AZ1" s="481" t="s">
        <v>828</v>
      </c>
      <c r="BA1" s="481" t="s">
        <v>373</v>
      </c>
      <c r="BC1" s="481" t="s">
        <v>578</v>
      </c>
      <c r="BD1" s="481" t="s">
        <v>828</v>
      </c>
      <c r="BF1" s="481" t="s">
        <v>1003</v>
      </c>
      <c r="BH1" s="481" t="s">
        <v>1003</v>
      </c>
      <c r="BJ1" s="481" t="s">
        <v>48</v>
      </c>
      <c r="BK1" s="481" t="s">
        <v>938</v>
      </c>
      <c r="BL1" s="481" t="s">
        <v>51</v>
      </c>
      <c r="BM1" s="481" t="s">
        <v>1135</v>
      </c>
      <c r="BN1" s="481" t="s">
        <v>1136</v>
      </c>
      <c r="BP1" t="s">
        <v>6</v>
      </c>
      <c r="BQ1" t="s">
        <v>5</v>
      </c>
      <c r="BR1" t="s">
        <v>7</v>
      </c>
      <c r="BS1">
        <v>1</v>
      </c>
      <c r="BT1">
        <v>0</v>
      </c>
    </row>
    <row r="2" spans="1:72" x14ac:dyDescent="0.3">
      <c r="A2" s="236">
        <v>0</v>
      </c>
      <c r="B2" s="236">
        <v>1</v>
      </c>
      <c r="C2" s="236">
        <v>1</v>
      </c>
      <c r="D2" s="236">
        <v>0</v>
      </c>
      <c r="E2" s="236">
        <v>1</v>
      </c>
      <c r="F2" s="236">
        <v>0</v>
      </c>
      <c r="G2" s="236">
        <v>1</v>
      </c>
      <c r="H2" s="236">
        <v>0</v>
      </c>
      <c r="I2" s="236">
        <v>0</v>
      </c>
      <c r="J2" s="236">
        <v>0</v>
      </c>
      <c r="K2" s="236">
        <v>0</v>
      </c>
      <c r="L2" s="236">
        <v>0</v>
      </c>
      <c r="M2" s="236">
        <v>0</v>
      </c>
      <c r="N2" s="236">
        <v>0</v>
      </c>
      <c r="O2" s="236" t="s">
        <v>1308</v>
      </c>
      <c r="P2" s="236" t="s">
        <v>1395</v>
      </c>
      <c r="Q2" s="236" t="s">
        <v>1396</v>
      </c>
      <c r="R2" s="236" t="s">
        <v>1397</v>
      </c>
      <c r="S2" s="236" t="s">
        <v>1399</v>
      </c>
      <c r="T2" s="236" t="s">
        <v>1398</v>
      </c>
      <c r="U2" s="236">
        <v>0</v>
      </c>
      <c r="V2" s="236" t="s">
        <v>1127</v>
      </c>
      <c r="W2" s="236">
        <v>1</v>
      </c>
      <c r="X2" s="236">
        <v>1</v>
      </c>
      <c r="Y2" s="236">
        <v>1</v>
      </c>
      <c r="Z2" s="236" t="s">
        <v>1128</v>
      </c>
      <c r="AA2" s="236" t="s">
        <v>1200</v>
      </c>
      <c r="AB2" s="236" t="s">
        <v>1129</v>
      </c>
      <c r="AC2" s="236">
        <v>2019</v>
      </c>
      <c r="AD2" s="236" t="s">
        <v>1130</v>
      </c>
      <c r="AE2" s="236" t="s">
        <v>1131</v>
      </c>
      <c r="AF2" s="236" t="s">
        <v>1132</v>
      </c>
      <c r="AH2" s="236" t="s">
        <v>6</v>
      </c>
      <c r="AI2" s="236" t="s">
        <v>5</v>
      </c>
      <c r="AJ2" s="236" t="s">
        <v>7</v>
      </c>
      <c r="AK2" s="236">
        <v>1</v>
      </c>
      <c r="AL2" s="236">
        <v>0</v>
      </c>
      <c r="AN2" s="236" t="s">
        <v>496</v>
      </c>
      <c r="AO2" s="236" t="s">
        <v>159</v>
      </c>
      <c r="AP2" s="236" t="s">
        <v>497</v>
      </c>
      <c r="AQ2" s="236">
        <v>3000</v>
      </c>
      <c r="AR2" s="236">
        <v>5</v>
      </c>
      <c r="AS2" s="236">
        <v>3</v>
      </c>
      <c r="AT2" s="236" t="s">
        <v>166</v>
      </c>
      <c r="AU2" s="236" t="s">
        <v>1167</v>
      </c>
      <c r="AV2" s="236">
        <v>2204.6223</v>
      </c>
      <c r="AW2" s="236">
        <v>1</v>
      </c>
      <c r="AY2" s="236" t="s">
        <v>496</v>
      </c>
      <c r="AZ2" s="236" t="s">
        <v>159</v>
      </c>
      <c r="BA2" s="236" t="s">
        <v>1370</v>
      </c>
      <c r="BC2" s="236" t="s">
        <v>505</v>
      </c>
      <c r="BD2" s="236" t="s">
        <v>168</v>
      </c>
      <c r="BF2" s="236" t="s">
        <v>166</v>
      </c>
      <c r="BH2" s="236" t="s">
        <v>139</v>
      </c>
      <c r="BJ2" s="236" t="s">
        <v>6</v>
      </c>
      <c r="BK2" s="236" t="s">
        <v>5</v>
      </c>
      <c r="BL2" s="236" t="s">
        <v>7</v>
      </c>
      <c r="BM2" s="236">
        <v>1</v>
      </c>
      <c r="BN2" s="236">
        <v>0</v>
      </c>
      <c r="BP2" t="s">
        <v>543</v>
      </c>
      <c r="BQ2" t="s">
        <v>542</v>
      </c>
      <c r="BR2" t="s">
        <v>246</v>
      </c>
      <c r="BS2">
        <v>0</v>
      </c>
      <c r="BT2">
        <v>1</v>
      </c>
    </row>
    <row r="3" spans="1:72" x14ac:dyDescent="0.3">
      <c r="AH3" s="482" t="s">
        <v>543</v>
      </c>
      <c r="AI3" s="482" t="s">
        <v>542</v>
      </c>
      <c r="AJ3" s="482" t="s">
        <v>246</v>
      </c>
      <c r="AK3" s="482">
        <v>0</v>
      </c>
      <c r="AL3" s="482">
        <v>1</v>
      </c>
      <c r="AN3" s="482" t="s">
        <v>498</v>
      </c>
      <c r="AO3" s="482" t="s">
        <v>499</v>
      </c>
      <c r="AP3" s="482" t="s">
        <v>497</v>
      </c>
      <c r="AQ3" s="482">
        <v>7.12</v>
      </c>
      <c r="AR3" s="482">
        <v>5</v>
      </c>
      <c r="AS3" s="482">
        <v>3</v>
      </c>
      <c r="AT3" s="482" t="s">
        <v>166</v>
      </c>
      <c r="AU3" s="482" t="s">
        <v>1167</v>
      </c>
      <c r="AV3" s="482">
        <v>2204.6223</v>
      </c>
      <c r="AW3" s="482">
        <v>1</v>
      </c>
      <c r="AY3" s="482" t="s">
        <v>509</v>
      </c>
      <c r="AZ3" s="482" t="s">
        <v>167</v>
      </c>
      <c r="BA3" s="236" t="s">
        <v>1370</v>
      </c>
      <c r="BC3" s="482" t="s">
        <v>500</v>
      </c>
      <c r="BD3" s="482" t="s">
        <v>501</v>
      </c>
      <c r="BF3" s="482" t="s">
        <v>139</v>
      </c>
      <c r="BH3" s="482" t="s">
        <v>754</v>
      </c>
      <c r="BJ3" s="482" t="s">
        <v>543</v>
      </c>
      <c r="BK3" s="482" t="s">
        <v>542</v>
      </c>
      <c r="BL3" s="482" t="s">
        <v>246</v>
      </c>
      <c r="BM3" s="482">
        <v>0</v>
      </c>
      <c r="BN3" s="482">
        <v>1</v>
      </c>
      <c r="BP3" t="s">
        <v>855</v>
      </c>
      <c r="BQ3" t="s">
        <v>857</v>
      </c>
      <c r="BR3" t="s">
        <v>856</v>
      </c>
      <c r="BS3">
        <v>0</v>
      </c>
      <c r="BT3">
        <v>0</v>
      </c>
    </row>
    <row r="4" spans="1:72" x14ac:dyDescent="0.3">
      <c r="AH4" s="236" t="s">
        <v>855</v>
      </c>
      <c r="AI4" s="236" t="s">
        <v>857</v>
      </c>
      <c r="AJ4" s="236" t="s">
        <v>856</v>
      </c>
      <c r="AK4" s="236">
        <v>0</v>
      </c>
      <c r="AL4" s="236">
        <v>0</v>
      </c>
      <c r="AN4" s="236" t="s">
        <v>500</v>
      </c>
      <c r="AO4" s="236" t="s">
        <v>501</v>
      </c>
      <c r="AP4" s="236" t="s">
        <v>502</v>
      </c>
      <c r="AQ4" s="236">
        <v>1204.0899999999999</v>
      </c>
      <c r="AR4" s="236">
        <v>7</v>
      </c>
      <c r="AS4" s="236">
        <v>4.2</v>
      </c>
      <c r="AT4" s="236" t="s">
        <v>754</v>
      </c>
      <c r="AU4" s="236" t="s">
        <v>1168</v>
      </c>
      <c r="AV4" s="236">
        <v>31.1035</v>
      </c>
      <c r="AW4" s="236">
        <v>3.2150722499999999E-2</v>
      </c>
      <c r="AY4" s="236" t="s">
        <v>506</v>
      </c>
      <c r="AZ4" s="236" t="s">
        <v>507</v>
      </c>
      <c r="BA4" s="236" t="s">
        <v>1370</v>
      </c>
      <c r="BC4" s="236" t="s">
        <v>864</v>
      </c>
      <c r="BD4" s="236" t="s">
        <v>865</v>
      </c>
      <c r="BF4" s="236" t="s">
        <v>754</v>
      </c>
      <c r="BH4" s="236" t="s">
        <v>1004</v>
      </c>
      <c r="BJ4" s="236" t="s">
        <v>855</v>
      </c>
      <c r="BK4" s="236" t="s">
        <v>857</v>
      </c>
      <c r="BL4" s="236" t="s">
        <v>856</v>
      </c>
      <c r="BM4" s="236">
        <v>0</v>
      </c>
      <c r="BN4" s="236">
        <v>0</v>
      </c>
      <c r="BP4" t="s">
        <v>858</v>
      </c>
      <c r="BQ4" t="s">
        <v>859</v>
      </c>
      <c r="BR4" t="s">
        <v>860</v>
      </c>
      <c r="BS4">
        <v>0</v>
      </c>
      <c r="BT4">
        <v>0</v>
      </c>
    </row>
    <row r="5" spans="1:72" x14ac:dyDescent="0.3">
      <c r="AH5" s="482" t="s">
        <v>858</v>
      </c>
      <c r="AI5" s="482" t="s">
        <v>859</v>
      </c>
      <c r="AJ5" s="482" t="s">
        <v>860</v>
      </c>
      <c r="AK5" s="482">
        <v>0</v>
      </c>
      <c r="AL5" s="482">
        <v>0</v>
      </c>
      <c r="AN5" s="482" t="s">
        <v>503</v>
      </c>
      <c r="AO5" s="482" t="s">
        <v>516</v>
      </c>
      <c r="AP5" s="482" t="s">
        <v>502</v>
      </c>
      <c r="AQ5" s="482">
        <v>1204.0899999999999</v>
      </c>
      <c r="AR5" s="482">
        <v>5</v>
      </c>
      <c r="AS5" s="482">
        <v>3</v>
      </c>
      <c r="AT5" s="482" t="s">
        <v>754</v>
      </c>
      <c r="AU5" s="482" t="s">
        <v>1168</v>
      </c>
      <c r="AV5" s="482">
        <v>31.1035</v>
      </c>
      <c r="AW5" s="482">
        <v>3.2150722499999999E-2</v>
      </c>
      <c r="AY5" s="482" t="s">
        <v>505</v>
      </c>
      <c r="AZ5" s="482" t="s">
        <v>168</v>
      </c>
      <c r="BA5" s="236" t="s">
        <v>1371</v>
      </c>
      <c r="BC5" s="482" t="s">
        <v>891</v>
      </c>
      <c r="BD5" s="482" t="s">
        <v>926</v>
      </c>
      <c r="BF5" s="482" t="s">
        <v>1004</v>
      </c>
      <c r="BJ5" s="482" t="s">
        <v>858</v>
      </c>
      <c r="BK5" s="482" t="s">
        <v>859</v>
      </c>
      <c r="BL5" s="482" t="s">
        <v>860</v>
      </c>
      <c r="BM5" s="482">
        <v>0</v>
      </c>
      <c r="BN5" s="482">
        <v>0</v>
      </c>
      <c r="BP5" t="s">
        <v>1137</v>
      </c>
      <c r="BQ5" t="s">
        <v>1138</v>
      </c>
      <c r="BR5" t="s">
        <v>1139</v>
      </c>
      <c r="BS5">
        <v>0</v>
      </c>
      <c r="BT5">
        <v>0</v>
      </c>
    </row>
    <row r="6" spans="1:72" x14ac:dyDescent="0.3">
      <c r="AN6" s="236" t="s">
        <v>504</v>
      </c>
      <c r="AO6" s="236" t="s">
        <v>517</v>
      </c>
      <c r="AP6" s="236" t="s">
        <v>502</v>
      </c>
      <c r="AQ6" s="236">
        <v>1204.0899999999999</v>
      </c>
      <c r="AR6" s="236">
        <v>2.5</v>
      </c>
      <c r="AS6" s="236">
        <v>1.5</v>
      </c>
      <c r="AT6" s="236" t="s">
        <v>754</v>
      </c>
      <c r="AU6" s="236" t="s">
        <v>1168</v>
      </c>
      <c r="AV6" s="236">
        <v>31.1035</v>
      </c>
      <c r="AW6" s="236">
        <v>3.2150722499999999E-2</v>
      </c>
      <c r="AY6" s="236" t="s">
        <v>500</v>
      </c>
      <c r="AZ6" s="236" t="s">
        <v>501</v>
      </c>
      <c r="BA6" s="236" t="s">
        <v>1371</v>
      </c>
      <c r="BC6" s="236" t="s">
        <v>892</v>
      </c>
      <c r="BD6" s="236" t="s">
        <v>927</v>
      </c>
      <c r="BJ6" s="236" t="s">
        <v>1137</v>
      </c>
      <c r="BK6" s="236" t="s">
        <v>1138</v>
      </c>
      <c r="BL6" s="236" t="s">
        <v>1139</v>
      </c>
      <c r="BM6" s="236">
        <v>0</v>
      </c>
      <c r="BN6" s="236">
        <v>0</v>
      </c>
    </row>
    <row r="7" spans="1:72" x14ac:dyDescent="0.3">
      <c r="AN7" s="482" t="s">
        <v>505</v>
      </c>
      <c r="AO7" s="482" t="s">
        <v>168</v>
      </c>
      <c r="AP7" s="482" t="s">
        <v>502</v>
      </c>
      <c r="AQ7" s="482">
        <v>10</v>
      </c>
      <c r="AR7" s="482">
        <v>6</v>
      </c>
      <c r="AS7" s="482">
        <v>3.6</v>
      </c>
      <c r="AT7" s="482" t="s">
        <v>139</v>
      </c>
      <c r="AU7" s="482" t="s">
        <v>1168</v>
      </c>
      <c r="AV7" s="482">
        <v>31.1035</v>
      </c>
      <c r="AW7" s="482">
        <v>3.2150722589999998</v>
      </c>
      <c r="AY7" s="482" t="s">
        <v>512</v>
      </c>
      <c r="AZ7" s="482" t="s">
        <v>513</v>
      </c>
      <c r="BA7" s="236" t="s">
        <v>1370</v>
      </c>
      <c r="BC7" s="236" t="s">
        <v>893</v>
      </c>
      <c r="BD7" s="236" t="s">
        <v>928</v>
      </c>
    </row>
    <row r="8" spans="1:72" x14ac:dyDescent="0.3">
      <c r="AN8" s="236" t="s">
        <v>506</v>
      </c>
      <c r="AO8" s="236" t="s">
        <v>507</v>
      </c>
      <c r="AP8" s="236" t="s">
        <v>508</v>
      </c>
      <c r="AQ8" s="236">
        <v>8675</v>
      </c>
      <c r="AR8" s="236">
        <v>5</v>
      </c>
      <c r="AS8" s="236">
        <v>3</v>
      </c>
      <c r="AT8" s="236" t="s">
        <v>166</v>
      </c>
      <c r="AU8" s="236" t="s">
        <v>1169</v>
      </c>
      <c r="AV8" s="236">
        <v>1</v>
      </c>
      <c r="AW8" s="236">
        <v>1</v>
      </c>
      <c r="AY8" s="236" t="s">
        <v>510</v>
      </c>
      <c r="AZ8" s="236" t="s">
        <v>511</v>
      </c>
      <c r="BA8" s="236" t="s">
        <v>1370</v>
      </c>
      <c r="BC8" s="236" t="s">
        <v>894</v>
      </c>
      <c r="BD8" s="236" t="s">
        <v>929</v>
      </c>
    </row>
    <row r="9" spans="1:72" x14ac:dyDescent="0.3">
      <c r="AN9" s="482" t="s">
        <v>509</v>
      </c>
      <c r="AO9" s="482" t="s">
        <v>167</v>
      </c>
      <c r="AP9" s="482" t="s">
        <v>497</v>
      </c>
      <c r="AQ9" s="482">
        <v>1.1339999999999999</v>
      </c>
      <c r="AR9" s="482">
        <v>5</v>
      </c>
      <c r="AS9" s="482">
        <v>3</v>
      </c>
      <c r="AT9" s="482" t="s">
        <v>166</v>
      </c>
      <c r="AU9" s="482" t="s">
        <v>1167</v>
      </c>
      <c r="AV9" s="482">
        <v>2204.6223</v>
      </c>
      <c r="AW9" s="482">
        <v>1</v>
      </c>
      <c r="AY9" s="482" t="s">
        <v>498</v>
      </c>
      <c r="AZ9" s="482" t="s">
        <v>499</v>
      </c>
      <c r="BA9" s="236" t="s">
        <v>1370</v>
      </c>
      <c r="BC9" s="509" t="s">
        <v>895</v>
      </c>
      <c r="BD9" s="509" t="s">
        <v>930</v>
      </c>
    </row>
    <row r="10" spans="1:72" x14ac:dyDescent="0.3">
      <c r="AN10" s="236" t="s">
        <v>510</v>
      </c>
      <c r="AO10" s="236" t="s">
        <v>511</v>
      </c>
      <c r="AP10" s="236" t="s">
        <v>508</v>
      </c>
      <c r="AQ10" s="236">
        <v>13135.78</v>
      </c>
      <c r="AR10" s="236">
        <v>2.2839999999999998</v>
      </c>
      <c r="AS10" s="236">
        <v>1.37</v>
      </c>
      <c r="AT10" s="236" t="s">
        <v>166</v>
      </c>
      <c r="AU10" s="236" t="s">
        <v>1169</v>
      </c>
      <c r="AV10" s="236">
        <v>1</v>
      </c>
      <c r="AW10" s="236">
        <v>1</v>
      </c>
      <c r="AY10" s="236" t="s">
        <v>514</v>
      </c>
      <c r="AZ10" s="236" t="s">
        <v>515</v>
      </c>
      <c r="BA10" s="236" t="s">
        <v>1370</v>
      </c>
    </row>
    <row r="11" spans="1:72" x14ac:dyDescent="0.3">
      <c r="AN11" s="482" t="s">
        <v>512</v>
      </c>
      <c r="AO11" s="482" t="s">
        <v>513</v>
      </c>
      <c r="AP11" s="482" t="s">
        <v>497</v>
      </c>
      <c r="AQ11" s="482">
        <v>2.81</v>
      </c>
      <c r="AR11" s="482">
        <v>5</v>
      </c>
      <c r="AS11" s="482">
        <v>3</v>
      </c>
      <c r="AT11" s="482" t="s">
        <v>166</v>
      </c>
      <c r="AU11" s="482" t="s">
        <v>1167</v>
      </c>
      <c r="AV11" s="482">
        <v>2204.6223</v>
      </c>
      <c r="AW11" s="482">
        <v>1</v>
      </c>
      <c r="AY11" s="482" t="s">
        <v>864</v>
      </c>
      <c r="AZ11" s="482" t="s">
        <v>865</v>
      </c>
      <c r="BA11" s="236" t="s">
        <v>1371</v>
      </c>
    </row>
    <row r="12" spans="1:72" x14ac:dyDescent="0.3">
      <c r="AN12" s="236" t="s">
        <v>514</v>
      </c>
      <c r="AO12" s="236" t="s">
        <v>515</v>
      </c>
      <c r="AP12" s="236" t="s">
        <v>497</v>
      </c>
      <c r="AQ12" s="236">
        <v>6.6</v>
      </c>
      <c r="AR12" s="236">
        <v>2.9079999999999999</v>
      </c>
      <c r="AS12" s="236">
        <v>1.7450000000000001</v>
      </c>
      <c r="AT12" s="236" t="s">
        <v>166</v>
      </c>
      <c r="AU12" s="236" t="s">
        <v>1167</v>
      </c>
      <c r="AV12" s="236">
        <v>2204.6223</v>
      </c>
      <c r="AW12" s="236">
        <v>1</v>
      </c>
      <c r="AY12" s="236" t="s">
        <v>891</v>
      </c>
      <c r="AZ12" s="236" t="s">
        <v>926</v>
      </c>
      <c r="BA12" s="236" t="s">
        <v>1371</v>
      </c>
    </row>
    <row r="13" spans="1:72" x14ac:dyDescent="0.3">
      <c r="AN13" s="482" t="s">
        <v>864</v>
      </c>
      <c r="AO13" s="482" t="s">
        <v>865</v>
      </c>
      <c r="AP13" s="482" t="s">
        <v>502</v>
      </c>
      <c r="AQ13" s="482">
        <v>1100</v>
      </c>
      <c r="AR13" s="482">
        <v>0</v>
      </c>
      <c r="AS13" s="482">
        <v>0</v>
      </c>
      <c r="AT13" s="482" t="s">
        <v>754</v>
      </c>
      <c r="AU13" s="482" t="s">
        <v>1168</v>
      </c>
      <c r="AV13" s="482">
        <v>31.1035</v>
      </c>
      <c r="AW13" s="482">
        <v>3.2150722499999999E-2</v>
      </c>
      <c r="AY13" s="482" t="s">
        <v>892</v>
      </c>
      <c r="AZ13" s="482" t="s">
        <v>927</v>
      </c>
      <c r="BA13" s="236" t="s">
        <v>1371</v>
      </c>
    </row>
    <row r="14" spans="1:72" x14ac:dyDescent="0.3">
      <c r="AY14" s="236" t="s">
        <v>893</v>
      </c>
      <c r="AZ14" s="236" t="s">
        <v>928</v>
      </c>
      <c r="BA14" s="236" t="s">
        <v>1371</v>
      </c>
    </row>
    <row r="15" spans="1:72" x14ac:dyDescent="0.3">
      <c r="AY15" s="482" t="s">
        <v>894</v>
      </c>
      <c r="AZ15" s="482" t="s">
        <v>929</v>
      </c>
      <c r="BA15" s="236" t="s">
        <v>1371</v>
      </c>
    </row>
    <row r="16" spans="1:72" x14ac:dyDescent="0.3">
      <c r="AY16" s="236" t="s">
        <v>895</v>
      </c>
      <c r="AZ16" s="236" t="s">
        <v>930</v>
      </c>
      <c r="BA16" s="236" t="s">
        <v>1371</v>
      </c>
    </row>
    <row r="17" spans="51:53" x14ac:dyDescent="0.3">
      <c r="AY17" s="482" t="s">
        <v>896</v>
      </c>
      <c r="AZ17" s="482" t="s">
        <v>931</v>
      </c>
      <c r="BA17" s="236" t="s">
        <v>1370</v>
      </c>
    </row>
    <row r="18" spans="51:53" x14ac:dyDescent="0.3">
      <c r="AY18" s="236" t="s">
        <v>897</v>
      </c>
      <c r="AZ18" s="236" t="s">
        <v>932</v>
      </c>
      <c r="BA18" s="236" t="s">
        <v>1370</v>
      </c>
    </row>
    <row r="19" spans="51:53" x14ac:dyDescent="0.3">
      <c r="AY19" s="482" t="s">
        <v>898</v>
      </c>
      <c r="AZ19" s="482" t="s">
        <v>933</v>
      </c>
      <c r="BA19" s="236" t="s">
        <v>1370</v>
      </c>
    </row>
    <row r="20" spans="51:53" x14ac:dyDescent="0.3">
      <c r="AY20" s="236" t="s">
        <v>899</v>
      </c>
      <c r="AZ20" s="236" t="s">
        <v>599</v>
      </c>
      <c r="BA20" s="236" t="s">
        <v>1370</v>
      </c>
    </row>
    <row r="21" spans="51:53" x14ac:dyDescent="0.3">
      <c r="AY21" s="482" t="s">
        <v>900</v>
      </c>
      <c r="AZ21" s="482" t="s">
        <v>934</v>
      </c>
      <c r="BA21" s="236" t="s">
        <v>1370</v>
      </c>
    </row>
    <row r="22" spans="51:53" x14ac:dyDescent="0.3">
      <c r="AY22" s="236" t="s">
        <v>901</v>
      </c>
      <c r="AZ22" s="236" t="s">
        <v>935</v>
      </c>
      <c r="BA22" s="236" t="s">
        <v>1370</v>
      </c>
    </row>
    <row r="23" spans="51:53" x14ac:dyDescent="0.3">
      <c r="AY23" s="482" t="s">
        <v>902</v>
      </c>
      <c r="AZ23" s="482" t="s">
        <v>936</v>
      </c>
      <c r="BA23" s="236" t="s">
        <v>1370</v>
      </c>
    </row>
    <row r="24" spans="51:53" x14ac:dyDescent="0.3">
      <c r="AY24" s="236" t="s">
        <v>903</v>
      </c>
      <c r="AZ24" s="236" t="s">
        <v>937</v>
      </c>
      <c r="BA24" s="236" t="s">
        <v>1370</v>
      </c>
    </row>
    <row r="25" spans="51:53" x14ac:dyDescent="0.3">
      <c r="AY25" s="482" t="s">
        <v>904</v>
      </c>
      <c r="AZ25" s="482" t="s">
        <v>938</v>
      </c>
      <c r="BA25" s="236" t="s">
        <v>1370</v>
      </c>
    </row>
    <row r="26" spans="51:53" x14ac:dyDescent="0.3">
      <c r="AY26" s="236" t="s">
        <v>905</v>
      </c>
      <c r="AZ26" s="236" t="s">
        <v>939</v>
      </c>
      <c r="BA26" s="236" t="s">
        <v>1370</v>
      </c>
    </row>
    <row r="27" spans="51:53" x14ac:dyDescent="0.3">
      <c r="AY27" s="482" t="s">
        <v>906</v>
      </c>
      <c r="AZ27" s="482" t="s">
        <v>940</v>
      </c>
      <c r="BA27" s="236" t="s">
        <v>1370</v>
      </c>
    </row>
    <row r="28" spans="51:53" x14ac:dyDescent="0.3">
      <c r="AY28" s="236" t="s">
        <v>907</v>
      </c>
      <c r="AZ28" s="236" t="s">
        <v>941</v>
      </c>
      <c r="BA28" s="236" t="s">
        <v>1370</v>
      </c>
    </row>
    <row r="29" spans="51:53" x14ac:dyDescent="0.3">
      <c r="AY29" s="482" t="s">
        <v>908</v>
      </c>
      <c r="AZ29" s="482" t="s">
        <v>942</v>
      </c>
      <c r="BA29" s="236" t="s">
        <v>1370</v>
      </c>
    </row>
    <row r="30" spans="51:53" x14ac:dyDescent="0.3">
      <c r="AY30" s="236" t="s">
        <v>909</v>
      </c>
      <c r="AZ30" s="236" t="s">
        <v>138</v>
      </c>
      <c r="BA30" s="236" t="s">
        <v>1370</v>
      </c>
    </row>
    <row r="31" spans="51:53" x14ac:dyDescent="0.3">
      <c r="AY31" s="482" t="s">
        <v>910</v>
      </c>
      <c r="AZ31" s="482" t="s">
        <v>943</v>
      </c>
      <c r="BA31" s="236" t="s">
        <v>1370</v>
      </c>
    </row>
    <row r="32" spans="51:53" x14ac:dyDescent="0.3">
      <c r="AY32" s="236" t="s">
        <v>911</v>
      </c>
      <c r="AZ32" s="236" t="s">
        <v>944</v>
      </c>
      <c r="BA32" s="236" t="s">
        <v>1370</v>
      </c>
    </row>
    <row r="33" spans="51:53" x14ac:dyDescent="0.3">
      <c r="AY33" s="482" t="s">
        <v>912</v>
      </c>
      <c r="AZ33" s="482" t="s">
        <v>945</v>
      </c>
      <c r="BA33" s="236" t="s">
        <v>1370</v>
      </c>
    </row>
    <row r="34" spans="51:53" x14ac:dyDescent="0.3">
      <c r="AY34" s="236" t="s">
        <v>913</v>
      </c>
      <c r="AZ34" s="236" t="s">
        <v>946</v>
      </c>
      <c r="BA34" s="236" t="s">
        <v>1370</v>
      </c>
    </row>
    <row r="35" spans="51:53" x14ac:dyDescent="0.3">
      <c r="AY35" s="482" t="s">
        <v>914</v>
      </c>
      <c r="AZ35" s="482" t="s">
        <v>947</v>
      </c>
      <c r="BA35" s="236" t="s">
        <v>1370</v>
      </c>
    </row>
    <row r="36" spans="51:53" x14ac:dyDescent="0.3">
      <c r="AY36" s="236" t="s">
        <v>915</v>
      </c>
      <c r="AZ36" s="236" t="s">
        <v>886</v>
      </c>
      <c r="BA36" s="236" t="s">
        <v>1370</v>
      </c>
    </row>
    <row r="37" spans="51:53" x14ac:dyDescent="0.3">
      <c r="AY37" s="482" t="s">
        <v>916</v>
      </c>
      <c r="AZ37" s="482" t="s">
        <v>948</v>
      </c>
      <c r="BA37" s="236" t="s">
        <v>1370</v>
      </c>
    </row>
    <row r="38" spans="51:53" x14ac:dyDescent="0.3">
      <c r="AY38" s="236" t="s">
        <v>917</v>
      </c>
      <c r="AZ38" s="236" t="s">
        <v>949</v>
      </c>
      <c r="BA38" s="236" t="s">
        <v>1370</v>
      </c>
    </row>
    <row r="39" spans="51:53" x14ac:dyDescent="0.3">
      <c r="AY39" s="482" t="s">
        <v>918</v>
      </c>
      <c r="AZ39" s="482" t="s">
        <v>597</v>
      </c>
      <c r="BA39" s="236" t="s">
        <v>1370</v>
      </c>
    </row>
    <row r="40" spans="51:53" x14ac:dyDescent="0.3">
      <c r="AY40" s="236" t="s">
        <v>919</v>
      </c>
      <c r="AZ40" s="236" t="s">
        <v>950</v>
      </c>
      <c r="BA40" s="236" t="s">
        <v>1370</v>
      </c>
    </row>
    <row r="41" spans="51:53" x14ac:dyDescent="0.3">
      <c r="AY41" s="482" t="s">
        <v>920</v>
      </c>
      <c r="AZ41" s="482" t="s">
        <v>951</v>
      </c>
      <c r="BA41" s="236" t="s">
        <v>1370</v>
      </c>
    </row>
    <row r="42" spans="51:53" x14ac:dyDescent="0.3">
      <c r="AY42" s="236" t="s">
        <v>921</v>
      </c>
      <c r="AZ42" s="236" t="s">
        <v>952</v>
      </c>
      <c r="BA42" s="236" t="s">
        <v>1370</v>
      </c>
    </row>
    <row r="43" spans="51:53" x14ac:dyDescent="0.3">
      <c r="AY43" s="482" t="s">
        <v>922</v>
      </c>
      <c r="AZ43" s="482" t="s">
        <v>953</v>
      </c>
      <c r="BA43" s="236" t="s">
        <v>1370</v>
      </c>
    </row>
    <row r="44" spans="51:53" x14ac:dyDescent="0.3">
      <c r="AY44" s="236" t="s">
        <v>923</v>
      </c>
      <c r="AZ44" s="236" t="s">
        <v>12</v>
      </c>
      <c r="BA44" s="236" t="s">
        <v>1370</v>
      </c>
    </row>
    <row r="45" spans="51:53" x14ac:dyDescent="0.3">
      <c r="AY45" s="482" t="s">
        <v>924</v>
      </c>
      <c r="AZ45" s="482" t="s">
        <v>954</v>
      </c>
      <c r="BA45" s="236" t="s">
        <v>1370</v>
      </c>
    </row>
    <row r="46" spans="51:53" x14ac:dyDescent="0.3">
      <c r="AY46" s="236" t="s">
        <v>925</v>
      </c>
      <c r="AZ46" s="236" t="s">
        <v>955</v>
      </c>
      <c r="BA46" s="236" t="s">
        <v>1370</v>
      </c>
    </row>
    <row r="47" spans="51:53" x14ac:dyDescent="0.3">
      <c r="AY47" s="482" t="s">
        <v>968</v>
      </c>
      <c r="AZ47" s="482" t="s">
        <v>956</v>
      </c>
      <c r="BA47" s="236" t="s">
        <v>1370</v>
      </c>
    </row>
    <row r="48" spans="51:53" x14ac:dyDescent="0.3">
      <c r="AY48" s="236" t="s">
        <v>969</v>
      </c>
      <c r="AZ48" s="236" t="s">
        <v>957</v>
      </c>
      <c r="BA48" s="236" t="s">
        <v>1370</v>
      </c>
    </row>
    <row r="49" spans="51:53" x14ac:dyDescent="0.3">
      <c r="AY49" s="482" t="s">
        <v>970</v>
      </c>
      <c r="AZ49" s="482" t="s">
        <v>958</v>
      </c>
      <c r="BA49" s="236" t="s">
        <v>1370</v>
      </c>
    </row>
    <row r="50" spans="51:53" x14ac:dyDescent="0.3">
      <c r="AY50" s="236" t="s">
        <v>971</v>
      </c>
      <c r="AZ50" s="236" t="s">
        <v>959</v>
      </c>
      <c r="BA50" s="236" t="s">
        <v>1370</v>
      </c>
    </row>
    <row r="51" spans="51:53" x14ac:dyDescent="0.3">
      <c r="AY51" s="482" t="s">
        <v>972</v>
      </c>
      <c r="AZ51" s="482" t="s">
        <v>960</v>
      </c>
      <c r="BA51" s="236" t="s">
        <v>1370</v>
      </c>
    </row>
    <row r="52" spans="51:53" x14ac:dyDescent="0.3">
      <c r="AY52" s="236" t="s">
        <v>973</v>
      </c>
      <c r="AZ52" s="236" t="s">
        <v>961</v>
      </c>
      <c r="BA52" s="236" t="s">
        <v>1370</v>
      </c>
    </row>
    <row r="53" spans="51:53" x14ac:dyDescent="0.3">
      <c r="AY53" s="482" t="s">
        <v>974</v>
      </c>
      <c r="AZ53" s="482" t="s">
        <v>962</v>
      </c>
      <c r="BA53" s="236" t="s">
        <v>1370</v>
      </c>
    </row>
    <row r="54" spans="51:53" x14ac:dyDescent="0.3">
      <c r="AY54" s="236" t="s">
        <v>975</v>
      </c>
      <c r="AZ54" s="236" t="s">
        <v>963</v>
      </c>
      <c r="BA54" s="236" t="s">
        <v>1370</v>
      </c>
    </row>
    <row r="55" spans="51:53" x14ac:dyDescent="0.3">
      <c r="AY55" s="482" t="s">
        <v>976</v>
      </c>
      <c r="AZ55" s="482" t="s">
        <v>964</v>
      </c>
      <c r="BA55" s="236" t="s">
        <v>1370</v>
      </c>
    </row>
    <row r="56" spans="51:53" x14ac:dyDescent="0.3">
      <c r="AY56" s="236" t="s">
        <v>977</v>
      </c>
      <c r="AZ56" s="236" t="s">
        <v>965</v>
      </c>
      <c r="BA56" s="236" t="s">
        <v>1370</v>
      </c>
    </row>
    <row r="57" spans="51:53" x14ac:dyDescent="0.3">
      <c r="AY57" s="482" t="s">
        <v>978</v>
      </c>
      <c r="AZ57" s="482" t="s">
        <v>966</v>
      </c>
      <c r="BA57" s="236" t="s">
        <v>1370</v>
      </c>
    </row>
    <row r="58" spans="51:53" x14ac:dyDescent="0.3">
      <c r="AY58" s="236" t="s">
        <v>979</v>
      </c>
      <c r="AZ58" s="236" t="s">
        <v>967</v>
      </c>
      <c r="BA58" s="236" t="s">
        <v>1370</v>
      </c>
    </row>
    <row r="59" spans="51:53" x14ac:dyDescent="0.3">
      <c r="AY59" s="236" t="s">
        <v>503</v>
      </c>
      <c r="AZ59" s="236" t="s">
        <v>516</v>
      </c>
      <c r="BA59" s="236" t="s">
        <v>1370</v>
      </c>
    </row>
    <row r="60" spans="51:53" x14ac:dyDescent="0.3">
      <c r="AY60" s="236" t="s">
        <v>504</v>
      </c>
      <c r="AZ60" s="236" t="s">
        <v>517</v>
      </c>
      <c r="BA60" s="236" t="s">
        <v>1370</v>
      </c>
    </row>
    <row r="61" spans="51:53" x14ac:dyDescent="0.3">
      <c r="AY61" s="236" t="s">
        <v>1384</v>
      </c>
      <c r="AZ61" s="236" t="s">
        <v>598</v>
      </c>
      <c r="BA61" s="236" t="s">
        <v>1370</v>
      </c>
    </row>
  </sheetData>
  <dataConsolidate/>
  <pageMargins left="0.7" right="0.7" top="0.75" bottom="0.75" header="0.3" footer="0.3"/>
  <pageSetup paperSize="9" orientation="portrait" horizontalDpi="0" verticalDpi="0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32509-F8A1-4CA0-8065-3C6C997686C3}">
  <sheetPr codeName="excliqlitedatasheetpur"/>
  <dimension ref="A1:BX7"/>
  <sheetViews>
    <sheetView topLeftCell="BM1" workbookViewId="0">
      <selection activeCell="BW3" sqref="BW3"/>
    </sheetView>
  </sheetViews>
  <sheetFormatPr baseColWidth="10" defaultRowHeight="14.4" outlineLevelCol="1" x14ac:dyDescent="0.3"/>
  <cols>
    <col min="1" max="1" width="11.5546875" customWidth="1" outlineLevel="1"/>
    <col min="2" max="2" width="16.33203125" customWidth="1" outlineLevel="1"/>
    <col min="3" max="3" width="11.88671875" customWidth="1" outlineLevel="1"/>
    <col min="4" max="4" width="11.5546875" customWidth="1" outlineLevel="1"/>
    <col min="5" max="5" width="22" customWidth="1" outlineLevel="1"/>
    <col min="6" max="6" width="11.5546875" customWidth="1" outlineLevel="1"/>
    <col min="7" max="7" width="14.109375" customWidth="1" outlineLevel="1"/>
    <col min="8" max="8" width="11.5546875" customWidth="1" outlineLevel="1"/>
    <col min="9" max="9" width="11.77734375" customWidth="1" outlineLevel="1"/>
    <col min="10" max="11" width="11.5546875" customWidth="1" outlineLevel="1"/>
    <col min="12" max="12" width="14.21875" customWidth="1" outlineLevel="1"/>
    <col min="13" max="13" width="14.6640625" customWidth="1" outlineLevel="1"/>
    <col min="14" max="14" width="20.77734375" customWidth="1" outlineLevel="1"/>
    <col min="15" max="16" width="11.5546875" customWidth="1" outlineLevel="1"/>
    <col min="17" max="17" width="14.33203125" customWidth="1" outlineLevel="1"/>
    <col min="18" max="18" width="20.21875" customWidth="1" outlineLevel="1"/>
    <col min="19" max="19" width="11.5546875" customWidth="1" outlineLevel="1"/>
    <col min="20" max="20" width="19.5546875" customWidth="1" outlineLevel="1"/>
    <col min="21" max="22" width="12.33203125" customWidth="1" outlineLevel="1"/>
    <col min="23" max="26" width="11.5546875" customWidth="1" outlineLevel="1"/>
    <col min="27" max="27" width="15.109375" customWidth="1" outlineLevel="1"/>
    <col min="28" max="28" width="16.88671875" customWidth="1" outlineLevel="1"/>
    <col min="29" max="29" width="11.5546875" customWidth="1" outlineLevel="1"/>
    <col min="30" max="30" width="16.109375" customWidth="1" outlineLevel="1"/>
    <col min="32" max="32" width="14.33203125" customWidth="1" outlineLevel="1"/>
    <col min="33" max="37" width="11.5546875" customWidth="1" outlineLevel="1"/>
    <col min="38" max="38" width="12.33203125" customWidth="1" outlineLevel="1"/>
    <col min="39" max="43" width="11.5546875" customWidth="1" outlineLevel="1"/>
    <col min="44" max="44" width="15.109375" customWidth="1" outlineLevel="1"/>
    <col min="45" max="45" width="11.5546875" customWidth="1" outlineLevel="1"/>
    <col min="46" max="46" width="15" customWidth="1" outlineLevel="1"/>
    <col min="47" max="53" width="11.5546875" customWidth="1" outlineLevel="1"/>
    <col min="55" max="55" width="14.109375" customWidth="1"/>
    <col min="57" max="57" width="19.88671875" customWidth="1"/>
    <col min="59" max="59" width="16.44140625" customWidth="1"/>
    <col min="61" max="61" width="12.21875" customWidth="1"/>
    <col min="63" max="63" width="16" customWidth="1"/>
    <col min="65" max="65" width="12.21875" customWidth="1"/>
    <col min="68" max="68" width="13.109375" customWidth="1"/>
    <col min="72" max="72" width="12.21875" customWidth="1"/>
    <col min="73" max="73" width="13.77734375" customWidth="1"/>
    <col min="75" max="75" width="16.44140625" customWidth="1"/>
  </cols>
  <sheetData>
    <row r="1" spans="1:76" x14ac:dyDescent="0.3">
      <c r="A1" s="481" t="s">
        <v>418</v>
      </c>
      <c r="B1" s="481" t="s">
        <v>419</v>
      </c>
      <c r="C1" s="481" t="s">
        <v>472</v>
      </c>
      <c r="D1" s="481" t="s">
        <v>473</v>
      </c>
      <c r="E1" s="481" t="s">
        <v>474</v>
      </c>
      <c r="F1" s="481" t="s">
        <v>420</v>
      </c>
      <c r="G1" s="481" t="s">
        <v>421</v>
      </c>
      <c r="H1" s="481" t="s">
        <v>422</v>
      </c>
      <c r="I1" s="481" t="s">
        <v>423</v>
      </c>
      <c r="J1" s="481" t="s">
        <v>424</v>
      </c>
      <c r="K1" s="481" t="s">
        <v>655</v>
      </c>
      <c r="L1" s="481" t="s">
        <v>388</v>
      </c>
      <c r="M1" s="481" t="s">
        <v>1309</v>
      </c>
      <c r="N1" s="481" t="s">
        <v>1310</v>
      </c>
      <c r="O1" s="481" t="s">
        <v>1313</v>
      </c>
      <c r="P1" s="481" t="s">
        <v>305</v>
      </c>
      <c r="Q1" s="481" t="s">
        <v>302</v>
      </c>
      <c r="R1" s="481" t="s">
        <v>637</v>
      </c>
      <c r="S1" s="481" t="s">
        <v>799</v>
      </c>
      <c r="T1" s="481" t="s">
        <v>1314</v>
      </c>
      <c r="U1" s="481" t="s">
        <v>306</v>
      </c>
      <c r="V1" s="481" t="s">
        <v>1323</v>
      </c>
      <c r="W1" s="481" t="s">
        <v>658</v>
      </c>
      <c r="X1" s="481" t="s">
        <v>659</v>
      </c>
      <c r="Y1" s="481" t="s">
        <v>660</v>
      </c>
      <c r="Z1" s="481" t="s">
        <v>634</v>
      </c>
      <c r="AA1" s="481" t="s">
        <v>354</v>
      </c>
      <c r="AB1" s="481" t="s">
        <v>1315</v>
      </c>
      <c r="AC1" s="481" t="s">
        <v>1316</v>
      </c>
      <c r="AD1" s="481" t="s">
        <v>1317</v>
      </c>
      <c r="AF1" t="s">
        <v>302</v>
      </c>
      <c r="AG1" t="s">
        <v>305</v>
      </c>
      <c r="AH1" t="s">
        <v>304</v>
      </c>
      <c r="AI1" t="s">
        <v>378</v>
      </c>
      <c r="AJ1" t="s">
        <v>390</v>
      </c>
      <c r="AK1" t="s">
        <v>730</v>
      </c>
      <c r="AL1" t="s">
        <v>306</v>
      </c>
      <c r="AM1" t="s">
        <v>729</v>
      </c>
      <c r="AN1" t="s">
        <v>420</v>
      </c>
      <c r="AO1" t="s">
        <v>658</v>
      </c>
      <c r="AP1" t="s">
        <v>659</v>
      </c>
      <c r="AQ1" t="s">
        <v>660</v>
      </c>
      <c r="AR1" t="s">
        <v>354</v>
      </c>
      <c r="AS1" t="s">
        <v>634</v>
      </c>
      <c r="AT1" t="s">
        <v>661</v>
      </c>
      <c r="AU1" s="197" t="s">
        <v>731</v>
      </c>
      <c r="AV1" t="s">
        <v>644</v>
      </c>
      <c r="AW1" t="s">
        <v>612</v>
      </c>
      <c r="AX1" t="s">
        <v>473</v>
      </c>
      <c r="AY1" t="s">
        <v>674</v>
      </c>
      <c r="AZ1" t="s">
        <v>590</v>
      </c>
      <c r="BA1" t="s">
        <v>676</v>
      </c>
      <c r="BC1" t="s">
        <v>421</v>
      </c>
      <c r="BD1" t="s">
        <v>643</v>
      </c>
      <c r="BE1" t="s">
        <v>743</v>
      </c>
      <c r="BF1" t="s">
        <v>727</v>
      </c>
      <c r="BG1" t="s">
        <v>744</v>
      </c>
      <c r="BH1" t="s">
        <v>490</v>
      </c>
      <c r="BI1" t="s">
        <v>414</v>
      </c>
      <c r="BJ1" t="s">
        <v>718</v>
      </c>
      <c r="BK1" t="s">
        <v>798</v>
      </c>
      <c r="BM1" t="s">
        <v>494</v>
      </c>
      <c r="BN1" t="s">
        <v>723</v>
      </c>
      <c r="BO1" t="s">
        <v>718</v>
      </c>
      <c r="BP1" t="s">
        <v>720</v>
      </c>
      <c r="BQ1" t="s">
        <v>721</v>
      </c>
      <c r="BR1" t="s">
        <v>425</v>
      </c>
      <c r="BT1" t="s">
        <v>414</v>
      </c>
      <c r="BU1" t="s">
        <v>413</v>
      </c>
      <c r="BV1" t="s">
        <v>416</v>
      </c>
      <c r="BW1" t="s">
        <v>767</v>
      </c>
      <c r="BX1" t="s">
        <v>425</v>
      </c>
    </row>
    <row r="2" spans="1:76" x14ac:dyDescent="0.3">
      <c r="A2" s="481" t="s">
        <v>1393</v>
      </c>
      <c r="B2" s="508">
        <v>44478</v>
      </c>
      <c r="C2" s="481">
        <v>6</v>
      </c>
      <c r="D2" s="481">
        <v>0</v>
      </c>
      <c r="E2" s="481">
        <v>16.329999999999998</v>
      </c>
      <c r="F2" s="481" t="s">
        <v>1413</v>
      </c>
      <c r="G2" s="481" t="s">
        <v>1414</v>
      </c>
      <c r="H2" s="481" t="s">
        <v>1415</v>
      </c>
      <c r="I2" s="481" t="s">
        <v>1416</v>
      </c>
      <c r="J2" s="481" t="s">
        <v>1427</v>
      </c>
      <c r="K2" s="481"/>
      <c r="L2" s="481" t="s">
        <v>1417</v>
      </c>
      <c r="M2" s="481" t="s">
        <v>1318</v>
      </c>
      <c r="N2" s="481" t="s">
        <v>1394</v>
      </c>
      <c r="O2" s="481">
        <v>1</v>
      </c>
      <c r="P2" s="481"/>
      <c r="Q2" s="481"/>
      <c r="R2" s="508">
        <v>44480</v>
      </c>
      <c r="S2" s="481">
        <v>6.86</v>
      </c>
      <c r="T2" s="481"/>
      <c r="U2" s="481" t="s">
        <v>1324</v>
      </c>
      <c r="V2" s="481" t="s">
        <v>312</v>
      </c>
      <c r="W2" s="481"/>
      <c r="X2" s="481"/>
      <c r="Y2" s="481"/>
      <c r="Z2" s="481"/>
      <c r="AA2" s="481"/>
      <c r="AB2" s="481"/>
      <c r="AC2" s="481"/>
      <c r="AD2" s="481"/>
      <c r="AF2" t="s">
        <v>411</v>
      </c>
      <c r="AG2" t="s">
        <v>411</v>
      </c>
      <c r="AH2" s="197">
        <v>44480</v>
      </c>
      <c r="AI2" t="s">
        <v>770</v>
      </c>
      <c r="AJ2">
        <v>1</v>
      </c>
      <c r="AK2" t="b">
        <v>0</v>
      </c>
      <c r="AM2" t="s">
        <v>770</v>
      </c>
      <c r="AN2" t="s">
        <v>312</v>
      </c>
      <c r="AO2" t="s">
        <v>770</v>
      </c>
      <c r="AP2" t="s">
        <v>770</v>
      </c>
      <c r="AQ2" t="s">
        <v>770</v>
      </c>
      <c r="AR2" t="s">
        <v>770</v>
      </c>
      <c r="AS2" t="s">
        <v>770</v>
      </c>
      <c r="AT2" t="s">
        <v>770</v>
      </c>
      <c r="AU2" s="197">
        <v>44480</v>
      </c>
      <c r="AV2">
        <v>30.161999999999999</v>
      </c>
      <c r="AW2">
        <v>10</v>
      </c>
      <c r="AX2">
        <v>1</v>
      </c>
      <c r="AY2">
        <v>135</v>
      </c>
      <c r="AZ2">
        <v>500</v>
      </c>
      <c r="BA2">
        <v>0.15</v>
      </c>
      <c r="BC2" t="s">
        <v>509</v>
      </c>
      <c r="BD2" s="157" t="s">
        <v>1355</v>
      </c>
      <c r="BE2">
        <v>-3</v>
      </c>
      <c r="BF2" t="s">
        <v>764</v>
      </c>
      <c r="BG2">
        <v>95</v>
      </c>
      <c r="BH2" t="s">
        <v>166</v>
      </c>
      <c r="BI2" t="s">
        <v>781</v>
      </c>
      <c r="BJ2">
        <v>2.5000000000000001E-2</v>
      </c>
      <c r="BK2">
        <v>0</v>
      </c>
      <c r="BM2" t="s">
        <v>597</v>
      </c>
      <c r="BN2">
        <v>0.57999999999999996</v>
      </c>
      <c r="BO2">
        <v>0.5</v>
      </c>
      <c r="BP2">
        <v>2.5</v>
      </c>
      <c r="BQ2">
        <v>0.1</v>
      </c>
      <c r="BR2">
        <v>1</v>
      </c>
      <c r="BT2" t="s">
        <v>809</v>
      </c>
      <c r="BU2">
        <v>0</v>
      </c>
      <c r="BV2">
        <v>53.5</v>
      </c>
      <c r="BW2">
        <v>0</v>
      </c>
      <c r="BX2">
        <v>1</v>
      </c>
    </row>
    <row r="3" spans="1:76" x14ac:dyDescent="0.3">
      <c r="BC3" t="s">
        <v>505</v>
      </c>
      <c r="BD3" t="s">
        <v>1356</v>
      </c>
      <c r="BE3">
        <v>1.5</v>
      </c>
      <c r="BF3" t="s">
        <v>780</v>
      </c>
      <c r="BG3">
        <v>95</v>
      </c>
      <c r="BH3" t="s">
        <v>139</v>
      </c>
      <c r="BI3" t="s">
        <v>782</v>
      </c>
      <c r="BJ3">
        <v>0.3</v>
      </c>
      <c r="BK3">
        <v>7</v>
      </c>
      <c r="BM3" t="s">
        <v>507</v>
      </c>
      <c r="BN3">
        <v>7.92</v>
      </c>
      <c r="BO3">
        <v>0.7</v>
      </c>
      <c r="BP3">
        <v>2</v>
      </c>
      <c r="BQ3">
        <v>0.1</v>
      </c>
      <c r="BR3">
        <v>1</v>
      </c>
      <c r="BT3" t="s">
        <v>784</v>
      </c>
      <c r="BU3">
        <v>0</v>
      </c>
      <c r="BV3">
        <v>24.19</v>
      </c>
      <c r="BW3">
        <v>1</v>
      </c>
      <c r="BX3">
        <v>1</v>
      </c>
    </row>
    <row r="4" spans="1:76" x14ac:dyDescent="0.3">
      <c r="BM4" t="s">
        <v>515</v>
      </c>
      <c r="BN4">
        <v>0.02</v>
      </c>
      <c r="BO4">
        <v>0.05</v>
      </c>
      <c r="BP4">
        <v>1.5</v>
      </c>
      <c r="BQ4">
        <v>0.01</v>
      </c>
      <c r="BR4">
        <v>1</v>
      </c>
    </row>
    <row r="5" spans="1:76" x14ac:dyDescent="0.3">
      <c r="BM5" t="s">
        <v>159</v>
      </c>
      <c r="BN5">
        <v>9.5</v>
      </c>
      <c r="BO5">
        <v>8</v>
      </c>
      <c r="BP5">
        <v>2</v>
      </c>
      <c r="BQ5">
        <v>1</v>
      </c>
      <c r="BR5">
        <v>1</v>
      </c>
    </row>
    <row r="6" spans="1:76" x14ac:dyDescent="0.3">
      <c r="BM6" t="s">
        <v>499</v>
      </c>
      <c r="BN6">
        <v>1.5</v>
      </c>
      <c r="BO6">
        <v>0.5</v>
      </c>
      <c r="BP6">
        <v>1.5</v>
      </c>
      <c r="BQ6">
        <v>0.1</v>
      </c>
      <c r="BR6">
        <v>1</v>
      </c>
    </row>
    <row r="7" spans="1:76" x14ac:dyDescent="0.3">
      <c r="BM7" t="s">
        <v>598</v>
      </c>
      <c r="BN7">
        <v>0.9</v>
      </c>
      <c r="BO7">
        <v>0.9</v>
      </c>
      <c r="BP7">
        <v>2.4</v>
      </c>
      <c r="BQ7">
        <v>0.1</v>
      </c>
      <c r="BR7">
        <v>0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C2DA7-13A1-4A24-B9D8-88080C8DC432}">
  <sheetPr codeName="excliqlitedatasheettmp"/>
  <dimension ref="A1:O6"/>
  <sheetViews>
    <sheetView workbookViewId="0">
      <selection activeCell="M2" sqref="M2"/>
    </sheetView>
  </sheetViews>
  <sheetFormatPr baseColWidth="10" defaultRowHeight="14.4" outlineLevelCol="1" x14ac:dyDescent="0.3"/>
  <cols>
    <col min="1" max="1" width="12.21875" customWidth="1" outlineLevel="1"/>
    <col min="2" max="2" width="13.77734375" customWidth="1" outlineLevel="1"/>
    <col min="3" max="3" width="11.5546875" customWidth="1" outlineLevel="1"/>
    <col min="5" max="5" width="12.21875" customWidth="1" outlineLevel="1"/>
    <col min="6" max="6" width="13.77734375" customWidth="1" outlineLevel="1"/>
    <col min="7" max="7" width="11.5546875" customWidth="1" outlineLevel="1"/>
    <col min="9" max="11" width="11.5546875" customWidth="1" outlineLevel="1"/>
    <col min="13" max="13" width="11.5546875" customWidth="1" outlineLevel="1"/>
    <col min="14" max="14" width="13.21875" customWidth="1" outlineLevel="1"/>
    <col min="15" max="15" width="11.5546875" customWidth="1" outlineLevel="1"/>
  </cols>
  <sheetData>
    <row r="1" spans="1:15" x14ac:dyDescent="0.3">
      <c r="A1" s="481" t="s">
        <v>414</v>
      </c>
      <c r="B1" s="481" t="s">
        <v>413</v>
      </c>
      <c r="C1" s="481" t="s">
        <v>425</v>
      </c>
      <c r="E1" s="481" t="s">
        <v>414</v>
      </c>
      <c r="F1" s="481" t="s">
        <v>413</v>
      </c>
      <c r="G1" s="481" t="s">
        <v>425</v>
      </c>
      <c r="I1" s="481" t="s">
        <v>418</v>
      </c>
      <c r="J1" s="481" t="s">
        <v>415</v>
      </c>
      <c r="K1" s="481" t="s">
        <v>416</v>
      </c>
      <c r="M1" s="481" t="s">
        <v>418</v>
      </c>
      <c r="N1" s="481" t="s">
        <v>417</v>
      </c>
      <c r="O1" s="481" t="s">
        <v>416</v>
      </c>
    </row>
    <row r="2" spans="1:15" x14ac:dyDescent="0.3">
      <c r="A2" s="236" t="s">
        <v>350</v>
      </c>
      <c r="B2" s="236">
        <v>1.85</v>
      </c>
      <c r="C2" s="236">
        <v>1</v>
      </c>
      <c r="E2" s="236" t="s">
        <v>351</v>
      </c>
      <c r="F2" s="236">
        <v>0.7</v>
      </c>
      <c r="G2" s="236">
        <v>1</v>
      </c>
      <c r="I2" s="236"/>
      <c r="J2" s="236"/>
      <c r="K2" s="236"/>
      <c r="M2" s="236" t="s">
        <v>1393</v>
      </c>
      <c r="N2" s="236" t="s">
        <v>809</v>
      </c>
      <c r="O2" s="236">
        <v>250</v>
      </c>
    </row>
    <row r="3" spans="1:15" x14ac:dyDescent="0.3">
      <c r="A3" s="482" t="s">
        <v>349</v>
      </c>
      <c r="B3" s="482">
        <v>1</v>
      </c>
      <c r="C3" s="482">
        <v>1</v>
      </c>
      <c r="E3" s="482" t="s">
        <v>352</v>
      </c>
      <c r="F3" s="482">
        <v>0.1</v>
      </c>
      <c r="G3" s="482">
        <v>1</v>
      </c>
    </row>
    <row r="4" spans="1:15" x14ac:dyDescent="0.3">
      <c r="A4" s="236" t="s">
        <v>866</v>
      </c>
      <c r="B4" s="236">
        <v>0.4</v>
      </c>
      <c r="C4" s="236">
        <v>0</v>
      </c>
      <c r="E4" s="236" t="s">
        <v>353</v>
      </c>
      <c r="F4" s="236">
        <v>0.3</v>
      </c>
      <c r="G4" s="236">
        <v>1</v>
      </c>
    </row>
    <row r="5" spans="1:15" x14ac:dyDescent="0.3">
      <c r="A5" t="s">
        <v>1194</v>
      </c>
      <c r="B5">
        <v>0.7</v>
      </c>
      <c r="C5">
        <v>0</v>
      </c>
      <c r="E5" t="s">
        <v>354</v>
      </c>
      <c r="F5">
        <v>1</v>
      </c>
      <c r="G5">
        <v>1</v>
      </c>
    </row>
    <row r="6" spans="1:15" x14ac:dyDescent="0.3">
      <c r="E6" t="s">
        <v>867</v>
      </c>
      <c r="F6">
        <v>1.3</v>
      </c>
      <c r="G6">
        <v>0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DA4CE-A152-4611-8F95-A4CF597244A1}">
  <sheetPr codeName="Hoja6"/>
  <dimension ref="A1:P20"/>
  <sheetViews>
    <sheetView workbookViewId="0">
      <selection activeCell="D24" sqref="D24"/>
    </sheetView>
  </sheetViews>
  <sheetFormatPr baseColWidth="10" defaultRowHeight="14.4" x14ac:dyDescent="0.3"/>
  <cols>
    <col min="10" max="10" width="12.21875" customWidth="1"/>
    <col min="12" max="12" width="13.44140625" customWidth="1"/>
    <col min="13" max="13" width="15.109375" customWidth="1"/>
    <col min="14" max="14" width="16.6640625" customWidth="1"/>
    <col min="15" max="15" width="18.109375" customWidth="1"/>
    <col min="16" max="16" width="14.21875" customWidth="1"/>
  </cols>
  <sheetData>
    <row r="1" spans="1:16" x14ac:dyDescent="0.3">
      <c r="A1" t="s">
        <v>51</v>
      </c>
    </row>
    <row r="2" spans="1:16" x14ac:dyDescent="0.3">
      <c r="A2" t="s">
        <v>856</v>
      </c>
    </row>
    <row r="8" spans="1:16" x14ac:dyDescent="0.3">
      <c r="A8" t="s">
        <v>48</v>
      </c>
      <c r="B8" t="s">
        <v>938</v>
      </c>
      <c r="C8" t="s">
        <v>51</v>
      </c>
      <c r="D8" t="s">
        <v>1135</v>
      </c>
      <c r="E8" t="s">
        <v>1136</v>
      </c>
      <c r="I8" t="s">
        <v>495</v>
      </c>
      <c r="J8" t="s">
        <v>494</v>
      </c>
      <c r="K8" t="s">
        <v>490</v>
      </c>
      <c r="L8" t="s">
        <v>491</v>
      </c>
      <c r="M8" t="s">
        <v>492</v>
      </c>
      <c r="N8" t="s">
        <v>493</v>
      </c>
      <c r="O8" t="s">
        <v>753</v>
      </c>
      <c r="P8" t="s">
        <v>752</v>
      </c>
    </row>
    <row r="9" spans="1:16" x14ac:dyDescent="0.3">
      <c r="A9" t="s">
        <v>6</v>
      </c>
      <c r="B9" t="s">
        <v>5</v>
      </c>
      <c r="C9" t="s">
        <v>7</v>
      </c>
      <c r="D9">
        <v>1</v>
      </c>
      <c r="E9">
        <v>0</v>
      </c>
      <c r="I9" t="s">
        <v>496</v>
      </c>
      <c r="J9" t="s">
        <v>159</v>
      </c>
      <c r="K9" t="s">
        <v>497</v>
      </c>
      <c r="L9">
        <v>1</v>
      </c>
      <c r="M9">
        <v>5</v>
      </c>
      <c r="N9">
        <v>3</v>
      </c>
      <c r="O9" t="s">
        <v>166</v>
      </c>
      <c r="P9" t="s">
        <v>755</v>
      </c>
    </row>
    <row r="10" spans="1:16" x14ac:dyDescent="0.3">
      <c r="A10" t="s">
        <v>543</v>
      </c>
      <c r="B10" t="s">
        <v>542</v>
      </c>
      <c r="C10" t="s">
        <v>246</v>
      </c>
      <c r="D10">
        <v>0</v>
      </c>
      <c r="E10">
        <v>1</v>
      </c>
      <c r="I10" t="s">
        <v>498</v>
      </c>
      <c r="J10" t="s">
        <v>499</v>
      </c>
      <c r="K10" t="s">
        <v>497</v>
      </c>
      <c r="L10">
        <v>7.12</v>
      </c>
      <c r="M10">
        <v>5</v>
      </c>
      <c r="N10">
        <v>3</v>
      </c>
      <c r="O10" t="s">
        <v>166</v>
      </c>
      <c r="P10" t="s">
        <v>755</v>
      </c>
    </row>
    <row r="11" spans="1:16" x14ac:dyDescent="0.3">
      <c r="A11" t="s">
        <v>855</v>
      </c>
      <c r="B11" t="s">
        <v>857</v>
      </c>
      <c r="C11" t="s">
        <v>856</v>
      </c>
      <c r="D11">
        <v>0</v>
      </c>
      <c r="E11">
        <v>0</v>
      </c>
      <c r="I11" t="s">
        <v>500</v>
      </c>
      <c r="J11" t="s">
        <v>501</v>
      </c>
      <c r="K11" t="s">
        <v>502</v>
      </c>
      <c r="L11">
        <v>1204.0899999999999</v>
      </c>
      <c r="M11">
        <v>7</v>
      </c>
      <c r="N11">
        <v>4.2</v>
      </c>
      <c r="O11" t="s">
        <v>754</v>
      </c>
      <c r="P11" t="s">
        <v>756</v>
      </c>
    </row>
    <row r="12" spans="1:16" x14ac:dyDescent="0.3">
      <c r="A12" t="s">
        <v>858</v>
      </c>
      <c r="B12" t="s">
        <v>859</v>
      </c>
      <c r="C12" t="s">
        <v>860</v>
      </c>
      <c r="D12">
        <v>0</v>
      </c>
      <c r="E12">
        <v>0</v>
      </c>
      <c r="I12" t="s">
        <v>503</v>
      </c>
      <c r="J12" t="s">
        <v>516</v>
      </c>
      <c r="K12" t="s">
        <v>502</v>
      </c>
      <c r="L12">
        <v>1204.0899999999999</v>
      </c>
      <c r="M12">
        <v>5</v>
      </c>
      <c r="N12">
        <v>3</v>
      </c>
      <c r="O12" t="s">
        <v>754</v>
      </c>
      <c r="P12" t="s">
        <v>756</v>
      </c>
    </row>
    <row r="13" spans="1:16" x14ac:dyDescent="0.3">
      <c r="I13" t="s">
        <v>504</v>
      </c>
      <c r="J13" t="s">
        <v>517</v>
      </c>
      <c r="K13" t="s">
        <v>502</v>
      </c>
      <c r="L13">
        <v>1204.0899999999999</v>
      </c>
      <c r="M13">
        <v>2.5</v>
      </c>
      <c r="N13">
        <v>1.5</v>
      </c>
      <c r="O13" t="s">
        <v>754</v>
      </c>
      <c r="P13" t="s">
        <v>756</v>
      </c>
    </row>
    <row r="14" spans="1:16" x14ac:dyDescent="0.3">
      <c r="I14" t="s">
        <v>505</v>
      </c>
      <c r="J14" t="s">
        <v>168</v>
      </c>
      <c r="K14" t="s">
        <v>502</v>
      </c>
      <c r="L14">
        <v>10</v>
      </c>
      <c r="M14">
        <v>6</v>
      </c>
      <c r="N14">
        <v>3.6</v>
      </c>
      <c r="O14" t="s">
        <v>139</v>
      </c>
      <c r="P14" t="s">
        <v>757</v>
      </c>
    </row>
    <row r="15" spans="1:16" x14ac:dyDescent="0.3">
      <c r="I15" t="s">
        <v>506</v>
      </c>
      <c r="J15" t="s">
        <v>507</v>
      </c>
      <c r="K15" t="s">
        <v>508</v>
      </c>
      <c r="L15">
        <v>8675</v>
      </c>
      <c r="M15">
        <v>5</v>
      </c>
      <c r="N15">
        <v>3</v>
      </c>
      <c r="O15" t="s">
        <v>166</v>
      </c>
      <c r="P15" t="s">
        <v>758</v>
      </c>
    </row>
    <row r="16" spans="1:16" x14ac:dyDescent="0.3">
      <c r="I16" t="s">
        <v>509</v>
      </c>
      <c r="J16" t="s">
        <v>167</v>
      </c>
      <c r="K16" t="s">
        <v>497</v>
      </c>
      <c r="L16">
        <v>1.1339999999999999</v>
      </c>
      <c r="M16">
        <v>5</v>
      </c>
      <c r="N16">
        <v>3</v>
      </c>
      <c r="O16" t="s">
        <v>166</v>
      </c>
      <c r="P16" t="s">
        <v>755</v>
      </c>
    </row>
    <row r="17" spans="1:16" x14ac:dyDescent="0.3">
      <c r="A17" t="s">
        <v>6</v>
      </c>
      <c r="B17" t="s">
        <v>5</v>
      </c>
      <c r="C17" t="s">
        <v>7</v>
      </c>
      <c r="D17">
        <v>0</v>
      </c>
      <c r="E17">
        <v>1</v>
      </c>
      <c r="I17" t="s">
        <v>510</v>
      </c>
      <c r="J17" t="s">
        <v>511</v>
      </c>
      <c r="K17" t="s">
        <v>508</v>
      </c>
      <c r="L17">
        <v>13135.78</v>
      </c>
      <c r="M17">
        <v>2.2839999999999998</v>
      </c>
      <c r="N17">
        <v>1.37</v>
      </c>
      <c r="O17" t="s">
        <v>166</v>
      </c>
      <c r="P17" t="s">
        <v>758</v>
      </c>
    </row>
    <row r="18" spans="1:16" x14ac:dyDescent="0.3">
      <c r="A18" t="s">
        <v>543</v>
      </c>
      <c r="B18" t="s">
        <v>542</v>
      </c>
      <c r="C18" t="s">
        <v>246</v>
      </c>
      <c r="D18">
        <v>0</v>
      </c>
      <c r="E18">
        <v>0</v>
      </c>
      <c r="I18" t="s">
        <v>512</v>
      </c>
      <c r="J18" t="s">
        <v>513</v>
      </c>
      <c r="K18" t="s">
        <v>497</v>
      </c>
      <c r="L18">
        <v>2.81</v>
      </c>
      <c r="M18">
        <v>5</v>
      </c>
      <c r="N18">
        <v>3</v>
      </c>
      <c r="O18" t="s">
        <v>166</v>
      </c>
      <c r="P18" t="s">
        <v>755</v>
      </c>
    </row>
    <row r="19" spans="1:16" x14ac:dyDescent="0.3">
      <c r="A19" t="s">
        <v>855</v>
      </c>
      <c r="B19" t="s">
        <v>857</v>
      </c>
      <c r="C19" t="s">
        <v>856</v>
      </c>
      <c r="D19">
        <v>1</v>
      </c>
      <c r="E19">
        <v>0</v>
      </c>
      <c r="I19" t="s">
        <v>514</v>
      </c>
      <c r="J19" t="s">
        <v>515</v>
      </c>
      <c r="K19" t="s">
        <v>497</v>
      </c>
      <c r="L19">
        <v>6.6</v>
      </c>
      <c r="M19">
        <v>2.9079999999999999</v>
      </c>
      <c r="N19">
        <v>1.7450000000000001</v>
      </c>
      <c r="O19" t="s">
        <v>166</v>
      </c>
      <c r="P19" t="s">
        <v>755</v>
      </c>
    </row>
    <row r="20" spans="1:16" x14ac:dyDescent="0.3">
      <c r="A20" t="s">
        <v>858</v>
      </c>
      <c r="B20" t="s">
        <v>859</v>
      </c>
      <c r="C20" t="s">
        <v>860</v>
      </c>
      <c r="D20">
        <v>0</v>
      </c>
      <c r="E20">
        <v>0</v>
      </c>
      <c r="I20" t="s">
        <v>864</v>
      </c>
      <c r="J20" t="s">
        <v>865</v>
      </c>
      <c r="K20" t="s">
        <v>502</v>
      </c>
      <c r="L20">
        <v>1100</v>
      </c>
      <c r="M20">
        <v>0</v>
      </c>
      <c r="N20">
        <v>0</v>
      </c>
      <c r="O20" t="s">
        <v>754</v>
      </c>
      <c r="P20" t="s">
        <v>756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3BAB-31EC-4E6B-A70A-12E7B113ED84}">
  <sheetPr codeName="excliqlites2"/>
  <dimension ref="A7:L222"/>
  <sheetViews>
    <sheetView workbookViewId="0">
      <selection activeCell="B161" sqref="B161"/>
    </sheetView>
  </sheetViews>
  <sheetFormatPr baseColWidth="10" defaultRowHeight="14.4" x14ac:dyDescent="0.3"/>
  <cols>
    <col min="1" max="1" width="24.6640625" customWidth="1"/>
    <col min="6" max="7" width="13.33203125" customWidth="1"/>
    <col min="8" max="8" width="13.44140625" bestFit="1" customWidth="1"/>
    <col min="9" max="9" width="34.33203125" bestFit="1" customWidth="1"/>
    <col min="10" max="10" width="9.44140625" bestFit="1" customWidth="1"/>
    <col min="11" max="11" width="34.33203125" bestFit="1" customWidth="1"/>
    <col min="12" max="12" width="9.44140625" bestFit="1" customWidth="1"/>
  </cols>
  <sheetData>
    <row r="7" spans="1:8" x14ac:dyDescent="0.3">
      <c r="A7" s="2" t="s">
        <v>16</v>
      </c>
      <c r="E7" s="2" t="s">
        <v>17</v>
      </c>
    </row>
    <row r="8" spans="1:8" x14ac:dyDescent="0.3">
      <c r="A8" s="3" t="s">
        <v>10</v>
      </c>
      <c r="B8" s="4" t="s">
        <v>11</v>
      </c>
      <c r="C8" s="5" t="s">
        <v>12</v>
      </c>
      <c r="E8" s="3" t="s">
        <v>14</v>
      </c>
      <c r="F8" s="5" t="s">
        <v>15</v>
      </c>
      <c r="H8" s="15" t="s">
        <v>21</v>
      </c>
    </row>
    <row r="9" spans="1:8" x14ac:dyDescent="0.3">
      <c r="A9" s="6">
        <v>1</v>
      </c>
      <c r="B9" s="7">
        <v>1</v>
      </c>
      <c r="C9" s="8">
        <v>4</v>
      </c>
      <c r="E9" s="12">
        <v>5</v>
      </c>
      <c r="F9" s="8">
        <v>34.5</v>
      </c>
      <c r="H9" t="s">
        <v>20</v>
      </c>
    </row>
    <row r="10" spans="1:8" x14ac:dyDescent="0.3">
      <c r="A10" s="6">
        <v>2</v>
      </c>
      <c r="B10" s="7">
        <v>2</v>
      </c>
      <c r="C10" s="8">
        <v>5</v>
      </c>
      <c r="E10" s="13">
        <v>6</v>
      </c>
      <c r="F10" s="14">
        <v>40.400000000000006</v>
      </c>
      <c r="H10" s="27" t="s">
        <v>18</v>
      </c>
    </row>
    <row r="11" spans="1:8" x14ac:dyDescent="0.3">
      <c r="A11" s="6">
        <v>3</v>
      </c>
      <c r="B11" s="7">
        <v>3</v>
      </c>
      <c r="C11" s="8">
        <v>67</v>
      </c>
      <c r="E11">
        <v>0</v>
      </c>
      <c r="F11">
        <v>0</v>
      </c>
      <c r="H11" t="s">
        <v>19</v>
      </c>
    </row>
    <row r="12" spans="1:8" ht="15" thickBot="1" x14ac:dyDescent="0.35">
      <c r="A12" s="6">
        <v>4</v>
      </c>
      <c r="B12" s="7">
        <v>4</v>
      </c>
      <c r="C12" s="8">
        <v>3</v>
      </c>
      <c r="E12">
        <v>-5</v>
      </c>
      <c r="F12">
        <v>-9</v>
      </c>
      <c r="H12" t="s">
        <v>24</v>
      </c>
    </row>
    <row r="13" spans="1:8" ht="15" thickTop="1" x14ac:dyDescent="0.3">
      <c r="A13" s="9" t="s">
        <v>13</v>
      </c>
      <c r="B13" s="10">
        <f>SUBTOTAL(109,RegrTests!$B$9:$B$12)</f>
        <v>10</v>
      </c>
      <c r="C13" s="11">
        <f>SUBTOTAL(109,RegrTests!$C$9:$C$12)</f>
        <v>79</v>
      </c>
      <c r="H13" t="s">
        <v>22</v>
      </c>
    </row>
    <row r="14" spans="1:8" x14ac:dyDescent="0.3">
      <c r="H14" t="s">
        <v>25</v>
      </c>
    </row>
    <row r="15" spans="1:8" x14ac:dyDescent="0.3">
      <c r="H15" t="s">
        <v>23</v>
      </c>
    </row>
    <row r="17" spans="1:12" x14ac:dyDescent="0.3">
      <c r="A17" s="30" t="s">
        <v>196</v>
      </c>
      <c r="B17" s="30" t="s">
        <v>199</v>
      </c>
      <c r="C17" s="30" t="s">
        <v>201</v>
      </c>
    </row>
    <row r="18" spans="1:12" x14ac:dyDescent="0.3">
      <c r="A18" s="30" t="s">
        <v>197</v>
      </c>
      <c r="B18" s="30" t="s">
        <v>200</v>
      </c>
      <c r="C18" s="30" t="s">
        <v>202</v>
      </c>
    </row>
    <row r="19" spans="1:12" x14ac:dyDescent="0.3">
      <c r="A19" s="30" t="s">
        <v>198</v>
      </c>
    </row>
    <row r="20" spans="1:12" x14ac:dyDescent="0.3">
      <c r="H20" s="2"/>
    </row>
    <row r="21" spans="1:12" x14ac:dyDescent="0.3">
      <c r="H21" s="2"/>
    </row>
    <row r="22" spans="1:12" x14ac:dyDescent="0.3">
      <c r="H22" s="2"/>
    </row>
    <row r="24" spans="1:12" x14ac:dyDescent="0.3">
      <c r="A24" s="2" t="s">
        <v>16</v>
      </c>
      <c r="H24" s="2" t="s">
        <v>17</v>
      </c>
      <c r="K24" s="2" t="s">
        <v>212</v>
      </c>
    </row>
    <row r="25" spans="1:12" ht="16.2" x14ac:dyDescent="0.3">
      <c r="A25" s="3" t="s">
        <v>10</v>
      </c>
      <c r="B25" s="4" t="s">
        <v>11</v>
      </c>
      <c r="C25" s="4" t="s">
        <v>12</v>
      </c>
      <c r="D25" s="4" t="s">
        <v>206</v>
      </c>
      <c r="E25" s="4" t="s">
        <v>207</v>
      </c>
      <c r="F25" s="5" t="s">
        <v>205</v>
      </c>
      <c r="H25" s="3" t="s">
        <v>14</v>
      </c>
      <c r="I25" s="5" t="s">
        <v>15</v>
      </c>
      <c r="K25" s="37" t="s">
        <v>208</v>
      </c>
      <c r="L25" s="38" t="s">
        <v>60</v>
      </c>
    </row>
    <row r="26" spans="1:12" x14ac:dyDescent="0.3">
      <c r="A26" s="6">
        <v>1</v>
      </c>
      <c r="B26" s="7">
        <v>1</v>
      </c>
      <c r="C26" s="7">
        <v>4</v>
      </c>
      <c r="D26" s="7">
        <v>1</v>
      </c>
      <c r="E26" s="7">
        <v>16</v>
      </c>
      <c r="F26" s="8">
        <v>4</v>
      </c>
      <c r="H26" s="12">
        <v>5</v>
      </c>
      <c r="I26" s="8">
        <v>34.5</v>
      </c>
      <c r="K26" s="39" t="s">
        <v>209</v>
      </c>
      <c r="L26" s="8">
        <v>5</v>
      </c>
    </row>
    <row r="27" spans="1:12" x14ac:dyDescent="0.3">
      <c r="A27" s="6">
        <v>2</v>
      </c>
      <c r="B27" s="7">
        <v>2</v>
      </c>
      <c r="C27" s="7">
        <v>5</v>
      </c>
      <c r="D27" s="7">
        <v>4</v>
      </c>
      <c r="E27" s="7">
        <v>25</v>
      </c>
      <c r="F27" s="8">
        <v>10</v>
      </c>
      <c r="H27" s="12">
        <v>6</v>
      </c>
      <c r="I27" s="8">
        <v>40.400000000000006</v>
      </c>
      <c r="K27" s="39" t="s">
        <v>210</v>
      </c>
      <c r="L27" s="8">
        <v>5.9</v>
      </c>
    </row>
    <row r="28" spans="1:12" x14ac:dyDescent="0.3">
      <c r="A28" s="6">
        <v>3</v>
      </c>
      <c r="B28" s="7">
        <v>3</v>
      </c>
      <c r="C28" s="7">
        <v>67</v>
      </c>
      <c r="D28" s="7">
        <v>9</v>
      </c>
      <c r="E28" s="7">
        <v>4489</v>
      </c>
      <c r="F28" s="8">
        <v>201</v>
      </c>
      <c r="H28" s="12">
        <v>0</v>
      </c>
      <c r="I28" s="8">
        <v>5</v>
      </c>
      <c r="K28" s="39" t="s">
        <v>211</v>
      </c>
      <c r="L28" s="8">
        <v>0.2417241190432485</v>
      </c>
    </row>
    <row r="29" spans="1:12" ht="16.8" thickBot="1" x14ac:dyDescent="0.35">
      <c r="A29" s="6">
        <v>4</v>
      </c>
      <c r="B29" s="7">
        <v>4</v>
      </c>
      <c r="C29" s="7">
        <v>3</v>
      </c>
      <c r="D29" s="7">
        <v>16</v>
      </c>
      <c r="E29" s="7">
        <v>9</v>
      </c>
      <c r="F29" s="8">
        <v>12</v>
      </c>
      <c r="H29" s="13">
        <v>-5</v>
      </c>
      <c r="I29" s="14">
        <v>-24.5</v>
      </c>
      <c r="K29" s="39" t="s">
        <v>213</v>
      </c>
      <c r="L29" s="8">
        <v>5.8430549727234576E-2</v>
      </c>
    </row>
    <row r="30" spans="1:12" ht="16.2" thickTop="1" x14ac:dyDescent="0.35">
      <c r="A30" s="9" t="s">
        <v>13</v>
      </c>
      <c r="B30" s="10">
        <f>SUBTOTAL(109,RegrTests!$B$26:$B$29)</f>
        <v>10</v>
      </c>
      <c r="C30" s="10">
        <f>SUBTOTAL(109,RegrTests!$C$26:$C$29)</f>
        <v>79</v>
      </c>
      <c r="D30" s="10">
        <f>SUBTOTAL(109,RegrTests!$D$26:$D$29)</f>
        <v>30</v>
      </c>
      <c r="E30" s="10">
        <f>SUBTOTAL(109,RegrTests!$E$26:$E$29)</f>
        <v>4539</v>
      </c>
      <c r="F30" s="11">
        <f>SUBTOTAL(109,RegrTests!$F$26:$F$29)</f>
        <v>227</v>
      </c>
      <c r="K30" s="40" t="s">
        <v>214</v>
      </c>
      <c r="L30" s="14">
        <v>37.447963896585883</v>
      </c>
    </row>
    <row r="33" spans="1:12" x14ac:dyDescent="0.3">
      <c r="A33" s="2" t="s">
        <v>16</v>
      </c>
      <c r="H33" s="2" t="s">
        <v>17</v>
      </c>
      <c r="K33" s="2" t="s">
        <v>212</v>
      </c>
    </row>
    <row r="34" spans="1:12" ht="16.2" x14ac:dyDescent="0.3">
      <c r="A34" s="3" t="s">
        <v>10</v>
      </c>
      <c r="B34" s="4" t="s">
        <v>11</v>
      </c>
      <c r="C34" s="4" t="s">
        <v>12</v>
      </c>
      <c r="D34" s="4" t="s">
        <v>206</v>
      </c>
      <c r="E34" s="4" t="s">
        <v>207</v>
      </c>
      <c r="F34" s="5" t="s">
        <v>205</v>
      </c>
      <c r="H34" s="3" t="s">
        <v>14</v>
      </c>
      <c r="I34" s="5" t="s">
        <v>15</v>
      </c>
      <c r="K34" s="37" t="s">
        <v>208</v>
      </c>
      <c r="L34" s="38" t="s">
        <v>60</v>
      </c>
    </row>
    <row r="35" spans="1:12" x14ac:dyDescent="0.3">
      <c r="A35" s="6">
        <v>1</v>
      </c>
      <c r="B35" s="7">
        <v>1</v>
      </c>
      <c r="C35" s="7">
        <v>4</v>
      </c>
      <c r="D35" s="7">
        <v>1</v>
      </c>
      <c r="E35" s="7">
        <v>16</v>
      </c>
      <c r="F35" s="8">
        <v>4</v>
      </c>
      <c r="H35" s="12">
        <v>5</v>
      </c>
      <c r="I35" s="8">
        <v>34.5</v>
      </c>
      <c r="K35" s="39" t="s">
        <v>209</v>
      </c>
      <c r="L35" s="8">
        <v>5</v>
      </c>
    </row>
    <row r="36" spans="1:12" x14ac:dyDescent="0.3">
      <c r="A36" s="6">
        <v>2</v>
      </c>
      <c r="B36" s="7">
        <v>2</v>
      </c>
      <c r="C36" s="7">
        <v>5</v>
      </c>
      <c r="D36" s="7">
        <v>4</v>
      </c>
      <c r="E36" s="7">
        <v>25</v>
      </c>
      <c r="F36" s="8">
        <v>10</v>
      </c>
      <c r="H36" s="12">
        <v>6</v>
      </c>
      <c r="I36" s="8">
        <v>40.400000000000006</v>
      </c>
      <c r="K36" s="39" t="s">
        <v>210</v>
      </c>
      <c r="L36" s="8">
        <v>5.9</v>
      </c>
    </row>
    <row r="37" spans="1:12" x14ac:dyDescent="0.3">
      <c r="A37" s="6">
        <v>3</v>
      </c>
      <c r="B37" s="7">
        <v>3</v>
      </c>
      <c r="C37" s="7">
        <v>67</v>
      </c>
      <c r="D37" s="7">
        <v>9</v>
      </c>
      <c r="E37" s="7">
        <v>4489</v>
      </c>
      <c r="F37" s="8">
        <v>201</v>
      </c>
      <c r="H37" s="12">
        <v>0</v>
      </c>
      <c r="I37" s="8">
        <v>5</v>
      </c>
      <c r="K37" s="39" t="s">
        <v>211</v>
      </c>
      <c r="L37" s="8">
        <v>0.2417241190432485</v>
      </c>
    </row>
    <row r="38" spans="1:12" ht="16.8" thickBot="1" x14ac:dyDescent="0.35">
      <c r="A38" s="6">
        <v>4</v>
      </c>
      <c r="B38" s="7">
        <v>4</v>
      </c>
      <c r="C38" s="7">
        <v>3</v>
      </c>
      <c r="D38" s="7">
        <v>16</v>
      </c>
      <c r="E38" s="7">
        <v>9</v>
      </c>
      <c r="F38" s="8">
        <v>12</v>
      </c>
      <c r="H38" s="13">
        <v>-5</v>
      </c>
      <c r="I38" s="14">
        <v>-24.5</v>
      </c>
      <c r="K38" s="39" t="s">
        <v>213</v>
      </c>
      <c r="L38" s="8">
        <v>5.8430549727234576E-2</v>
      </c>
    </row>
    <row r="39" spans="1:12" ht="16.2" thickTop="1" x14ac:dyDescent="0.35">
      <c r="A39" s="9" t="s">
        <v>13</v>
      </c>
      <c r="B39" s="10">
        <f>SUBTOTAL(109,RegrTests!$B$35:$B$38)</f>
        <v>10</v>
      </c>
      <c r="C39" s="10">
        <f>SUBTOTAL(109,RegrTests!$C$35:$C$38)</f>
        <v>79</v>
      </c>
      <c r="D39" s="10">
        <f>SUBTOTAL(109,RegrTests!$D$35:$D$38)</f>
        <v>30</v>
      </c>
      <c r="E39" s="10">
        <f>SUBTOTAL(109,RegrTests!$E$35:$E$38)</f>
        <v>4539</v>
      </c>
      <c r="F39" s="11">
        <f>SUBTOTAL(109,RegrTests!$F$35:$F$38)</f>
        <v>227</v>
      </c>
      <c r="K39" s="40" t="s">
        <v>214</v>
      </c>
      <c r="L39" s="14">
        <v>37.447963896585883</v>
      </c>
    </row>
    <row r="42" spans="1:12" x14ac:dyDescent="0.3">
      <c r="A42" s="2" t="s">
        <v>16</v>
      </c>
      <c r="H42" s="2" t="s">
        <v>17</v>
      </c>
      <c r="K42" s="2" t="s">
        <v>212</v>
      </c>
    </row>
    <row r="43" spans="1:12" ht="16.2" x14ac:dyDescent="0.3">
      <c r="A43" s="3" t="s">
        <v>10</v>
      </c>
      <c r="B43" s="4" t="s">
        <v>11</v>
      </c>
      <c r="C43" s="4" t="s">
        <v>12</v>
      </c>
      <c r="D43" s="4" t="s">
        <v>206</v>
      </c>
      <c r="E43" s="4" t="s">
        <v>207</v>
      </c>
      <c r="F43" s="5" t="s">
        <v>205</v>
      </c>
      <c r="H43" s="3" t="s">
        <v>14</v>
      </c>
      <c r="I43" s="5" t="s">
        <v>15</v>
      </c>
      <c r="K43" s="37" t="s">
        <v>208</v>
      </c>
      <c r="L43" s="38" t="s">
        <v>60</v>
      </c>
    </row>
    <row r="44" spans="1:12" x14ac:dyDescent="0.3">
      <c r="A44" s="6">
        <v>1</v>
      </c>
      <c r="B44" s="7">
        <v>1</v>
      </c>
      <c r="C44" s="7">
        <v>4</v>
      </c>
      <c r="D44" s="7">
        <v>16</v>
      </c>
      <c r="E44" s="7">
        <v>1</v>
      </c>
      <c r="F44" s="8">
        <v>4</v>
      </c>
      <c r="H44" s="13">
        <v>5</v>
      </c>
      <c r="I44" s="14" t="e">
        <v>#VALUE!</v>
      </c>
      <c r="K44" s="39" t="s">
        <v>209</v>
      </c>
      <c r="L44" s="8">
        <v>0.8</v>
      </c>
    </row>
    <row r="45" spans="1:12" x14ac:dyDescent="0.3">
      <c r="A45" s="6">
        <v>2</v>
      </c>
      <c r="B45" s="7">
        <v>2</v>
      </c>
      <c r="C45" s="7">
        <v>5</v>
      </c>
      <c r="D45" s="7">
        <v>25</v>
      </c>
      <c r="E45" s="7">
        <v>4</v>
      </c>
      <c r="F45" s="8">
        <v>10</v>
      </c>
      <c r="K45" s="39" t="s">
        <v>210</v>
      </c>
      <c r="L45" s="8">
        <v>7.7</v>
      </c>
    </row>
    <row r="46" spans="1:12" x14ac:dyDescent="0.3">
      <c r="A46" s="6">
        <v>3</v>
      </c>
      <c r="B46" s="7">
        <v>3</v>
      </c>
      <c r="C46" s="7">
        <v>67</v>
      </c>
      <c r="D46" s="7">
        <v>4489</v>
      </c>
      <c r="E46" s="7">
        <v>9</v>
      </c>
      <c r="F46" s="8">
        <v>201</v>
      </c>
      <c r="K46" s="39" t="s">
        <v>211</v>
      </c>
      <c r="L46" s="8">
        <v>0.71571724515126212</v>
      </c>
    </row>
    <row r="47" spans="1:12" ht="16.8" thickBot="1" x14ac:dyDescent="0.35">
      <c r="A47" s="6">
        <v>4</v>
      </c>
      <c r="B47" s="7">
        <v>4</v>
      </c>
      <c r="C47" s="7">
        <v>3</v>
      </c>
      <c r="D47" s="7">
        <v>9</v>
      </c>
      <c r="E47" s="7">
        <v>16</v>
      </c>
      <c r="F47" s="8">
        <v>12</v>
      </c>
      <c r="K47" s="39" t="s">
        <v>213</v>
      </c>
      <c r="L47" s="8">
        <v>0.51225117500691175</v>
      </c>
    </row>
    <row r="48" spans="1:12" ht="16.2" thickTop="1" x14ac:dyDescent="0.35">
      <c r="A48" s="9" t="s">
        <v>13</v>
      </c>
      <c r="B48" s="10">
        <v>10</v>
      </c>
      <c r="C48" s="10">
        <v>79</v>
      </c>
      <c r="D48" s="10">
        <v>4539</v>
      </c>
      <c r="E48" s="10">
        <v>30</v>
      </c>
      <c r="F48" s="11">
        <v>227</v>
      </c>
      <c r="K48" s="40" t="s">
        <v>214</v>
      </c>
      <c r="L48" s="14">
        <v>30.674093303633278</v>
      </c>
    </row>
    <row r="50" spans="1:12" x14ac:dyDescent="0.3">
      <c r="A50" s="2" t="s">
        <v>16</v>
      </c>
      <c r="H50" s="2" t="s">
        <v>17</v>
      </c>
      <c r="K50" s="2" t="s">
        <v>212</v>
      </c>
    </row>
    <row r="51" spans="1:12" ht="16.2" x14ac:dyDescent="0.3">
      <c r="A51" s="3" t="s">
        <v>10</v>
      </c>
      <c r="B51" s="4" t="s">
        <v>11</v>
      </c>
      <c r="C51" s="4" t="s">
        <v>12</v>
      </c>
      <c r="D51" s="4" t="s">
        <v>206</v>
      </c>
      <c r="E51" s="4" t="s">
        <v>207</v>
      </c>
      <c r="F51" s="5" t="s">
        <v>205</v>
      </c>
      <c r="H51" s="3" t="s">
        <v>14</v>
      </c>
      <c r="I51" s="5" t="s">
        <v>15</v>
      </c>
      <c r="K51" s="37" t="s">
        <v>208</v>
      </c>
      <c r="L51" s="38" t="s">
        <v>60</v>
      </c>
    </row>
    <row r="52" spans="1:12" x14ac:dyDescent="0.3">
      <c r="A52" s="6">
        <v>1</v>
      </c>
      <c r="B52" s="7">
        <v>1</v>
      </c>
      <c r="C52" s="7">
        <v>4</v>
      </c>
      <c r="D52" s="7">
        <f>$B$52^2</f>
        <v>1</v>
      </c>
      <c r="E52" s="7">
        <f>$C$52^2</f>
        <v>16</v>
      </c>
      <c r="F52" s="8">
        <f>$B$52*$C$52</f>
        <v>4</v>
      </c>
      <c r="H52" s="13">
        <v>5</v>
      </c>
      <c r="I52" s="14" t="e">
        <v>#VALUE!</v>
      </c>
      <c r="K52" s="39" t="s">
        <v>209</v>
      </c>
      <c r="L52" s="8">
        <v>5</v>
      </c>
    </row>
    <row r="53" spans="1:12" x14ac:dyDescent="0.3">
      <c r="A53" s="6">
        <v>2</v>
      </c>
      <c r="B53" s="7">
        <v>2</v>
      </c>
      <c r="C53" s="7">
        <v>5</v>
      </c>
      <c r="D53" s="7">
        <f>$B$53^2</f>
        <v>4</v>
      </c>
      <c r="E53" s="7">
        <f>$C$53^2</f>
        <v>25</v>
      </c>
      <c r="F53" s="8">
        <f>$B$53*$C$53</f>
        <v>10</v>
      </c>
      <c r="K53" s="39" t="s">
        <v>210</v>
      </c>
      <c r="L53" s="8">
        <v>5.9</v>
      </c>
    </row>
    <row r="54" spans="1:12" x14ac:dyDescent="0.3">
      <c r="A54" s="6">
        <v>3</v>
      </c>
      <c r="B54" s="7">
        <v>3</v>
      </c>
      <c r="C54" s="7">
        <v>67</v>
      </c>
      <c r="D54" s="7">
        <f>$B$54^2</f>
        <v>9</v>
      </c>
      <c r="E54" s="7">
        <f>$C$54^2</f>
        <v>4489</v>
      </c>
      <c r="F54" s="8">
        <f>$B$54*$C$54</f>
        <v>201</v>
      </c>
      <c r="K54" s="39" t="s">
        <v>211</v>
      </c>
      <c r="L54" s="8">
        <v>0.2417241190432485</v>
      </c>
    </row>
    <row r="55" spans="1:12" ht="16.8" thickBot="1" x14ac:dyDescent="0.35">
      <c r="A55" s="6">
        <v>4</v>
      </c>
      <c r="B55" s="7">
        <v>4</v>
      </c>
      <c r="C55" s="7">
        <v>3</v>
      </c>
      <c r="D55" s="7">
        <f>$B$55^2</f>
        <v>16</v>
      </c>
      <c r="E55" s="7">
        <f>$C$55^2</f>
        <v>9</v>
      </c>
      <c r="F55" s="8">
        <f>$B$55*$C$55</f>
        <v>12</v>
      </c>
      <c r="K55" s="39" t="s">
        <v>213</v>
      </c>
      <c r="L55" s="8">
        <v>5.8430549727234576E-2</v>
      </c>
    </row>
    <row r="56" spans="1:12" ht="16.2" thickTop="1" x14ac:dyDescent="0.35">
      <c r="A56" s="9" t="s">
        <v>13</v>
      </c>
      <c r="B56" s="10">
        <f>SUBTOTAL(109,RegrTests!$B$52:$B$55)</f>
        <v>10</v>
      </c>
      <c r="C56" s="10">
        <f>SUBTOTAL(109,RegrTests!$C$52:$C$55)</f>
        <v>79</v>
      </c>
      <c r="D56" s="10">
        <f>SUBTOTAL(109,RegrTests!$D$52:$D$55)</f>
        <v>30</v>
      </c>
      <c r="E56" s="10">
        <f>SUBTOTAL(109,RegrTests!$E$52:$E$55)</f>
        <v>4539</v>
      </c>
      <c r="F56" s="11">
        <f>SUBTOTAL(109,RegrTests!$F$52:$F$55)</f>
        <v>227</v>
      </c>
      <c r="K56" s="40" t="s">
        <v>214</v>
      </c>
      <c r="L56" s="14">
        <v>37.447963896585883</v>
      </c>
    </row>
    <row r="58" spans="1:12" x14ac:dyDescent="0.3">
      <c r="A58" s="2" t="s">
        <v>16</v>
      </c>
      <c r="H58" s="2" t="s">
        <v>17</v>
      </c>
      <c r="K58" s="2" t="s">
        <v>212</v>
      </c>
    </row>
    <row r="59" spans="1:12" ht="16.2" x14ac:dyDescent="0.3">
      <c r="A59" s="3" t="s">
        <v>10</v>
      </c>
      <c r="B59" s="4" t="s">
        <v>11</v>
      </c>
      <c r="C59" s="4" t="s">
        <v>12</v>
      </c>
      <c r="D59" s="4" t="s">
        <v>206</v>
      </c>
      <c r="E59" s="4" t="s">
        <v>207</v>
      </c>
      <c r="F59" s="5" t="s">
        <v>205</v>
      </c>
      <c r="H59" s="3" t="s">
        <v>14</v>
      </c>
      <c r="I59" s="5" t="s">
        <v>15</v>
      </c>
      <c r="K59" s="37" t="s">
        <v>208</v>
      </c>
      <c r="L59" s="38" t="s">
        <v>60</v>
      </c>
    </row>
    <row r="60" spans="1:12" x14ac:dyDescent="0.3">
      <c r="A60" s="6">
        <v>1</v>
      </c>
      <c r="B60" s="7">
        <v>1</v>
      </c>
      <c r="C60" s="7">
        <v>4</v>
      </c>
      <c r="D60" s="7">
        <v>1</v>
      </c>
      <c r="E60" s="7">
        <v>16</v>
      </c>
      <c r="F60" s="8">
        <v>4</v>
      </c>
      <c r="H60" s="13">
        <v>5</v>
      </c>
      <c r="I60" s="14">
        <v>34.5</v>
      </c>
      <c r="K60" s="39" t="s">
        <v>209</v>
      </c>
      <c r="L60" s="8">
        <v>5</v>
      </c>
    </row>
    <row r="61" spans="1:12" x14ac:dyDescent="0.3">
      <c r="A61" s="6">
        <v>2</v>
      </c>
      <c r="B61" s="7">
        <v>2</v>
      </c>
      <c r="C61" s="7">
        <v>5</v>
      </c>
      <c r="D61" s="7">
        <v>4</v>
      </c>
      <c r="E61" s="7">
        <v>25</v>
      </c>
      <c r="F61" s="8">
        <v>10</v>
      </c>
      <c r="K61" s="39" t="s">
        <v>210</v>
      </c>
      <c r="L61" s="8">
        <v>5.9</v>
      </c>
    </row>
    <row r="62" spans="1:12" x14ac:dyDescent="0.3">
      <c r="A62" s="6">
        <v>3</v>
      </c>
      <c r="B62" s="7">
        <v>3</v>
      </c>
      <c r="C62" s="7">
        <v>67</v>
      </c>
      <c r="D62" s="7">
        <v>9</v>
      </c>
      <c r="E62" s="7">
        <v>4489</v>
      </c>
      <c r="F62" s="8">
        <v>201</v>
      </c>
      <c r="H62">
        <f>+COUNT(C60:D63)</f>
        <v>8</v>
      </c>
      <c r="K62" s="39" t="s">
        <v>211</v>
      </c>
      <c r="L62" s="8">
        <v>0.2417241190432485</v>
      </c>
    </row>
    <row r="63" spans="1:12" ht="16.8" thickBot="1" x14ac:dyDescent="0.35">
      <c r="A63" s="6">
        <v>4</v>
      </c>
      <c r="B63" s="7">
        <v>4</v>
      </c>
      <c r="C63" s="7">
        <v>3</v>
      </c>
      <c r="D63" s="7">
        <v>16</v>
      </c>
      <c r="E63" s="7">
        <v>9</v>
      </c>
      <c r="F63" s="8">
        <v>12</v>
      </c>
      <c r="K63" s="39" t="s">
        <v>213</v>
      </c>
      <c r="L63" s="8">
        <v>5.8430549727234576E-2</v>
      </c>
    </row>
    <row r="64" spans="1:12" ht="16.2" thickTop="1" x14ac:dyDescent="0.35">
      <c r="A64" s="9" t="s">
        <v>13</v>
      </c>
      <c r="B64" s="10">
        <v>10</v>
      </c>
      <c r="C64" s="10">
        <v>79</v>
      </c>
      <c r="D64" s="10">
        <v>30</v>
      </c>
      <c r="E64" s="10">
        <v>4539</v>
      </c>
      <c r="F64" s="11">
        <v>227</v>
      </c>
      <c r="K64" s="40" t="s">
        <v>214</v>
      </c>
      <c r="L64" s="14">
        <v>37.447963896585883</v>
      </c>
    </row>
    <row r="66" spans="1:12" x14ac:dyDescent="0.3">
      <c r="A66" s="2" t="s">
        <v>17</v>
      </c>
    </row>
    <row r="67" spans="1:12" x14ac:dyDescent="0.3">
      <c r="A67" s="3" t="s">
        <v>14</v>
      </c>
      <c r="B67" s="5" t="s">
        <v>15</v>
      </c>
    </row>
    <row r="68" spans="1:12" x14ac:dyDescent="0.3">
      <c r="A68" s="13">
        <v>5</v>
      </c>
      <c r="B68" s="14">
        <v>34.5</v>
      </c>
    </row>
    <row r="70" spans="1:12" x14ac:dyDescent="0.3">
      <c r="A70" s="2" t="s">
        <v>16</v>
      </c>
      <c r="H70" s="2" t="s">
        <v>17</v>
      </c>
      <c r="K70" s="2" t="s">
        <v>212</v>
      </c>
    </row>
    <row r="71" spans="1:12" ht="16.2" x14ac:dyDescent="0.3">
      <c r="A71" s="3" t="s">
        <v>10</v>
      </c>
      <c r="B71" s="4" t="s">
        <v>11</v>
      </c>
      <c r="C71" s="4" t="s">
        <v>12</v>
      </c>
      <c r="D71" s="4" t="s">
        <v>206</v>
      </c>
      <c r="E71" s="4" t="s">
        <v>207</v>
      </c>
      <c r="F71" s="5" t="s">
        <v>205</v>
      </c>
      <c r="H71" s="3" t="s">
        <v>14</v>
      </c>
      <c r="I71" s="5" t="s">
        <v>15</v>
      </c>
      <c r="K71" s="37" t="s">
        <v>208</v>
      </c>
      <c r="L71" s="38" t="s">
        <v>60</v>
      </c>
    </row>
    <row r="72" spans="1:12" x14ac:dyDescent="0.3">
      <c r="A72" s="6">
        <v>1</v>
      </c>
      <c r="B72" s="7">
        <v>1</v>
      </c>
      <c r="C72" s="7">
        <v>4</v>
      </c>
      <c r="D72" s="7">
        <v>1</v>
      </c>
      <c r="E72" s="7">
        <v>16</v>
      </c>
      <c r="F72" s="8">
        <v>4</v>
      </c>
      <c r="H72" s="13">
        <v>5</v>
      </c>
      <c r="I72" s="14">
        <v>34.5</v>
      </c>
      <c r="K72" s="39" t="s">
        <v>209</v>
      </c>
      <c r="L72" s="8">
        <v>5</v>
      </c>
    </row>
    <row r="73" spans="1:12" x14ac:dyDescent="0.3">
      <c r="A73" s="6">
        <v>2</v>
      </c>
      <c r="B73" s="7">
        <v>2</v>
      </c>
      <c r="C73" s="7">
        <v>5</v>
      </c>
      <c r="D73" s="7">
        <v>4</v>
      </c>
      <c r="E73" s="7">
        <v>25</v>
      </c>
      <c r="F73" s="8">
        <v>10</v>
      </c>
      <c r="K73" s="39" t="s">
        <v>210</v>
      </c>
      <c r="L73" s="8">
        <v>5.9</v>
      </c>
    </row>
    <row r="74" spans="1:12" x14ac:dyDescent="0.3">
      <c r="A74" s="6">
        <v>3</v>
      </c>
      <c r="B74" s="7">
        <v>3</v>
      </c>
      <c r="C74" s="7">
        <v>67</v>
      </c>
      <c r="D74" s="7">
        <v>9</v>
      </c>
      <c r="E74" s="7">
        <v>4489</v>
      </c>
      <c r="F74" s="8">
        <v>201</v>
      </c>
      <c r="K74" s="39" t="s">
        <v>211</v>
      </c>
      <c r="L74" s="8">
        <v>0.2417241190432485</v>
      </c>
    </row>
    <row r="75" spans="1:12" ht="16.8" thickBot="1" x14ac:dyDescent="0.35">
      <c r="A75" s="6">
        <v>4</v>
      </c>
      <c r="B75" s="7">
        <v>4</v>
      </c>
      <c r="C75" s="7">
        <v>3</v>
      </c>
      <c r="D75" s="7">
        <v>16</v>
      </c>
      <c r="E75" s="7">
        <v>9</v>
      </c>
      <c r="F75" s="8">
        <v>12</v>
      </c>
      <c r="K75" s="39" t="s">
        <v>213</v>
      </c>
      <c r="L75" s="8">
        <v>5.8430549727234576E-2</v>
      </c>
    </row>
    <row r="76" spans="1:12" ht="16.2" thickTop="1" x14ac:dyDescent="0.35">
      <c r="A76" s="9" t="s">
        <v>13</v>
      </c>
      <c r="B76" s="10">
        <f>SUBTOTAL(109,RegrTests!$B$72:$B$75)</f>
        <v>10</v>
      </c>
      <c r="C76" s="10">
        <f>SUBTOTAL(109,RegrTests!$C$72:$C$75)</f>
        <v>79</v>
      </c>
      <c r="D76" s="10">
        <f>SUBTOTAL(109,RegrTests!$D$72:$D$75)</f>
        <v>30</v>
      </c>
      <c r="E76" s="10">
        <f>SUBTOTAL(109,RegrTests!$E$72:$E$75)</f>
        <v>4539</v>
      </c>
      <c r="F76" s="11">
        <f>SUBTOTAL(109,RegrTests!$F$72:$F$75)</f>
        <v>227</v>
      </c>
      <c r="K76" s="40" t="s">
        <v>214</v>
      </c>
      <c r="L76" s="14">
        <v>37.447963896585883</v>
      </c>
    </row>
    <row r="78" spans="1:12" x14ac:dyDescent="0.3">
      <c r="A78" s="2" t="s">
        <v>16</v>
      </c>
      <c r="H78" s="2" t="s">
        <v>17</v>
      </c>
      <c r="K78" s="2" t="s">
        <v>212</v>
      </c>
    </row>
    <row r="79" spans="1:12" ht="16.2" x14ac:dyDescent="0.3">
      <c r="A79" s="3" t="s">
        <v>10</v>
      </c>
      <c r="B79" s="4" t="s">
        <v>11</v>
      </c>
      <c r="C79" s="4" t="s">
        <v>12</v>
      </c>
      <c r="D79" s="4" t="s">
        <v>206</v>
      </c>
      <c r="E79" s="4" t="s">
        <v>207</v>
      </c>
      <c r="F79" s="5" t="s">
        <v>205</v>
      </c>
      <c r="H79" s="3" t="s">
        <v>14</v>
      </c>
      <c r="I79" s="5" t="s">
        <v>15</v>
      </c>
      <c r="K79" s="37" t="s">
        <v>208</v>
      </c>
      <c r="L79" s="38" t="s">
        <v>60</v>
      </c>
    </row>
    <row r="80" spans="1:12" x14ac:dyDescent="0.3">
      <c r="A80" s="6">
        <v>1</v>
      </c>
      <c r="B80" s="7">
        <v>-3</v>
      </c>
      <c r="C80" s="7">
        <v>1.2</v>
      </c>
      <c r="D80" s="7">
        <v>9</v>
      </c>
      <c r="E80" s="7">
        <v>1.44</v>
      </c>
      <c r="F80" s="8">
        <v>-3.5999999999999996</v>
      </c>
      <c r="H80" s="12">
        <v>1</v>
      </c>
      <c r="I80" s="8">
        <v>0</v>
      </c>
      <c r="K80" s="39" t="s">
        <v>209</v>
      </c>
      <c r="L80" s="8">
        <v>0.4</v>
      </c>
    </row>
    <row r="81" spans="1:12" x14ac:dyDescent="0.3">
      <c r="A81" s="6">
        <v>2</v>
      </c>
      <c r="B81" s="7">
        <v>-2</v>
      </c>
      <c r="C81" s="7">
        <v>1.5</v>
      </c>
      <c r="D81" s="7">
        <v>4</v>
      </c>
      <c r="E81" s="7">
        <v>2.25</v>
      </c>
      <c r="F81" s="8">
        <v>-3</v>
      </c>
      <c r="H81" s="12">
        <v>2</v>
      </c>
      <c r="I81" s="8">
        <v>-0.4</v>
      </c>
      <c r="K81" s="39" t="s">
        <v>210</v>
      </c>
      <c r="L81" s="8">
        <v>-0.4</v>
      </c>
    </row>
    <row r="82" spans="1:12" x14ac:dyDescent="0.3">
      <c r="A82" s="6">
        <v>3</v>
      </c>
      <c r="B82" s="7">
        <v>-1</v>
      </c>
      <c r="C82" s="7">
        <v>1.3</v>
      </c>
      <c r="D82" s="7">
        <v>1</v>
      </c>
      <c r="E82" s="7">
        <v>1.6900000000000002</v>
      </c>
      <c r="F82" s="8">
        <v>-1.3</v>
      </c>
      <c r="H82" s="12">
        <v>3</v>
      </c>
      <c r="I82" s="8">
        <v>-0.80000000000000016</v>
      </c>
      <c r="K82" s="39" t="s">
        <v>211</v>
      </c>
      <c r="L82" s="8">
        <v>-0.5163977794943222</v>
      </c>
    </row>
    <row r="83" spans="1:12" ht="16.8" thickBot="1" x14ac:dyDescent="0.35">
      <c r="A83" s="6">
        <v>4</v>
      </c>
      <c r="B83" s="7">
        <v>0</v>
      </c>
      <c r="C83" s="7">
        <v>1.5</v>
      </c>
      <c r="D83" s="7">
        <v>0</v>
      </c>
      <c r="E83" s="7">
        <v>2.25</v>
      </c>
      <c r="F83" s="8">
        <v>0</v>
      </c>
      <c r="H83" s="12">
        <v>4</v>
      </c>
      <c r="I83" s="8">
        <v>-1.2000000000000002</v>
      </c>
      <c r="K83" s="39" t="s">
        <v>213</v>
      </c>
      <c r="L83" s="8">
        <v>0.26666666666666666</v>
      </c>
    </row>
    <row r="84" spans="1:12" ht="16.2" thickTop="1" x14ac:dyDescent="0.35">
      <c r="A84" s="9" t="s">
        <v>13</v>
      </c>
      <c r="B84" s="10">
        <f>SUBTOTAL(109,RegrTests!$B$80:$B$83)</f>
        <v>-6</v>
      </c>
      <c r="C84" s="10">
        <f>SUBTOTAL(109,RegrTests!$C$80:$C$83)</f>
        <v>5.5</v>
      </c>
      <c r="D84" s="10">
        <f>SUBTOTAL(109,RegrTests!$D$80:$D$83)</f>
        <v>14</v>
      </c>
      <c r="E84" s="10">
        <f>SUBTOTAL(109,RegrTests!$E$80:$E$83)</f>
        <v>7.63</v>
      </c>
      <c r="F84" s="11">
        <f>SUBTOTAL(109,RegrTests!$F$80:$F$83)</f>
        <v>-7.8999999999999995</v>
      </c>
      <c r="H84" s="13">
        <v>5</v>
      </c>
      <c r="I84" s="14">
        <v>-1.6</v>
      </c>
      <c r="K84" s="40" t="s">
        <v>214</v>
      </c>
      <c r="L84" s="14">
        <v>1.0488088481701514</v>
      </c>
    </row>
    <row r="87" spans="1:12" x14ac:dyDescent="0.3">
      <c r="A87" t="s">
        <v>278</v>
      </c>
      <c r="B87" t="s">
        <v>279</v>
      </c>
      <c r="C87">
        <v>1</v>
      </c>
    </row>
    <row r="88" spans="1:12" x14ac:dyDescent="0.3">
      <c r="A88">
        <v>-3</v>
      </c>
      <c r="B88">
        <v>1.2</v>
      </c>
      <c r="C88">
        <v>2</v>
      </c>
    </row>
    <row r="89" spans="1:12" x14ac:dyDescent="0.3">
      <c r="A89">
        <v>-2</v>
      </c>
      <c r="B89">
        <v>1.5</v>
      </c>
      <c r="C89">
        <v>3</v>
      </c>
    </row>
    <row r="90" spans="1:12" x14ac:dyDescent="0.3">
      <c r="A90">
        <v>-1</v>
      </c>
      <c r="B90">
        <v>1.3</v>
      </c>
      <c r="C90">
        <v>4</v>
      </c>
    </row>
    <row r="91" spans="1:12" x14ac:dyDescent="0.3">
      <c r="A91">
        <v>0</v>
      </c>
      <c r="B91">
        <v>1.5</v>
      </c>
      <c r="C91">
        <v>5</v>
      </c>
    </row>
    <row r="94" spans="1:12" ht="18" x14ac:dyDescent="0.35">
      <c r="A94" s="512" t="s">
        <v>16</v>
      </c>
      <c r="B94" s="512"/>
      <c r="C94" s="512"/>
      <c r="D94" s="512"/>
      <c r="E94" s="512"/>
      <c r="F94" s="512"/>
      <c r="H94" s="512" t="s">
        <v>17</v>
      </c>
      <c r="I94" s="512"/>
      <c r="K94" s="512" t="s">
        <v>212</v>
      </c>
      <c r="L94" s="512"/>
    </row>
    <row r="95" spans="1:12" ht="17.399999999999999" x14ac:dyDescent="0.3">
      <c r="A95" s="52" t="s">
        <v>10</v>
      </c>
      <c r="B95" s="52" t="s">
        <v>11</v>
      </c>
      <c r="C95" s="52" t="s">
        <v>12</v>
      </c>
      <c r="D95" s="52" t="s">
        <v>280</v>
      </c>
      <c r="E95" s="52" t="s">
        <v>281</v>
      </c>
      <c r="F95" s="52" t="s">
        <v>205</v>
      </c>
      <c r="H95" s="52" t="s">
        <v>14</v>
      </c>
      <c r="I95" s="52" t="s">
        <v>15</v>
      </c>
      <c r="K95" s="52" t="s">
        <v>208</v>
      </c>
      <c r="L95" s="52" t="s">
        <v>60</v>
      </c>
    </row>
    <row r="96" spans="1:12" x14ac:dyDescent="0.3">
      <c r="A96" s="17">
        <v>1</v>
      </c>
      <c r="B96" s="17">
        <v>-3</v>
      </c>
      <c r="C96" s="17">
        <v>1.2</v>
      </c>
      <c r="D96" s="53">
        <f t="shared" ref="D96:E99" si="0">B96^2</f>
        <v>9</v>
      </c>
      <c r="E96" s="53">
        <f t="shared" si="0"/>
        <v>1.44</v>
      </c>
      <c r="F96" s="53">
        <f>B96*C96</f>
        <v>-3.5999999999999996</v>
      </c>
      <c r="H96" s="17">
        <v>1</v>
      </c>
      <c r="I96" s="53">
        <v>1.5500000000000003</v>
      </c>
      <c r="K96" s="54" t="s">
        <v>209</v>
      </c>
      <c r="L96" s="55">
        <v>1.4800000000000002</v>
      </c>
    </row>
    <row r="97" spans="1:12" x14ac:dyDescent="0.3">
      <c r="A97" s="17">
        <v>2</v>
      </c>
      <c r="B97" s="17">
        <v>-2</v>
      </c>
      <c r="C97" s="17">
        <v>1.5</v>
      </c>
      <c r="D97" s="53">
        <f t="shared" si="0"/>
        <v>4</v>
      </c>
      <c r="E97" s="53">
        <f t="shared" si="0"/>
        <v>2.25</v>
      </c>
      <c r="F97" s="53">
        <f>B97*C97</f>
        <v>-3</v>
      </c>
      <c r="H97" s="17">
        <v>2</v>
      </c>
      <c r="I97" s="53">
        <v>1.6200000000000003</v>
      </c>
      <c r="K97" s="54" t="s">
        <v>210</v>
      </c>
      <c r="L97" s="55">
        <v>7.0000000000000104E-2</v>
      </c>
    </row>
    <row r="98" spans="1:12" x14ac:dyDescent="0.3">
      <c r="A98" s="17">
        <v>3</v>
      </c>
      <c r="B98" s="17">
        <v>-1</v>
      </c>
      <c r="C98" s="17">
        <v>1.3</v>
      </c>
      <c r="D98" s="53">
        <f t="shared" si="0"/>
        <v>1</v>
      </c>
      <c r="E98" s="53">
        <f t="shared" si="0"/>
        <v>1.6900000000000002</v>
      </c>
      <c r="F98" s="53">
        <f>B98*C98</f>
        <v>-1.3</v>
      </c>
      <c r="H98" s="17">
        <v>3</v>
      </c>
      <c r="I98" s="53">
        <v>1.6900000000000006</v>
      </c>
      <c r="K98" s="54" t="s">
        <v>211</v>
      </c>
      <c r="L98" s="55">
        <v>0.6024640760767106</v>
      </c>
    </row>
    <row r="99" spans="1:12" ht="15" x14ac:dyDescent="0.3">
      <c r="A99" s="17">
        <v>4</v>
      </c>
      <c r="B99" s="17">
        <v>0</v>
      </c>
      <c r="C99" s="17">
        <v>1.5</v>
      </c>
      <c r="D99" s="53">
        <f t="shared" si="0"/>
        <v>0</v>
      </c>
      <c r="E99" s="53">
        <f t="shared" si="0"/>
        <v>2.25</v>
      </c>
      <c r="F99" s="53">
        <f>B99*C99</f>
        <v>0</v>
      </c>
      <c r="H99" s="17">
        <v>4</v>
      </c>
      <c r="I99" s="53">
        <v>1.7600000000000007</v>
      </c>
      <c r="K99" s="54" t="s">
        <v>282</v>
      </c>
      <c r="L99" s="55">
        <v>0.36296296296296465</v>
      </c>
    </row>
    <row r="100" spans="1:12" ht="15.6" thickBot="1" x14ac:dyDescent="0.4">
      <c r="A100" s="44"/>
      <c r="B100" s="56">
        <f>SUM(B96:B99)</f>
        <v>-6</v>
      </c>
      <c r="C100" s="56">
        <f>SUM(C96:C99)</f>
        <v>5.5</v>
      </c>
      <c r="D100" s="57">
        <f>SUM(D96:D99)</f>
        <v>14</v>
      </c>
      <c r="E100" s="57">
        <f>SUM(E96:E99)</f>
        <v>7.63</v>
      </c>
      <c r="F100" s="57">
        <f>SUM(F96:F99)</f>
        <v>-7.8999999999999995</v>
      </c>
      <c r="H100" s="17">
        <v>5</v>
      </c>
      <c r="I100" s="53">
        <v>1.8300000000000007</v>
      </c>
      <c r="K100" s="58" t="s">
        <v>283</v>
      </c>
      <c r="L100" s="59">
        <v>0.14662878298615104</v>
      </c>
    </row>
    <row r="101" spans="1:12" ht="15" thickTop="1" x14ac:dyDescent="0.3"/>
    <row r="103" spans="1:12" x14ac:dyDescent="0.3">
      <c r="A103" s="2" t="s">
        <v>16</v>
      </c>
      <c r="H103" s="2" t="s">
        <v>17</v>
      </c>
      <c r="K103" s="2" t="s">
        <v>212</v>
      </c>
    </row>
    <row r="104" spans="1:12" ht="16.2" x14ac:dyDescent="0.3">
      <c r="A104" s="3" t="s">
        <v>10</v>
      </c>
      <c r="B104" s="4" t="s">
        <v>11</v>
      </c>
      <c r="C104" s="4" t="s">
        <v>12</v>
      </c>
      <c r="D104" s="4" t="s">
        <v>206</v>
      </c>
      <c r="E104" s="4" t="s">
        <v>207</v>
      </c>
      <c r="F104" s="5" t="s">
        <v>205</v>
      </c>
      <c r="H104" s="3" t="s">
        <v>14</v>
      </c>
      <c r="I104" s="5" t="s">
        <v>15</v>
      </c>
      <c r="K104" s="37" t="s">
        <v>208</v>
      </c>
      <c r="L104" s="38" t="s">
        <v>60</v>
      </c>
    </row>
    <row r="105" spans="1:12" x14ac:dyDescent="0.3">
      <c r="A105" s="6">
        <v>1</v>
      </c>
      <c r="B105" s="7">
        <v>-3</v>
      </c>
      <c r="C105" s="7">
        <v>1.2</v>
      </c>
      <c r="D105" s="7">
        <v>9</v>
      </c>
      <c r="E105" s="7">
        <v>1.44</v>
      </c>
      <c r="F105" s="8">
        <v>-3.5999999999999996</v>
      </c>
      <c r="H105" s="12">
        <v>1</v>
      </c>
      <c r="I105" s="8">
        <v>0</v>
      </c>
      <c r="K105" s="39" t="s">
        <v>209</v>
      </c>
      <c r="L105" s="8">
        <v>0.4</v>
      </c>
    </row>
    <row r="106" spans="1:12" x14ac:dyDescent="0.3">
      <c r="A106" s="6">
        <v>2</v>
      </c>
      <c r="B106" s="7">
        <v>-2</v>
      </c>
      <c r="C106" s="7">
        <v>1.5</v>
      </c>
      <c r="D106" s="7">
        <v>4</v>
      </c>
      <c r="E106" s="7">
        <v>2.25</v>
      </c>
      <c r="F106" s="8">
        <v>-3</v>
      </c>
      <c r="H106" s="12">
        <v>2</v>
      </c>
      <c r="I106" s="8">
        <v>-0.4</v>
      </c>
      <c r="K106" s="39" t="s">
        <v>210</v>
      </c>
      <c r="L106" s="8">
        <v>-0.4</v>
      </c>
    </row>
    <row r="107" spans="1:12" x14ac:dyDescent="0.3">
      <c r="A107" s="6">
        <v>3</v>
      </c>
      <c r="B107" s="7">
        <v>-1</v>
      </c>
      <c r="C107" s="7">
        <v>1.3</v>
      </c>
      <c r="D107" s="7">
        <v>1</v>
      </c>
      <c r="E107" s="7">
        <v>1.6900000000000002</v>
      </c>
      <c r="F107" s="8">
        <v>-1.3</v>
      </c>
      <c r="H107" s="12">
        <v>3</v>
      </c>
      <c r="I107" s="8">
        <v>-0.80000000000000016</v>
      </c>
      <c r="K107" s="39" t="s">
        <v>211</v>
      </c>
      <c r="L107" s="8">
        <v>-0.5163977794943222</v>
      </c>
    </row>
    <row r="108" spans="1:12" ht="16.8" thickBot="1" x14ac:dyDescent="0.35">
      <c r="A108" s="6">
        <v>4</v>
      </c>
      <c r="B108" s="7">
        <v>0</v>
      </c>
      <c r="C108" s="7">
        <v>1.5</v>
      </c>
      <c r="D108" s="7">
        <v>0</v>
      </c>
      <c r="E108" s="7">
        <v>2.25</v>
      </c>
      <c r="F108" s="8">
        <v>0</v>
      </c>
      <c r="H108" s="12">
        <v>4</v>
      </c>
      <c r="I108" s="8">
        <v>-1.2000000000000002</v>
      </c>
      <c r="K108" s="39" t="s">
        <v>213</v>
      </c>
      <c r="L108" s="8">
        <v>0.26666666666666666</v>
      </c>
    </row>
    <row r="109" spans="1:12" ht="16.2" thickTop="1" x14ac:dyDescent="0.35">
      <c r="A109" s="9" t="s">
        <v>13</v>
      </c>
      <c r="B109" s="10">
        <f>SUBTOTAL(109,RegrTests!$B$105:$B$108)</f>
        <v>-6</v>
      </c>
      <c r="C109" s="10">
        <f>SUBTOTAL(109,RegrTests!$C$105:$C$108)</f>
        <v>5.5</v>
      </c>
      <c r="D109" s="10">
        <f>SUBTOTAL(109,RegrTests!$D$105:$D$108)</f>
        <v>14</v>
      </c>
      <c r="E109" s="10">
        <f>SUBTOTAL(109,RegrTests!$E$105:$E$108)</f>
        <v>7.63</v>
      </c>
      <c r="F109" s="11">
        <f>SUBTOTAL(109,RegrTests!$F$105:$F$108)</f>
        <v>-7.8999999999999995</v>
      </c>
      <c r="H109" s="13">
        <v>5</v>
      </c>
      <c r="I109" s="14">
        <v>-1.6</v>
      </c>
      <c r="K109" s="40" t="s">
        <v>214</v>
      </c>
      <c r="L109" s="14">
        <v>1.0488088481701514</v>
      </c>
    </row>
    <row r="111" spans="1:12" x14ac:dyDescent="0.3">
      <c r="A111" s="2" t="s">
        <v>16</v>
      </c>
      <c r="H111" s="2" t="s">
        <v>17</v>
      </c>
      <c r="K111" s="2" t="s">
        <v>212</v>
      </c>
    </row>
    <row r="112" spans="1:12" ht="16.2" x14ac:dyDescent="0.3">
      <c r="A112" s="3" t="s">
        <v>10</v>
      </c>
      <c r="B112" s="4" t="s">
        <v>11</v>
      </c>
      <c r="C112" s="4" t="s">
        <v>12</v>
      </c>
      <c r="D112" s="4" t="s">
        <v>206</v>
      </c>
      <c r="E112" s="4" t="s">
        <v>207</v>
      </c>
      <c r="F112" s="5" t="s">
        <v>205</v>
      </c>
      <c r="H112" s="3" t="s">
        <v>14</v>
      </c>
      <c r="I112" s="5" t="s">
        <v>15</v>
      </c>
      <c r="K112" s="37" t="s">
        <v>208</v>
      </c>
      <c r="L112" s="38" t="s">
        <v>60</v>
      </c>
    </row>
    <row r="113" spans="1:12" x14ac:dyDescent="0.3">
      <c r="A113" s="6">
        <v>1</v>
      </c>
      <c r="B113" s="7">
        <v>-3</v>
      </c>
      <c r="C113" s="7">
        <v>1.2</v>
      </c>
      <c r="D113" s="7">
        <v>9</v>
      </c>
      <c r="E113" s="7">
        <v>1.44</v>
      </c>
      <c r="F113" s="8">
        <v>-3.5999999999999996</v>
      </c>
      <c r="H113" s="12">
        <v>1</v>
      </c>
      <c r="I113" s="8">
        <v>1.5500000000000003</v>
      </c>
      <c r="K113" s="39" t="s">
        <v>209</v>
      </c>
      <c r="L113" s="8">
        <v>1.4800000000000002</v>
      </c>
    </row>
    <row r="114" spans="1:12" x14ac:dyDescent="0.3">
      <c r="A114" s="6">
        <v>2</v>
      </c>
      <c r="B114" s="7">
        <v>-2</v>
      </c>
      <c r="C114" s="7">
        <v>1.5</v>
      </c>
      <c r="D114" s="7">
        <v>4</v>
      </c>
      <c r="E114" s="7">
        <v>2.25</v>
      </c>
      <c r="F114" s="8">
        <v>-3</v>
      </c>
      <c r="H114" s="12">
        <v>2</v>
      </c>
      <c r="I114" s="8">
        <v>1.6200000000000003</v>
      </c>
      <c r="K114" s="39" t="s">
        <v>210</v>
      </c>
      <c r="L114" s="8">
        <v>7.0000000000000104E-2</v>
      </c>
    </row>
    <row r="115" spans="1:12" x14ac:dyDescent="0.3">
      <c r="A115" s="6">
        <v>3</v>
      </c>
      <c r="B115" s="7">
        <v>-1</v>
      </c>
      <c r="C115" s="7">
        <v>1.3</v>
      </c>
      <c r="D115" s="7">
        <v>1</v>
      </c>
      <c r="E115" s="7">
        <v>1.6900000000000002</v>
      </c>
      <c r="F115" s="8">
        <v>-1.3</v>
      </c>
      <c r="H115" s="12">
        <v>3</v>
      </c>
      <c r="I115" s="8">
        <v>1.6900000000000004</v>
      </c>
      <c r="K115" s="39" t="s">
        <v>211</v>
      </c>
      <c r="L115" s="8">
        <v>0.6024640760767106</v>
      </c>
    </row>
    <row r="116" spans="1:12" ht="16.8" thickBot="1" x14ac:dyDescent="0.35">
      <c r="A116" s="6">
        <v>4</v>
      </c>
      <c r="B116" s="7">
        <v>0</v>
      </c>
      <c r="C116" s="7">
        <v>1.5</v>
      </c>
      <c r="D116" s="7">
        <v>0</v>
      </c>
      <c r="E116" s="7">
        <v>2.25</v>
      </c>
      <c r="F116" s="8">
        <v>0</v>
      </c>
      <c r="H116" s="12">
        <v>4</v>
      </c>
      <c r="I116" s="8">
        <v>1.7600000000000007</v>
      </c>
      <c r="K116" s="39" t="s">
        <v>213</v>
      </c>
      <c r="L116" s="8">
        <v>0.36296296296296465</v>
      </c>
    </row>
    <row r="117" spans="1:12" ht="16.2" thickTop="1" x14ac:dyDescent="0.35">
      <c r="A117" s="9" t="s">
        <v>13</v>
      </c>
      <c r="B117" s="10">
        <f>SUBTOTAL(109,RegrTests!$B$113:$B$116)</f>
        <v>-6</v>
      </c>
      <c r="C117" s="10">
        <f>SUBTOTAL(109,RegrTests!$C$113:$C$116)</f>
        <v>5.5</v>
      </c>
      <c r="D117" s="10">
        <f>SUBTOTAL(109,RegrTests!$D$113:$D$116)</f>
        <v>14</v>
      </c>
      <c r="E117" s="10">
        <f>SUBTOTAL(109,RegrTests!$E$113:$E$116)</f>
        <v>7.63</v>
      </c>
      <c r="F117" s="11">
        <f>SUBTOTAL(109,RegrTests!$F$113:$F$116)</f>
        <v>-7.8999999999999995</v>
      </c>
      <c r="H117" s="13">
        <v>5</v>
      </c>
      <c r="I117" s="14">
        <v>1.8300000000000007</v>
      </c>
      <c r="K117" s="40" t="s">
        <v>214</v>
      </c>
      <c r="L117" s="14">
        <v>0.14662878298615104</v>
      </c>
    </row>
    <row r="121" spans="1:12" x14ac:dyDescent="0.3">
      <c r="A121" s="2" t="s">
        <v>16</v>
      </c>
      <c r="H121" s="2" t="s">
        <v>17</v>
      </c>
      <c r="K121" s="2" t="s">
        <v>212</v>
      </c>
    </row>
    <row r="122" spans="1:12" ht="16.2" x14ac:dyDescent="0.3">
      <c r="A122" s="3" t="s">
        <v>10</v>
      </c>
      <c r="B122" s="4" t="s">
        <v>11</v>
      </c>
      <c r="C122" s="4" t="s">
        <v>12</v>
      </c>
      <c r="D122" s="4" t="s">
        <v>206</v>
      </c>
      <c r="E122" s="4" t="s">
        <v>207</v>
      </c>
      <c r="F122" s="5" t="s">
        <v>205</v>
      </c>
      <c r="H122" s="3" t="s">
        <v>14</v>
      </c>
      <c r="I122" s="5" t="s">
        <v>15</v>
      </c>
      <c r="K122" s="37" t="s">
        <v>208</v>
      </c>
      <c r="L122" s="38" t="s">
        <v>60</v>
      </c>
    </row>
    <row r="123" spans="1:12" x14ac:dyDescent="0.3">
      <c r="A123" s="6">
        <v>1</v>
      </c>
      <c r="B123" s="7">
        <v>1</v>
      </c>
      <c r="C123" s="7">
        <v>1.2</v>
      </c>
      <c r="D123" s="7">
        <f>$B$123^2</f>
        <v>1</v>
      </c>
      <c r="E123" s="7">
        <f>$C$123^2</f>
        <v>1.44</v>
      </c>
      <c r="F123" s="8">
        <f>$B$123*$C$123</f>
        <v>1.2</v>
      </c>
      <c r="H123" s="13">
        <v>5</v>
      </c>
      <c r="I123" s="14">
        <v>1.5500000000000007</v>
      </c>
      <c r="K123" s="39" t="s">
        <v>209</v>
      </c>
      <c r="L123" s="8">
        <v>1.1999999999999993</v>
      </c>
    </row>
    <row r="124" spans="1:12" x14ac:dyDescent="0.3">
      <c r="A124" s="6">
        <v>2</v>
      </c>
      <c r="B124" s="7">
        <v>2</v>
      </c>
      <c r="C124" s="7">
        <v>1.5</v>
      </c>
      <c r="D124" s="7">
        <f>$B$124^2</f>
        <v>4</v>
      </c>
      <c r="E124" s="7">
        <f>$C$124^2</f>
        <v>2.25</v>
      </c>
      <c r="F124" s="8">
        <f>$B$124*$C$124</f>
        <v>3</v>
      </c>
      <c r="K124" s="39" t="s">
        <v>210</v>
      </c>
      <c r="L124" s="8">
        <v>7.0000000000000284E-2</v>
      </c>
    </row>
    <row r="125" spans="1:12" x14ac:dyDescent="0.3">
      <c r="A125" s="6">
        <v>3</v>
      </c>
      <c r="B125" s="7">
        <v>3</v>
      </c>
      <c r="C125" s="7">
        <v>1.3</v>
      </c>
      <c r="D125" s="7">
        <f>$B$125^2</f>
        <v>9</v>
      </c>
      <c r="E125" s="7">
        <f>$C$125^2</f>
        <v>1.6900000000000002</v>
      </c>
      <c r="F125" s="8">
        <f>$B$125*$C$125</f>
        <v>3.9000000000000004</v>
      </c>
      <c r="K125" s="39" t="s">
        <v>211</v>
      </c>
      <c r="L125" s="8">
        <v>0.60246407607671215</v>
      </c>
    </row>
    <row r="126" spans="1:12" ht="16.8" thickBot="1" x14ac:dyDescent="0.35">
      <c r="A126" s="6">
        <v>4</v>
      </c>
      <c r="B126" s="7">
        <v>4</v>
      </c>
      <c r="C126" s="7">
        <v>1.5</v>
      </c>
      <c r="D126" s="7">
        <f>$B$126^2</f>
        <v>16</v>
      </c>
      <c r="E126" s="7">
        <f>$C$126^2</f>
        <v>2.25</v>
      </c>
      <c r="F126" s="8">
        <f>$B$126*$C$126</f>
        <v>6</v>
      </c>
      <c r="K126" s="39" t="s">
        <v>213</v>
      </c>
      <c r="L126" s="8">
        <v>0.36296296296296648</v>
      </c>
    </row>
    <row r="127" spans="1:12" ht="16.2" thickTop="1" x14ac:dyDescent="0.35">
      <c r="A127" s="9" t="s">
        <v>13</v>
      </c>
      <c r="B127" s="10">
        <f>SUBTOTAL(109,RegrTests!$B$123:$B$126)</f>
        <v>10</v>
      </c>
      <c r="C127" s="10">
        <f>SUBTOTAL(109,RegrTests!$C$123:$C$126)</f>
        <v>5.5</v>
      </c>
      <c r="D127" s="10">
        <f>SUBTOTAL(109,RegrTests!$D$123:$D$126)</f>
        <v>30</v>
      </c>
      <c r="E127" s="10">
        <f>SUBTOTAL(109,RegrTests!$E$123:$E$126)</f>
        <v>7.63</v>
      </c>
      <c r="F127" s="11">
        <f>SUBTOTAL(109,RegrTests!$F$123:$F$126)</f>
        <v>14.100000000000001</v>
      </c>
      <c r="K127" s="40" t="s">
        <v>214</v>
      </c>
      <c r="L127" s="14">
        <v>0.14662878298615128</v>
      </c>
    </row>
    <row r="130" spans="1:12" x14ac:dyDescent="0.3">
      <c r="A130" s="2" t="s">
        <v>16</v>
      </c>
      <c r="H130" s="2" t="s">
        <v>17</v>
      </c>
      <c r="K130" s="2" t="s">
        <v>212</v>
      </c>
    </row>
    <row r="131" spans="1:12" ht="16.2" x14ac:dyDescent="0.3">
      <c r="A131" s="3" t="s">
        <v>10</v>
      </c>
      <c r="B131" s="4" t="s">
        <v>11</v>
      </c>
      <c r="C131" s="4" t="s">
        <v>12</v>
      </c>
      <c r="D131" s="4" t="s">
        <v>206</v>
      </c>
      <c r="E131" s="4" t="s">
        <v>207</v>
      </c>
      <c r="F131" s="5" t="s">
        <v>205</v>
      </c>
      <c r="H131" s="3" t="s">
        <v>14</v>
      </c>
      <c r="I131" s="5" t="s">
        <v>15</v>
      </c>
      <c r="K131" s="37" t="s">
        <v>208</v>
      </c>
      <c r="L131" s="38" t="s">
        <v>60</v>
      </c>
    </row>
    <row r="132" spans="1:12" x14ac:dyDescent="0.3">
      <c r="A132" s="6">
        <v>1</v>
      </c>
      <c r="B132" s="7">
        <v>1</v>
      </c>
      <c r="C132" s="7">
        <v>1.2</v>
      </c>
      <c r="D132" s="7">
        <v>1</v>
      </c>
      <c r="E132" s="7">
        <v>1.44</v>
      </c>
      <c r="F132" s="8">
        <v>1.2</v>
      </c>
      <c r="H132" s="13">
        <v>5</v>
      </c>
      <c r="I132" s="14">
        <v>1.5500000000000007</v>
      </c>
      <c r="K132" s="39" t="s">
        <v>209</v>
      </c>
      <c r="L132" s="8">
        <v>1.1999999999999993</v>
      </c>
    </row>
    <row r="133" spans="1:12" x14ac:dyDescent="0.3">
      <c r="A133" s="6">
        <v>2</v>
      </c>
      <c r="B133" s="7">
        <v>2</v>
      </c>
      <c r="C133" s="7">
        <v>1.5</v>
      </c>
      <c r="D133" s="7">
        <v>4</v>
      </c>
      <c r="E133" s="7">
        <v>2.25</v>
      </c>
      <c r="F133" s="8">
        <v>3</v>
      </c>
      <c r="K133" s="39" t="s">
        <v>210</v>
      </c>
      <c r="L133" s="8">
        <v>7.0000000000000284E-2</v>
      </c>
    </row>
    <row r="134" spans="1:12" x14ac:dyDescent="0.3">
      <c r="A134" s="6">
        <v>3</v>
      </c>
      <c r="B134" s="7">
        <v>3</v>
      </c>
      <c r="C134" s="7">
        <v>1.3</v>
      </c>
      <c r="D134" s="7">
        <v>9</v>
      </c>
      <c r="E134" s="7">
        <v>1.6900000000000002</v>
      </c>
      <c r="F134" s="8">
        <v>3.9000000000000004</v>
      </c>
      <c r="K134" s="39" t="s">
        <v>211</v>
      </c>
      <c r="L134" s="8">
        <v>0.60246407607671215</v>
      </c>
    </row>
    <row r="135" spans="1:12" ht="16.8" thickBot="1" x14ac:dyDescent="0.35">
      <c r="A135" s="6">
        <v>4</v>
      </c>
      <c r="B135" s="7">
        <v>4</v>
      </c>
      <c r="C135" s="7">
        <v>1.5</v>
      </c>
      <c r="D135" s="7">
        <v>16</v>
      </c>
      <c r="E135" s="7">
        <v>2.25</v>
      </c>
      <c r="F135" s="8">
        <v>6</v>
      </c>
      <c r="K135" s="39" t="s">
        <v>213</v>
      </c>
      <c r="L135" s="8">
        <v>0.36296296296296648</v>
      </c>
    </row>
    <row r="136" spans="1:12" ht="16.2" thickTop="1" x14ac:dyDescent="0.35">
      <c r="A136" s="9" t="s">
        <v>13</v>
      </c>
      <c r="B136" s="10">
        <f>SUBTOTAL(109,RegrTests!$B$132:$B$135)</f>
        <v>10</v>
      </c>
      <c r="C136" s="10">
        <f>SUBTOTAL(109,RegrTests!$C$132:$C$135)</f>
        <v>5.5</v>
      </c>
      <c r="D136" s="10">
        <f>SUBTOTAL(109,RegrTests!$D$132:$D$135)</f>
        <v>30</v>
      </c>
      <c r="E136" s="10">
        <f>SUBTOTAL(109,RegrTests!$E$132:$E$135)</f>
        <v>7.63</v>
      </c>
      <c r="F136" s="11">
        <f>SUBTOTAL(109,RegrTests!$F$132:$F$135)</f>
        <v>14.100000000000001</v>
      </c>
      <c r="K136" s="40" t="s">
        <v>214</v>
      </c>
      <c r="L136" s="14">
        <v>0.14662878298615128</v>
      </c>
    </row>
    <row r="141" spans="1:12" x14ac:dyDescent="0.3">
      <c r="A141" s="2" t="s">
        <v>17</v>
      </c>
    </row>
    <row r="142" spans="1:12" x14ac:dyDescent="0.3">
      <c r="A142" s="3" t="s">
        <v>14</v>
      </c>
      <c r="B142" s="5" t="s">
        <v>15</v>
      </c>
    </row>
    <row r="143" spans="1:12" x14ac:dyDescent="0.3">
      <c r="A143" s="13">
        <v>5</v>
      </c>
      <c r="B143" s="14">
        <v>1.5500000000000007</v>
      </c>
    </row>
    <row r="159" spans="1:12" x14ac:dyDescent="0.3">
      <c r="A159" s="2" t="s">
        <v>16</v>
      </c>
      <c r="H159" s="2" t="s">
        <v>17</v>
      </c>
      <c r="K159" s="2" t="s">
        <v>212</v>
      </c>
    </row>
    <row r="160" spans="1:12" ht="16.2" x14ac:dyDescent="0.3">
      <c r="A160" s="3" t="s">
        <v>10</v>
      </c>
      <c r="B160" s="4" t="s">
        <v>11</v>
      </c>
      <c r="C160" s="4" t="s">
        <v>12</v>
      </c>
      <c r="D160" s="4" t="s">
        <v>206</v>
      </c>
      <c r="E160" s="4" t="s">
        <v>207</v>
      </c>
      <c r="F160" s="5" t="s">
        <v>205</v>
      </c>
      <c r="H160" s="3" t="s">
        <v>14</v>
      </c>
      <c r="I160" s="5" t="s">
        <v>15</v>
      </c>
      <c r="K160" s="37" t="s">
        <v>208</v>
      </c>
      <c r="L160" s="38" t="s">
        <v>60</v>
      </c>
    </row>
    <row r="161" spans="1:12" x14ac:dyDescent="0.3">
      <c r="A161" s="6">
        <v>1</v>
      </c>
      <c r="B161" s="7">
        <v>1</v>
      </c>
      <c r="C161" s="7">
        <v>1.2</v>
      </c>
      <c r="D161" s="7">
        <f>$B$161^2</f>
        <v>1</v>
      </c>
      <c r="E161" s="7">
        <f>$C$161^2</f>
        <v>1.44</v>
      </c>
      <c r="F161" s="8">
        <f>$B$161*$C$161</f>
        <v>1.2</v>
      </c>
      <c r="H161" s="13">
        <v>5</v>
      </c>
      <c r="I161" s="14">
        <f>1.2+(0.0700000000000003*A161)</f>
        <v>1.2700000000000002</v>
      </c>
      <c r="K161" s="39" t="s">
        <v>209</v>
      </c>
      <c r="L161" s="8">
        <v>1.1999999999999993</v>
      </c>
    </row>
    <row r="162" spans="1:12" x14ac:dyDescent="0.3">
      <c r="A162" s="6">
        <v>2</v>
      </c>
      <c r="B162" s="7">
        <v>2</v>
      </c>
      <c r="C162" s="7">
        <v>1.5</v>
      </c>
      <c r="D162" s="7">
        <f>$B$162^2</f>
        <v>4</v>
      </c>
      <c r="E162" s="7">
        <f>$C$162^2</f>
        <v>2.25</v>
      </c>
      <c r="F162" s="8">
        <f>$B$162*$C$162</f>
        <v>3</v>
      </c>
      <c r="I162" t="s">
        <v>1196</v>
      </c>
      <c r="K162" s="39" t="s">
        <v>210</v>
      </c>
      <c r="L162" s="8">
        <v>7.0000000000000284E-2</v>
      </c>
    </row>
    <row r="163" spans="1:12" x14ac:dyDescent="0.3">
      <c r="A163" s="6">
        <v>3</v>
      </c>
      <c r="B163" s="7">
        <v>3</v>
      </c>
      <c r="C163" s="7">
        <v>1.3</v>
      </c>
      <c r="D163" s="7">
        <f>$B$163^2</f>
        <v>9</v>
      </c>
      <c r="E163" s="7">
        <f>$C$163^2</f>
        <v>1.6900000000000002</v>
      </c>
      <c r="F163" s="8">
        <f>$B$163*$C$163</f>
        <v>3.9000000000000004</v>
      </c>
      <c r="K163" s="39" t="s">
        <v>211</v>
      </c>
      <c r="L163" s="8">
        <v>0.60246407607671215</v>
      </c>
    </row>
    <row r="164" spans="1:12" ht="16.8" thickBot="1" x14ac:dyDescent="0.35">
      <c r="A164" s="6">
        <v>4</v>
      </c>
      <c r="B164" s="7">
        <v>4</v>
      </c>
      <c r="C164" s="7">
        <v>1.5</v>
      </c>
      <c r="D164" s="7">
        <f>$B$164^2</f>
        <v>16</v>
      </c>
      <c r="E164" s="7">
        <f>$C$164^2</f>
        <v>2.25</v>
      </c>
      <c r="F164" s="8">
        <f>$B$164*$C$164</f>
        <v>6</v>
      </c>
      <c r="K164" s="39" t="s">
        <v>213</v>
      </c>
      <c r="L164" s="8">
        <v>0.36296296296296648</v>
      </c>
    </row>
    <row r="165" spans="1:12" ht="16.2" thickTop="1" x14ac:dyDescent="0.35">
      <c r="A165" s="9" t="s">
        <v>13</v>
      </c>
      <c r="B165" s="10">
        <f>SUBTOTAL(109,RegrTests!$B$161:$B$164)</f>
        <v>10</v>
      </c>
      <c r="C165" s="10">
        <f>SUBTOTAL(109,RegrTests!$C$161:$C$164)</f>
        <v>5.5</v>
      </c>
      <c r="D165" s="10">
        <f>SUBTOTAL(109,RegrTests!$D$161:$D$164)</f>
        <v>30</v>
      </c>
      <c r="E165" s="10">
        <f>SUBTOTAL(109,RegrTests!$E$161:$E$164)</f>
        <v>7.63</v>
      </c>
      <c r="F165" s="11">
        <f>SUBTOTAL(109,RegrTests!$F$161:$F$164)</f>
        <v>14.100000000000001</v>
      </c>
      <c r="K165" s="40" t="s">
        <v>214</v>
      </c>
      <c r="L165" s="14">
        <v>0.14662878298615128</v>
      </c>
    </row>
    <row r="167" spans="1:12" x14ac:dyDescent="0.3">
      <c r="A167" s="2" t="s">
        <v>16</v>
      </c>
      <c r="H167" s="2" t="s">
        <v>17</v>
      </c>
      <c r="K167" s="2" t="s">
        <v>212</v>
      </c>
    </row>
    <row r="168" spans="1:12" ht="16.2" x14ac:dyDescent="0.3">
      <c r="A168" s="3" t="s">
        <v>10</v>
      </c>
      <c r="B168" s="4" t="s">
        <v>11</v>
      </c>
      <c r="C168" s="4" t="s">
        <v>12</v>
      </c>
      <c r="D168" s="4" t="s">
        <v>206</v>
      </c>
      <c r="E168" s="4" t="s">
        <v>207</v>
      </c>
      <c r="F168" s="5" t="s">
        <v>205</v>
      </c>
      <c r="H168" s="3" t="s">
        <v>14</v>
      </c>
      <c r="I168" s="5" t="s">
        <v>15</v>
      </c>
      <c r="K168" s="37" t="s">
        <v>208</v>
      </c>
      <c r="L168" s="38" t="s">
        <v>60</v>
      </c>
    </row>
    <row r="169" spans="1:12" x14ac:dyDescent="0.3">
      <c r="A169" s="6">
        <v>1</v>
      </c>
      <c r="B169" s="7">
        <v>1</v>
      </c>
      <c r="C169" s="7">
        <v>1.2</v>
      </c>
      <c r="D169" s="7">
        <v>1</v>
      </c>
      <c r="E169" s="7">
        <v>1.44</v>
      </c>
      <c r="F169" s="8">
        <v>1.2</v>
      </c>
      <c r="H169" s="13">
        <v>5</v>
      </c>
      <c r="I169" s="14">
        <v>1.5500000000000007</v>
      </c>
      <c r="K169" s="39" t="s">
        <v>209</v>
      </c>
      <c r="L169" s="8">
        <v>1.1999999999999993</v>
      </c>
    </row>
    <row r="170" spans="1:12" x14ac:dyDescent="0.3">
      <c r="A170" s="6">
        <v>2</v>
      </c>
      <c r="B170" s="7">
        <v>2</v>
      </c>
      <c r="C170" s="7">
        <v>1.5</v>
      </c>
      <c r="D170" s="7">
        <v>4</v>
      </c>
      <c r="E170" s="7">
        <v>2.25</v>
      </c>
      <c r="F170" s="8">
        <v>3</v>
      </c>
      <c r="K170" s="39" t="s">
        <v>210</v>
      </c>
      <c r="L170" s="8">
        <v>7.0000000000000284E-2</v>
      </c>
    </row>
    <row r="171" spans="1:12" x14ac:dyDescent="0.3">
      <c r="A171" s="6">
        <v>3</v>
      </c>
      <c r="B171" s="7">
        <v>3</v>
      </c>
      <c r="C171" s="7">
        <v>1.3</v>
      </c>
      <c r="D171" s="7">
        <v>9</v>
      </c>
      <c r="E171" s="7">
        <v>1.6900000000000002</v>
      </c>
      <c r="F171" s="8">
        <v>3.9000000000000004</v>
      </c>
      <c r="K171" s="39" t="s">
        <v>211</v>
      </c>
      <c r="L171" s="8">
        <v>0.60246407607671215</v>
      </c>
    </row>
    <row r="172" spans="1:12" ht="16.8" thickBot="1" x14ac:dyDescent="0.35">
      <c r="A172" s="6">
        <v>4</v>
      </c>
      <c r="B172" s="7">
        <v>4</v>
      </c>
      <c r="C172" s="7">
        <v>1.5</v>
      </c>
      <c r="D172" s="7">
        <v>16</v>
      </c>
      <c r="E172" s="7">
        <v>2.25</v>
      </c>
      <c r="F172" s="8">
        <v>6</v>
      </c>
      <c r="K172" s="39" t="s">
        <v>213</v>
      </c>
      <c r="L172" s="8">
        <v>0.36296296296296648</v>
      </c>
    </row>
    <row r="173" spans="1:12" ht="16.2" thickTop="1" x14ac:dyDescent="0.35">
      <c r="A173" s="9" t="s">
        <v>13</v>
      </c>
      <c r="B173" s="10">
        <f>SUBTOTAL(109,RegrTests!$B$169:$B$172)</f>
        <v>10</v>
      </c>
      <c r="C173" s="10">
        <f>SUBTOTAL(109,RegrTests!$C$169:$C$172)</f>
        <v>5.5</v>
      </c>
      <c r="D173" s="10">
        <f>SUBTOTAL(109,RegrTests!$D$169:$D$172)</f>
        <v>30</v>
      </c>
      <c r="E173" s="10">
        <f>SUBTOTAL(109,RegrTests!$E$169:$E$172)</f>
        <v>7.63</v>
      </c>
      <c r="F173" s="11">
        <f>SUBTOTAL(109,RegrTests!$F$169:$F$172)</f>
        <v>14.100000000000001</v>
      </c>
      <c r="K173" s="40" t="s">
        <v>214</v>
      </c>
      <c r="L173" s="14">
        <v>0.14662878298615128</v>
      </c>
    </row>
    <row r="176" spans="1:12" x14ac:dyDescent="0.3">
      <c r="A176" s="2" t="s">
        <v>16</v>
      </c>
      <c r="H176" s="2" t="s">
        <v>17</v>
      </c>
      <c r="K176" s="2" t="s">
        <v>212</v>
      </c>
    </row>
    <row r="177" spans="1:12" ht="16.2" x14ac:dyDescent="0.3">
      <c r="A177" s="3" t="s">
        <v>10</v>
      </c>
      <c r="B177" s="4" t="s">
        <v>11</v>
      </c>
      <c r="C177" s="4" t="s">
        <v>12</v>
      </c>
      <c r="D177" s="4" t="s">
        <v>206</v>
      </c>
      <c r="E177" s="4" t="s">
        <v>207</v>
      </c>
      <c r="F177" s="5" t="s">
        <v>205</v>
      </c>
      <c r="H177" s="3" t="s">
        <v>14</v>
      </c>
      <c r="I177" s="5" t="s">
        <v>15</v>
      </c>
      <c r="K177" s="37" t="s">
        <v>208</v>
      </c>
      <c r="L177" s="38" t="s">
        <v>60</v>
      </c>
    </row>
    <row r="178" spans="1:12" x14ac:dyDescent="0.3">
      <c r="A178" s="6">
        <v>1</v>
      </c>
      <c r="B178" s="7">
        <v>1</v>
      </c>
      <c r="C178" s="7">
        <v>1.2</v>
      </c>
      <c r="D178" s="7">
        <v>1</v>
      </c>
      <c r="E178" s="7">
        <v>1.44</v>
      </c>
      <c r="F178" s="8">
        <v>1.2</v>
      </c>
      <c r="H178" s="13">
        <v>5</v>
      </c>
      <c r="I178" s="14">
        <v>1.5500000000000007</v>
      </c>
      <c r="K178" s="39" t="s">
        <v>209</v>
      </c>
      <c r="L178" s="8">
        <v>1.1999999999999993</v>
      </c>
    </row>
    <row r="179" spans="1:12" x14ac:dyDescent="0.3">
      <c r="A179" s="6">
        <v>2</v>
      </c>
      <c r="B179" s="7">
        <v>2</v>
      </c>
      <c r="C179" s="7">
        <v>1.5</v>
      </c>
      <c r="D179" s="7">
        <v>4</v>
      </c>
      <c r="E179" s="7">
        <v>2.25</v>
      </c>
      <c r="F179" s="8">
        <v>3</v>
      </c>
      <c r="K179" s="39" t="s">
        <v>210</v>
      </c>
      <c r="L179" s="8">
        <v>7.0000000000000284E-2</v>
      </c>
    </row>
    <row r="180" spans="1:12" x14ac:dyDescent="0.3">
      <c r="A180" s="6">
        <v>3</v>
      </c>
      <c r="B180" s="7">
        <v>3</v>
      </c>
      <c r="C180" s="7">
        <v>1.3</v>
      </c>
      <c r="D180" s="7">
        <v>9</v>
      </c>
      <c r="E180" s="7">
        <v>1.6900000000000002</v>
      </c>
      <c r="F180" s="8">
        <v>3.9000000000000004</v>
      </c>
      <c r="K180" s="39" t="s">
        <v>211</v>
      </c>
      <c r="L180" s="8">
        <v>0.60246407607671215</v>
      </c>
    </row>
    <row r="181" spans="1:12" ht="16.8" thickBot="1" x14ac:dyDescent="0.35">
      <c r="A181" s="6">
        <v>4</v>
      </c>
      <c r="B181" s="7">
        <v>4</v>
      </c>
      <c r="C181" s="7">
        <v>1.5</v>
      </c>
      <c r="D181" s="7">
        <v>16</v>
      </c>
      <c r="E181" s="7">
        <v>2.25</v>
      </c>
      <c r="F181" s="8">
        <v>6</v>
      </c>
      <c r="K181" s="39" t="s">
        <v>213</v>
      </c>
      <c r="L181" s="8">
        <v>0.36296296296296648</v>
      </c>
    </row>
    <row r="182" spans="1:12" ht="16.2" thickTop="1" x14ac:dyDescent="0.35">
      <c r="A182" s="9" t="s">
        <v>13</v>
      </c>
      <c r="B182" s="10">
        <f>SUBTOTAL(109,RegrTests!$B$178:$B$181)</f>
        <v>10</v>
      </c>
      <c r="C182" s="10">
        <f>SUBTOTAL(109,RegrTests!$C$178:$C$181)</f>
        <v>5.5</v>
      </c>
      <c r="D182" s="10">
        <f>SUBTOTAL(109,RegrTests!$D$178:$D$181)</f>
        <v>30</v>
      </c>
      <c r="E182" s="10">
        <f>SUBTOTAL(109,RegrTests!$E$178:$E$181)</f>
        <v>7.63</v>
      </c>
      <c r="F182" s="11">
        <f>SUBTOTAL(109,RegrTests!$F$178:$F$181)</f>
        <v>14.100000000000001</v>
      </c>
      <c r="K182" s="40" t="s">
        <v>214</v>
      </c>
      <c r="L182" s="14">
        <v>0.14662878298615128</v>
      </c>
    </row>
    <row r="185" spans="1:12" x14ac:dyDescent="0.3">
      <c r="A185" s="2" t="s">
        <v>16</v>
      </c>
      <c r="H185" s="2" t="s">
        <v>17</v>
      </c>
      <c r="K185" s="2" t="s">
        <v>212</v>
      </c>
    </row>
    <row r="186" spans="1:12" ht="16.2" x14ac:dyDescent="0.3">
      <c r="A186" s="3" t="s">
        <v>10</v>
      </c>
      <c r="B186" s="4" t="s">
        <v>11</v>
      </c>
      <c r="C186" s="4" t="s">
        <v>12</v>
      </c>
      <c r="D186" s="4" t="s">
        <v>206</v>
      </c>
      <c r="E186" s="4" t="s">
        <v>207</v>
      </c>
      <c r="F186" s="5" t="s">
        <v>205</v>
      </c>
      <c r="H186" s="3" t="s">
        <v>14</v>
      </c>
      <c r="I186" s="5" t="s">
        <v>15</v>
      </c>
      <c r="K186" s="37" t="s">
        <v>208</v>
      </c>
      <c r="L186" s="38" t="s">
        <v>60</v>
      </c>
    </row>
    <row r="187" spans="1:12" x14ac:dyDescent="0.3">
      <c r="A187" s="6">
        <v>1</v>
      </c>
      <c r="B187" s="7">
        <v>1</v>
      </c>
      <c r="C187" s="7">
        <v>1.2</v>
      </c>
      <c r="D187" s="7">
        <v>1</v>
      </c>
      <c r="E187" s="7">
        <v>1.44</v>
      </c>
      <c r="F187" s="8">
        <v>1.2</v>
      </c>
      <c r="H187" s="13">
        <v>5</v>
      </c>
      <c r="I187" s="14">
        <v>1.55</v>
      </c>
      <c r="K187" s="39" t="s">
        <v>209</v>
      </c>
      <c r="L187" s="8">
        <v>1.1999999999999993</v>
      </c>
    </row>
    <row r="188" spans="1:12" x14ac:dyDescent="0.3">
      <c r="A188" s="6">
        <v>2</v>
      </c>
      <c r="B188" s="7">
        <v>2</v>
      </c>
      <c r="C188" s="7">
        <v>1.5</v>
      </c>
      <c r="D188" s="7">
        <v>4</v>
      </c>
      <c r="E188" s="7">
        <v>2.25</v>
      </c>
      <c r="F188" s="8">
        <v>3</v>
      </c>
      <c r="K188" s="39" t="s">
        <v>210</v>
      </c>
      <c r="L188" s="8">
        <v>7.0000000000000284E-2</v>
      </c>
    </row>
    <row r="189" spans="1:12" x14ac:dyDescent="0.3">
      <c r="A189" s="6">
        <v>3</v>
      </c>
      <c r="B189" s="7">
        <v>3</v>
      </c>
      <c r="C189" s="7">
        <v>1.3</v>
      </c>
      <c r="D189" s="7">
        <v>9</v>
      </c>
      <c r="E189" s="7">
        <v>1.6900000000000002</v>
      </c>
      <c r="F189" s="8">
        <v>3.9000000000000004</v>
      </c>
      <c r="K189" s="39" t="s">
        <v>211</v>
      </c>
      <c r="L189" s="8">
        <v>0.60246407607671215</v>
      </c>
    </row>
    <row r="190" spans="1:12" ht="16.8" thickBot="1" x14ac:dyDescent="0.35">
      <c r="A190" s="6">
        <v>4</v>
      </c>
      <c r="B190" s="7">
        <v>4</v>
      </c>
      <c r="C190" s="7">
        <v>1.5</v>
      </c>
      <c r="D190" s="7">
        <v>16</v>
      </c>
      <c r="E190" s="7">
        <v>2.25</v>
      </c>
      <c r="F190" s="8">
        <v>6</v>
      </c>
      <c r="K190" s="39" t="s">
        <v>213</v>
      </c>
      <c r="L190" s="8">
        <v>0.36296296296296648</v>
      </c>
    </row>
    <row r="191" spans="1:12" ht="16.2" thickTop="1" x14ac:dyDescent="0.35">
      <c r="A191" s="9" t="s">
        <v>13</v>
      </c>
      <c r="B191" s="10">
        <f>SUBTOTAL(109,RegrTests!$B$187:$B$190)</f>
        <v>10</v>
      </c>
      <c r="C191" s="10">
        <f>SUBTOTAL(109,RegrTests!$C$187:$C$190)</f>
        <v>5.5</v>
      </c>
      <c r="D191" s="10">
        <f>SUBTOTAL(109,RegrTests!$D$187:$D$190)</f>
        <v>30</v>
      </c>
      <c r="E191" s="10">
        <f>SUBTOTAL(109,RegrTests!$E$187:$E$190)</f>
        <v>7.63</v>
      </c>
      <c r="F191" s="11">
        <f>SUBTOTAL(109,RegrTests!$F$187:$F$190)</f>
        <v>14.100000000000001</v>
      </c>
      <c r="K191" s="40" t="s">
        <v>214</v>
      </c>
      <c r="L191" s="14">
        <v>0.14662878298615128</v>
      </c>
    </row>
    <row r="195" spans="1:12" x14ac:dyDescent="0.3">
      <c r="A195" s="2" t="s">
        <v>17</v>
      </c>
    </row>
    <row r="196" spans="1:12" x14ac:dyDescent="0.3">
      <c r="A196" s="3" t="s">
        <v>14</v>
      </c>
      <c r="B196" s="5" t="s">
        <v>15</v>
      </c>
    </row>
    <row r="197" spans="1:12" x14ac:dyDescent="0.3">
      <c r="A197" s="13">
        <v>5</v>
      </c>
      <c r="B197" s="14">
        <f>1.2+(0.0700000000000003*A197)</f>
        <v>1.5500000000000014</v>
      </c>
    </row>
    <row r="199" spans="1:12" x14ac:dyDescent="0.3">
      <c r="A199" s="2" t="s">
        <v>16</v>
      </c>
      <c r="H199" s="2" t="s">
        <v>17</v>
      </c>
      <c r="K199" s="2" t="s">
        <v>212</v>
      </c>
    </row>
    <row r="200" spans="1:12" ht="16.2" x14ac:dyDescent="0.3">
      <c r="A200" s="3" t="s">
        <v>10</v>
      </c>
      <c r="B200" s="4" t="s">
        <v>11</v>
      </c>
      <c r="C200" s="4" t="s">
        <v>12</v>
      </c>
      <c r="D200" s="4" t="s">
        <v>206</v>
      </c>
      <c r="E200" s="4" t="s">
        <v>207</v>
      </c>
      <c r="F200" s="5" t="s">
        <v>205</v>
      </c>
      <c r="H200" s="3" t="s">
        <v>14</v>
      </c>
      <c r="I200" s="5" t="s">
        <v>15</v>
      </c>
      <c r="K200" s="37" t="s">
        <v>208</v>
      </c>
      <c r="L200" s="38" t="s">
        <v>60</v>
      </c>
    </row>
    <row r="201" spans="1:12" x14ac:dyDescent="0.3">
      <c r="A201" s="6">
        <v>1</v>
      </c>
      <c r="B201" s="7">
        <v>1</v>
      </c>
      <c r="C201" s="7">
        <v>1.2</v>
      </c>
      <c r="D201" s="7">
        <f>$B$201^2</f>
        <v>1</v>
      </c>
      <c r="E201" s="7">
        <f>$C$201^2</f>
        <v>1.44</v>
      </c>
      <c r="F201" s="8">
        <f>$B$201*$C$201</f>
        <v>1.2</v>
      </c>
      <c r="H201" s="13">
        <v>5</v>
      </c>
      <c r="I201" s="479" t="s">
        <v>1285</v>
      </c>
      <c r="K201" s="39" t="s">
        <v>209</v>
      </c>
      <c r="L201" s="480" t="s">
        <v>1286</v>
      </c>
    </row>
    <row r="202" spans="1:12" x14ac:dyDescent="0.3">
      <c r="A202" s="6">
        <v>2</v>
      </c>
      <c r="B202" s="7">
        <v>2</v>
      </c>
      <c r="C202" s="7">
        <v>1.5</v>
      </c>
      <c r="D202" s="7">
        <f>$B$202^2</f>
        <v>4</v>
      </c>
      <c r="E202" s="7">
        <f>$C$202^2</f>
        <v>2.25</v>
      </c>
      <c r="F202" s="8">
        <f>$B$202*$C$202</f>
        <v>3</v>
      </c>
      <c r="K202" s="39" t="s">
        <v>210</v>
      </c>
      <c r="L202" s="480" t="s">
        <v>1287</v>
      </c>
    </row>
    <row r="203" spans="1:12" x14ac:dyDescent="0.3">
      <c r="A203" s="6">
        <v>3</v>
      </c>
      <c r="B203" s="7">
        <v>3</v>
      </c>
      <c r="C203" s="7">
        <v>1.3</v>
      </c>
      <c r="D203" s="7">
        <f>$B$203^2</f>
        <v>9</v>
      </c>
      <c r="E203" s="7">
        <f>$C$203^2</f>
        <v>1.6900000000000002</v>
      </c>
      <c r="F203" s="8">
        <f>$B$203*$C$203</f>
        <v>3.9000000000000004</v>
      </c>
      <c r="K203" s="39" t="s">
        <v>211</v>
      </c>
      <c r="L203" s="480" t="s">
        <v>1288</v>
      </c>
    </row>
    <row r="204" spans="1:12" ht="16.8" thickBot="1" x14ac:dyDescent="0.35">
      <c r="A204" s="6">
        <v>4</v>
      </c>
      <c r="B204" s="7">
        <v>4</v>
      </c>
      <c r="C204" s="7">
        <v>1.5</v>
      </c>
      <c r="D204" s="7">
        <f>$B$204^2</f>
        <v>16</v>
      </c>
      <c r="E204" s="7">
        <f>$C$204^2</f>
        <v>2.25</v>
      </c>
      <c r="F204" s="8">
        <f>$B$204*$C$204</f>
        <v>6</v>
      </c>
      <c r="K204" s="39" t="s">
        <v>213</v>
      </c>
      <c r="L204" s="480" t="s">
        <v>1289</v>
      </c>
    </row>
    <row r="205" spans="1:12" ht="16.2" thickTop="1" x14ac:dyDescent="0.35">
      <c r="A205" s="9" t="s">
        <v>13</v>
      </c>
      <c r="B205" s="10">
        <f>SUBTOTAL(109,RegrTests!$B$201:$B$204)</f>
        <v>10</v>
      </c>
      <c r="C205" s="10">
        <f>SUBTOTAL(109,RegrTests!$C$201:$C$204)</f>
        <v>5.5</v>
      </c>
      <c r="D205" s="10">
        <f>SUBTOTAL(109,RegrTests!$D$201:$D$204)</f>
        <v>30</v>
      </c>
      <c r="E205" s="10">
        <f>SUBTOTAL(109,RegrTests!$E$201:$E$204)</f>
        <v>7.63</v>
      </c>
      <c r="F205" s="11">
        <f>SUBTOTAL(109,RegrTests!$F$201:$F$204)</f>
        <v>14.100000000000001</v>
      </c>
      <c r="K205" s="40" t="s">
        <v>214</v>
      </c>
      <c r="L205" s="479" t="s">
        <v>1290</v>
      </c>
    </row>
    <row r="207" spans="1:12" x14ac:dyDescent="0.3">
      <c r="A207" s="2" t="s">
        <v>16</v>
      </c>
      <c r="H207" s="2" t="s">
        <v>17</v>
      </c>
      <c r="K207" s="2" t="s">
        <v>212</v>
      </c>
    </row>
    <row r="208" spans="1:12" ht="16.2" x14ac:dyDescent="0.3">
      <c r="A208" s="3" t="s">
        <v>10</v>
      </c>
      <c r="B208" s="4" t="s">
        <v>11</v>
      </c>
      <c r="C208" s="4" t="s">
        <v>12</v>
      </c>
      <c r="D208" s="4" t="s">
        <v>206</v>
      </c>
      <c r="E208" s="4" t="s">
        <v>207</v>
      </c>
      <c r="F208" s="5" t="s">
        <v>205</v>
      </c>
      <c r="H208" s="3" t="s">
        <v>14</v>
      </c>
      <c r="I208" s="5" t="s">
        <v>15</v>
      </c>
      <c r="K208" s="37" t="s">
        <v>208</v>
      </c>
      <c r="L208" s="38" t="s">
        <v>60</v>
      </c>
    </row>
    <row r="209" spans="1:12" x14ac:dyDescent="0.3">
      <c r="A209" s="6">
        <v>1</v>
      </c>
      <c r="B209" s="7">
        <v>1</v>
      </c>
      <c r="C209" s="7">
        <v>1.2</v>
      </c>
      <c r="D209" s="7">
        <v>1</v>
      </c>
      <c r="E209" s="7">
        <v>1.44</v>
      </c>
      <c r="F209" s="8">
        <v>1.2</v>
      </c>
      <c r="H209" s="13">
        <v>5</v>
      </c>
      <c r="I209" s="14">
        <v>1.5500000000000007</v>
      </c>
      <c r="K209" s="39" t="s">
        <v>209</v>
      </c>
      <c r="L209" s="8">
        <v>1.1999999999999993</v>
      </c>
    </row>
    <row r="210" spans="1:12" x14ac:dyDescent="0.3">
      <c r="A210" s="6">
        <v>2</v>
      </c>
      <c r="B210" s="7">
        <v>2</v>
      </c>
      <c r="C210" s="7">
        <v>1.5</v>
      </c>
      <c r="D210" s="7">
        <v>4</v>
      </c>
      <c r="E210" s="7">
        <v>2.25</v>
      </c>
      <c r="F210" s="8">
        <v>3</v>
      </c>
      <c r="K210" s="39" t="s">
        <v>210</v>
      </c>
      <c r="L210" s="8">
        <v>7.0000000000000284E-2</v>
      </c>
    </row>
    <row r="211" spans="1:12" x14ac:dyDescent="0.3">
      <c r="A211" s="6">
        <v>3</v>
      </c>
      <c r="B211" s="7">
        <v>3</v>
      </c>
      <c r="C211" s="7">
        <v>1.3</v>
      </c>
      <c r="D211" s="7">
        <v>9</v>
      </c>
      <c r="E211" s="7">
        <v>1.6900000000000002</v>
      </c>
      <c r="F211" s="8">
        <v>3.9000000000000004</v>
      </c>
      <c r="K211" s="39" t="s">
        <v>211</v>
      </c>
      <c r="L211" s="8">
        <v>0.60246407607671215</v>
      </c>
    </row>
    <row r="212" spans="1:12" ht="16.8" thickBot="1" x14ac:dyDescent="0.35">
      <c r="A212" s="6">
        <v>4</v>
      </c>
      <c r="B212" s="7">
        <v>4</v>
      </c>
      <c r="C212" s="7">
        <v>1.5</v>
      </c>
      <c r="D212" s="7">
        <v>16</v>
      </c>
      <c r="E212" s="7">
        <v>2.25</v>
      </c>
      <c r="F212" s="8">
        <v>6</v>
      </c>
      <c r="K212" s="39" t="s">
        <v>213</v>
      </c>
      <c r="L212" s="8">
        <v>0.36296296296296648</v>
      </c>
    </row>
    <row r="213" spans="1:12" ht="16.2" thickTop="1" x14ac:dyDescent="0.35">
      <c r="A213" s="9" t="s">
        <v>13</v>
      </c>
      <c r="B213" s="10">
        <f>SUBTOTAL(109,RegrTests!$B$209:$B$212)</f>
        <v>10</v>
      </c>
      <c r="C213" s="10">
        <f>SUBTOTAL(109,RegrTests!$C$209:$C$212)</f>
        <v>5.5</v>
      </c>
      <c r="D213" s="10">
        <f>SUBTOTAL(109,RegrTests!$D$209:$D$212)</f>
        <v>30</v>
      </c>
      <c r="E213" s="10">
        <f>SUBTOTAL(109,RegrTests!$E$209:$E$212)</f>
        <v>7.63</v>
      </c>
      <c r="F213" s="11">
        <f>SUBTOTAL(109,RegrTests!$F$209:$F$212)</f>
        <v>14.100000000000001</v>
      </c>
      <c r="K213" s="40" t="s">
        <v>214</v>
      </c>
      <c r="L213" s="14">
        <v>0.14662878298615128</v>
      </c>
    </row>
    <row r="216" spans="1:12" x14ac:dyDescent="0.3">
      <c r="A216" s="2" t="s">
        <v>16</v>
      </c>
      <c r="H216" s="2" t="s">
        <v>17</v>
      </c>
      <c r="K216" s="2" t="s">
        <v>212</v>
      </c>
    </row>
    <row r="217" spans="1:12" ht="16.2" x14ac:dyDescent="0.3">
      <c r="A217" s="3" t="s">
        <v>10</v>
      </c>
      <c r="B217" s="4" t="s">
        <v>11</v>
      </c>
      <c r="C217" s="4" t="s">
        <v>12</v>
      </c>
      <c r="D217" s="4" t="s">
        <v>206</v>
      </c>
      <c r="E217" s="4" t="s">
        <v>207</v>
      </c>
      <c r="F217" s="5" t="s">
        <v>205</v>
      </c>
      <c r="H217" s="3" t="s">
        <v>14</v>
      </c>
      <c r="I217" s="5" t="s">
        <v>15</v>
      </c>
      <c r="K217" s="37" t="s">
        <v>208</v>
      </c>
      <c r="L217" s="38" t="s">
        <v>60</v>
      </c>
    </row>
    <row r="218" spans="1:12" x14ac:dyDescent="0.3">
      <c r="A218" s="6">
        <v>1</v>
      </c>
      <c r="B218" s="7">
        <v>1</v>
      </c>
      <c r="C218" s="7">
        <v>1.2</v>
      </c>
      <c r="D218" s="7">
        <v>1</v>
      </c>
      <c r="E218" s="7">
        <v>1.44</v>
      </c>
      <c r="F218" s="8">
        <v>1.2</v>
      </c>
      <c r="H218" s="13">
        <v>5</v>
      </c>
      <c r="I218" s="14">
        <v>1.5500000000000007</v>
      </c>
      <c r="K218" s="39" t="s">
        <v>209</v>
      </c>
      <c r="L218" s="8">
        <v>1.1999999999999993</v>
      </c>
    </row>
    <row r="219" spans="1:12" x14ac:dyDescent="0.3">
      <c r="A219" s="6">
        <v>2</v>
      </c>
      <c r="B219" s="7">
        <v>2</v>
      </c>
      <c r="C219" s="7">
        <v>1.5</v>
      </c>
      <c r="D219" s="7">
        <v>4</v>
      </c>
      <c r="E219" s="7">
        <v>2.25</v>
      </c>
      <c r="F219" s="8">
        <v>3</v>
      </c>
      <c r="K219" s="39" t="s">
        <v>210</v>
      </c>
      <c r="L219" s="8">
        <v>7.0000000000000284E-2</v>
      </c>
    </row>
    <row r="220" spans="1:12" x14ac:dyDescent="0.3">
      <c r="A220" s="6">
        <v>3</v>
      </c>
      <c r="B220" s="7">
        <v>3</v>
      </c>
      <c r="C220" s="7">
        <v>1.3</v>
      </c>
      <c r="D220" s="7">
        <v>9</v>
      </c>
      <c r="E220" s="7">
        <v>1.6900000000000002</v>
      </c>
      <c r="F220" s="8">
        <v>3.9000000000000004</v>
      </c>
      <c r="K220" s="39" t="s">
        <v>211</v>
      </c>
      <c r="L220" s="8">
        <v>0.60246407607671215</v>
      </c>
    </row>
    <row r="221" spans="1:12" ht="16.8" thickBot="1" x14ac:dyDescent="0.35">
      <c r="A221" s="6">
        <v>4</v>
      </c>
      <c r="B221" s="7">
        <v>4</v>
      </c>
      <c r="C221" s="7">
        <v>1.5</v>
      </c>
      <c r="D221" s="7">
        <v>16</v>
      </c>
      <c r="E221" s="7">
        <v>2.25</v>
      </c>
      <c r="F221" s="8">
        <v>6</v>
      </c>
      <c r="K221" s="39" t="s">
        <v>213</v>
      </c>
      <c r="L221" s="8">
        <v>0.36296296296296648</v>
      </c>
    </row>
    <row r="222" spans="1:12" ht="16.2" thickTop="1" x14ac:dyDescent="0.35">
      <c r="A222" s="9" t="s">
        <v>13</v>
      </c>
      <c r="B222" s="10">
        <f>SUBTOTAL(109,RegrTests!$B$218:$B$221)</f>
        <v>10</v>
      </c>
      <c r="C222" s="10">
        <f>SUBTOTAL(109,RegrTests!$C$218:$C$221)</f>
        <v>5.5</v>
      </c>
      <c r="D222" s="10">
        <f>SUBTOTAL(109,RegrTests!$D$218:$D$221)</f>
        <v>30</v>
      </c>
      <c r="E222" s="10">
        <f>SUBTOTAL(109,RegrTests!$E$218:$E$221)</f>
        <v>7.63</v>
      </c>
      <c r="F222" s="11">
        <f>SUBTOTAL(109,RegrTests!$F$218:$F$221)</f>
        <v>14.100000000000001</v>
      </c>
      <c r="K222" s="40" t="s">
        <v>214</v>
      </c>
      <c r="L222" s="14">
        <v>0.14662878298615128</v>
      </c>
    </row>
  </sheetData>
  <mergeCells count="3">
    <mergeCell ref="A94:F94"/>
    <mergeCell ref="H94:I94"/>
    <mergeCell ref="K94:L94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9477A-7581-4BB7-B484-D7BF5D7D4426}">
  <sheetPr codeName="excliqlites1"/>
  <dimension ref="A1:AM768"/>
  <sheetViews>
    <sheetView topLeftCell="A709" workbookViewId="0">
      <selection activeCell="E615" sqref="E615"/>
    </sheetView>
  </sheetViews>
  <sheetFormatPr baseColWidth="10" defaultRowHeight="14.4" x14ac:dyDescent="0.3"/>
  <cols>
    <col min="1" max="1" width="8.88671875" customWidth="1"/>
    <col min="5" max="5" width="12.77734375" customWidth="1"/>
    <col min="6" max="7" width="13.33203125" customWidth="1"/>
    <col min="8" max="8" width="13.44140625" customWidth="1"/>
    <col min="9" max="9" width="14.33203125" customWidth="1"/>
    <col min="10" max="10" width="13.44140625" customWidth="1"/>
    <col min="11" max="11" width="34.33203125" bestFit="1" customWidth="1"/>
    <col min="12" max="12" width="12.88671875" customWidth="1"/>
    <col min="13" max="13" width="12.44140625" customWidth="1"/>
    <col min="14" max="14" width="13.21875" customWidth="1"/>
    <col min="15" max="15" width="12.88671875" customWidth="1"/>
    <col min="16" max="16" width="15.33203125" customWidth="1"/>
    <col min="17" max="17" width="11.88671875" customWidth="1"/>
    <col min="18" max="18" width="13.33203125" customWidth="1"/>
    <col min="21" max="21" width="12.44140625" bestFit="1" customWidth="1"/>
    <col min="28" max="28" width="13.33203125" customWidth="1"/>
  </cols>
  <sheetData>
    <row r="1" spans="1:31" x14ac:dyDescent="0.3">
      <c r="M1" s="2" t="s">
        <v>65</v>
      </c>
    </row>
    <row r="2" spans="1:31" x14ac:dyDescent="0.3">
      <c r="M2" s="22" t="s">
        <v>33</v>
      </c>
      <c r="N2" s="23" t="s">
        <v>61</v>
      </c>
      <c r="O2" s="23" t="s">
        <v>62</v>
      </c>
      <c r="P2" s="23" t="s">
        <v>36</v>
      </c>
      <c r="Q2" s="23" t="s">
        <v>37</v>
      </c>
      <c r="R2" s="23" t="s">
        <v>63</v>
      </c>
      <c r="S2" s="23" t="s">
        <v>64</v>
      </c>
      <c r="T2" s="23" t="s">
        <v>44</v>
      </c>
      <c r="U2" s="24" t="s">
        <v>46</v>
      </c>
      <c r="W2" s="2" t="s">
        <v>65</v>
      </c>
    </row>
    <row r="3" spans="1:31" x14ac:dyDescent="0.3">
      <c r="M3" s="6">
        <v>1</v>
      </c>
      <c r="N3" s="7" t="s">
        <v>49</v>
      </c>
      <c r="O3" s="7">
        <v>264.70588235294122</v>
      </c>
      <c r="P3" s="7">
        <f>$O$3*100/$O$5</f>
        <v>26.470588235294123</v>
      </c>
      <c r="Q3" s="7">
        <v>8</v>
      </c>
      <c r="R3" s="7">
        <f>+$O3*$Q$3*100/$O$5</f>
        <v>211.76470588235298</v>
      </c>
      <c r="S3" s="7">
        <f>+$O3*$Q$3/100</f>
        <v>21.176470588235297</v>
      </c>
      <c r="T3" s="7">
        <f>+($O3*$Q$3/SUM($O3*$Q$3,$O4*$Q$4))*100</f>
        <v>70.588235294117666</v>
      </c>
      <c r="U3" s="8">
        <f>+$O$5/$O$3</f>
        <v>3.7777777777777772</v>
      </c>
      <c r="W3" s="3" t="s">
        <v>33</v>
      </c>
      <c r="X3" s="4" t="s">
        <v>61</v>
      </c>
      <c r="Y3" s="28" t="s">
        <v>62</v>
      </c>
      <c r="Z3" s="28" t="s">
        <v>36</v>
      </c>
      <c r="AA3" s="28" t="s">
        <v>37</v>
      </c>
      <c r="AB3" s="28" t="s">
        <v>63</v>
      </c>
      <c r="AC3" s="28" t="s">
        <v>64</v>
      </c>
      <c r="AD3" s="28" t="s">
        <v>44</v>
      </c>
      <c r="AE3" s="29" t="s">
        <v>46</v>
      </c>
    </row>
    <row r="4" spans="1:31" x14ac:dyDescent="0.3">
      <c r="M4" s="6">
        <v>2</v>
      </c>
      <c r="N4" s="7" t="s">
        <v>51</v>
      </c>
      <c r="O4" s="7">
        <v>735.29411764705878</v>
      </c>
      <c r="P4" s="7">
        <f>$O$4*100/$O$5</f>
        <v>73.52941176470587</v>
      </c>
      <c r="Q4" s="7">
        <v>1.2</v>
      </c>
      <c r="R4" s="7">
        <f>+$O4*$Q$4*100/$O$5</f>
        <v>88.235294117647044</v>
      </c>
      <c r="S4" s="7">
        <f>+$O4*$Q$4/100</f>
        <v>8.8235294117647047</v>
      </c>
      <c r="T4" s="7">
        <f>+($O4*$Q$4/SUM($O3*$Q$3,$O4*$Q$4))*100</f>
        <v>29.411764705882348</v>
      </c>
      <c r="U4" s="8">
        <f>+$O$5/$O$4</f>
        <v>1.36</v>
      </c>
      <c r="W4" s="6">
        <v>1</v>
      </c>
      <c r="X4" s="7" t="s">
        <v>49</v>
      </c>
      <c r="Y4" s="7">
        <v>264.70588235294122</v>
      </c>
      <c r="Z4" s="7">
        <v>26.470588235294123</v>
      </c>
      <c r="AA4" s="7">
        <v>8</v>
      </c>
      <c r="AB4" s="7">
        <v>211.76470588235298</v>
      </c>
      <c r="AC4" s="7">
        <v>21.176470588235297</v>
      </c>
      <c r="AD4" s="7">
        <v>70.588235294117652</v>
      </c>
      <c r="AE4" s="8">
        <v>3.7777777777777772</v>
      </c>
    </row>
    <row r="5" spans="1:31" x14ac:dyDescent="0.3">
      <c r="M5" s="25">
        <v>3</v>
      </c>
      <c r="N5" s="26" t="s">
        <v>48</v>
      </c>
      <c r="O5" s="26">
        <v>1000</v>
      </c>
      <c r="P5" s="26">
        <f>+SUM($P$3:$P$4)</f>
        <v>100</v>
      </c>
      <c r="Q5" s="26">
        <v>3</v>
      </c>
      <c r="R5" s="26">
        <f>+SUM($R$3:$R$4)</f>
        <v>300</v>
      </c>
      <c r="S5" s="26">
        <f>+SUM($S$3:$S$4)</f>
        <v>30</v>
      </c>
      <c r="T5" s="26">
        <f>+SUM($T$3:$T$4)</f>
        <v>100.00000000000001</v>
      </c>
      <c r="U5" s="14">
        <f>+$O$5/$O$5</f>
        <v>1</v>
      </c>
      <c r="W5" s="6">
        <v>2</v>
      </c>
      <c r="X5" s="7" t="s">
        <v>51</v>
      </c>
      <c r="Y5" s="7">
        <v>735.29411764705878</v>
      </c>
      <c r="Z5" s="7">
        <v>73.52941176470587</v>
      </c>
      <c r="AA5" s="7">
        <v>1.2</v>
      </c>
      <c r="AB5" s="7">
        <v>88.235294117647044</v>
      </c>
      <c r="AC5" s="7">
        <v>8.8235294117647047</v>
      </c>
      <c r="AD5" s="7">
        <v>29.411764705882351</v>
      </c>
      <c r="AE5" s="8">
        <v>1.36</v>
      </c>
    </row>
    <row r="6" spans="1:31" x14ac:dyDescent="0.3">
      <c r="P6" s="17"/>
      <c r="S6" s="17"/>
      <c r="T6" s="17"/>
      <c r="U6" s="17"/>
      <c r="W6" s="25">
        <v>3</v>
      </c>
      <c r="X6" s="26" t="s">
        <v>48</v>
      </c>
      <c r="Y6" s="26">
        <v>1000</v>
      </c>
      <c r="Z6" s="26">
        <v>100</v>
      </c>
      <c r="AA6" s="26">
        <v>3</v>
      </c>
      <c r="AB6" s="26">
        <v>300</v>
      </c>
      <c r="AC6" s="26">
        <v>30</v>
      </c>
      <c r="AD6" s="26">
        <v>100</v>
      </c>
      <c r="AE6" s="14">
        <v>1</v>
      </c>
    </row>
    <row r="7" spans="1:31" x14ac:dyDescent="0.3">
      <c r="A7" s="2" t="s">
        <v>16</v>
      </c>
      <c r="E7" s="2" t="s">
        <v>17</v>
      </c>
      <c r="K7" t="s">
        <v>74</v>
      </c>
      <c r="L7" t="s">
        <v>11</v>
      </c>
    </row>
    <row r="8" spans="1:31" x14ac:dyDescent="0.3">
      <c r="A8" s="3" t="s">
        <v>10</v>
      </c>
      <c r="B8" s="4" t="s">
        <v>11</v>
      </c>
      <c r="C8" s="5" t="s">
        <v>12</v>
      </c>
      <c r="E8" s="3" t="s">
        <v>14</v>
      </c>
      <c r="F8" s="5" t="s">
        <v>15</v>
      </c>
      <c r="H8" s="15" t="s">
        <v>21</v>
      </c>
      <c r="I8">
        <v>3</v>
      </c>
      <c r="J8" s="17">
        <v>1000</v>
      </c>
      <c r="K8">
        <v>8</v>
      </c>
      <c r="L8" s="17">
        <v>3</v>
      </c>
      <c r="M8" s="31">
        <v>45</v>
      </c>
    </row>
    <row r="9" spans="1:31" x14ac:dyDescent="0.3">
      <c r="A9" s="6">
        <v>1</v>
      </c>
      <c r="B9" s="7">
        <v>1</v>
      </c>
      <c r="C9" s="8">
        <v>4</v>
      </c>
      <c r="E9" s="12">
        <v>5</v>
      </c>
      <c r="F9" s="8">
        <v>34.5</v>
      </c>
      <c r="H9" t="s">
        <v>20</v>
      </c>
      <c r="I9">
        <v>8</v>
      </c>
      <c r="J9" s="17"/>
      <c r="K9">
        <v>1.2</v>
      </c>
      <c r="L9" s="17">
        <v>8</v>
      </c>
      <c r="M9" s="31">
        <v>0.6</v>
      </c>
      <c r="O9" s="17"/>
      <c r="P9" s="17"/>
      <c r="Q9" s="17"/>
      <c r="R9" s="17"/>
      <c r="S9" s="17"/>
      <c r="T9" s="17"/>
      <c r="U9" s="17"/>
      <c r="Y9" s="17"/>
      <c r="Z9" s="17"/>
      <c r="AA9" s="17"/>
      <c r="AB9" s="17"/>
      <c r="AC9" s="17"/>
      <c r="AD9" s="17"/>
      <c r="AE9" s="17"/>
    </row>
    <row r="10" spans="1:31" x14ac:dyDescent="0.3">
      <c r="A10" s="6">
        <v>2</v>
      </c>
      <c r="B10" s="7">
        <v>2</v>
      </c>
      <c r="C10" s="8">
        <v>5</v>
      </c>
      <c r="E10" s="13">
        <v>6</v>
      </c>
      <c r="F10" s="14">
        <v>40.400000000000006</v>
      </c>
      <c r="H10" s="27" t="s">
        <v>18</v>
      </c>
      <c r="I10">
        <v>1.2</v>
      </c>
      <c r="J10" s="17"/>
      <c r="K10">
        <v>3</v>
      </c>
      <c r="L10" s="17">
        <v>1.2</v>
      </c>
      <c r="M10" s="31">
        <v>2.5</v>
      </c>
      <c r="O10" s="17"/>
      <c r="P10" s="17"/>
      <c r="Q10" s="17"/>
      <c r="R10" s="17"/>
      <c r="S10" s="17"/>
      <c r="T10" s="17"/>
      <c r="U10" s="17"/>
      <c r="Y10" s="17"/>
      <c r="Z10" s="17"/>
      <c r="AA10" s="17"/>
      <c r="AB10" s="17"/>
      <c r="AC10" s="17"/>
      <c r="AD10" s="17"/>
      <c r="AE10" s="17"/>
    </row>
    <row r="11" spans="1:31" x14ac:dyDescent="0.3">
      <c r="A11" s="6">
        <v>3</v>
      </c>
      <c r="B11" s="7">
        <v>3</v>
      </c>
      <c r="C11" s="8">
        <v>67</v>
      </c>
      <c r="E11">
        <v>0</v>
      </c>
      <c r="F11">
        <v>0</v>
      </c>
      <c r="H11" t="s">
        <v>19</v>
      </c>
      <c r="O11" s="17"/>
      <c r="P11" s="17"/>
      <c r="Q11" s="17"/>
      <c r="R11" s="17"/>
      <c r="S11" s="17"/>
      <c r="T11" s="21"/>
      <c r="U11" s="17"/>
      <c r="Y11" s="17"/>
      <c r="Z11" s="17"/>
      <c r="AA11" s="17"/>
      <c r="AB11" s="17"/>
      <c r="AC11" s="17"/>
      <c r="AD11" s="17"/>
      <c r="AE11" s="17"/>
    </row>
    <row r="12" spans="1:31" ht="15" thickBot="1" x14ac:dyDescent="0.35">
      <c r="A12" s="6">
        <v>4</v>
      </c>
      <c r="B12" s="7">
        <v>4</v>
      </c>
      <c r="C12" s="8">
        <v>3</v>
      </c>
      <c r="E12">
        <v>-5</v>
      </c>
      <c r="F12">
        <v>-9</v>
      </c>
      <c r="H12" t="s">
        <v>24</v>
      </c>
      <c r="M12" s="2" t="s">
        <v>65</v>
      </c>
      <c r="P12" s="17"/>
      <c r="S12" s="17"/>
      <c r="T12" s="17"/>
      <c r="U12" s="17"/>
      <c r="Y12" s="17"/>
      <c r="Z12" s="17"/>
    </row>
    <row r="13" spans="1:31" ht="15" thickTop="1" x14ac:dyDescent="0.3">
      <c r="A13" s="9" t="s">
        <v>13</v>
      </c>
      <c r="B13" s="10">
        <f>SUBTOTAL(109,BalmetTests!$B$9:$B$12)</f>
        <v>10</v>
      </c>
      <c r="C13" s="11">
        <f>SUBTOTAL(109,BalmetTests!$C$9:$C$12)</f>
        <v>79</v>
      </c>
      <c r="H13" t="s">
        <v>22</v>
      </c>
      <c r="M13" s="3" t="s">
        <v>33</v>
      </c>
      <c r="N13" s="4" t="s">
        <v>61</v>
      </c>
      <c r="O13" s="28" t="s">
        <v>62</v>
      </c>
      <c r="P13" s="28" t="s">
        <v>36</v>
      </c>
      <c r="Q13" s="28" t="s">
        <v>37</v>
      </c>
      <c r="R13" s="28" t="s">
        <v>63</v>
      </c>
      <c r="S13" s="28" t="s">
        <v>64</v>
      </c>
      <c r="T13" s="28" t="s">
        <v>44</v>
      </c>
      <c r="U13" s="29" t="s">
        <v>46</v>
      </c>
    </row>
    <row r="14" spans="1:31" x14ac:dyDescent="0.3">
      <c r="H14" t="s">
        <v>25</v>
      </c>
      <c r="J14" s="17">
        <v>264.70588235294122</v>
      </c>
      <c r="M14" s="6">
        <v>1</v>
      </c>
      <c r="N14" s="7" t="s">
        <v>49</v>
      </c>
      <c r="O14" s="7">
        <v>264.70588235294122</v>
      </c>
      <c r="P14" s="7">
        <f>$O$14*100/$O$16</f>
        <v>26.470588235294123</v>
      </c>
      <c r="Q14" s="7">
        <v>8</v>
      </c>
      <c r="R14" s="7">
        <f>+$O14*$Q$14*100/$O$16</f>
        <v>211.76470588235298</v>
      </c>
      <c r="S14" s="7">
        <f>+$O14*$Q$14/100</f>
        <v>21.176470588235297</v>
      </c>
      <c r="T14" s="7">
        <f>+($O14*$Q$14/SUM($O14*$Q$14,$O15*$Q$15))*100</f>
        <v>70.588235294117666</v>
      </c>
      <c r="U14" s="8">
        <f>+$O$16/$O$14</f>
        <v>3.7777777777777772</v>
      </c>
    </row>
    <row r="15" spans="1:31" x14ac:dyDescent="0.3">
      <c r="H15" t="s">
        <v>23</v>
      </c>
      <c r="J15" s="17">
        <v>735.29411764705878</v>
      </c>
      <c r="M15" s="6">
        <v>2</v>
      </c>
      <c r="N15" s="7" t="s">
        <v>51</v>
      </c>
      <c r="O15" s="7">
        <v>735.29411764705878</v>
      </c>
      <c r="P15" s="7">
        <f>$O$15*100/$O$16</f>
        <v>73.52941176470587</v>
      </c>
      <c r="Q15" s="7">
        <v>1.2</v>
      </c>
      <c r="R15" s="7">
        <f>+$O15*$Q$15*100/$O$16</f>
        <v>88.235294117647044</v>
      </c>
      <c r="S15" s="7">
        <f>+$O15*$Q$15/100</f>
        <v>8.8235294117647047</v>
      </c>
      <c r="T15" s="7">
        <f>+($O15*$Q$15/SUM($O14*$Q$14,$O15*$Q$15))*100</f>
        <v>29.411764705882348</v>
      </c>
      <c r="U15" s="8">
        <f>+$O$16/$O$15</f>
        <v>1.36</v>
      </c>
    </row>
    <row r="16" spans="1:31" x14ac:dyDescent="0.3">
      <c r="A16">
        <f t="array" ref="A16:A18">+ExcliqLiteTEST()</f>
        <v>1</v>
      </c>
      <c r="B16">
        <f t="array" ref="B16:B18">+ExcliqLiteTEST()</f>
        <v>1</v>
      </c>
      <c r="D16" t="s">
        <v>59</v>
      </c>
      <c r="E16">
        <f>+COUNT(I7:I10,J7:K10,L7:L10)</f>
        <v>10</v>
      </c>
      <c r="F16">
        <f>+COUNTIF(I8:L10,"=0")</f>
        <v>0</v>
      </c>
      <c r="G16">
        <f>+COUNTIF(I8:L10,"&gt;100")</f>
        <v>1</v>
      </c>
      <c r="H16" t="s">
        <v>26</v>
      </c>
      <c r="M16" s="25">
        <v>3</v>
      </c>
      <c r="N16" s="26" t="s">
        <v>48</v>
      </c>
      <c r="O16" s="26">
        <v>1000</v>
      </c>
      <c r="P16" s="26">
        <f>+SUM($P$14:$P$15)</f>
        <v>100</v>
      </c>
      <c r="Q16" s="26">
        <v>3</v>
      </c>
      <c r="R16" s="26">
        <f>+SUM($R$14:$R$15)</f>
        <v>300</v>
      </c>
      <c r="S16" s="26">
        <f>+SUM($S$14:$S$15)</f>
        <v>30</v>
      </c>
      <c r="T16" s="26">
        <f>+SUM($T$14:$T$15)</f>
        <v>100.00000000000001</v>
      </c>
      <c r="U16" s="14">
        <f>+$O$16/$O$16</f>
        <v>1</v>
      </c>
    </row>
    <row r="17" spans="1:21" x14ac:dyDescent="0.3">
      <c r="A17">
        <v>2</v>
      </c>
      <c r="B17">
        <v>2</v>
      </c>
      <c r="D17" t="s">
        <v>60</v>
      </c>
      <c r="E17">
        <f>+COUNTA(I7:L10)</f>
        <v>12</v>
      </c>
      <c r="F17">
        <f>+SUM(COUNTIF(I8:L10,"&gt;100"),COUNTIF(I8:L10,"&lt;=10000"),COUNTIF(I8:L10,"&lt;-100"),COUNTIF(I8:L10,"&gt;=10000"))</f>
        <v>11</v>
      </c>
      <c r="G17">
        <f>+COUNTIF(I8:L10,"&lt;=10000")</f>
        <v>10</v>
      </c>
      <c r="H17" t="s">
        <v>27</v>
      </c>
      <c r="O17" s="17"/>
      <c r="P17" s="17"/>
      <c r="Q17" s="17"/>
      <c r="R17" s="17"/>
      <c r="S17" s="17"/>
      <c r="T17" s="17"/>
      <c r="U17" s="17"/>
    </row>
    <row r="18" spans="1:21" x14ac:dyDescent="0.3">
      <c r="A18">
        <v>3</v>
      </c>
      <c r="B18">
        <v>3</v>
      </c>
      <c r="E18">
        <f>+COUNTA($H$17:$L$29,"&gt;0")</f>
        <v>38</v>
      </c>
      <c r="G18" s="1">
        <f>+SUM(COUNTIFS(I8:L10,"&gt;100",I8:L10,"&lt;=10000"),COUNTIFS(I8:L10,"&lt;=-100",I8:L10,"&gt;-10000"))</f>
        <v>1</v>
      </c>
      <c r="H18" t="s">
        <v>28</v>
      </c>
      <c r="J18" s="17">
        <f>+C25*G25*J19</f>
        <v>6.9705000000000003E-2</v>
      </c>
    </row>
    <row r="19" spans="1:21" x14ac:dyDescent="0.3">
      <c r="D19">
        <f>+SUM(E19:E21)</f>
        <v>9</v>
      </c>
      <c r="E19">
        <f>+COUNTIF($H$17:$L$29,"=0")</f>
        <v>0</v>
      </c>
      <c r="H19" t="s">
        <v>29</v>
      </c>
      <c r="J19">
        <f>100/(1000^2)</f>
        <v>1E-4</v>
      </c>
      <c r="K19">
        <f>1/(1000^2)</f>
        <v>9.9999999999999995E-7</v>
      </c>
      <c r="N19" s="17">
        <f>+($C25*E25)/(($C25*E25)+($C26*E26)+($C27*E27))*100</f>
        <v>77.454840927557981</v>
      </c>
      <c r="O19" s="17">
        <f>+($C25*F25)/(($C25*F25)+($C26*F26)+($C27*F27))*100</f>
        <v>1.9549102290456877</v>
      </c>
      <c r="P19" s="17">
        <f>+($C25*G25)/(($C25*G25)+($C26*G26)+($C27*G27))*100</f>
        <v>53.052467181373139</v>
      </c>
    </row>
    <row r="20" spans="1:21" x14ac:dyDescent="0.3">
      <c r="E20">
        <f>+COUNTIF($H$17:$L$29,"&lt;0")</f>
        <v>0</v>
      </c>
      <c r="H20" t="s">
        <v>30</v>
      </c>
      <c r="N20" s="17">
        <f>+($C26*E26)/(($C25*E25)+($C26*E26)+($C27*E27))*100</f>
        <v>8.6972102423068112</v>
      </c>
      <c r="O20" s="17">
        <f>+($C26*F26)/(($C25*F25)+($C26*F26)+($C27*F27))*100</f>
        <v>82.316991407040021</v>
      </c>
      <c r="P20" s="17">
        <f>+($C26*G26)/(($C25*G25)+($C26*G26)+($C27*G27))*100</f>
        <v>31.771353418251785</v>
      </c>
    </row>
    <row r="21" spans="1:21" x14ac:dyDescent="0.3">
      <c r="E21">
        <f>+COUNTIF($H$17:$L$29,"&gt;100")</f>
        <v>9</v>
      </c>
      <c r="H21" t="s">
        <v>31</v>
      </c>
      <c r="J21" s="30" t="s">
        <v>67</v>
      </c>
      <c r="K21" s="30" t="s">
        <v>66</v>
      </c>
      <c r="N21" s="17">
        <f>+($C27*E27)/(($C25*E25)+($C26*E26)+($C27*E27))*100</f>
        <v>13.847948830135218</v>
      </c>
      <c r="O21" s="17">
        <f>+($C27*F27)/(($C25*F25)+($C26*F26)+($C27*F27))*100</f>
        <v>15.728098363914301</v>
      </c>
      <c r="P21" s="17">
        <f>+($C27*G27)/(($C25*G25)+($C26*G26)+($C27*G27))*100</f>
        <v>15.176179400375069</v>
      </c>
      <c r="Q21" s="17"/>
    </row>
    <row r="22" spans="1:21" x14ac:dyDescent="0.3">
      <c r="Q22" s="17"/>
    </row>
    <row r="23" spans="1:21" ht="18" x14ac:dyDescent="0.35">
      <c r="A23" s="20" t="s">
        <v>32</v>
      </c>
      <c r="B23" s="19"/>
      <c r="C23" s="19" t="s">
        <v>57</v>
      </c>
      <c r="D23" s="18" t="s">
        <v>58</v>
      </c>
      <c r="E23" s="19" t="s">
        <v>57</v>
      </c>
      <c r="F23" s="19"/>
      <c r="G23" s="18"/>
      <c r="H23" s="18" t="s">
        <v>56</v>
      </c>
      <c r="I23" s="18"/>
      <c r="J23" s="18"/>
      <c r="K23" s="18"/>
      <c r="L23" s="18"/>
      <c r="M23" s="18"/>
      <c r="N23" s="19" t="s">
        <v>57</v>
      </c>
      <c r="O23" s="19"/>
      <c r="P23" s="18"/>
      <c r="Q23" s="18" t="s">
        <v>56</v>
      </c>
      <c r="R23" s="18"/>
      <c r="S23" s="18"/>
    </row>
    <row r="24" spans="1:21" x14ac:dyDescent="0.3">
      <c r="A24" s="16" t="s">
        <v>33</v>
      </c>
      <c r="B24" s="16" t="s">
        <v>34</v>
      </c>
      <c r="C24" s="16" t="s">
        <v>35</v>
      </c>
      <c r="D24" s="16" t="s">
        <v>36</v>
      </c>
      <c r="E24" s="16" t="s">
        <v>37</v>
      </c>
      <c r="F24" s="16" t="s">
        <v>38</v>
      </c>
      <c r="G24" s="16" t="s">
        <v>39</v>
      </c>
      <c r="H24" s="16" t="s">
        <v>40</v>
      </c>
      <c r="I24" s="16" t="s">
        <v>41</v>
      </c>
      <c r="J24" s="16" t="s">
        <v>52</v>
      </c>
      <c r="K24" s="16" t="s">
        <v>42</v>
      </c>
      <c r="L24" s="16" t="s">
        <v>43</v>
      </c>
      <c r="M24" s="16" t="s">
        <v>53</v>
      </c>
      <c r="N24" s="16" t="s">
        <v>44</v>
      </c>
      <c r="O24" s="16" t="s">
        <v>45</v>
      </c>
      <c r="P24" s="16" t="s">
        <v>47</v>
      </c>
      <c r="Q24" s="16" t="s">
        <v>54</v>
      </c>
      <c r="R24" s="16" t="s">
        <v>55</v>
      </c>
      <c r="S24" s="16" t="s">
        <v>46</v>
      </c>
    </row>
    <row r="25" spans="1:21" x14ac:dyDescent="0.3">
      <c r="A25">
        <v>2</v>
      </c>
      <c r="B25" t="s">
        <v>49</v>
      </c>
      <c r="C25" s="17">
        <v>15.49</v>
      </c>
      <c r="D25" s="17">
        <f>+C25*100/$C$28</f>
        <v>3.8725000000000001</v>
      </c>
      <c r="E25" s="17">
        <v>60</v>
      </c>
      <c r="F25" s="17">
        <v>4</v>
      </c>
      <c r="G25" s="17">
        <v>45</v>
      </c>
      <c r="H25" s="17">
        <f t="shared" ref="H25:J27" si="0">+$C25*100*E25/$C$28</f>
        <v>232.35</v>
      </c>
      <c r="I25" s="17">
        <f t="shared" si="0"/>
        <v>15.49</v>
      </c>
      <c r="J25" s="17">
        <f t="shared" si="0"/>
        <v>174.26249999999999</v>
      </c>
      <c r="K25" s="17">
        <f t="shared" ref="K25:M27" si="1">$C25*E25/100</f>
        <v>9.2940000000000005</v>
      </c>
      <c r="L25" s="17">
        <f t="shared" si="1"/>
        <v>0.61960000000000004</v>
      </c>
      <c r="M25" s="17">
        <f>$C25*G25/100</f>
        <v>6.9704999999999995</v>
      </c>
      <c r="N25" s="17">
        <f>+K25*100/$K$28</f>
        <v>77.454840927557981</v>
      </c>
      <c r="O25" s="17">
        <f>+L25*100/$L$28</f>
        <v>1.9549102290456877</v>
      </c>
      <c r="P25" s="17">
        <f>+M25*100/$M$28</f>
        <v>53.052467181373139</v>
      </c>
      <c r="Q25" s="17">
        <f>+($C25*$G25*100)/(1000^2)</f>
        <v>6.9705000000000003E-2</v>
      </c>
      <c r="R25" s="17">
        <f>+($C25*$G25*100)/(31.1)</f>
        <v>2241.3183279742766</v>
      </c>
      <c r="S25" s="17">
        <f>$C$28/C25</f>
        <v>25.823111684958036</v>
      </c>
    </row>
    <row r="26" spans="1:21" x14ac:dyDescent="0.3">
      <c r="A26">
        <v>3</v>
      </c>
      <c r="B26" t="s">
        <v>50</v>
      </c>
      <c r="C26" s="17">
        <v>52.18</v>
      </c>
      <c r="D26" s="17">
        <f>+C26*100/$C$28</f>
        <v>13.045</v>
      </c>
      <c r="E26" s="17">
        <v>2</v>
      </c>
      <c r="F26" s="17">
        <v>50</v>
      </c>
      <c r="G26" s="17">
        <v>8</v>
      </c>
      <c r="H26" s="17">
        <f t="shared" si="0"/>
        <v>26.09</v>
      </c>
      <c r="I26" s="17">
        <f t="shared" si="0"/>
        <v>652.25</v>
      </c>
      <c r="J26" s="17">
        <f t="shared" si="0"/>
        <v>104.36</v>
      </c>
      <c r="K26" s="17">
        <f t="shared" si="1"/>
        <v>1.0436000000000001</v>
      </c>
      <c r="L26" s="17">
        <f t="shared" si="1"/>
        <v>26.09</v>
      </c>
      <c r="M26" s="17">
        <f t="shared" si="1"/>
        <v>4.1744000000000003</v>
      </c>
      <c r="N26" s="17">
        <f>+K26*100/$K$28</f>
        <v>8.6972102423068112</v>
      </c>
      <c r="O26" s="17">
        <f>+L26*100/$L$28</f>
        <v>82.316991407040007</v>
      </c>
      <c r="P26" s="17">
        <f>+M26*100/$M$28</f>
        <v>31.771353418251788</v>
      </c>
      <c r="Q26" s="17">
        <f>+($C26*$G26*100)/(1000^2)</f>
        <v>4.1744000000000003E-2</v>
      </c>
      <c r="R26" s="17">
        <f>+($C26*$G26*100)/(31.1)</f>
        <v>1342.2508038585208</v>
      </c>
      <c r="S26" s="17">
        <f>$C$28/C26</f>
        <v>7.6657723265619016</v>
      </c>
    </row>
    <row r="27" spans="1:21" x14ac:dyDescent="0.3">
      <c r="A27">
        <v>4</v>
      </c>
      <c r="B27" t="s">
        <v>51</v>
      </c>
      <c r="C27" s="17">
        <v>332.33</v>
      </c>
      <c r="D27" s="17">
        <f>+C27*100/$C$28</f>
        <v>83.082499999999996</v>
      </c>
      <c r="E27" s="17">
        <v>0.5</v>
      </c>
      <c r="F27" s="17">
        <v>1.5</v>
      </c>
      <c r="G27" s="17">
        <v>0.6</v>
      </c>
      <c r="H27" s="17">
        <f t="shared" si="0"/>
        <v>41.541249999999998</v>
      </c>
      <c r="I27" s="17">
        <f t="shared" si="0"/>
        <v>124.62375</v>
      </c>
      <c r="J27" s="17">
        <f t="shared" si="0"/>
        <v>49.849499999999999</v>
      </c>
      <c r="K27" s="17">
        <f t="shared" si="1"/>
        <v>1.6616499999999998</v>
      </c>
      <c r="L27" s="17">
        <f t="shared" si="1"/>
        <v>4.9849500000000004</v>
      </c>
      <c r="M27" s="17">
        <f t="shared" si="1"/>
        <v>1.9939799999999999</v>
      </c>
      <c r="N27" s="17">
        <f>+K27*100/$K$28</f>
        <v>13.847948830135216</v>
      </c>
      <c r="O27" s="17">
        <f>+L27*100/$L$28</f>
        <v>15.728098363914302</v>
      </c>
      <c r="P27" s="17">
        <f>+M27*100/$M$28</f>
        <v>15.176179400375069</v>
      </c>
      <c r="Q27" s="17">
        <f>+($C27*$G27*100)/(1000^2)</f>
        <v>1.9939800000000001E-2</v>
      </c>
      <c r="R27" s="17">
        <f>+($C27*$G27*100)/(31.1)</f>
        <v>641.15112540192922</v>
      </c>
      <c r="S27" s="17">
        <f>$C$28/C27</f>
        <v>1.2036229049438811</v>
      </c>
    </row>
    <row r="28" spans="1:21" x14ac:dyDescent="0.3">
      <c r="A28">
        <v>1</v>
      </c>
      <c r="B28" t="s">
        <v>48</v>
      </c>
      <c r="C28" s="17">
        <v>400</v>
      </c>
      <c r="D28" s="17">
        <f>+SUM(D25:D27)</f>
        <v>100</v>
      </c>
      <c r="E28" s="17">
        <v>3</v>
      </c>
      <c r="F28" s="17">
        <v>8</v>
      </c>
      <c r="G28" s="17">
        <v>2.5</v>
      </c>
      <c r="H28" s="17">
        <f t="shared" ref="H28:R28" si="2">+SUM(H25:H27)</f>
        <v>299.98124999999999</v>
      </c>
      <c r="I28" s="17">
        <f t="shared" si="2"/>
        <v>792.36374999999998</v>
      </c>
      <c r="J28" s="17">
        <f t="shared" si="2"/>
        <v>328.47199999999998</v>
      </c>
      <c r="K28" s="17">
        <f t="shared" si="2"/>
        <v>11.99925</v>
      </c>
      <c r="L28" s="17">
        <f t="shared" si="2"/>
        <v>31.69455</v>
      </c>
      <c r="M28" s="17">
        <f t="shared" si="2"/>
        <v>13.13888</v>
      </c>
      <c r="N28" s="17">
        <f t="shared" si="2"/>
        <v>100</v>
      </c>
      <c r="O28" s="17">
        <f t="shared" si="2"/>
        <v>100</v>
      </c>
      <c r="P28" s="17">
        <f t="shared" si="2"/>
        <v>100</v>
      </c>
      <c r="Q28" s="17">
        <f t="shared" si="2"/>
        <v>0.1313888</v>
      </c>
      <c r="R28" s="17">
        <f t="shared" si="2"/>
        <v>4224.7202572347269</v>
      </c>
      <c r="S28" s="17">
        <f>$C$28/C28</f>
        <v>1</v>
      </c>
    </row>
    <row r="29" spans="1:21" x14ac:dyDescent="0.3">
      <c r="J29">
        <f>+D28*G28</f>
        <v>250</v>
      </c>
      <c r="P29">
        <f>+J28/J29*100</f>
        <v>131.3888</v>
      </c>
    </row>
    <row r="30" spans="1:21" x14ac:dyDescent="0.3">
      <c r="A30" s="2" t="s">
        <v>65</v>
      </c>
    </row>
    <row r="31" spans="1:21" x14ac:dyDescent="0.3">
      <c r="A31" s="3" t="s">
        <v>33</v>
      </c>
      <c r="B31" s="4" t="s">
        <v>61</v>
      </c>
      <c r="C31" s="4" t="s">
        <v>79</v>
      </c>
      <c r="D31" s="4" t="s">
        <v>80</v>
      </c>
      <c r="E31" s="4" t="s">
        <v>81</v>
      </c>
      <c r="F31" s="4" t="s">
        <v>82</v>
      </c>
      <c r="G31" s="4" t="s">
        <v>83</v>
      </c>
      <c r="H31" s="4" t="s">
        <v>84</v>
      </c>
      <c r="I31" s="4" t="s">
        <v>85</v>
      </c>
      <c r="J31" s="4" t="s">
        <v>86</v>
      </c>
      <c r="K31" s="4" t="s">
        <v>44</v>
      </c>
      <c r="L31" s="4" t="s">
        <v>47</v>
      </c>
      <c r="M31" s="4" t="s">
        <v>87</v>
      </c>
      <c r="N31" s="4" t="s">
        <v>88</v>
      </c>
      <c r="O31" s="5" t="s">
        <v>89</v>
      </c>
    </row>
    <row r="32" spans="1:21" x14ac:dyDescent="0.3">
      <c r="A32" s="6">
        <v>1</v>
      </c>
      <c r="B32" s="7" t="s">
        <v>49</v>
      </c>
      <c r="C32" s="7">
        <v>264.70588235294122</v>
      </c>
      <c r="D32" s="7">
        <v>26.470588235294123</v>
      </c>
      <c r="E32" s="7">
        <v>8</v>
      </c>
      <c r="F32" s="7">
        <v>45</v>
      </c>
      <c r="G32" s="7">
        <v>211.76470588235298</v>
      </c>
      <c r="H32" s="7">
        <v>1191.1764705882354</v>
      </c>
      <c r="I32" s="7">
        <v>21.176470588235297</v>
      </c>
      <c r="J32" s="7">
        <v>1191176.4705882354</v>
      </c>
      <c r="K32" s="7">
        <v>70.588235294117666</v>
      </c>
      <c r="L32" s="7">
        <v>96.428571428571445</v>
      </c>
      <c r="M32" s="7">
        <v>1.1911764705882355</v>
      </c>
      <c r="N32" s="7">
        <v>38297.212824395101</v>
      </c>
      <c r="O32" s="8">
        <v>3.7777777777777772</v>
      </c>
    </row>
    <row r="33" spans="1:19" x14ac:dyDescent="0.3">
      <c r="A33" s="6">
        <v>2</v>
      </c>
      <c r="B33" s="7" t="s">
        <v>51</v>
      </c>
      <c r="C33" s="7">
        <v>735.29411764705878</v>
      </c>
      <c r="D33" s="7">
        <v>73.52941176470587</v>
      </c>
      <c r="E33" s="7">
        <v>1.2</v>
      </c>
      <c r="F33" s="7">
        <v>0.6</v>
      </c>
      <c r="G33" s="7">
        <v>88.235294117647044</v>
      </c>
      <c r="H33" s="7">
        <v>44.117647058823522</v>
      </c>
      <c r="I33" s="7">
        <v>8.8235294117647047</v>
      </c>
      <c r="J33" s="7">
        <v>44117.647058823524</v>
      </c>
      <c r="K33" s="7">
        <v>29.411764705882348</v>
      </c>
      <c r="L33" s="7">
        <v>3.5714285714285712</v>
      </c>
      <c r="M33" s="7">
        <v>4.4117647058823525E-2</v>
      </c>
      <c r="N33" s="7">
        <v>1418.4152897924107</v>
      </c>
      <c r="O33" s="8">
        <v>1.36</v>
      </c>
    </row>
    <row r="34" spans="1:19" x14ac:dyDescent="0.3">
      <c r="A34" s="6">
        <v>3</v>
      </c>
      <c r="B34" s="7" t="s">
        <v>48</v>
      </c>
      <c r="C34" s="7">
        <v>1000</v>
      </c>
      <c r="D34" s="7">
        <v>100</v>
      </c>
      <c r="E34" s="7">
        <v>3</v>
      </c>
      <c r="F34" s="7">
        <v>2.5</v>
      </c>
      <c r="G34" s="7">
        <v>300</v>
      </c>
      <c r="H34" s="7">
        <v>1235.2941176470588</v>
      </c>
      <c r="I34" s="7">
        <v>30</v>
      </c>
      <c r="J34" s="7">
        <v>1235294.117647059</v>
      </c>
      <c r="K34" s="7">
        <v>100.00000000000001</v>
      </c>
      <c r="L34" s="7">
        <v>100.00000000000001</v>
      </c>
      <c r="M34" s="7">
        <v>1.2352941176470591</v>
      </c>
      <c r="N34" s="7">
        <v>39715.628114187515</v>
      </c>
      <c r="O34" s="8">
        <v>1</v>
      </c>
    </row>
    <row r="35" spans="1:19" x14ac:dyDescent="0.3">
      <c r="A35" s="6">
        <v>4</v>
      </c>
      <c r="B35" s="7" t="s">
        <v>90</v>
      </c>
      <c r="C35" s="7">
        <v>1000</v>
      </c>
      <c r="D35" s="7">
        <v>100</v>
      </c>
      <c r="E35" s="7">
        <v>3</v>
      </c>
      <c r="F35" s="7">
        <v>2.5</v>
      </c>
      <c r="G35" s="7">
        <v>300</v>
      </c>
      <c r="H35" s="7">
        <v>250</v>
      </c>
      <c r="I35" s="7">
        <v>30</v>
      </c>
      <c r="J35" s="7">
        <v>250000</v>
      </c>
      <c r="K35" s="7">
        <v>100</v>
      </c>
      <c r="L35" s="7">
        <v>494.11764705882348</v>
      </c>
      <c r="M35" s="7">
        <v>0.25</v>
      </c>
      <c r="N35" s="7">
        <v>8037.6866421569957</v>
      </c>
      <c r="O35" s="8">
        <v>1</v>
      </c>
    </row>
    <row r="36" spans="1:19" x14ac:dyDescent="0.3">
      <c r="A36" s="25">
        <v>5</v>
      </c>
      <c r="B36" s="26" t="s">
        <v>91</v>
      </c>
      <c r="C36" s="26">
        <v>1000</v>
      </c>
      <c r="D36" s="26">
        <v>100</v>
      </c>
      <c r="E36" s="26">
        <v>3</v>
      </c>
      <c r="F36" s="26">
        <v>12.352941176470587</v>
      </c>
      <c r="G36" s="26">
        <v>300</v>
      </c>
      <c r="H36" s="26">
        <v>1235.2941176470588</v>
      </c>
      <c r="I36" s="26">
        <v>30</v>
      </c>
      <c r="J36" s="26">
        <v>1235294.117647059</v>
      </c>
      <c r="K36" s="26">
        <v>100.00000000000001</v>
      </c>
      <c r="L36" s="26">
        <v>100.00000000000001</v>
      </c>
      <c r="M36" s="26">
        <v>1.2352941176470591</v>
      </c>
      <c r="N36" s="26">
        <v>39715.628114187515</v>
      </c>
      <c r="O36" s="14">
        <v>1</v>
      </c>
    </row>
    <row r="38" spans="1:19" x14ac:dyDescent="0.3">
      <c r="A38" s="2" t="s">
        <v>94</v>
      </c>
    </row>
    <row r="39" spans="1:19" x14ac:dyDescent="0.3">
      <c r="A39" s="3" t="s">
        <v>33</v>
      </c>
      <c r="B39" s="4" t="s">
        <v>61</v>
      </c>
      <c r="C39" s="4" t="s">
        <v>79</v>
      </c>
      <c r="D39" s="4" t="s">
        <v>80</v>
      </c>
      <c r="E39" s="4" t="s">
        <v>81</v>
      </c>
      <c r="F39" s="4" t="s">
        <v>92</v>
      </c>
      <c r="G39" s="4" t="s">
        <v>82</v>
      </c>
      <c r="H39" s="4" t="s">
        <v>83</v>
      </c>
      <c r="I39" s="4" t="s">
        <v>93</v>
      </c>
      <c r="J39" s="4" t="s">
        <v>84</v>
      </c>
      <c r="K39" s="4" t="s">
        <v>85</v>
      </c>
      <c r="L39" s="4" t="s">
        <v>95</v>
      </c>
      <c r="M39" s="4" t="s">
        <v>86</v>
      </c>
      <c r="N39" s="4" t="s">
        <v>44</v>
      </c>
      <c r="O39" s="4" t="s">
        <v>45</v>
      </c>
      <c r="P39" s="4" t="s">
        <v>47</v>
      </c>
      <c r="Q39" s="4" t="s">
        <v>87</v>
      </c>
      <c r="R39" s="4" t="s">
        <v>88</v>
      </c>
      <c r="S39" s="5" t="s">
        <v>89</v>
      </c>
    </row>
    <row r="40" spans="1:19" x14ac:dyDescent="0.3">
      <c r="A40" s="6">
        <v>1</v>
      </c>
      <c r="B40" s="7" t="s">
        <v>49</v>
      </c>
      <c r="C40" s="7">
        <v>15.475364330326162</v>
      </c>
      <c r="D40" s="7">
        <v>3.8688410825815414</v>
      </c>
      <c r="E40" s="7">
        <v>60</v>
      </c>
      <c r="F40" s="7">
        <v>4</v>
      </c>
      <c r="G40" s="7">
        <v>45</v>
      </c>
      <c r="H40" s="7">
        <v>232.13046495489249</v>
      </c>
      <c r="I40" s="7">
        <v>15.475364330326165</v>
      </c>
      <c r="J40" s="7">
        <v>174.09784871616935</v>
      </c>
      <c r="K40" s="7">
        <v>9.2852185981956978</v>
      </c>
      <c r="L40" s="7">
        <v>0.61901457321304643</v>
      </c>
      <c r="M40" s="7">
        <v>69639.139486467728</v>
      </c>
      <c r="N40" s="7">
        <v>77.37682165163082</v>
      </c>
      <c r="O40" s="7">
        <v>1.9344205412907705</v>
      </c>
      <c r="P40" s="7">
        <v>52.840819335474698</v>
      </c>
      <c r="Q40" s="7">
        <v>6.963913948646773E-2</v>
      </c>
      <c r="R40" s="7">
        <v>2238.9503248867577</v>
      </c>
      <c r="S40" s="8">
        <v>25.847533632286996</v>
      </c>
    </row>
    <row r="41" spans="1:19" x14ac:dyDescent="0.3">
      <c r="A41" s="6">
        <v>2</v>
      </c>
      <c r="B41" s="7" t="s">
        <v>50</v>
      </c>
      <c r="C41" s="7">
        <v>52.810548230395561</v>
      </c>
      <c r="D41" s="7">
        <v>13.202637057598892</v>
      </c>
      <c r="E41" s="7">
        <v>2</v>
      </c>
      <c r="F41" s="7">
        <v>50</v>
      </c>
      <c r="G41" s="7">
        <v>8</v>
      </c>
      <c r="H41" s="7">
        <v>26.405274115197784</v>
      </c>
      <c r="I41" s="7">
        <v>660.13185287994463</v>
      </c>
      <c r="J41" s="7">
        <v>105.62109646079114</v>
      </c>
      <c r="K41" s="7">
        <v>1.0562109646079112</v>
      </c>
      <c r="L41" s="7">
        <v>26.405274115197781</v>
      </c>
      <c r="M41" s="7">
        <v>42248.438584316449</v>
      </c>
      <c r="N41" s="7">
        <v>8.8017580383992602</v>
      </c>
      <c r="O41" s="7">
        <v>82.516481609993065</v>
      </c>
      <c r="P41" s="7">
        <v>32.057290295403085</v>
      </c>
      <c r="Q41" s="7">
        <v>4.2248438584316449E-2</v>
      </c>
      <c r="R41" s="7">
        <v>1358.318841844602</v>
      </c>
      <c r="S41" s="8">
        <v>7.5742444152431005</v>
      </c>
    </row>
    <row r="42" spans="1:19" x14ac:dyDescent="0.3">
      <c r="A42" s="6">
        <v>3</v>
      </c>
      <c r="B42" s="7" t="s">
        <v>51</v>
      </c>
      <c r="C42" s="7">
        <v>331.71408743927822</v>
      </c>
      <c r="D42" s="7">
        <v>82.928521859819568</v>
      </c>
      <c r="E42" s="7">
        <v>0.5</v>
      </c>
      <c r="F42" s="7">
        <v>1.5</v>
      </c>
      <c r="G42" s="7">
        <v>0.6</v>
      </c>
      <c r="H42" s="7">
        <v>41.464260929909784</v>
      </c>
      <c r="I42" s="7">
        <v>124.39278278972934</v>
      </c>
      <c r="J42" s="7">
        <v>49.757113115891741</v>
      </c>
      <c r="K42" s="7">
        <v>1.6585704371963912</v>
      </c>
      <c r="L42" s="7">
        <v>4.9757113115891727</v>
      </c>
      <c r="M42" s="7">
        <v>19902.845246356694</v>
      </c>
      <c r="N42" s="7">
        <v>13.821420309969925</v>
      </c>
      <c r="O42" s="7">
        <v>15.549097848716166</v>
      </c>
      <c r="P42" s="7">
        <v>15.101890369122211</v>
      </c>
      <c r="Q42" s="7">
        <v>1.9902845246356694E-2</v>
      </c>
      <c r="R42" s="7">
        <v>639.89133351023622</v>
      </c>
      <c r="S42" s="8">
        <v>1.2058577405857742</v>
      </c>
    </row>
    <row r="43" spans="1:19" x14ac:dyDescent="0.3">
      <c r="A43" s="6">
        <v>4</v>
      </c>
      <c r="B43" s="7" t="s">
        <v>48</v>
      </c>
      <c r="C43" s="7">
        <v>400</v>
      </c>
      <c r="D43" s="7">
        <v>100</v>
      </c>
      <c r="E43" s="7">
        <v>3</v>
      </c>
      <c r="F43" s="7">
        <v>8</v>
      </c>
      <c r="G43" s="7">
        <v>2.5</v>
      </c>
      <c r="H43" s="7">
        <v>300</v>
      </c>
      <c r="I43" s="7">
        <v>800.00000000000023</v>
      </c>
      <c r="J43" s="7">
        <v>329.4760582928522</v>
      </c>
      <c r="K43" s="7">
        <v>12</v>
      </c>
      <c r="L43" s="7">
        <v>32</v>
      </c>
      <c r="M43" s="7">
        <v>131790.42331714087</v>
      </c>
      <c r="N43" s="7">
        <v>100</v>
      </c>
      <c r="O43" s="7">
        <v>100</v>
      </c>
      <c r="P43" s="7">
        <v>100</v>
      </c>
      <c r="Q43" s="7">
        <v>0.13179042331714086</v>
      </c>
      <c r="R43" s="7">
        <v>4237.1605002415963</v>
      </c>
      <c r="S43" s="8">
        <v>1</v>
      </c>
    </row>
    <row r="44" spans="1:19" x14ac:dyDescent="0.3">
      <c r="A44" s="6">
        <v>5</v>
      </c>
      <c r="B44" s="7" t="s">
        <v>90</v>
      </c>
      <c r="C44" s="7">
        <v>400</v>
      </c>
      <c r="D44" s="7">
        <v>100</v>
      </c>
      <c r="E44" s="7">
        <v>3</v>
      </c>
      <c r="F44" s="7">
        <v>8</v>
      </c>
      <c r="G44" s="7">
        <v>2.5</v>
      </c>
      <c r="H44" s="7">
        <v>300</v>
      </c>
      <c r="I44" s="7">
        <v>800</v>
      </c>
      <c r="J44" s="7">
        <v>250</v>
      </c>
      <c r="K44" s="7">
        <v>12</v>
      </c>
      <c r="L44" s="7">
        <v>32</v>
      </c>
      <c r="M44" s="7">
        <v>100000</v>
      </c>
      <c r="N44" s="7">
        <v>100</v>
      </c>
      <c r="O44" s="7">
        <v>100</v>
      </c>
      <c r="P44" s="7">
        <v>131.79042331714086</v>
      </c>
      <c r="Q44" s="7">
        <v>0.1</v>
      </c>
      <c r="R44" s="7">
        <v>3215.0746568627983</v>
      </c>
      <c r="S44" s="8">
        <v>1</v>
      </c>
    </row>
    <row r="45" spans="1:19" x14ac:dyDescent="0.3">
      <c r="A45" s="25">
        <v>6</v>
      </c>
      <c r="B45" s="26" t="s">
        <v>91</v>
      </c>
      <c r="C45" s="26">
        <v>400</v>
      </c>
      <c r="D45" s="26">
        <v>100</v>
      </c>
      <c r="E45" s="26">
        <v>3</v>
      </c>
      <c r="F45" s="26">
        <v>8</v>
      </c>
      <c r="G45" s="26">
        <v>3.294760582928522</v>
      </c>
      <c r="H45" s="26">
        <v>300</v>
      </c>
      <c r="I45" s="26">
        <v>800.00000000000023</v>
      </c>
      <c r="J45" s="26">
        <v>329.4760582928522</v>
      </c>
      <c r="K45" s="26">
        <v>12</v>
      </c>
      <c r="L45" s="26">
        <v>32</v>
      </c>
      <c r="M45" s="26">
        <v>131790.42331714087</v>
      </c>
      <c r="N45" s="26">
        <v>100</v>
      </c>
      <c r="O45" s="26">
        <v>100</v>
      </c>
      <c r="P45" s="26">
        <v>100</v>
      </c>
      <c r="Q45" s="26">
        <v>0.13179042331714086</v>
      </c>
      <c r="R45" s="26">
        <v>4237.1605002415963</v>
      </c>
      <c r="S45" s="14">
        <v>1</v>
      </c>
    </row>
    <row r="46" spans="1:19" x14ac:dyDescent="0.3">
      <c r="D46" s="30"/>
    </row>
    <row r="47" spans="1:19" x14ac:dyDescent="0.3">
      <c r="D47" s="32"/>
      <c r="L47" t="s">
        <v>138</v>
      </c>
      <c r="M47" t="s">
        <v>139</v>
      </c>
      <c r="N47" t="s">
        <v>36</v>
      </c>
      <c r="O47" t="s">
        <v>136</v>
      </c>
      <c r="P47" t="s">
        <v>137</v>
      </c>
    </row>
    <row r="48" spans="1:19" x14ac:dyDescent="0.3">
      <c r="A48" s="2" t="s">
        <v>65</v>
      </c>
      <c r="N48">
        <f>+C40*100/$C$43</f>
        <v>3.8688410825815409</v>
      </c>
      <c r="O48">
        <f>+N48*G40</f>
        <v>174.09784871616935</v>
      </c>
      <c r="P48">
        <f>+O48*100/$O$51</f>
        <v>52.840819335474706</v>
      </c>
    </row>
    <row r="49" spans="1:16" x14ac:dyDescent="0.3">
      <c r="A49" s="3" t="s">
        <v>33</v>
      </c>
      <c r="B49" s="4" t="s">
        <v>61</v>
      </c>
      <c r="C49" s="4" t="s">
        <v>79</v>
      </c>
      <c r="D49" s="4" t="s">
        <v>81</v>
      </c>
      <c r="E49" s="4" t="s">
        <v>82</v>
      </c>
      <c r="F49" s="4" t="s">
        <v>44</v>
      </c>
      <c r="G49" s="4" t="s">
        <v>47</v>
      </c>
      <c r="H49" s="5" t="s">
        <v>89</v>
      </c>
      <c r="N49">
        <f>+C41*100/$C$43</f>
        <v>13.20263705759889</v>
      </c>
      <c r="O49">
        <f>+N49*G41</f>
        <v>105.62109646079112</v>
      </c>
      <c r="P49">
        <f>+O49*100/$O$51</f>
        <v>32.057290295403085</v>
      </c>
    </row>
    <row r="50" spans="1:16" x14ac:dyDescent="0.3">
      <c r="A50" s="6">
        <v>1</v>
      </c>
      <c r="B50" s="7" t="s">
        <v>49</v>
      </c>
      <c r="C50">
        <v>264.70588235294122</v>
      </c>
      <c r="D50" s="7">
        <v>8</v>
      </c>
      <c r="E50" s="7">
        <v>45</v>
      </c>
      <c r="F50" s="7">
        <f>+($C50*$D$50/SUM($C50*$D$50,$C51*$D$51))*100</f>
        <v>70.588235294117666</v>
      </c>
      <c r="G50" s="7">
        <f>+($C50*$E$50/SUM($C50*$E$50,$C51*$E$51))*100</f>
        <v>96.428571428571416</v>
      </c>
      <c r="H50" s="8">
        <f>+$C$52/$C$50</f>
        <v>3.7777777777777772</v>
      </c>
      <c r="I50">
        <f>+C50*E50*100</f>
        <v>1191176.4705882354</v>
      </c>
      <c r="K50">
        <f>+C50*E50*100</f>
        <v>1191176.4705882354</v>
      </c>
      <c r="L50">
        <f>+K50/K52*100</f>
        <v>96.428571428571416</v>
      </c>
      <c r="N50">
        <f>+C42*100/$C$43</f>
        <v>82.928521859819554</v>
      </c>
      <c r="O50">
        <f>+N50*G42</f>
        <v>49.757113115891734</v>
      </c>
      <c r="P50">
        <f>+O50*100/$O$51</f>
        <v>15.101890369122213</v>
      </c>
    </row>
    <row r="51" spans="1:16" x14ac:dyDescent="0.3">
      <c r="A51" s="6">
        <v>2</v>
      </c>
      <c r="B51" s="7" t="s">
        <v>51</v>
      </c>
      <c r="C51">
        <v>735.29411764705878</v>
      </c>
      <c r="D51" s="7">
        <v>1.2</v>
      </c>
      <c r="E51" s="7">
        <v>0.6</v>
      </c>
      <c r="F51" s="7">
        <f>+($C51*$D$51/SUM($C50*$D$50,$C51*$D$51))*100</f>
        <v>29.411764705882348</v>
      </c>
      <c r="G51" s="7">
        <f>+($C51*$E$51/SUM($C50*$E$50,$C51*$E$51))*100</f>
        <v>3.5714285714285707</v>
      </c>
      <c r="H51" s="8">
        <f>+$C$52/$C$51</f>
        <v>1.36</v>
      </c>
      <c r="I51">
        <f>+C51*E51*100</f>
        <v>44117.647058823524</v>
      </c>
      <c r="K51">
        <f>+K52-K50</f>
        <v>44117.647058823612</v>
      </c>
      <c r="L51">
        <f>+K51/K52*100</f>
        <v>3.5714285714285774</v>
      </c>
      <c r="N51">
        <f>+SUM(N48:N50)</f>
        <v>99.999999999999986</v>
      </c>
      <c r="O51">
        <f>+SUM(O48:O50)</f>
        <v>329.4760582928522</v>
      </c>
      <c r="P51">
        <f>+SUM(P48:P50)</f>
        <v>100.00000000000001</v>
      </c>
    </row>
    <row r="52" spans="1:16" x14ac:dyDescent="0.3">
      <c r="A52" s="6">
        <v>3</v>
      </c>
      <c r="B52" s="7" t="s">
        <v>48</v>
      </c>
      <c r="C52" s="7">
        <v>1000</v>
      </c>
      <c r="D52" s="7">
        <v>3</v>
      </c>
      <c r="E52" s="7">
        <v>2.5</v>
      </c>
      <c r="F52" s="7">
        <f>+SUM($F$50:$F$51)</f>
        <v>100.00000000000001</v>
      </c>
      <c r="G52" s="7">
        <f>+SUM($G$50:$G$51)</f>
        <v>99.999999999999986</v>
      </c>
      <c r="H52" s="8">
        <f>+$C$52/$C$52</f>
        <v>1</v>
      </c>
      <c r="I52">
        <f>+C52*E52*100</f>
        <v>250000</v>
      </c>
      <c r="J52">
        <f>+K52/C52/100</f>
        <v>12.352941176470591</v>
      </c>
      <c r="K52">
        <f>+G52*K50/G50</f>
        <v>1235294.117647059</v>
      </c>
      <c r="L52">
        <f>+SUM(L50:L51)</f>
        <v>100</v>
      </c>
    </row>
    <row r="53" spans="1:16" x14ac:dyDescent="0.3">
      <c r="A53" s="6">
        <v>4</v>
      </c>
      <c r="B53" s="7" t="s">
        <v>90</v>
      </c>
      <c r="C53" s="7">
        <v>1000</v>
      </c>
      <c r="D53" s="7">
        <v>3</v>
      </c>
      <c r="E53" s="7">
        <v>2.5</v>
      </c>
      <c r="F53" s="7">
        <f>+(SUM(($C50*$D$50*100/$C$53),($C51*$D$51*100/$C$53))*100)/(SUM(($C50*100/$C$53),($C51*100/$C$53))*($D$53))</f>
        <v>100</v>
      </c>
      <c r="G53" s="7">
        <f>+(SUM(($C50*$E$50*100/$C$53),($C51*$E$51*100/$C$53))*100)/(SUM(($C50*100/$C$53),($C51*100/$C$53))*($E$53))</f>
        <v>494.11764705882348</v>
      </c>
      <c r="H53" s="8">
        <f>+$C$52/$C$53</f>
        <v>1</v>
      </c>
      <c r="I53">
        <f>+C53*E53*100</f>
        <v>250000</v>
      </c>
    </row>
    <row r="54" spans="1:16" x14ac:dyDescent="0.3">
      <c r="A54" s="25">
        <v>5</v>
      </c>
      <c r="B54" s="26" t="s">
        <v>91</v>
      </c>
      <c r="C54" s="26">
        <v>1000</v>
      </c>
      <c r="D54" s="26">
        <f>+SUM(($C$50*$D$50*100/$C$54),($C$51*$D$51*100/$C$54))/100</f>
        <v>3</v>
      </c>
      <c r="E54" s="26">
        <f>+SUM(($C$50*$E$50*100/$C$54),($C$51*$E$51*100/$C$54))/100</f>
        <v>12.352941176470587</v>
      </c>
      <c r="F54" s="26">
        <f>+(SUM(($C50*$D$50*100/$C$54),($C51*$D$51*100/$C$54))*100)/(SUM(($C50*100/$C$54),($C51*100/$C$54))*($D$54))</f>
        <v>100</v>
      </c>
      <c r="G54" s="26">
        <f>+(SUM(($C50*$E$50*100/$C$54),($C51*$E$51*100/$C$54))*100)/(SUM(($C50*100/$C$54),($C51*100/$C$54))*($E$54))</f>
        <v>100</v>
      </c>
      <c r="H54" s="14">
        <f>+$C$52/$C$54</f>
        <v>1</v>
      </c>
      <c r="I54">
        <f>+C54*E54*100</f>
        <v>1235294.1176470588</v>
      </c>
    </row>
    <row r="55" spans="1:16" x14ac:dyDescent="0.3">
      <c r="A55" t="s">
        <v>125</v>
      </c>
      <c r="G55" t="s">
        <v>1070</v>
      </c>
    </row>
    <row r="56" spans="1:16" x14ac:dyDescent="0.3">
      <c r="A56" t="s">
        <v>98</v>
      </c>
      <c r="B56" s="30" t="s">
        <v>67</v>
      </c>
      <c r="G56" t="s">
        <v>1069</v>
      </c>
    </row>
    <row r="57" spans="1:16" x14ac:dyDescent="0.3">
      <c r="A57" t="s">
        <v>97</v>
      </c>
      <c r="B57" s="30" t="s">
        <v>99</v>
      </c>
      <c r="G57" s="30" t="s">
        <v>102</v>
      </c>
      <c r="H57" s="30" t="s">
        <v>103</v>
      </c>
      <c r="I57" s="30" t="s">
        <v>104</v>
      </c>
      <c r="J57" s="30"/>
    </row>
    <row r="58" spans="1:16" x14ac:dyDescent="0.3">
      <c r="A58" t="s">
        <v>96</v>
      </c>
      <c r="B58" s="30" t="s">
        <v>100</v>
      </c>
      <c r="I58" s="30" t="s">
        <v>123</v>
      </c>
    </row>
    <row r="59" spans="1:16" x14ac:dyDescent="0.3">
      <c r="B59" s="30" t="s">
        <v>101</v>
      </c>
      <c r="J59" s="30" t="s">
        <v>124</v>
      </c>
      <c r="K59" s="30"/>
    </row>
    <row r="61" spans="1:16" x14ac:dyDescent="0.3">
      <c r="A61" t="s">
        <v>98</v>
      </c>
      <c r="B61" s="30" t="s">
        <v>105</v>
      </c>
    </row>
    <row r="62" spans="1:16" x14ac:dyDescent="0.3">
      <c r="A62" t="s">
        <v>97</v>
      </c>
      <c r="B62" s="30" t="s">
        <v>99</v>
      </c>
      <c r="G62" s="30" t="s">
        <v>106</v>
      </c>
    </row>
    <row r="63" spans="1:16" x14ac:dyDescent="0.3">
      <c r="A63" t="s">
        <v>96</v>
      </c>
      <c r="B63" s="30" t="s">
        <v>100</v>
      </c>
      <c r="G63" s="30" t="s">
        <v>107</v>
      </c>
      <c r="H63" s="30" t="s">
        <v>107</v>
      </c>
    </row>
    <row r="64" spans="1:16" x14ac:dyDescent="0.3">
      <c r="B64" s="30" t="s">
        <v>101</v>
      </c>
    </row>
    <row r="65" spans="1:22" x14ac:dyDescent="0.3">
      <c r="N65" s="2" t="s">
        <v>65</v>
      </c>
    </row>
    <row r="66" spans="1:22" x14ac:dyDescent="0.3">
      <c r="A66" t="s">
        <v>126</v>
      </c>
      <c r="N66" s="3" t="s">
        <v>33</v>
      </c>
      <c r="O66" s="4" t="s">
        <v>61</v>
      </c>
      <c r="P66" s="4" t="s">
        <v>79</v>
      </c>
      <c r="Q66" s="4" t="s">
        <v>80</v>
      </c>
      <c r="R66" s="4" t="s">
        <v>81</v>
      </c>
      <c r="S66" s="4" t="s">
        <v>83</v>
      </c>
      <c r="T66" s="4" t="s">
        <v>85</v>
      </c>
      <c r="U66" s="4" t="s">
        <v>44</v>
      </c>
      <c r="V66" s="5" t="s">
        <v>89</v>
      </c>
    </row>
    <row r="67" spans="1:22" x14ac:dyDescent="0.3">
      <c r="A67" t="s">
        <v>98</v>
      </c>
      <c r="B67" s="30" t="s">
        <v>127</v>
      </c>
      <c r="C67" s="30" t="s">
        <v>128</v>
      </c>
      <c r="N67" s="6">
        <v>1</v>
      </c>
      <c r="O67" s="7" t="s">
        <v>49</v>
      </c>
      <c r="P67" s="7">
        <v>264.70588235294122</v>
      </c>
      <c r="Q67" s="7">
        <v>26.470588235294123</v>
      </c>
      <c r="R67" s="7">
        <v>8</v>
      </c>
      <c r="S67" s="7">
        <v>211.76470588235298</v>
      </c>
      <c r="T67" s="7">
        <v>21.176470588235297</v>
      </c>
      <c r="U67" s="7">
        <v>70.588235294117666</v>
      </c>
      <c r="V67" s="8">
        <v>3.7777777777777772</v>
      </c>
    </row>
    <row r="68" spans="1:22" x14ac:dyDescent="0.3">
      <c r="A68" t="s">
        <v>96</v>
      </c>
      <c r="B68" s="30" t="s">
        <v>129</v>
      </c>
      <c r="C68" s="30" t="s">
        <v>130</v>
      </c>
      <c r="N68" s="6">
        <v>2</v>
      </c>
      <c r="O68" s="7" t="s">
        <v>51</v>
      </c>
      <c r="P68" s="7">
        <v>735.29411764705878</v>
      </c>
      <c r="Q68" s="7">
        <v>73.52941176470587</v>
      </c>
      <c r="R68" s="7">
        <v>1.2</v>
      </c>
      <c r="S68" s="7">
        <v>88.235294117647044</v>
      </c>
      <c r="T68" s="7">
        <v>8.8235294117647047</v>
      </c>
      <c r="U68" s="7">
        <v>29.411764705882348</v>
      </c>
      <c r="V68" s="8">
        <v>1.36</v>
      </c>
    </row>
    <row r="69" spans="1:22" x14ac:dyDescent="0.3">
      <c r="A69" t="s">
        <v>97</v>
      </c>
      <c r="B69" s="30" t="s">
        <v>131</v>
      </c>
      <c r="C69" s="30" t="s">
        <v>132</v>
      </c>
      <c r="N69" s="6">
        <v>3</v>
      </c>
      <c r="O69" s="7" t="s">
        <v>48</v>
      </c>
      <c r="P69" s="7">
        <v>1000</v>
      </c>
      <c r="Q69" s="7">
        <v>100</v>
      </c>
      <c r="R69" s="7">
        <v>3</v>
      </c>
      <c r="S69" s="7">
        <v>300</v>
      </c>
      <c r="T69" s="7">
        <v>30</v>
      </c>
      <c r="U69" s="7">
        <v>100.00000000000001</v>
      </c>
      <c r="V69" s="8">
        <v>1</v>
      </c>
    </row>
    <row r="70" spans="1:22" x14ac:dyDescent="0.3">
      <c r="N70" s="6">
        <v>4</v>
      </c>
      <c r="O70" s="7" t="s">
        <v>153</v>
      </c>
      <c r="P70" s="7">
        <v>1000</v>
      </c>
      <c r="Q70" s="7">
        <v>100</v>
      </c>
      <c r="R70" s="7">
        <v>3</v>
      </c>
      <c r="S70" s="7">
        <v>300</v>
      </c>
      <c r="T70" s="7">
        <v>30</v>
      </c>
      <c r="U70" s="7">
        <v>100</v>
      </c>
      <c r="V70" s="8">
        <v>1</v>
      </c>
    </row>
    <row r="71" spans="1:22" x14ac:dyDescent="0.3">
      <c r="A71" t="s">
        <v>133</v>
      </c>
      <c r="N71" s="25">
        <v>5</v>
      </c>
      <c r="O71" s="26" t="s">
        <v>154</v>
      </c>
      <c r="P71" s="26">
        <v>1000</v>
      </c>
      <c r="Q71" s="26">
        <v>100</v>
      </c>
      <c r="R71" s="26">
        <v>3</v>
      </c>
      <c r="S71" s="26">
        <v>300</v>
      </c>
      <c r="T71" s="26">
        <v>30</v>
      </c>
      <c r="U71" s="26">
        <v>100.00000000000001</v>
      </c>
      <c r="V71" s="14">
        <v>1</v>
      </c>
    </row>
    <row r="72" spans="1:22" x14ac:dyDescent="0.3">
      <c r="A72" t="s">
        <v>98</v>
      </c>
      <c r="B72" s="30" t="s">
        <v>140</v>
      </c>
      <c r="F72" s="30" t="s">
        <v>141</v>
      </c>
    </row>
    <row r="73" spans="1:22" x14ac:dyDescent="0.3">
      <c r="A73" t="s">
        <v>96</v>
      </c>
      <c r="B73" s="30" t="s">
        <v>142</v>
      </c>
      <c r="F73" s="30" t="s">
        <v>143</v>
      </c>
      <c r="N73" s="2" t="s">
        <v>155</v>
      </c>
      <c r="Q73" s="30" t="s">
        <v>156</v>
      </c>
    </row>
    <row r="74" spans="1:22" x14ac:dyDescent="0.3">
      <c r="A74" t="s">
        <v>97</v>
      </c>
      <c r="B74" s="30" t="s">
        <v>144</v>
      </c>
      <c r="F74" s="30" t="s">
        <v>145</v>
      </c>
      <c r="J74" s="30" t="s">
        <v>146</v>
      </c>
      <c r="N74" s="3" t="s">
        <v>33</v>
      </c>
      <c r="O74" s="4" t="s">
        <v>61</v>
      </c>
      <c r="P74" s="4" t="s">
        <v>79</v>
      </c>
      <c r="Q74" s="4" t="s">
        <v>80</v>
      </c>
      <c r="R74" s="4" t="s">
        <v>81</v>
      </c>
      <c r="S74" s="4" t="s">
        <v>83</v>
      </c>
      <c r="T74" s="4" t="s">
        <v>85</v>
      </c>
      <c r="U74" s="4" t="s">
        <v>44</v>
      </c>
      <c r="V74" s="5" t="s">
        <v>89</v>
      </c>
    </row>
    <row r="75" spans="1:22" x14ac:dyDescent="0.3">
      <c r="N75" s="6">
        <v>1</v>
      </c>
      <c r="O75" s="7" t="s">
        <v>49</v>
      </c>
      <c r="P75" s="7">
        <v>264.70588235294122</v>
      </c>
      <c r="Q75" s="7">
        <v>26.470588235294123</v>
      </c>
      <c r="R75" s="7">
        <v>8</v>
      </c>
      <c r="S75" s="7">
        <v>211.76470588235298</v>
      </c>
      <c r="T75" s="7">
        <v>21.176470588235297</v>
      </c>
      <c r="U75" s="7">
        <v>70.588235294117666</v>
      </c>
      <c r="V75" s="8">
        <v>3.7777777777777772</v>
      </c>
    </row>
    <row r="76" spans="1:22" x14ac:dyDescent="0.3">
      <c r="A76" t="s">
        <v>134</v>
      </c>
      <c r="N76" s="6">
        <v>2</v>
      </c>
      <c r="O76" s="7" t="s">
        <v>51</v>
      </c>
      <c r="P76" s="7">
        <v>735.29411764705878</v>
      </c>
      <c r="Q76" s="7">
        <v>73.52941176470587</v>
      </c>
      <c r="R76" s="7">
        <v>1.2</v>
      </c>
      <c r="S76" s="7">
        <v>88.235294117647044</v>
      </c>
      <c r="T76" s="7">
        <v>8.8235294117647047</v>
      </c>
      <c r="U76" s="7">
        <v>29.411764705882348</v>
      </c>
      <c r="V76" s="8">
        <v>1.36</v>
      </c>
    </row>
    <row r="77" spans="1:22" x14ac:dyDescent="0.3">
      <c r="A77" t="s">
        <v>98</v>
      </c>
      <c r="B77" s="30" t="s">
        <v>147</v>
      </c>
      <c r="F77" s="30" t="s">
        <v>128</v>
      </c>
      <c r="N77" s="6">
        <v>3</v>
      </c>
      <c r="O77" s="7" t="s">
        <v>48</v>
      </c>
      <c r="P77" s="7">
        <v>1000</v>
      </c>
      <c r="Q77" s="7">
        <v>100</v>
      </c>
      <c r="R77" s="7">
        <v>3</v>
      </c>
      <c r="S77" s="7">
        <v>300</v>
      </c>
      <c r="T77" s="7">
        <v>30</v>
      </c>
      <c r="U77" s="7">
        <v>100.00000000000001</v>
      </c>
      <c r="V77" s="8">
        <v>1</v>
      </c>
    </row>
    <row r="78" spans="1:22" x14ac:dyDescent="0.3">
      <c r="A78" t="s">
        <v>96</v>
      </c>
      <c r="B78" s="30" t="s">
        <v>148</v>
      </c>
      <c r="F78" s="30" t="s">
        <v>130</v>
      </c>
      <c r="N78" s="6">
        <v>4</v>
      </c>
      <c r="O78" s="7" t="s">
        <v>153</v>
      </c>
      <c r="P78" s="7">
        <v>1000</v>
      </c>
      <c r="Q78" s="7">
        <v>100</v>
      </c>
      <c r="R78" s="7">
        <v>3</v>
      </c>
      <c r="S78" s="7">
        <v>300</v>
      </c>
      <c r="T78" s="7">
        <v>30</v>
      </c>
      <c r="U78" s="7">
        <v>100</v>
      </c>
      <c r="V78" s="8">
        <v>1</v>
      </c>
    </row>
    <row r="79" spans="1:22" x14ac:dyDescent="0.3">
      <c r="A79" t="s">
        <v>97</v>
      </c>
      <c r="B79" s="30" t="s">
        <v>149</v>
      </c>
      <c r="F79" s="30" t="s">
        <v>150</v>
      </c>
      <c r="G79" s="30" t="s">
        <v>150</v>
      </c>
      <c r="N79" s="25">
        <v>5</v>
      </c>
      <c r="O79" s="26" t="s">
        <v>154</v>
      </c>
      <c r="P79" s="26">
        <v>1000</v>
      </c>
      <c r="Q79" s="26">
        <v>100</v>
      </c>
      <c r="R79" s="26">
        <v>3</v>
      </c>
      <c r="S79" s="26">
        <v>300</v>
      </c>
      <c r="T79" s="26">
        <v>30</v>
      </c>
      <c r="U79" s="26">
        <v>100</v>
      </c>
      <c r="V79" s="14">
        <v>1</v>
      </c>
    </row>
    <row r="81" spans="1:22" x14ac:dyDescent="0.3">
      <c r="A81" t="s">
        <v>135</v>
      </c>
      <c r="N81" s="2" t="s">
        <v>65</v>
      </c>
    </row>
    <row r="82" spans="1:22" x14ac:dyDescent="0.3">
      <c r="A82" t="s">
        <v>98</v>
      </c>
      <c r="B82" s="30" t="s">
        <v>151</v>
      </c>
      <c r="F82" s="30" t="s">
        <v>128</v>
      </c>
      <c r="N82" s="3" t="s">
        <v>33</v>
      </c>
      <c r="O82" s="4" t="s">
        <v>61</v>
      </c>
      <c r="P82" s="4" t="s">
        <v>79</v>
      </c>
      <c r="Q82" s="4" t="s">
        <v>80</v>
      </c>
      <c r="R82" s="4" t="s">
        <v>81</v>
      </c>
      <c r="S82" s="4" t="s">
        <v>83</v>
      </c>
      <c r="T82" s="4" t="s">
        <v>85</v>
      </c>
      <c r="U82" s="4" t="s">
        <v>44</v>
      </c>
      <c r="V82" s="5" t="s">
        <v>89</v>
      </c>
    </row>
    <row r="83" spans="1:22" x14ac:dyDescent="0.3">
      <c r="A83" t="s">
        <v>96</v>
      </c>
      <c r="B83" s="30" t="s">
        <v>129</v>
      </c>
      <c r="F83" s="30" t="s">
        <v>130</v>
      </c>
      <c r="N83" s="6">
        <v>1</v>
      </c>
      <c r="O83" s="7" t="s">
        <v>49</v>
      </c>
      <c r="P83" s="7">
        <v>264.70588235294122</v>
      </c>
      <c r="Q83" s="7">
        <v>26.470588235294123</v>
      </c>
      <c r="R83" s="7">
        <v>8</v>
      </c>
      <c r="S83" s="7">
        <v>211.76470588235298</v>
      </c>
      <c r="T83" s="7">
        <v>21.176470588235297</v>
      </c>
      <c r="U83" s="7">
        <v>70.588235294117666</v>
      </c>
      <c r="V83" s="8">
        <v>3.7777777777777772</v>
      </c>
    </row>
    <row r="84" spans="1:22" x14ac:dyDescent="0.3">
      <c r="A84" t="s">
        <v>97</v>
      </c>
      <c r="B84" s="30" t="s">
        <v>131</v>
      </c>
      <c r="F84" s="30" t="s">
        <v>152</v>
      </c>
      <c r="N84" s="6">
        <v>2</v>
      </c>
      <c r="O84" s="7" t="s">
        <v>51</v>
      </c>
      <c r="P84" s="7">
        <v>735.29411764705878</v>
      </c>
      <c r="Q84" s="7">
        <v>73.52941176470587</v>
      </c>
      <c r="R84" s="7">
        <v>1.2</v>
      </c>
      <c r="S84" s="7">
        <v>88.235294117647044</v>
      </c>
      <c r="T84" s="7">
        <v>8.8235294117647047</v>
      </c>
      <c r="U84" s="7">
        <v>29.411764705882348</v>
      </c>
      <c r="V84" s="8">
        <v>1.36</v>
      </c>
    </row>
    <row r="85" spans="1:22" x14ac:dyDescent="0.3">
      <c r="N85" s="6">
        <v>3</v>
      </c>
      <c r="O85" s="7" t="s">
        <v>48</v>
      </c>
      <c r="P85" s="7">
        <v>1000</v>
      </c>
      <c r="Q85" s="7">
        <v>100</v>
      </c>
      <c r="R85" s="7">
        <v>3</v>
      </c>
      <c r="S85" s="7">
        <v>300</v>
      </c>
      <c r="T85" s="7">
        <v>30</v>
      </c>
      <c r="U85" s="7">
        <v>100.00000000000001</v>
      </c>
      <c r="V85" s="8">
        <v>1</v>
      </c>
    </row>
    <row r="86" spans="1:22" x14ac:dyDescent="0.3">
      <c r="N86" s="6">
        <v>4</v>
      </c>
      <c r="O86" s="7" t="s">
        <v>153</v>
      </c>
      <c r="P86" s="7">
        <v>1000</v>
      </c>
      <c r="Q86" s="7">
        <v>100</v>
      </c>
      <c r="R86" s="7">
        <v>3</v>
      </c>
      <c r="S86" s="7">
        <v>300</v>
      </c>
      <c r="T86" s="7">
        <v>30</v>
      </c>
      <c r="U86" s="7">
        <v>100</v>
      </c>
      <c r="V86" s="8">
        <v>1</v>
      </c>
    </row>
    <row r="87" spans="1:22" x14ac:dyDescent="0.3">
      <c r="B87" s="30"/>
      <c r="C87" s="30"/>
      <c r="N87" s="25">
        <v>5</v>
      </c>
      <c r="O87" s="26" t="s">
        <v>154</v>
      </c>
      <c r="P87" s="26">
        <v>1000</v>
      </c>
      <c r="Q87" s="26">
        <v>100</v>
      </c>
      <c r="R87" s="26">
        <v>3</v>
      </c>
      <c r="S87" s="26">
        <v>300</v>
      </c>
      <c r="T87" s="26">
        <v>30</v>
      </c>
      <c r="U87" s="26">
        <v>100</v>
      </c>
      <c r="V87" s="14">
        <v>1</v>
      </c>
    </row>
    <row r="88" spans="1:22" x14ac:dyDescent="0.3">
      <c r="A88" s="2" t="s">
        <v>65</v>
      </c>
      <c r="B88" s="30"/>
      <c r="C88" s="30"/>
    </row>
    <row r="89" spans="1:22" x14ac:dyDescent="0.3">
      <c r="A89" s="3" t="s">
        <v>33</v>
      </c>
      <c r="B89" s="4" t="s">
        <v>61</v>
      </c>
      <c r="C89" s="4" t="s">
        <v>79</v>
      </c>
      <c r="D89" s="4" t="s">
        <v>80</v>
      </c>
      <c r="E89" s="4" t="s">
        <v>81</v>
      </c>
      <c r="F89" s="4" t="s">
        <v>83</v>
      </c>
      <c r="G89" s="4" t="s">
        <v>85</v>
      </c>
      <c r="H89" s="4" t="s">
        <v>44</v>
      </c>
      <c r="I89" s="5" t="s">
        <v>89</v>
      </c>
      <c r="N89" s="2" t="s">
        <v>65</v>
      </c>
    </row>
    <row r="90" spans="1:22" x14ac:dyDescent="0.3">
      <c r="A90" s="6">
        <v>1</v>
      </c>
      <c r="B90" s="7" t="s">
        <v>49</v>
      </c>
      <c r="C90" s="7">
        <v>264.70588235294122</v>
      </c>
      <c r="D90" s="7">
        <v>26.470588235294123</v>
      </c>
      <c r="E90" s="7">
        <v>8</v>
      </c>
      <c r="F90" s="7">
        <v>211.76470588235298</v>
      </c>
      <c r="G90" s="7">
        <v>21.176470588235297</v>
      </c>
      <c r="H90" s="7">
        <v>70.588235294117666</v>
      </c>
      <c r="I90" s="8">
        <v>3.7777777777777772</v>
      </c>
      <c r="N90" s="3" t="s">
        <v>33</v>
      </c>
      <c r="O90" s="4" t="s">
        <v>61</v>
      </c>
      <c r="P90" s="4" t="s">
        <v>79</v>
      </c>
      <c r="Q90" s="4" t="s">
        <v>81</v>
      </c>
      <c r="R90" s="4" t="s">
        <v>44</v>
      </c>
      <c r="S90" s="5" t="s">
        <v>89</v>
      </c>
    </row>
    <row r="91" spans="1:22" x14ac:dyDescent="0.3">
      <c r="A91" s="6">
        <v>2</v>
      </c>
      <c r="B91" s="7" t="s">
        <v>51</v>
      </c>
      <c r="C91" s="7">
        <v>735.29411764705878</v>
      </c>
      <c r="D91" s="7">
        <v>73.52941176470587</v>
      </c>
      <c r="E91" s="7">
        <v>1.2</v>
      </c>
      <c r="F91" s="7">
        <v>88.235294117647044</v>
      </c>
      <c r="G91" s="7">
        <v>8.8235294117647047</v>
      </c>
      <c r="H91" s="7">
        <v>29.411764705882348</v>
      </c>
      <c r="I91" s="8">
        <v>1.36</v>
      </c>
      <c r="N91" s="6">
        <v>1</v>
      </c>
      <c r="O91" s="7" t="s">
        <v>49</v>
      </c>
      <c r="P91" s="7">
        <v>264.70588235294122</v>
      </c>
      <c r="Q91" s="7">
        <v>8</v>
      </c>
      <c r="R91" s="7">
        <v>70.588235294117666</v>
      </c>
      <c r="S91" s="8">
        <v>3.7777777777777772</v>
      </c>
    </row>
    <row r="92" spans="1:22" x14ac:dyDescent="0.3">
      <c r="A92" s="6">
        <v>3</v>
      </c>
      <c r="B92" s="7" t="s">
        <v>48</v>
      </c>
      <c r="C92" s="7">
        <v>1000</v>
      </c>
      <c r="D92" s="7">
        <v>100</v>
      </c>
      <c r="E92" s="7">
        <v>3</v>
      </c>
      <c r="F92" s="7">
        <v>300</v>
      </c>
      <c r="G92" s="7">
        <v>30</v>
      </c>
      <c r="H92" s="7">
        <v>100.00000000000001</v>
      </c>
      <c r="I92" s="8">
        <v>1</v>
      </c>
      <c r="N92" s="6">
        <v>2</v>
      </c>
      <c r="O92" s="7" t="s">
        <v>51</v>
      </c>
      <c r="P92" s="7">
        <v>735.29411764705878</v>
      </c>
      <c r="Q92" s="7">
        <v>1.2</v>
      </c>
      <c r="R92" s="7">
        <v>29.411764705882348</v>
      </c>
      <c r="S92" s="8">
        <v>1.36</v>
      </c>
    </row>
    <row r="93" spans="1:22" x14ac:dyDescent="0.3">
      <c r="A93" s="6">
        <v>4</v>
      </c>
      <c r="B93" s="7" t="s">
        <v>153</v>
      </c>
      <c r="C93" s="7">
        <v>1000</v>
      </c>
      <c r="D93" s="7">
        <v>100</v>
      </c>
      <c r="E93" s="7">
        <v>3</v>
      </c>
      <c r="F93" s="7">
        <v>300</v>
      </c>
      <c r="G93" s="7">
        <v>30</v>
      </c>
      <c r="H93" s="7">
        <v>100</v>
      </c>
      <c r="I93" s="8">
        <v>1</v>
      </c>
      <c r="N93" s="25">
        <v>3</v>
      </c>
      <c r="O93" s="26" t="s">
        <v>48</v>
      </c>
      <c r="P93" s="26">
        <v>1000</v>
      </c>
      <c r="Q93" s="26">
        <v>3</v>
      </c>
      <c r="R93" s="26">
        <v>100.00000000000001</v>
      </c>
      <c r="S93" s="14">
        <v>1</v>
      </c>
    </row>
    <row r="94" spans="1:22" x14ac:dyDescent="0.3">
      <c r="A94" s="25">
        <v>5</v>
      </c>
      <c r="B94" s="26" t="s">
        <v>154</v>
      </c>
      <c r="C94" s="26">
        <v>1000</v>
      </c>
      <c r="D94" s="26">
        <v>100</v>
      </c>
      <c r="E94" s="26">
        <v>3</v>
      </c>
      <c r="F94" s="26">
        <v>300</v>
      </c>
      <c r="G94" s="26">
        <v>30</v>
      </c>
      <c r="H94" s="26">
        <v>100.00000000000001</v>
      </c>
      <c r="I94" s="14">
        <v>1</v>
      </c>
    </row>
    <row r="95" spans="1:22" x14ac:dyDescent="0.3">
      <c r="N95" s="2" t="s">
        <v>65</v>
      </c>
    </row>
    <row r="96" spans="1:22" x14ac:dyDescent="0.3">
      <c r="N96" s="3" t="s">
        <v>33</v>
      </c>
      <c r="O96" s="4" t="s">
        <v>61</v>
      </c>
      <c r="P96" s="4" t="s">
        <v>79</v>
      </c>
      <c r="Q96" s="4" t="s">
        <v>157</v>
      </c>
      <c r="R96" s="5" t="s">
        <v>158</v>
      </c>
    </row>
    <row r="97" spans="1:18" x14ac:dyDescent="0.3">
      <c r="N97" s="6">
        <v>1</v>
      </c>
      <c r="O97" s="7" t="s">
        <v>159</v>
      </c>
      <c r="P97" s="7">
        <v>264.70588235294122</v>
      </c>
      <c r="Q97" s="7">
        <v>8</v>
      </c>
      <c r="R97" s="8">
        <v>70.588235294117666</v>
      </c>
    </row>
    <row r="98" spans="1:18" x14ac:dyDescent="0.3">
      <c r="N98" s="6">
        <v>2</v>
      </c>
      <c r="O98" s="7" t="s">
        <v>51</v>
      </c>
      <c r="P98" s="7">
        <v>735.29411764705878</v>
      </c>
      <c r="Q98" s="7">
        <v>1.2</v>
      </c>
      <c r="R98" s="8">
        <v>29.411764705882348</v>
      </c>
    </row>
    <row r="99" spans="1:18" x14ac:dyDescent="0.3">
      <c r="N99" s="25">
        <v>3</v>
      </c>
      <c r="O99" s="26" t="s">
        <v>48</v>
      </c>
      <c r="P99" s="26">
        <v>1000</v>
      </c>
      <c r="Q99" s="26">
        <v>3</v>
      </c>
      <c r="R99" s="14">
        <v>100.00000000000001</v>
      </c>
    </row>
    <row r="101" spans="1:18" x14ac:dyDescent="0.3">
      <c r="N101" s="2" t="s">
        <v>65</v>
      </c>
    </row>
    <row r="102" spans="1:18" x14ac:dyDescent="0.3">
      <c r="N102" s="3" t="s">
        <v>33</v>
      </c>
      <c r="O102" s="4" t="s">
        <v>61</v>
      </c>
      <c r="P102" s="4" t="s">
        <v>79</v>
      </c>
      <c r="Q102" s="4" t="s">
        <v>157</v>
      </c>
      <c r="R102" s="5" t="s">
        <v>158</v>
      </c>
    </row>
    <row r="103" spans="1:18" x14ac:dyDescent="0.3">
      <c r="N103" s="6">
        <v>1</v>
      </c>
      <c r="O103" s="7" t="s">
        <v>159</v>
      </c>
      <c r="P103" s="7">
        <v>264.70588235294122</v>
      </c>
      <c r="Q103" s="7">
        <v>8</v>
      </c>
      <c r="R103" s="8">
        <v>70.588235294117666</v>
      </c>
    </row>
    <row r="104" spans="1:18" x14ac:dyDescent="0.3">
      <c r="N104" s="6">
        <v>2</v>
      </c>
      <c r="O104" s="7" t="s">
        <v>51</v>
      </c>
      <c r="P104" s="7">
        <v>735.29411764705878</v>
      </c>
      <c r="Q104" s="7">
        <v>1.2</v>
      </c>
      <c r="R104" s="8">
        <v>29.411764705882348</v>
      </c>
    </row>
    <row r="105" spans="1:18" x14ac:dyDescent="0.3">
      <c r="N105" s="25">
        <v>3</v>
      </c>
      <c r="O105" s="26" t="s">
        <v>48</v>
      </c>
      <c r="P105" s="26">
        <v>1000</v>
      </c>
      <c r="Q105" s="26">
        <v>3</v>
      </c>
      <c r="R105" s="14">
        <v>100.00000000000001</v>
      </c>
    </row>
    <row r="107" spans="1:18" x14ac:dyDescent="0.3">
      <c r="A107" s="2" t="s">
        <v>65</v>
      </c>
    </row>
    <row r="108" spans="1:18" x14ac:dyDescent="0.3">
      <c r="A108" s="3" t="s">
        <v>33</v>
      </c>
      <c r="B108" s="4" t="s">
        <v>61</v>
      </c>
      <c r="C108" s="4" t="s">
        <v>79</v>
      </c>
      <c r="D108" s="4" t="s">
        <v>80</v>
      </c>
      <c r="E108" s="4" t="s">
        <v>81</v>
      </c>
      <c r="F108" s="4" t="s">
        <v>83</v>
      </c>
      <c r="G108" s="4" t="s">
        <v>85</v>
      </c>
      <c r="H108" s="4" t="s">
        <v>44</v>
      </c>
      <c r="I108" s="5" t="s">
        <v>89</v>
      </c>
    </row>
    <row r="109" spans="1:18" x14ac:dyDescent="0.3">
      <c r="A109" s="6">
        <v>1</v>
      </c>
      <c r="B109" s="7" t="s">
        <v>49</v>
      </c>
      <c r="C109" s="7">
        <v>264.70588235294122</v>
      </c>
      <c r="D109" s="7">
        <v>26.470588235294123</v>
      </c>
      <c r="E109" s="7">
        <v>8</v>
      </c>
      <c r="F109" s="7">
        <v>211.76470588235298</v>
      </c>
      <c r="G109" s="7">
        <v>21.176470588235297</v>
      </c>
      <c r="H109" s="7">
        <v>70.588235294117666</v>
      </c>
      <c r="I109" s="8">
        <v>3.7777777777777772</v>
      </c>
    </row>
    <row r="110" spans="1:18" x14ac:dyDescent="0.3">
      <c r="A110" s="6">
        <v>2</v>
      </c>
      <c r="B110" s="7" t="s">
        <v>51</v>
      </c>
      <c r="C110" s="7">
        <v>735.29411764705878</v>
      </c>
      <c r="D110" s="7">
        <v>73.52941176470587</v>
      </c>
      <c r="E110" s="7">
        <v>1.2</v>
      </c>
      <c r="F110" s="7">
        <v>88.235294117647044</v>
      </c>
      <c r="G110" s="7">
        <v>8.8235294117647047</v>
      </c>
      <c r="H110" s="7">
        <v>29.411764705882348</v>
      </c>
      <c r="I110" s="8">
        <v>1.36</v>
      </c>
    </row>
    <row r="111" spans="1:18" x14ac:dyDescent="0.3">
      <c r="A111" s="6">
        <v>3</v>
      </c>
      <c r="B111" s="7" t="s">
        <v>48</v>
      </c>
      <c r="C111" s="7">
        <v>1000</v>
      </c>
      <c r="D111" s="7">
        <v>100</v>
      </c>
      <c r="E111" s="7">
        <v>3</v>
      </c>
      <c r="F111" s="7">
        <v>300</v>
      </c>
      <c r="G111" s="7">
        <v>30</v>
      </c>
      <c r="H111" s="7">
        <v>100.00000000000001</v>
      </c>
      <c r="I111" s="8">
        <v>1</v>
      </c>
    </row>
    <row r="112" spans="1:18" x14ac:dyDescent="0.3">
      <c r="A112" s="6">
        <v>4</v>
      </c>
      <c r="B112" s="7" t="s">
        <v>153</v>
      </c>
      <c r="C112" s="7">
        <v>1000</v>
      </c>
      <c r="D112" s="7">
        <v>100</v>
      </c>
      <c r="E112" s="7">
        <v>3</v>
      </c>
      <c r="F112" s="7">
        <v>300</v>
      </c>
      <c r="G112" s="7">
        <v>30</v>
      </c>
      <c r="H112" s="7">
        <v>100</v>
      </c>
      <c r="I112" s="8">
        <v>1</v>
      </c>
    </row>
    <row r="113" spans="1:19" x14ac:dyDescent="0.3">
      <c r="A113" s="25">
        <v>5</v>
      </c>
      <c r="B113" s="26" t="s">
        <v>154</v>
      </c>
      <c r="C113" s="26">
        <v>1000</v>
      </c>
      <c r="D113" s="26">
        <v>100</v>
      </c>
      <c r="E113" s="26">
        <v>3</v>
      </c>
      <c r="F113" s="26">
        <v>300</v>
      </c>
      <c r="G113" s="26">
        <v>30</v>
      </c>
      <c r="H113" s="26">
        <v>100</v>
      </c>
      <c r="I113" s="14">
        <v>1</v>
      </c>
    </row>
    <row r="116" spans="1:19" x14ac:dyDescent="0.3">
      <c r="A116" t="s">
        <v>33</v>
      </c>
      <c r="B116" t="s">
        <v>61</v>
      </c>
      <c r="C116" t="s">
        <v>79</v>
      </c>
      <c r="D116" t="s">
        <v>80</v>
      </c>
      <c r="E116" t="s">
        <v>81</v>
      </c>
      <c r="F116" t="s">
        <v>82</v>
      </c>
      <c r="G116" t="s">
        <v>83</v>
      </c>
      <c r="H116" t="s">
        <v>84</v>
      </c>
      <c r="I116" t="s">
        <v>85</v>
      </c>
      <c r="J116" t="s">
        <v>86</v>
      </c>
      <c r="K116" t="s">
        <v>44</v>
      </c>
      <c r="L116" t="s">
        <v>47</v>
      </c>
      <c r="M116" t="s">
        <v>87</v>
      </c>
      <c r="N116" t="s">
        <v>88</v>
      </c>
      <c r="O116" t="s">
        <v>89</v>
      </c>
    </row>
    <row r="117" spans="1:19" x14ac:dyDescent="0.3">
      <c r="A117">
        <v>1</v>
      </c>
      <c r="B117" t="s">
        <v>49</v>
      </c>
      <c r="C117">
        <v>0</v>
      </c>
      <c r="D117" t="e">
        <f>$C$117*100/$C$119</f>
        <v>#DIV/0!</v>
      </c>
      <c r="E117">
        <v>8</v>
      </c>
      <c r="F117">
        <v>45</v>
      </c>
      <c r="G117" t="e">
        <f>+$C117*$E$117*100/$C$119</f>
        <v>#DIV/0!</v>
      </c>
      <c r="H117" t="e">
        <f>+$C117*$F$117*100/$C$119</f>
        <v>#DIV/0!</v>
      </c>
      <c r="I117">
        <f>+$C117*$E$117/100</f>
        <v>0</v>
      </c>
      <c r="J117">
        <f>+$C117*$F$117*100</f>
        <v>0</v>
      </c>
      <c r="K117" t="e">
        <f>+($C117*$E$117/SUM($C117*$E$117,$C118*$E$118))*100</f>
        <v>#DIV/0!</v>
      </c>
      <c r="L117" t="e">
        <f>+($C117*$F$117/SUM($C117*$F$117,$C118*$F$118))*100</f>
        <v>#DIV/0!</v>
      </c>
      <c r="M117" t="s">
        <v>160</v>
      </c>
    </row>
    <row r="119" spans="1:19" x14ac:dyDescent="0.3">
      <c r="A119" s="2" t="s">
        <v>65</v>
      </c>
    </row>
    <row r="120" spans="1:19" x14ac:dyDescent="0.3">
      <c r="A120" s="3" t="s">
        <v>33</v>
      </c>
      <c r="B120" s="4" t="s">
        <v>61</v>
      </c>
      <c r="C120" s="4" t="s">
        <v>79</v>
      </c>
      <c r="D120" s="4" t="s">
        <v>80</v>
      </c>
      <c r="E120" s="4" t="s">
        <v>81</v>
      </c>
      <c r="F120" s="4" t="s">
        <v>82</v>
      </c>
      <c r="G120" s="4" t="s">
        <v>83</v>
      </c>
      <c r="H120" s="4" t="s">
        <v>84</v>
      </c>
      <c r="I120" s="4" t="s">
        <v>85</v>
      </c>
      <c r="J120" s="4" t="s">
        <v>86</v>
      </c>
      <c r="K120" s="4" t="s">
        <v>44</v>
      </c>
      <c r="L120" s="4" t="s">
        <v>47</v>
      </c>
      <c r="M120" s="4" t="s">
        <v>87</v>
      </c>
      <c r="N120" s="4" t="s">
        <v>88</v>
      </c>
      <c r="O120" s="5" t="s">
        <v>89</v>
      </c>
    </row>
    <row r="121" spans="1:19" x14ac:dyDescent="0.3">
      <c r="A121" s="6">
        <v>1</v>
      </c>
      <c r="B121" s="7" t="s">
        <v>49</v>
      </c>
      <c r="C121" s="7">
        <v>264.70588235294122</v>
      </c>
      <c r="D121" s="7">
        <v>26.470588235294123</v>
      </c>
      <c r="E121" s="7">
        <v>8</v>
      </c>
      <c r="F121" s="7">
        <v>45</v>
      </c>
      <c r="G121" s="7">
        <v>211.76470588235298</v>
      </c>
      <c r="H121" s="7">
        <v>1191.1764705882354</v>
      </c>
      <c r="I121" s="7">
        <v>21.176470588235297</v>
      </c>
      <c r="J121" s="7">
        <v>1191176.4705882354</v>
      </c>
      <c r="K121" s="7">
        <v>70.588235294117666</v>
      </c>
      <c r="L121" s="7">
        <v>96.428571428571416</v>
      </c>
      <c r="M121" s="7">
        <v>1.1911764705882355</v>
      </c>
      <c r="N121" s="7">
        <v>38297.212824395101</v>
      </c>
      <c r="O121" s="8">
        <v>3.7777777777777772</v>
      </c>
    </row>
    <row r="122" spans="1:19" x14ac:dyDescent="0.3">
      <c r="A122" s="6">
        <v>2</v>
      </c>
      <c r="B122" s="7" t="s">
        <v>51</v>
      </c>
      <c r="C122" s="7">
        <v>735.29411764705878</v>
      </c>
      <c r="D122" s="7">
        <v>73.52941176470587</v>
      </c>
      <c r="E122" s="7">
        <v>1.2</v>
      </c>
      <c r="F122" s="7">
        <v>0.6</v>
      </c>
      <c r="G122" s="7">
        <v>88.235294117647044</v>
      </c>
      <c r="H122" s="7">
        <v>44.117647058823522</v>
      </c>
      <c r="I122" s="7">
        <v>8.8235294117647047</v>
      </c>
      <c r="J122" s="7">
        <v>44117.647058823524</v>
      </c>
      <c r="K122" s="7">
        <v>29.411764705882348</v>
      </c>
      <c r="L122" s="7">
        <v>3.5714285714285707</v>
      </c>
      <c r="M122" s="7">
        <v>4.4117647058823525E-2</v>
      </c>
      <c r="N122" s="7">
        <v>1418.4152897924107</v>
      </c>
      <c r="O122" s="8">
        <v>1.36</v>
      </c>
    </row>
    <row r="123" spans="1:19" x14ac:dyDescent="0.3">
      <c r="A123" s="6">
        <v>3</v>
      </c>
      <c r="B123" s="7" t="s">
        <v>48</v>
      </c>
      <c r="C123" s="7">
        <v>1000</v>
      </c>
      <c r="D123" s="7">
        <v>100</v>
      </c>
      <c r="E123" s="7">
        <v>3</v>
      </c>
      <c r="F123" s="7">
        <v>2.5</v>
      </c>
      <c r="G123" s="7">
        <v>300</v>
      </c>
      <c r="H123" s="7">
        <v>1235.2941176470588</v>
      </c>
      <c r="I123" s="7">
        <v>30</v>
      </c>
      <c r="J123" s="7">
        <v>1235294.117647059</v>
      </c>
      <c r="K123" s="7">
        <v>100.00000000000001</v>
      </c>
      <c r="L123" s="7">
        <v>99.999999999999986</v>
      </c>
      <c r="M123" s="7">
        <v>1.2352941176470591</v>
      </c>
      <c r="N123" s="7">
        <v>39715.628114187515</v>
      </c>
      <c r="O123" s="8">
        <v>1</v>
      </c>
    </row>
    <row r="124" spans="1:19" x14ac:dyDescent="0.3">
      <c r="A124" s="6">
        <v>4</v>
      </c>
      <c r="B124" s="7" t="s">
        <v>153</v>
      </c>
      <c r="C124" s="7">
        <v>1000</v>
      </c>
      <c r="D124" s="7">
        <v>100</v>
      </c>
      <c r="E124" s="7">
        <v>3</v>
      </c>
      <c r="F124" s="7">
        <v>2.5</v>
      </c>
      <c r="G124" s="7">
        <v>300</v>
      </c>
      <c r="H124" s="7">
        <v>250</v>
      </c>
      <c r="I124" s="7">
        <v>30</v>
      </c>
      <c r="J124" s="7">
        <v>250000</v>
      </c>
      <c r="K124" s="7">
        <v>100</v>
      </c>
      <c r="L124" s="7">
        <v>494.11764705882348</v>
      </c>
      <c r="M124" s="7">
        <v>0.25</v>
      </c>
      <c r="N124" s="7">
        <v>8037.6866421569957</v>
      </c>
      <c r="O124" s="8">
        <v>1</v>
      </c>
    </row>
    <row r="125" spans="1:19" x14ac:dyDescent="0.3">
      <c r="A125" s="25">
        <v>5</v>
      </c>
      <c r="B125" s="26" t="s">
        <v>154</v>
      </c>
      <c r="C125" s="26">
        <v>1000</v>
      </c>
      <c r="D125" s="26">
        <v>100</v>
      </c>
      <c r="E125" s="26">
        <v>3</v>
      </c>
      <c r="F125" s="26">
        <v>12.352941176470587</v>
      </c>
      <c r="G125" s="26">
        <v>300</v>
      </c>
      <c r="H125" s="26">
        <v>1235.2941176470588</v>
      </c>
      <c r="I125" s="26">
        <v>30</v>
      </c>
      <c r="J125" s="26">
        <v>1235294.117647059</v>
      </c>
      <c r="K125" s="26">
        <v>100</v>
      </c>
      <c r="L125" s="26">
        <v>100</v>
      </c>
      <c r="M125" s="26">
        <v>1.2352941176470589</v>
      </c>
      <c r="N125" s="26">
        <v>39715.628114187508</v>
      </c>
      <c r="O125" s="14">
        <v>1</v>
      </c>
    </row>
    <row r="127" spans="1:19" x14ac:dyDescent="0.3">
      <c r="A127" s="2" t="s">
        <v>94</v>
      </c>
    </row>
    <row r="128" spans="1:19" x14ac:dyDescent="0.3">
      <c r="A128" s="3" t="s">
        <v>33</v>
      </c>
      <c r="B128" s="4" t="s">
        <v>61</v>
      </c>
      <c r="C128" s="4" t="s">
        <v>79</v>
      </c>
      <c r="D128" s="4" t="s">
        <v>80</v>
      </c>
      <c r="E128" s="4" t="s">
        <v>81</v>
      </c>
      <c r="F128" s="4" t="s">
        <v>92</v>
      </c>
      <c r="G128" s="4" t="s">
        <v>82</v>
      </c>
      <c r="H128" s="4" t="s">
        <v>83</v>
      </c>
      <c r="I128" s="4" t="s">
        <v>93</v>
      </c>
      <c r="J128" s="4" t="s">
        <v>84</v>
      </c>
      <c r="K128" s="4" t="s">
        <v>85</v>
      </c>
      <c r="L128" s="4" t="s">
        <v>95</v>
      </c>
      <c r="M128" s="4" t="s">
        <v>86</v>
      </c>
      <c r="N128" s="4" t="s">
        <v>44</v>
      </c>
      <c r="O128" s="4" t="s">
        <v>45</v>
      </c>
      <c r="P128" s="4" t="s">
        <v>47</v>
      </c>
      <c r="Q128" s="4" t="s">
        <v>87</v>
      </c>
      <c r="R128" s="4" t="s">
        <v>88</v>
      </c>
      <c r="S128" s="5" t="s">
        <v>89</v>
      </c>
    </row>
    <row r="129" spans="1:19" x14ac:dyDescent="0.3">
      <c r="A129" s="6">
        <v>1</v>
      </c>
      <c r="B129" s="7" t="s">
        <v>49</v>
      </c>
      <c r="C129" s="7">
        <v>399.99999999999994</v>
      </c>
      <c r="D129" s="7">
        <v>99.999999999999986</v>
      </c>
      <c r="E129" s="7">
        <v>60</v>
      </c>
      <c r="F129" s="7">
        <v>0.5</v>
      </c>
      <c r="G129" s="7">
        <v>45</v>
      </c>
      <c r="H129" s="7">
        <v>5999.9999999999991</v>
      </c>
      <c r="I129" s="7">
        <v>49.999999999999993</v>
      </c>
      <c r="J129" s="7">
        <v>4499.9999999999991</v>
      </c>
      <c r="K129" s="7">
        <v>239.99999999999997</v>
      </c>
      <c r="L129" s="7">
        <v>1.9999999999999998</v>
      </c>
      <c r="M129" s="7">
        <v>1799999.9999999995</v>
      </c>
      <c r="N129" s="7">
        <v>119.99999999999997</v>
      </c>
      <c r="O129" s="7">
        <v>6.2500000000000018</v>
      </c>
      <c r="P129" s="7">
        <v>562.49999999999966</v>
      </c>
      <c r="Q129" s="7">
        <v>1.7999999999999998</v>
      </c>
      <c r="R129" s="7">
        <v>57871.343823530355</v>
      </c>
      <c r="S129" s="8">
        <v>1.0000000000000002</v>
      </c>
    </row>
    <row r="130" spans="1:19" x14ac:dyDescent="0.3">
      <c r="A130" s="6">
        <v>2</v>
      </c>
      <c r="B130" s="7" t="s">
        <v>50</v>
      </c>
      <c r="C130" s="7">
        <v>-1999.9999999999993</v>
      </c>
      <c r="D130" s="7">
        <v>-499.99999999999983</v>
      </c>
      <c r="E130" s="7">
        <v>4</v>
      </c>
      <c r="F130" s="7">
        <v>1.5</v>
      </c>
      <c r="G130" s="7">
        <v>8</v>
      </c>
      <c r="H130" s="7">
        <v>-1999.9999999999993</v>
      </c>
      <c r="I130" s="7">
        <v>-749.99999999999966</v>
      </c>
      <c r="J130" s="7">
        <v>-3999.9999999999986</v>
      </c>
      <c r="K130" s="7">
        <v>-79.999999999999972</v>
      </c>
      <c r="L130" s="7">
        <v>-29.999999999999989</v>
      </c>
      <c r="M130" s="7">
        <v>-1599999.9999999995</v>
      </c>
      <c r="N130" s="7">
        <v>-39.999999999999986</v>
      </c>
      <c r="O130" s="7">
        <v>-93.75</v>
      </c>
      <c r="P130" s="7">
        <v>-499.99999999999966</v>
      </c>
      <c r="Q130" s="7">
        <v>-1.5999999999999994</v>
      </c>
      <c r="R130" s="7">
        <v>-51441.194509804758</v>
      </c>
      <c r="S130" s="8">
        <v>-0.20000000000000007</v>
      </c>
    </row>
    <row r="131" spans="1:19" x14ac:dyDescent="0.3">
      <c r="A131" s="6">
        <v>3</v>
      </c>
      <c r="B131" s="7" t="s">
        <v>51</v>
      </c>
      <c r="C131" s="7">
        <v>1999.9999999999993</v>
      </c>
      <c r="D131" s="7">
        <v>499.99999999999983</v>
      </c>
      <c r="E131" s="7">
        <v>2</v>
      </c>
      <c r="F131" s="7">
        <v>3</v>
      </c>
      <c r="G131" s="7">
        <v>0.6</v>
      </c>
      <c r="H131" s="7">
        <v>999.99999999999966</v>
      </c>
      <c r="I131" s="7">
        <v>1499.9999999999993</v>
      </c>
      <c r="J131" s="7">
        <v>299.99999999999989</v>
      </c>
      <c r="K131" s="7">
        <v>39.999999999999986</v>
      </c>
      <c r="L131" s="7">
        <v>59.999999999999979</v>
      </c>
      <c r="M131" s="7">
        <v>119999.99999999996</v>
      </c>
      <c r="N131" s="7">
        <v>19.999999999999993</v>
      </c>
      <c r="O131" s="7">
        <v>187.5</v>
      </c>
      <c r="P131" s="7">
        <v>37.499999999999972</v>
      </c>
      <c r="Q131" s="7">
        <v>0.11999999999999995</v>
      </c>
      <c r="R131" s="7">
        <v>3858.0895882353561</v>
      </c>
      <c r="S131" s="8">
        <v>0.20000000000000007</v>
      </c>
    </row>
    <row r="132" spans="1:19" x14ac:dyDescent="0.3">
      <c r="A132" s="6">
        <v>4</v>
      </c>
      <c r="B132" s="7" t="s">
        <v>48</v>
      </c>
      <c r="C132" s="7">
        <v>400</v>
      </c>
      <c r="D132" s="7">
        <v>100</v>
      </c>
      <c r="E132" s="7">
        <v>50</v>
      </c>
      <c r="F132" s="7">
        <v>8</v>
      </c>
      <c r="G132" s="7">
        <v>2.5</v>
      </c>
      <c r="H132" s="7">
        <v>5000</v>
      </c>
      <c r="I132" s="7">
        <v>799.99999999999966</v>
      </c>
      <c r="J132" s="7">
        <v>800.00000000000034</v>
      </c>
      <c r="K132" s="7">
        <v>200</v>
      </c>
      <c r="L132" s="7">
        <v>31.999999999999989</v>
      </c>
      <c r="M132" s="7">
        <v>319999.99999999994</v>
      </c>
      <c r="N132" s="7">
        <v>99.999999999999972</v>
      </c>
      <c r="O132" s="7">
        <v>100</v>
      </c>
      <c r="P132" s="7">
        <v>99.999999999999972</v>
      </c>
      <c r="Q132" s="7">
        <v>0.32000000000000034</v>
      </c>
      <c r="R132" s="7">
        <v>10288.238901960953</v>
      </c>
      <c r="S132" s="8">
        <v>1</v>
      </c>
    </row>
    <row r="133" spans="1:19" x14ac:dyDescent="0.3">
      <c r="A133" s="6">
        <v>5</v>
      </c>
      <c r="B133" s="7" t="s">
        <v>153</v>
      </c>
      <c r="C133" s="7">
        <v>400</v>
      </c>
      <c r="D133" s="7">
        <v>100</v>
      </c>
      <c r="E133" s="7">
        <v>50</v>
      </c>
      <c r="F133" s="7">
        <v>8</v>
      </c>
      <c r="G133" s="7">
        <v>2.5</v>
      </c>
      <c r="H133" s="7">
        <v>5000</v>
      </c>
      <c r="I133" s="7">
        <v>800</v>
      </c>
      <c r="J133" s="7">
        <v>250</v>
      </c>
      <c r="K133" s="7">
        <v>200</v>
      </c>
      <c r="L133" s="7">
        <v>32</v>
      </c>
      <c r="M133" s="7">
        <v>100000</v>
      </c>
      <c r="N133" s="7">
        <v>100</v>
      </c>
      <c r="O133" s="7">
        <v>99.999999999999957</v>
      </c>
      <c r="P133" s="7">
        <v>320.00000000000011</v>
      </c>
      <c r="Q133" s="7">
        <v>0.1</v>
      </c>
      <c r="R133" s="7">
        <v>3215.0746568627983</v>
      </c>
      <c r="S133" s="8">
        <v>1</v>
      </c>
    </row>
    <row r="134" spans="1:19" x14ac:dyDescent="0.3">
      <c r="A134" s="25">
        <v>6</v>
      </c>
      <c r="B134" s="26" t="s">
        <v>154</v>
      </c>
      <c r="C134" s="26">
        <v>400</v>
      </c>
      <c r="D134" s="26">
        <v>100</v>
      </c>
      <c r="E134" s="26">
        <v>50</v>
      </c>
      <c r="F134" s="26">
        <v>7.9999999999999964</v>
      </c>
      <c r="G134" s="26">
        <v>8.0000000000000036</v>
      </c>
      <c r="H134" s="26">
        <v>5000</v>
      </c>
      <c r="I134" s="26">
        <v>799.99999999999966</v>
      </c>
      <c r="J134" s="26">
        <v>800.00000000000034</v>
      </c>
      <c r="K134" s="26">
        <v>200</v>
      </c>
      <c r="L134" s="26">
        <v>31.999999999999989</v>
      </c>
      <c r="M134" s="26">
        <v>319999.99999999994</v>
      </c>
      <c r="N134" s="26">
        <v>100</v>
      </c>
      <c r="O134" s="26">
        <v>100</v>
      </c>
      <c r="P134" s="26">
        <v>100</v>
      </c>
      <c r="Q134" s="26">
        <v>0.32000000000000017</v>
      </c>
      <c r="R134" s="26">
        <v>10288.238901960958</v>
      </c>
      <c r="S134" s="14">
        <v>1</v>
      </c>
    </row>
    <row r="136" spans="1:19" x14ac:dyDescent="0.3">
      <c r="A136" s="2" t="s">
        <v>94</v>
      </c>
    </row>
    <row r="137" spans="1:19" x14ac:dyDescent="0.3">
      <c r="A137" s="3" t="s">
        <v>33</v>
      </c>
      <c r="B137" s="4" t="s">
        <v>61</v>
      </c>
      <c r="C137" s="4" t="s">
        <v>79</v>
      </c>
      <c r="D137" s="4" t="s">
        <v>80</v>
      </c>
      <c r="E137" s="4" t="s">
        <v>81</v>
      </c>
      <c r="F137" s="4" t="s">
        <v>92</v>
      </c>
      <c r="G137" s="4" t="s">
        <v>82</v>
      </c>
      <c r="H137" s="4" t="s">
        <v>83</v>
      </c>
      <c r="I137" s="4" t="s">
        <v>93</v>
      </c>
      <c r="J137" s="4" t="s">
        <v>84</v>
      </c>
      <c r="K137" s="4" t="s">
        <v>85</v>
      </c>
      <c r="L137" s="4" t="s">
        <v>95</v>
      </c>
      <c r="M137" s="4" t="s">
        <v>86</v>
      </c>
      <c r="N137" s="4" t="s">
        <v>44</v>
      </c>
      <c r="O137" s="4" t="s">
        <v>45</v>
      </c>
      <c r="P137" s="4" t="s">
        <v>47</v>
      </c>
      <c r="Q137" s="4" t="s">
        <v>87</v>
      </c>
      <c r="R137" s="4" t="s">
        <v>88</v>
      </c>
      <c r="S137" s="5" t="s">
        <v>89</v>
      </c>
    </row>
    <row r="138" spans="1:19" x14ac:dyDescent="0.3">
      <c r="A138" s="6">
        <v>1</v>
      </c>
      <c r="B138" s="7" t="s">
        <v>49</v>
      </c>
      <c r="C138" s="7">
        <v>15.475364330326162</v>
      </c>
      <c r="D138" s="7">
        <v>3.8688410825815409</v>
      </c>
      <c r="E138" s="7">
        <v>60</v>
      </c>
      <c r="F138" s="7">
        <v>4</v>
      </c>
      <c r="G138" s="7">
        <v>45</v>
      </c>
      <c r="H138" s="7">
        <v>232.13046495489246</v>
      </c>
      <c r="I138" s="7">
        <v>15.475364330326164</v>
      </c>
      <c r="J138" s="7">
        <v>174.09784871616932</v>
      </c>
      <c r="K138" s="7">
        <v>9.2852185981956978</v>
      </c>
      <c r="L138" s="7">
        <v>0.61901457321304643</v>
      </c>
      <c r="M138" s="7">
        <v>69639.139486467728</v>
      </c>
      <c r="N138" s="7">
        <v>77.37682165163082</v>
      </c>
      <c r="O138" s="7">
        <v>1.93442054129077</v>
      </c>
      <c r="P138" s="7">
        <v>52.840819335474698</v>
      </c>
      <c r="Q138" s="7">
        <v>6.963913948646773E-2</v>
      </c>
      <c r="R138" s="7">
        <v>2238.9503248867577</v>
      </c>
      <c r="S138" s="8">
        <v>25.847533632286996</v>
      </c>
    </row>
    <row r="139" spans="1:19" x14ac:dyDescent="0.3">
      <c r="A139" s="6">
        <v>2</v>
      </c>
      <c r="B139" s="7" t="s">
        <v>50</v>
      </c>
      <c r="C139" s="7">
        <v>52.810548230395561</v>
      </c>
      <c r="D139" s="7">
        <v>13.20263705759889</v>
      </c>
      <c r="E139" s="7">
        <v>2</v>
      </c>
      <c r="F139" s="7">
        <v>50</v>
      </c>
      <c r="G139" s="7">
        <v>8</v>
      </c>
      <c r="H139" s="7">
        <v>26.405274115197781</v>
      </c>
      <c r="I139" s="7">
        <v>660.13185287994452</v>
      </c>
      <c r="J139" s="7">
        <v>105.62109646079112</v>
      </c>
      <c r="K139" s="7">
        <v>1.0562109646079112</v>
      </c>
      <c r="L139" s="7">
        <v>26.405274115197781</v>
      </c>
      <c r="M139" s="7">
        <v>42248.438584316449</v>
      </c>
      <c r="N139" s="7">
        <v>8.801758038399262</v>
      </c>
      <c r="O139" s="7">
        <v>82.516481609993065</v>
      </c>
      <c r="P139" s="7">
        <v>32.057290295403085</v>
      </c>
      <c r="Q139" s="7">
        <v>4.2248438584316449E-2</v>
      </c>
      <c r="R139" s="7">
        <v>1358.318841844602</v>
      </c>
      <c r="S139" s="8">
        <v>7.5742444152431005</v>
      </c>
    </row>
    <row r="140" spans="1:19" x14ac:dyDescent="0.3">
      <c r="A140" s="6">
        <v>3</v>
      </c>
      <c r="B140" s="7" t="s">
        <v>51</v>
      </c>
      <c r="C140" s="7">
        <v>331.71408743927822</v>
      </c>
      <c r="D140" s="7">
        <v>82.928521859819554</v>
      </c>
      <c r="E140" s="7">
        <v>0.5</v>
      </c>
      <c r="F140" s="7">
        <v>1.5</v>
      </c>
      <c r="G140" s="7">
        <v>0.6</v>
      </c>
      <c r="H140" s="7">
        <v>41.464260929909777</v>
      </c>
      <c r="I140" s="7">
        <v>124.39278278972932</v>
      </c>
      <c r="J140" s="7">
        <v>49.757113115891734</v>
      </c>
      <c r="K140" s="7">
        <v>1.6585704371963912</v>
      </c>
      <c r="L140" s="7">
        <v>4.9757113115891727</v>
      </c>
      <c r="M140" s="7">
        <v>19902.845246356694</v>
      </c>
      <c r="N140" s="7">
        <v>13.821420309969929</v>
      </c>
      <c r="O140" s="7">
        <v>15.549097848716166</v>
      </c>
      <c r="P140" s="7">
        <v>15.101890369122211</v>
      </c>
      <c r="Q140" s="7">
        <v>1.9902845246356694E-2</v>
      </c>
      <c r="R140" s="7">
        <v>639.89133351023622</v>
      </c>
      <c r="S140" s="8">
        <v>1.2058577405857742</v>
      </c>
    </row>
    <row r="141" spans="1:19" x14ac:dyDescent="0.3">
      <c r="A141" s="6">
        <v>4</v>
      </c>
      <c r="B141" s="7" t="s">
        <v>48</v>
      </c>
      <c r="C141" s="7">
        <v>400</v>
      </c>
      <c r="D141" s="7">
        <v>99.999999999999986</v>
      </c>
      <c r="E141" s="7">
        <v>3</v>
      </c>
      <c r="F141" s="7">
        <v>8</v>
      </c>
      <c r="G141" s="7">
        <v>2.5</v>
      </c>
      <c r="H141" s="7">
        <v>300</v>
      </c>
      <c r="I141" s="7">
        <v>800</v>
      </c>
      <c r="J141" s="7">
        <v>329.4760582928522</v>
      </c>
      <c r="K141" s="7">
        <v>12</v>
      </c>
      <c r="L141" s="7">
        <v>32</v>
      </c>
      <c r="M141" s="7">
        <v>131790.42331714087</v>
      </c>
      <c r="N141" s="7">
        <v>100</v>
      </c>
      <c r="O141" s="7">
        <v>100</v>
      </c>
      <c r="P141" s="7">
        <v>100</v>
      </c>
      <c r="Q141" s="7">
        <v>0.13179042331714086</v>
      </c>
      <c r="R141" s="7">
        <v>4237.1605002415963</v>
      </c>
      <c r="S141" s="8">
        <v>1</v>
      </c>
    </row>
    <row r="142" spans="1:19" x14ac:dyDescent="0.3">
      <c r="A142" s="6">
        <v>5</v>
      </c>
      <c r="B142" s="7" t="s">
        <v>153</v>
      </c>
      <c r="C142" s="7">
        <v>400</v>
      </c>
      <c r="D142" s="7">
        <v>99.999999999999986</v>
      </c>
      <c r="E142" s="7">
        <v>50</v>
      </c>
      <c r="F142" s="7">
        <v>8</v>
      </c>
      <c r="G142" s="7">
        <v>2.5</v>
      </c>
      <c r="H142" s="7">
        <v>4999.9999999999991</v>
      </c>
      <c r="I142" s="7">
        <v>799.99999999999989</v>
      </c>
      <c r="J142" s="7">
        <v>249.99999999999997</v>
      </c>
      <c r="K142" s="7">
        <v>200</v>
      </c>
      <c r="L142" s="7">
        <v>32</v>
      </c>
      <c r="M142" s="7">
        <v>100000</v>
      </c>
      <c r="N142" s="7">
        <v>6.0000000000000009</v>
      </c>
      <c r="O142" s="7">
        <v>100.00000000000001</v>
      </c>
      <c r="P142" s="7">
        <v>131.79042331714089</v>
      </c>
      <c r="Q142" s="7">
        <v>0.1</v>
      </c>
      <c r="R142" s="7">
        <v>3215.0746568627983</v>
      </c>
      <c r="S142" s="8">
        <v>1</v>
      </c>
    </row>
    <row r="143" spans="1:19" x14ac:dyDescent="0.3">
      <c r="A143" s="25">
        <v>6</v>
      </c>
      <c r="B143" s="26" t="s">
        <v>154</v>
      </c>
      <c r="C143" s="26">
        <v>400</v>
      </c>
      <c r="D143" s="26">
        <v>99.999999999999986</v>
      </c>
      <c r="E143" s="26">
        <v>3</v>
      </c>
      <c r="F143" s="26">
        <v>8</v>
      </c>
      <c r="G143" s="26">
        <v>3.294760582928522</v>
      </c>
      <c r="H143" s="26">
        <v>300</v>
      </c>
      <c r="I143" s="26">
        <v>800</v>
      </c>
      <c r="J143" s="26">
        <v>329.4760582928522</v>
      </c>
      <c r="K143" s="26">
        <v>12</v>
      </c>
      <c r="L143" s="26">
        <v>32</v>
      </c>
      <c r="M143" s="26">
        <v>131790.42331714087</v>
      </c>
      <c r="N143" s="26">
        <v>100.00000000000001</v>
      </c>
      <c r="O143" s="26">
        <v>100.00000000000001</v>
      </c>
      <c r="P143" s="26">
        <v>100.00000000000001</v>
      </c>
      <c r="Q143" s="26">
        <v>0.13179042331714089</v>
      </c>
      <c r="R143" s="26">
        <v>4237.1605002415963</v>
      </c>
      <c r="S143" s="14">
        <v>1</v>
      </c>
    </row>
    <row r="145" spans="1:19" x14ac:dyDescent="0.3">
      <c r="E145" s="7">
        <v>60</v>
      </c>
      <c r="F145" s="7">
        <v>4</v>
      </c>
    </row>
    <row r="146" spans="1:19" x14ac:dyDescent="0.3">
      <c r="E146" s="7">
        <v>2</v>
      </c>
      <c r="F146" s="7">
        <v>50</v>
      </c>
    </row>
    <row r="147" spans="1:19" x14ac:dyDescent="0.3">
      <c r="E147" s="7">
        <v>0.5</v>
      </c>
      <c r="F147" s="7">
        <v>1.5</v>
      </c>
    </row>
    <row r="148" spans="1:19" x14ac:dyDescent="0.3">
      <c r="E148" s="7">
        <v>3</v>
      </c>
      <c r="F148" s="7">
        <v>8</v>
      </c>
    </row>
    <row r="150" spans="1:19" x14ac:dyDescent="0.3">
      <c r="A150" s="2" t="s">
        <v>94</v>
      </c>
    </row>
    <row r="151" spans="1:19" x14ac:dyDescent="0.3">
      <c r="A151" s="3" t="s">
        <v>33</v>
      </c>
      <c r="B151" s="4" t="s">
        <v>61</v>
      </c>
      <c r="C151" s="4" t="s">
        <v>79</v>
      </c>
      <c r="D151" s="4" t="s">
        <v>80</v>
      </c>
      <c r="E151" s="4" t="s">
        <v>81</v>
      </c>
      <c r="F151" s="4" t="s">
        <v>92</v>
      </c>
      <c r="G151" s="4" t="s">
        <v>82</v>
      </c>
      <c r="H151" s="4" t="s">
        <v>83</v>
      </c>
      <c r="I151" s="4" t="s">
        <v>93</v>
      </c>
      <c r="J151" s="4" t="s">
        <v>84</v>
      </c>
      <c r="K151" s="4" t="s">
        <v>85</v>
      </c>
      <c r="L151" s="4" t="s">
        <v>95</v>
      </c>
      <c r="M151" s="4" t="s">
        <v>86</v>
      </c>
      <c r="N151" s="4" t="s">
        <v>44</v>
      </c>
      <c r="O151" s="4" t="s">
        <v>45</v>
      </c>
      <c r="P151" s="4" t="s">
        <v>47</v>
      </c>
      <c r="Q151" s="4" t="s">
        <v>87</v>
      </c>
      <c r="R151" s="4" t="s">
        <v>88</v>
      </c>
      <c r="S151" s="5" t="s">
        <v>89</v>
      </c>
    </row>
    <row r="152" spans="1:19" x14ac:dyDescent="0.3">
      <c r="A152" s="6">
        <v>1</v>
      </c>
      <c r="B152" s="7" t="s">
        <v>49</v>
      </c>
      <c r="C152" s="7">
        <v>15.475364330326162</v>
      </c>
      <c r="D152" s="7">
        <v>3.8688410825815409</v>
      </c>
      <c r="E152" s="7">
        <v>60</v>
      </c>
      <c r="F152" s="7">
        <v>4</v>
      </c>
      <c r="G152" s="7">
        <v>45</v>
      </c>
      <c r="H152" s="7">
        <v>232.13046495489246</v>
      </c>
      <c r="I152" s="7">
        <v>15.475364330326164</v>
      </c>
      <c r="J152" s="7">
        <v>174.09784871616932</v>
      </c>
      <c r="K152" s="7">
        <v>9.2852185981956978</v>
      </c>
      <c r="L152" s="7">
        <v>0.61901457321304643</v>
      </c>
      <c r="M152" s="7">
        <v>69639.139486467728</v>
      </c>
      <c r="N152" s="7">
        <v>77.37682165163082</v>
      </c>
      <c r="O152" s="7">
        <v>1.93442054129077</v>
      </c>
      <c r="P152" s="7">
        <v>52.840819335474698</v>
      </c>
      <c r="Q152" s="7">
        <v>6.963913948646773E-2</v>
      </c>
      <c r="R152" s="7">
        <v>2238.9503248867577</v>
      </c>
      <c r="S152" s="8">
        <v>25.847533632286996</v>
      </c>
    </row>
    <row r="153" spans="1:19" x14ac:dyDescent="0.3">
      <c r="A153" s="6">
        <v>2</v>
      </c>
      <c r="B153" s="7" t="s">
        <v>50</v>
      </c>
      <c r="C153" s="7">
        <v>52.810548230395561</v>
      </c>
      <c r="D153" s="7">
        <v>13.20263705759889</v>
      </c>
      <c r="E153" s="7">
        <v>2</v>
      </c>
      <c r="F153" s="7">
        <v>50</v>
      </c>
      <c r="G153" s="7">
        <v>8</v>
      </c>
      <c r="H153" s="7">
        <v>26.405274115197781</v>
      </c>
      <c r="I153" s="7">
        <v>660.13185287994452</v>
      </c>
      <c r="J153" s="7">
        <v>105.62109646079112</v>
      </c>
      <c r="K153" s="7">
        <v>1.0562109646079112</v>
      </c>
      <c r="L153" s="7">
        <v>26.405274115197781</v>
      </c>
      <c r="M153" s="7">
        <v>42248.438584316449</v>
      </c>
      <c r="N153" s="7">
        <v>8.801758038399262</v>
      </c>
      <c r="O153" s="7">
        <v>82.516481609993065</v>
      </c>
      <c r="P153" s="7">
        <v>32.057290295403085</v>
      </c>
      <c r="Q153" s="7">
        <v>4.2248438584316449E-2</v>
      </c>
      <c r="R153" s="7">
        <v>1358.318841844602</v>
      </c>
      <c r="S153" s="8">
        <v>7.5742444152431005</v>
      </c>
    </row>
    <row r="154" spans="1:19" x14ac:dyDescent="0.3">
      <c r="A154" s="6">
        <v>3</v>
      </c>
      <c r="B154" s="7" t="s">
        <v>51</v>
      </c>
      <c r="C154" s="7">
        <v>331.71408743927822</v>
      </c>
      <c r="D154" s="7">
        <v>82.928521859819554</v>
      </c>
      <c r="E154" s="7">
        <v>0.5</v>
      </c>
      <c r="F154" s="7">
        <v>1.5</v>
      </c>
      <c r="G154" s="7">
        <v>0.6</v>
      </c>
      <c r="H154" s="7">
        <v>41.464260929909777</v>
      </c>
      <c r="I154" s="7">
        <v>124.39278278972932</v>
      </c>
      <c r="J154" s="7">
        <v>49.757113115891734</v>
      </c>
      <c r="K154" s="7">
        <v>1.6585704371963912</v>
      </c>
      <c r="L154" s="7">
        <v>4.9757113115891727</v>
      </c>
      <c r="M154" s="7">
        <v>19902.845246356694</v>
      </c>
      <c r="N154" s="7">
        <v>13.821420309969929</v>
      </c>
      <c r="O154" s="7">
        <v>15.549097848716166</v>
      </c>
      <c r="P154" s="7">
        <v>15.101890369122211</v>
      </c>
      <c r="Q154" s="7">
        <v>1.9902845246356694E-2</v>
      </c>
      <c r="R154" s="7">
        <v>639.89133351023622</v>
      </c>
      <c r="S154" s="8">
        <v>1.2058577405857742</v>
      </c>
    </row>
    <row r="155" spans="1:19" x14ac:dyDescent="0.3">
      <c r="A155" s="6">
        <v>4</v>
      </c>
      <c r="B155" s="7" t="s">
        <v>48</v>
      </c>
      <c r="C155" s="7">
        <v>400</v>
      </c>
      <c r="D155" s="7">
        <v>99.999999999999986</v>
      </c>
      <c r="E155" s="7">
        <v>3</v>
      </c>
      <c r="F155" s="7">
        <v>8</v>
      </c>
      <c r="G155" s="7">
        <v>2.5</v>
      </c>
      <c r="H155" s="7">
        <v>300</v>
      </c>
      <c r="I155" s="7">
        <v>800</v>
      </c>
      <c r="J155" s="7">
        <v>329.4760582928522</v>
      </c>
      <c r="K155" s="7">
        <v>12</v>
      </c>
      <c r="L155" s="7">
        <v>32</v>
      </c>
      <c r="M155" s="7">
        <v>131790.42331714087</v>
      </c>
      <c r="N155" s="7">
        <v>100</v>
      </c>
      <c r="O155" s="7">
        <v>100</v>
      </c>
      <c r="P155" s="7">
        <v>100</v>
      </c>
      <c r="Q155" s="7">
        <v>0.13179042331714086</v>
      </c>
      <c r="R155" s="7">
        <v>4237.1605002415963</v>
      </c>
      <c r="S155" s="8">
        <v>1</v>
      </c>
    </row>
    <row r="156" spans="1:19" x14ac:dyDescent="0.3">
      <c r="A156" s="6">
        <v>5</v>
      </c>
      <c r="B156" s="7" t="s">
        <v>153</v>
      </c>
      <c r="C156" s="7">
        <v>400</v>
      </c>
      <c r="D156" s="7">
        <v>99.999999999999986</v>
      </c>
      <c r="E156" s="7">
        <v>3</v>
      </c>
      <c r="F156" s="7">
        <v>8</v>
      </c>
      <c r="G156" s="7">
        <v>2.5</v>
      </c>
      <c r="H156" s="7">
        <v>299.99999999999994</v>
      </c>
      <c r="I156" s="7">
        <v>799.99999999999989</v>
      </c>
      <c r="J156" s="7">
        <v>249.99999999999997</v>
      </c>
      <c r="K156" s="7">
        <v>12</v>
      </c>
      <c r="L156" s="7">
        <v>32</v>
      </c>
      <c r="M156" s="7">
        <v>100000</v>
      </c>
      <c r="N156" s="7">
        <v>100.00000000000001</v>
      </c>
      <c r="O156" s="7">
        <v>100.00000000000001</v>
      </c>
      <c r="P156" s="7">
        <v>131.79042331714089</v>
      </c>
      <c r="Q156" s="7">
        <v>0.1</v>
      </c>
      <c r="R156" s="7">
        <v>3215.0746568627983</v>
      </c>
      <c r="S156" s="8">
        <v>1</v>
      </c>
    </row>
    <row r="157" spans="1:19" x14ac:dyDescent="0.3">
      <c r="A157" s="25">
        <v>6</v>
      </c>
      <c r="B157" s="26" t="s">
        <v>154</v>
      </c>
      <c r="C157" s="26">
        <v>400</v>
      </c>
      <c r="D157" s="26">
        <v>99.999999999999986</v>
      </c>
      <c r="E157" s="26">
        <v>3</v>
      </c>
      <c r="F157" s="26">
        <v>8</v>
      </c>
      <c r="G157" s="26">
        <v>3.294760582928522</v>
      </c>
      <c r="H157" s="26">
        <v>300</v>
      </c>
      <c r="I157" s="26">
        <v>800</v>
      </c>
      <c r="J157" s="26">
        <v>329.4760582928522</v>
      </c>
      <c r="K157" s="26">
        <v>12</v>
      </c>
      <c r="L157" s="26">
        <v>32</v>
      </c>
      <c r="M157" s="26">
        <v>131790.42331714087</v>
      </c>
      <c r="N157" s="26">
        <v>100.00000000000001</v>
      </c>
      <c r="O157" s="26">
        <v>100.00000000000001</v>
      </c>
      <c r="P157" s="26">
        <v>100.00000000000001</v>
      </c>
      <c r="Q157" s="26">
        <v>0.13179042331714089</v>
      </c>
      <c r="R157" s="26">
        <v>4237.1605002415963</v>
      </c>
      <c r="S157" s="14">
        <v>1</v>
      </c>
    </row>
    <row r="159" spans="1:19" x14ac:dyDescent="0.3">
      <c r="A159" s="2" t="s">
        <v>94</v>
      </c>
    </row>
    <row r="160" spans="1:19" x14ac:dyDescent="0.3">
      <c r="A160" s="3" t="s">
        <v>33</v>
      </c>
      <c r="B160" s="4" t="s">
        <v>61</v>
      </c>
      <c r="C160" s="4" t="s">
        <v>79</v>
      </c>
      <c r="D160" s="4" t="s">
        <v>80</v>
      </c>
      <c r="E160" s="4" t="s">
        <v>81</v>
      </c>
      <c r="F160" s="4" t="s">
        <v>92</v>
      </c>
      <c r="G160" s="4" t="s">
        <v>82</v>
      </c>
      <c r="H160" s="4" t="s">
        <v>83</v>
      </c>
      <c r="I160" s="4" t="s">
        <v>93</v>
      </c>
      <c r="J160" s="4" t="s">
        <v>84</v>
      </c>
      <c r="K160" s="4" t="s">
        <v>85</v>
      </c>
      <c r="L160" s="4" t="s">
        <v>95</v>
      </c>
      <c r="M160" s="4" t="s">
        <v>86</v>
      </c>
      <c r="N160" s="4" t="s">
        <v>44</v>
      </c>
      <c r="O160" s="4" t="s">
        <v>45</v>
      </c>
      <c r="P160" s="4" t="s">
        <v>47</v>
      </c>
      <c r="Q160" s="4" t="s">
        <v>87</v>
      </c>
      <c r="R160" s="4" t="s">
        <v>88</v>
      </c>
      <c r="S160" s="5" t="s">
        <v>89</v>
      </c>
    </row>
    <row r="161" spans="1:19" x14ac:dyDescent="0.3">
      <c r="A161" s="6">
        <v>1</v>
      </c>
      <c r="B161" s="7" t="s">
        <v>49</v>
      </c>
      <c r="C161" s="7">
        <v>696.39139486467718</v>
      </c>
      <c r="D161" s="7">
        <v>26.420409667737346</v>
      </c>
      <c r="E161" s="7">
        <v>60</v>
      </c>
      <c r="F161" s="7">
        <v>4</v>
      </c>
      <c r="G161" s="7">
        <v>45</v>
      </c>
      <c r="H161" s="7">
        <v>1585.2245800642409</v>
      </c>
      <c r="I161" s="7">
        <v>105.68163867094938</v>
      </c>
      <c r="J161" s="7">
        <v>1188.9184350481805</v>
      </c>
      <c r="K161" s="7">
        <v>417.83483691880633</v>
      </c>
      <c r="L161" s="7">
        <v>27.855655794587086</v>
      </c>
      <c r="M161" s="7">
        <v>3133761.2768910471</v>
      </c>
      <c r="N161" s="7">
        <v>97.789543778727008</v>
      </c>
      <c r="O161" s="7">
        <v>11.506641975450206</v>
      </c>
      <c r="P161" s="7">
        <v>89.955215121599636</v>
      </c>
      <c r="Q161" s="7">
        <v>3.1337612768910472</v>
      </c>
      <c r="R161" s="7">
        <v>100752.76461990408</v>
      </c>
      <c r="S161" s="8">
        <v>0.5743896362730444</v>
      </c>
    </row>
    <row r="162" spans="1:19" x14ac:dyDescent="0.3">
      <c r="A162" s="6">
        <v>2</v>
      </c>
      <c r="B162" s="7" t="s">
        <v>50</v>
      </c>
      <c r="C162" s="7">
        <v>422.48438584316443</v>
      </c>
      <c r="D162" s="7">
        <v>16.028645147701543</v>
      </c>
      <c r="E162" s="7">
        <v>2</v>
      </c>
      <c r="F162" s="7">
        <v>50</v>
      </c>
      <c r="G162" s="7">
        <v>8</v>
      </c>
      <c r="H162" s="7">
        <v>32.057290295403085</v>
      </c>
      <c r="I162" s="7">
        <v>801.43225738507704</v>
      </c>
      <c r="J162" s="7">
        <v>128.22916118161234</v>
      </c>
      <c r="K162" s="7">
        <v>8.4496877168632878</v>
      </c>
      <c r="L162" s="7">
        <v>211.24219292158222</v>
      </c>
      <c r="M162" s="7">
        <v>337987.50867453153</v>
      </c>
      <c r="N162" s="7">
        <v>1.9775543681278527</v>
      </c>
      <c r="O162" s="7">
        <v>87.260134960813204</v>
      </c>
      <c r="P162" s="7">
        <v>9.701995897209521</v>
      </c>
      <c r="Q162" s="7">
        <v>0.33798750867453159</v>
      </c>
      <c r="R162" s="7">
        <v>10866.550734756815</v>
      </c>
      <c r="S162" s="8">
        <v>0.94678055190538768</v>
      </c>
    </row>
    <row r="163" spans="1:19" x14ac:dyDescent="0.3">
      <c r="A163" s="6">
        <v>3</v>
      </c>
      <c r="B163" s="7" t="s">
        <v>51</v>
      </c>
      <c r="C163" s="7">
        <v>199.02845246356696</v>
      </c>
      <c r="D163" s="7">
        <v>7.5509451845611091</v>
      </c>
      <c r="E163" s="7">
        <v>0.5</v>
      </c>
      <c r="F163" s="7">
        <v>1.5</v>
      </c>
      <c r="G163" s="7">
        <v>0.6</v>
      </c>
      <c r="H163" s="7">
        <v>3.7754725922805545</v>
      </c>
      <c r="I163" s="7">
        <v>11.326417776841662</v>
      </c>
      <c r="J163" s="7">
        <v>4.5305671107366647</v>
      </c>
      <c r="K163" s="7">
        <v>0.99514226231783487</v>
      </c>
      <c r="L163" s="7">
        <v>2.9854267869535045</v>
      </c>
      <c r="M163" s="7">
        <v>11941.707147814017</v>
      </c>
      <c r="N163" s="7">
        <v>0.23290185314514955</v>
      </c>
      <c r="O163" s="7">
        <v>1.2332230637365917</v>
      </c>
      <c r="P163" s="7">
        <v>0.34278898119082918</v>
      </c>
      <c r="Q163" s="7">
        <v>1.1941707147814017E-2</v>
      </c>
      <c r="R163" s="7">
        <v>383.93480010614172</v>
      </c>
      <c r="S163" s="8">
        <v>2.0097629009762903</v>
      </c>
    </row>
    <row r="164" spans="1:19" x14ac:dyDescent="0.3">
      <c r="A164" s="6">
        <v>4</v>
      </c>
      <c r="B164" s="7" t="s">
        <v>48</v>
      </c>
      <c r="C164" s="7">
        <v>400</v>
      </c>
      <c r="D164" s="7">
        <v>49.999999999999993</v>
      </c>
      <c r="E164" s="7">
        <v>3</v>
      </c>
      <c r="F164" s="7">
        <v>8</v>
      </c>
      <c r="G164" s="7">
        <v>2.5</v>
      </c>
      <c r="H164" s="7">
        <v>1621.0573429519245</v>
      </c>
      <c r="I164" s="7">
        <v>918.44031383286813</v>
      </c>
      <c r="J164" s="7">
        <v>1321.6781633405296</v>
      </c>
      <c r="K164" s="7">
        <v>427.27966689798745</v>
      </c>
      <c r="L164" s="7">
        <v>242.08327550312279</v>
      </c>
      <c r="M164" s="7">
        <v>3483690.4927133927</v>
      </c>
      <c r="N164" s="7">
        <v>100.00000000000001</v>
      </c>
      <c r="O164" s="7">
        <v>100</v>
      </c>
      <c r="P164" s="7">
        <v>100</v>
      </c>
      <c r="Q164" s="7">
        <v>3.4836904927133925</v>
      </c>
      <c r="R164" s="7">
        <v>112003.25015476704</v>
      </c>
      <c r="S164" s="8">
        <v>1</v>
      </c>
    </row>
    <row r="165" spans="1:19" x14ac:dyDescent="0.3">
      <c r="A165" s="6">
        <v>5</v>
      </c>
      <c r="B165" s="7" t="s">
        <v>153</v>
      </c>
      <c r="C165" s="7">
        <v>400</v>
      </c>
      <c r="D165" s="7">
        <v>49.999999999999993</v>
      </c>
      <c r="E165" s="7">
        <v>3</v>
      </c>
      <c r="F165" s="7">
        <v>8</v>
      </c>
      <c r="G165" s="7">
        <v>2.5</v>
      </c>
      <c r="H165" s="7">
        <v>300</v>
      </c>
      <c r="I165" s="7">
        <v>800</v>
      </c>
      <c r="J165" s="7">
        <v>250</v>
      </c>
      <c r="K165" s="7">
        <v>12</v>
      </c>
      <c r="L165" s="7">
        <v>32</v>
      </c>
      <c r="M165" s="7">
        <v>100000</v>
      </c>
      <c r="N165" s="7">
        <v>3560.6638908165614</v>
      </c>
      <c r="O165" s="7">
        <v>756.51023594725859</v>
      </c>
      <c r="P165" s="7">
        <v>3483.6904927133933</v>
      </c>
      <c r="Q165" s="7">
        <v>0.1</v>
      </c>
      <c r="R165" s="7">
        <v>3215.0746568627983</v>
      </c>
      <c r="S165" s="8">
        <v>1</v>
      </c>
    </row>
    <row r="166" spans="1:19" x14ac:dyDescent="0.3">
      <c r="A166" s="25">
        <v>6</v>
      </c>
      <c r="B166" s="26" t="s">
        <v>154</v>
      </c>
      <c r="C166" s="26">
        <v>400</v>
      </c>
      <c r="D166" s="26">
        <v>49.999999999999993</v>
      </c>
      <c r="E166" s="26">
        <v>106.81991672449685</v>
      </c>
      <c r="F166" s="26">
        <v>60.520818875780691</v>
      </c>
      <c r="G166" s="26">
        <v>87.092262317834823</v>
      </c>
      <c r="H166" s="26">
        <v>1621.0573429519245</v>
      </c>
      <c r="I166" s="26">
        <v>918.44031383286813</v>
      </c>
      <c r="J166" s="26">
        <v>1321.6781633405296</v>
      </c>
      <c r="K166" s="26">
        <v>427.27966689798745</v>
      </c>
      <c r="L166" s="26">
        <v>242.08327550312279</v>
      </c>
      <c r="M166" s="26">
        <v>3483690.4927133927</v>
      </c>
      <c r="N166" s="26">
        <v>100.00000000000001</v>
      </c>
      <c r="O166" s="26">
        <v>100</v>
      </c>
      <c r="P166" s="26">
        <v>100</v>
      </c>
      <c r="Q166" s="26">
        <v>3.4836904927133925</v>
      </c>
      <c r="R166" s="26">
        <v>112003.25015476704</v>
      </c>
      <c r="S166" s="14">
        <v>1</v>
      </c>
    </row>
    <row r="168" spans="1:19" x14ac:dyDescent="0.3">
      <c r="A168" s="2" t="s">
        <v>94</v>
      </c>
    </row>
    <row r="169" spans="1:19" x14ac:dyDescent="0.3">
      <c r="A169" s="3" t="s">
        <v>33</v>
      </c>
      <c r="B169" s="4" t="s">
        <v>61</v>
      </c>
      <c r="C169" s="4" t="s">
        <v>79</v>
      </c>
      <c r="D169" s="4" t="s">
        <v>80</v>
      </c>
      <c r="E169" s="4" t="s">
        <v>81</v>
      </c>
      <c r="F169" s="4" t="s">
        <v>92</v>
      </c>
      <c r="G169" s="4" t="s">
        <v>82</v>
      </c>
      <c r="H169" s="4" t="s">
        <v>83</v>
      </c>
      <c r="I169" s="4" t="s">
        <v>93</v>
      </c>
      <c r="J169" s="4" t="s">
        <v>84</v>
      </c>
      <c r="K169" s="4" t="s">
        <v>85</v>
      </c>
      <c r="L169" s="4" t="s">
        <v>95</v>
      </c>
      <c r="M169" s="4" t="s">
        <v>86</v>
      </c>
      <c r="N169" s="4" t="s">
        <v>44</v>
      </c>
      <c r="O169" s="4" t="s">
        <v>45</v>
      </c>
      <c r="P169" s="4" t="s">
        <v>47</v>
      </c>
      <c r="Q169" s="4" t="s">
        <v>87</v>
      </c>
      <c r="R169" s="4" t="s">
        <v>88</v>
      </c>
      <c r="S169" s="5" t="s">
        <v>89</v>
      </c>
    </row>
    <row r="170" spans="1:19" x14ac:dyDescent="0.3">
      <c r="A170" s="6">
        <v>1</v>
      </c>
      <c r="B170" s="7" t="s">
        <v>49</v>
      </c>
      <c r="C170" s="7">
        <v>696.39139486467718</v>
      </c>
      <c r="D170" s="7">
        <v>26.420409667737346</v>
      </c>
      <c r="E170" s="7">
        <v>60</v>
      </c>
      <c r="F170" s="7">
        <v>4</v>
      </c>
      <c r="G170" s="7">
        <v>45</v>
      </c>
      <c r="H170" s="7">
        <v>1585.2245800642409</v>
      </c>
      <c r="I170" s="7">
        <v>105.68163867094938</v>
      </c>
      <c r="J170" s="7">
        <v>1188.9184350481805</v>
      </c>
      <c r="K170" s="7">
        <v>417.83483691880633</v>
      </c>
      <c r="L170" s="7">
        <v>27.855655794587086</v>
      </c>
      <c r="M170" s="7">
        <v>3133761.2768910471</v>
      </c>
      <c r="N170" s="7">
        <v>97.789543778727008</v>
      </c>
      <c r="O170" s="7">
        <v>11.506641975450206</v>
      </c>
      <c r="P170" s="7">
        <v>89.955215121599636</v>
      </c>
      <c r="Q170" s="7">
        <v>3.1337612768910472</v>
      </c>
      <c r="R170" s="7">
        <v>100752.76461990408</v>
      </c>
      <c r="S170" s="8">
        <v>0.5743896362730444</v>
      </c>
    </row>
    <row r="171" spans="1:19" x14ac:dyDescent="0.3">
      <c r="A171" s="6">
        <v>2</v>
      </c>
      <c r="B171" s="7" t="s">
        <v>50</v>
      </c>
      <c r="C171" s="7">
        <v>422.48438584316443</v>
      </c>
      <c r="D171" s="7">
        <v>16.028645147701543</v>
      </c>
      <c r="E171" s="7">
        <v>2</v>
      </c>
      <c r="F171" s="7">
        <v>50</v>
      </c>
      <c r="G171" s="7">
        <v>8</v>
      </c>
      <c r="H171" s="7">
        <v>32.057290295403085</v>
      </c>
      <c r="I171" s="7">
        <v>801.43225738507704</v>
      </c>
      <c r="J171" s="7">
        <v>128.22916118161234</v>
      </c>
      <c r="K171" s="7">
        <v>8.4496877168632878</v>
      </c>
      <c r="L171" s="7">
        <v>211.24219292158222</v>
      </c>
      <c r="M171" s="7">
        <v>337987.50867453153</v>
      </c>
      <c r="N171" s="7">
        <v>1.9775543681278527</v>
      </c>
      <c r="O171" s="7">
        <v>87.260134960813204</v>
      </c>
      <c r="P171" s="7">
        <v>9.701995897209521</v>
      </c>
      <c r="Q171" s="7">
        <v>0.33798750867453159</v>
      </c>
      <c r="R171" s="7">
        <v>10866.550734756815</v>
      </c>
      <c r="S171" s="8">
        <v>0.94678055190538768</v>
      </c>
    </row>
    <row r="172" spans="1:19" x14ac:dyDescent="0.3">
      <c r="A172" s="6">
        <v>3</v>
      </c>
      <c r="B172" s="7" t="s">
        <v>51</v>
      </c>
      <c r="C172" s="7">
        <v>199.02845246356696</v>
      </c>
      <c r="D172" s="7">
        <v>7.5509451845611091</v>
      </c>
      <c r="E172" s="7">
        <v>0.5</v>
      </c>
      <c r="F172" s="7">
        <v>1.5</v>
      </c>
      <c r="G172" s="7">
        <v>0.6</v>
      </c>
      <c r="H172" s="7">
        <v>3.7754725922805545</v>
      </c>
      <c r="I172" s="7">
        <v>11.326417776841662</v>
      </c>
      <c r="J172" s="7">
        <v>4.5305671107366647</v>
      </c>
      <c r="K172" s="7">
        <v>0.99514226231783487</v>
      </c>
      <c r="L172" s="7">
        <v>2.9854267869535045</v>
      </c>
      <c r="M172" s="7">
        <v>11941.707147814017</v>
      </c>
      <c r="N172" s="7">
        <v>0.23290185314514955</v>
      </c>
      <c r="O172" s="7">
        <v>1.2332230637365917</v>
      </c>
      <c r="P172" s="7">
        <v>0.34278898119082918</v>
      </c>
      <c r="Q172" s="7">
        <v>1.1941707147814017E-2</v>
      </c>
      <c r="R172" s="7">
        <v>383.93480010614172</v>
      </c>
      <c r="S172" s="8">
        <v>2.0097629009762903</v>
      </c>
    </row>
    <row r="173" spans="1:19" x14ac:dyDescent="0.3">
      <c r="A173" s="6">
        <v>4</v>
      </c>
      <c r="B173" s="7" t="s">
        <v>48</v>
      </c>
      <c r="C173" s="7">
        <v>400</v>
      </c>
      <c r="D173" s="7">
        <v>49.999999999999993</v>
      </c>
      <c r="E173" s="7">
        <v>3</v>
      </c>
      <c r="F173" s="7">
        <v>8</v>
      </c>
      <c r="G173" s="7">
        <v>2.5</v>
      </c>
      <c r="H173" s="7">
        <v>1621.0573429519245</v>
      </c>
      <c r="I173" s="7">
        <v>918.44031383286813</v>
      </c>
      <c r="J173" s="7">
        <v>1321.6781633405296</v>
      </c>
      <c r="K173" s="7">
        <v>427.27966689798745</v>
      </c>
      <c r="L173" s="7">
        <v>242.08327550312279</v>
      </c>
      <c r="M173" s="7">
        <v>3483690.4927133927</v>
      </c>
      <c r="N173" s="7">
        <v>100.00000000000001</v>
      </c>
      <c r="O173" s="7">
        <v>100</v>
      </c>
      <c r="P173" s="7">
        <v>100</v>
      </c>
      <c r="Q173" s="7">
        <v>3.4836904927133925</v>
      </c>
      <c r="R173" s="7">
        <v>112003.25015476704</v>
      </c>
      <c r="S173" s="8">
        <v>1</v>
      </c>
    </row>
    <row r="174" spans="1:19" x14ac:dyDescent="0.3">
      <c r="A174" s="6">
        <v>5</v>
      </c>
      <c r="B174" s="7" t="s">
        <v>153</v>
      </c>
      <c r="C174" s="7">
        <v>400</v>
      </c>
      <c r="D174" s="7">
        <v>49.999999999999993</v>
      </c>
      <c r="E174" s="7">
        <v>3</v>
      </c>
      <c r="F174" s="7">
        <v>8</v>
      </c>
      <c r="G174" s="7">
        <v>2.5</v>
      </c>
      <c r="H174" s="7">
        <v>300</v>
      </c>
      <c r="I174" s="7">
        <v>800</v>
      </c>
      <c r="J174" s="7">
        <v>250</v>
      </c>
      <c r="K174" s="7">
        <v>12</v>
      </c>
      <c r="L174" s="7">
        <v>32</v>
      </c>
      <c r="M174" s="7">
        <v>100000</v>
      </c>
      <c r="N174" s="7">
        <v>3560.6638908165614</v>
      </c>
      <c r="O174" s="7">
        <v>756.51023594725859</v>
      </c>
      <c r="P174" s="7">
        <v>3483.6904927133933</v>
      </c>
      <c r="Q174" s="7">
        <v>0.1</v>
      </c>
      <c r="R174" s="7">
        <v>3215.0746568627983</v>
      </c>
      <c r="S174" s="8">
        <v>1</v>
      </c>
    </row>
    <row r="175" spans="1:19" x14ac:dyDescent="0.3">
      <c r="A175" s="25">
        <v>6</v>
      </c>
      <c r="B175" s="26" t="s">
        <v>154</v>
      </c>
      <c r="C175" s="26">
        <v>400</v>
      </c>
      <c r="D175" s="26">
        <v>49.999999999999993</v>
      </c>
      <c r="E175" s="26">
        <v>106.81991672449685</v>
      </c>
      <c r="F175" s="26">
        <v>60.520818875780691</v>
      </c>
      <c r="G175" s="26">
        <v>87.092262317834823</v>
      </c>
      <c r="H175" s="26">
        <v>1621.0573429519245</v>
      </c>
      <c r="I175" s="26">
        <v>918.44031383286813</v>
      </c>
      <c r="J175" s="26">
        <v>1321.6781633405296</v>
      </c>
      <c r="K175" s="26">
        <v>427.27966689798745</v>
      </c>
      <c r="L175" s="26">
        <v>242.08327550312279</v>
      </c>
      <c r="M175" s="26">
        <v>3483690.4927133927</v>
      </c>
      <c r="N175" s="26">
        <v>100.00000000000001</v>
      </c>
      <c r="O175" s="26">
        <v>100</v>
      </c>
      <c r="P175" s="26">
        <v>100</v>
      </c>
      <c r="Q175" s="26">
        <v>3.4836904927133925</v>
      </c>
      <c r="R175" s="26">
        <v>112003.25015476704</v>
      </c>
      <c r="S175" s="14">
        <v>1</v>
      </c>
    </row>
    <row r="177" spans="1:38" x14ac:dyDescent="0.3">
      <c r="A177" s="2" t="s">
        <v>94</v>
      </c>
    </row>
    <row r="178" spans="1:38" x14ac:dyDescent="0.3">
      <c r="A178" s="3" t="s">
        <v>33</v>
      </c>
      <c r="B178" s="4" t="s">
        <v>61</v>
      </c>
      <c r="C178" s="4" t="s">
        <v>79</v>
      </c>
      <c r="D178" s="4" t="s">
        <v>80</v>
      </c>
      <c r="E178" s="4" t="s">
        <v>81</v>
      </c>
      <c r="F178" s="4" t="s">
        <v>92</v>
      </c>
      <c r="G178" s="4" t="s">
        <v>82</v>
      </c>
      <c r="H178" s="4" t="s">
        <v>83</v>
      </c>
      <c r="I178" s="4" t="s">
        <v>93</v>
      </c>
      <c r="J178" s="4" t="s">
        <v>84</v>
      </c>
      <c r="K178" s="4" t="s">
        <v>85</v>
      </c>
      <c r="L178" s="4" t="s">
        <v>95</v>
      </c>
      <c r="M178" s="4" t="s">
        <v>86</v>
      </c>
      <c r="N178" s="4" t="s">
        <v>44</v>
      </c>
      <c r="O178" s="4" t="s">
        <v>45</v>
      </c>
      <c r="P178" s="4" t="s">
        <v>47</v>
      </c>
      <c r="Q178" s="4" t="s">
        <v>87</v>
      </c>
      <c r="R178" s="4" t="s">
        <v>88</v>
      </c>
      <c r="S178" s="5" t="s">
        <v>89</v>
      </c>
    </row>
    <row r="179" spans="1:38" x14ac:dyDescent="0.3">
      <c r="A179" s="6">
        <v>1</v>
      </c>
      <c r="B179" s="7" t="s">
        <v>49</v>
      </c>
      <c r="C179" s="7">
        <v>696.3913948646773</v>
      </c>
      <c r="D179" s="7">
        <v>26.420409667737346</v>
      </c>
      <c r="E179" s="7">
        <v>60</v>
      </c>
      <c r="F179" s="7">
        <v>4</v>
      </c>
      <c r="G179" s="7">
        <v>45</v>
      </c>
      <c r="H179" s="7">
        <v>1585.2245800642409</v>
      </c>
      <c r="I179" s="7">
        <v>105.68163867094938</v>
      </c>
      <c r="J179" s="7">
        <v>1188.9184350481808</v>
      </c>
      <c r="K179" s="7">
        <v>417.83483691880639</v>
      </c>
      <c r="L179" s="7">
        <v>27.855655794587094</v>
      </c>
      <c r="M179" s="7">
        <v>3133761.2768910481</v>
      </c>
      <c r="N179" s="7">
        <v>97.789543778727008</v>
      </c>
      <c r="O179" s="7">
        <v>11.506641975450203</v>
      </c>
      <c r="P179" s="7">
        <v>89.955215121599636</v>
      </c>
      <c r="Q179" s="7">
        <v>3.1337612768910481</v>
      </c>
      <c r="R179" s="7">
        <v>100752.7646199041</v>
      </c>
      <c r="S179" s="8">
        <v>0.5743896362730444</v>
      </c>
    </row>
    <row r="180" spans="1:38" x14ac:dyDescent="0.3">
      <c r="A180" s="6">
        <v>2</v>
      </c>
      <c r="B180" s="7" t="s">
        <v>50</v>
      </c>
      <c r="C180" s="7">
        <v>422.48438584316449</v>
      </c>
      <c r="D180" s="7">
        <v>16.028645147701543</v>
      </c>
      <c r="E180" s="7">
        <v>2</v>
      </c>
      <c r="F180" s="7">
        <v>50</v>
      </c>
      <c r="G180" s="7">
        <v>8</v>
      </c>
      <c r="H180" s="7">
        <v>32.057290295403085</v>
      </c>
      <c r="I180" s="7">
        <v>801.43225738507715</v>
      </c>
      <c r="J180" s="7">
        <v>128.22916118161234</v>
      </c>
      <c r="K180" s="7">
        <v>8.4496877168632896</v>
      </c>
      <c r="L180" s="7">
        <v>211.24219292158224</v>
      </c>
      <c r="M180" s="7">
        <v>337987.50867453159</v>
      </c>
      <c r="N180" s="7">
        <v>1.9775543681278527</v>
      </c>
      <c r="O180" s="7">
        <v>87.260134960813204</v>
      </c>
      <c r="P180" s="7">
        <v>9.7019958972095193</v>
      </c>
      <c r="Q180" s="7">
        <v>0.33798750867453159</v>
      </c>
      <c r="R180" s="7">
        <v>10866.550734756816</v>
      </c>
      <c r="S180" s="8">
        <v>0.94678055190538757</v>
      </c>
    </row>
    <row r="181" spans="1:38" x14ac:dyDescent="0.3">
      <c r="A181" s="6">
        <v>3</v>
      </c>
      <c r="B181" s="7" t="s">
        <v>51</v>
      </c>
      <c r="C181" s="7">
        <v>199.02845246356694</v>
      </c>
      <c r="D181" s="7">
        <v>7.5509451845611064</v>
      </c>
      <c r="E181" s="7">
        <v>0.5</v>
      </c>
      <c r="F181" s="7">
        <v>1.5</v>
      </c>
      <c r="G181" s="7">
        <v>0.6</v>
      </c>
      <c r="H181" s="7">
        <v>3.7754725922805532</v>
      </c>
      <c r="I181" s="7">
        <v>11.326417776841659</v>
      </c>
      <c r="J181" s="7">
        <v>4.5305671107366638</v>
      </c>
      <c r="K181" s="7">
        <v>0.99514226231783465</v>
      </c>
      <c r="L181" s="7">
        <v>2.9854267869535041</v>
      </c>
      <c r="M181" s="7">
        <v>11941.707147814015</v>
      </c>
      <c r="N181" s="7">
        <v>0.23290185314514947</v>
      </c>
      <c r="O181" s="7">
        <v>1.2332230637365911</v>
      </c>
      <c r="P181" s="7">
        <v>0.34278898119082901</v>
      </c>
      <c r="Q181" s="7">
        <v>1.1941707147814017E-2</v>
      </c>
      <c r="R181" s="7">
        <v>383.93480010614167</v>
      </c>
      <c r="S181" s="8">
        <v>2.0097629009762903</v>
      </c>
    </row>
    <row r="182" spans="1:38" x14ac:dyDescent="0.3">
      <c r="A182" s="6">
        <v>4</v>
      </c>
      <c r="B182" s="7" t="s">
        <v>48</v>
      </c>
      <c r="C182" s="7">
        <v>400</v>
      </c>
      <c r="D182" s="7">
        <v>49.999999999999993</v>
      </c>
      <c r="E182" s="7">
        <v>3</v>
      </c>
      <c r="F182" s="7">
        <v>8</v>
      </c>
      <c r="G182" s="7">
        <v>2.5</v>
      </c>
      <c r="H182" s="7">
        <v>1621.0573429519245</v>
      </c>
      <c r="I182" s="7">
        <v>918.44031383286824</v>
      </c>
      <c r="J182" s="7">
        <v>1321.6781633405299</v>
      </c>
      <c r="K182" s="7">
        <v>427.27966689798751</v>
      </c>
      <c r="L182" s="7">
        <v>242.08327550312282</v>
      </c>
      <c r="M182" s="7">
        <v>3483690.4927133936</v>
      </c>
      <c r="N182" s="7">
        <v>100.00000000000001</v>
      </c>
      <c r="O182" s="7">
        <v>100</v>
      </c>
      <c r="P182" s="7">
        <v>99.999999999999986</v>
      </c>
      <c r="Q182" s="7">
        <v>3.4836904927133934</v>
      </c>
      <c r="R182" s="7">
        <v>112003.25015476707</v>
      </c>
      <c r="S182" s="8">
        <v>1</v>
      </c>
    </row>
    <row r="183" spans="1:38" x14ac:dyDescent="0.3">
      <c r="A183" s="6">
        <v>5</v>
      </c>
      <c r="B183" s="7" t="s">
        <v>153</v>
      </c>
      <c r="C183" s="7">
        <v>400</v>
      </c>
      <c r="D183" s="7">
        <v>49.999999999999993</v>
      </c>
      <c r="E183" s="7">
        <v>3</v>
      </c>
      <c r="F183" s="7">
        <v>8</v>
      </c>
      <c r="G183" s="7">
        <v>2.5</v>
      </c>
      <c r="H183" s="7">
        <v>300</v>
      </c>
      <c r="I183" s="7">
        <v>800</v>
      </c>
      <c r="J183" s="7">
        <v>250</v>
      </c>
      <c r="K183" s="7">
        <v>12</v>
      </c>
      <c r="L183" s="7">
        <v>32</v>
      </c>
      <c r="M183" s="7">
        <v>100000</v>
      </c>
      <c r="N183" s="7">
        <v>3560.6638908165623</v>
      </c>
      <c r="O183" s="7">
        <v>756.51023594725882</v>
      </c>
      <c r="P183" s="7">
        <v>3483.6904927133942</v>
      </c>
      <c r="Q183" s="7">
        <v>0.1</v>
      </c>
      <c r="R183" s="7">
        <v>3215.0746568627983</v>
      </c>
      <c r="S183" s="8">
        <v>1</v>
      </c>
    </row>
    <row r="184" spans="1:38" x14ac:dyDescent="0.3">
      <c r="A184" s="25">
        <v>6</v>
      </c>
      <c r="B184" s="26" t="s">
        <v>154</v>
      </c>
      <c r="C184" s="26">
        <v>400</v>
      </c>
      <c r="D184" s="26">
        <v>49.999999999999993</v>
      </c>
      <c r="E184" s="26">
        <v>106.81991672449686</v>
      </c>
      <c r="F184" s="26">
        <v>60.520818875780705</v>
      </c>
      <c r="G184" s="26">
        <v>87.092262317834852</v>
      </c>
      <c r="H184" s="26">
        <v>1621.0573429519245</v>
      </c>
      <c r="I184" s="26">
        <v>918.44031383286824</v>
      </c>
      <c r="J184" s="26">
        <v>1321.6781633405299</v>
      </c>
      <c r="K184" s="26">
        <v>427.27966689798751</v>
      </c>
      <c r="L184" s="26">
        <v>242.08327550312282</v>
      </c>
      <c r="M184" s="26">
        <v>3483690.4927133936</v>
      </c>
      <c r="N184" s="26">
        <v>100.00000000000001</v>
      </c>
      <c r="O184" s="26">
        <v>100</v>
      </c>
      <c r="P184" s="26">
        <v>99.999999999999986</v>
      </c>
      <c r="Q184" s="26">
        <v>3.4836904927133934</v>
      </c>
      <c r="R184" s="26">
        <v>112003.25015476707</v>
      </c>
      <c r="S184" s="14">
        <v>1</v>
      </c>
      <c r="U184" s="2" t="s">
        <v>94</v>
      </c>
    </row>
    <row r="185" spans="1:38" x14ac:dyDescent="0.3">
      <c r="U185" s="3" t="s">
        <v>33</v>
      </c>
      <c r="V185" s="4" t="s">
        <v>61</v>
      </c>
      <c r="W185" s="4" t="s">
        <v>79</v>
      </c>
      <c r="X185" s="4" t="s">
        <v>80</v>
      </c>
      <c r="Y185" s="4" t="s">
        <v>81</v>
      </c>
      <c r="Z185" s="4" t="s">
        <v>92</v>
      </c>
      <c r="AA185" s="4" t="s">
        <v>82</v>
      </c>
      <c r="AB185" s="4" t="s">
        <v>83</v>
      </c>
      <c r="AC185" s="4" t="s">
        <v>93</v>
      </c>
      <c r="AD185" s="4" t="s">
        <v>84</v>
      </c>
      <c r="AE185" s="4" t="s">
        <v>85</v>
      </c>
      <c r="AF185" s="4" t="s">
        <v>95</v>
      </c>
      <c r="AG185" s="4" t="s">
        <v>86</v>
      </c>
      <c r="AH185" s="4" t="s">
        <v>44</v>
      </c>
      <c r="AI185" s="4" t="s">
        <v>45</v>
      </c>
      <c r="AJ185" s="4" t="s">
        <v>47</v>
      </c>
      <c r="AK185" s="4" t="s">
        <v>87</v>
      </c>
      <c r="AL185" s="4" t="s">
        <v>88</v>
      </c>
    </row>
    <row r="186" spans="1:38" x14ac:dyDescent="0.3">
      <c r="A186" s="2" t="s">
        <v>94</v>
      </c>
      <c r="U186" s="6">
        <v>1</v>
      </c>
      <c r="V186" s="7" t="s">
        <v>49</v>
      </c>
      <c r="W186" s="7">
        <v>15.475364330326162</v>
      </c>
      <c r="X186" s="7">
        <v>3.8688410825815414</v>
      </c>
      <c r="Y186" s="7">
        <v>60</v>
      </c>
      <c r="Z186" s="7">
        <v>4</v>
      </c>
      <c r="AA186" s="7">
        <v>45</v>
      </c>
      <c r="AB186" s="7">
        <v>232.13046495489249</v>
      </c>
      <c r="AC186" s="7">
        <v>15.475364330326165</v>
      </c>
      <c r="AD186" s="7">
        <v>174.09784871616935</v>
      </c>
      <c r="AE186" s="7">
        <v>9.2852185981956978</v>
      </c>
      <c r="AF186" s="7">
        <v>0.61901457321304643</v>
      </c>
      <c r="AG186" s="7">
        <v>69639.139486467728</v>
      </c>
      <c r="AH186" s="7">
        <v>77.37682165163082</v>
      </c>
      <c r="AI186" s="7">
        <v>1.9344205412907705</v>
      </c>
      <c r="AJ186" s="7">
        <v>52.840819335474698</v>
      </c>
      <c r="AK186" s="7">
        <v>6.963913948646773E-2</v>
      </c>
      <c r="AL186" s="7">
        <v>2238.9503248867577</v>
      </c>
    </row>
    <row r="187" spans="1:38" x14ac:dyDescent="0.3">
      <c r="A187" s="3" t="s">
        <v>33</v>
      </c>
      <c r="B187" s="4" t="s">
        <v>61</v>
      </c>
      <c r="C187" s="4" t="s">
        <v>79</v>
      </c>
      <c r="D187" s="4" t="s">
        <v>80</v>
      </c>
      <c r="E187" s="4" t="s">
        <v>81</v>
      </c>
      <c r="F187" s="4" t="s">
        <v>92</v>
      </c>
      <c r="G187" s="4" t="s">
        <v>82</v>
      </c>
      <c r="H187" s="4" t="s">
        <v>83</v>
      </c>
      <c r="I187" s="4" t="s">
        <v>93</v>
      </c>
      <c r="J187" s="4" t="s">
        <v>84</v>
      </c>
      <c r="K187" s="4" t="s">
        <v>85</v>
      </c>
      <c r="L187" s="4" t="s">
        <v>95</v>
      </c>
      <c r="M187" s="4" t="s">
        <v>86</v>
      </c>
      <c r="N187" s="4" t="s">
        <v>44</v>
      </c>
      <c r="O187" s="4" t="s">
        <v>45</v>
      </c>
      <c r="P187" s="4" t="s">
        <v>47</v>
      </c>
      <c r="Q187" s="4" t="s">
        <v>87</v>
      </c>
      <c r="R187" s="4" t="s">
        <v>88</v>
      </c>
      <c r="S187" s="5" t="s">
        <v>89</v>
      </c>
      <c r="U187" s="6">
        <v>2</v>
      </c>
      <c r="V187" s="7" t="s">
        <v>50</v>
      </c>
      <c r="W187" s="7">
        <v>52.810548230395561</v>
      </c>
      <c r="X187" s="7">
        <v>13.202637057598892</v>
      </c>
      <c r="Y187" s="7">
        <v>2</v>
      </c>
      <c r="Z187" s="7">
        <v>50</v>
      </c>
      <c r="AA187" s="7">
        <v>8</v>
      </c>
      <c r="AB187" s="7">
        <v>26.405274115197784</v>
      </c>
      <c r="AC187" s="7">
        <v>660.13185287994463</v>
      </c>
      <c r="AD187" s="7">
        <v>105.62109646079114</v>
      </c>
      <c r="AE187" s="7">
        <v>1.0562109646079112</v>
      </c>
      <c r="AF187" s="7">
        <v>26.405274115197781</v>
      </c>
      <c r="AG187" s="7">
        <v>42248.438584316449</v>
      </c>
      <c r="AH187" s="7">
        <v>8.8017580383992602</v>
      </c>
      <c r="AI187" s="7">
        <v>82.516481609993065</v>
      </c>
      <c r="AJ187" s="7">
        <v>32.057290295403085</v>
      </c>
      <c r="AK187" s="7">
        <v>4.2248438584316449E-2</v>
      </c>
      <c r="AL187" s="7">
        <v>1358.318841844602</v>
      </c>
    </row>
    <row r="188" spans="1:38" x14ac:dyDescent="0.3">
      <c r="A188" s="6">
        <v>1</v>
      </c>
      <c r="B188" s="7" t="s">
        <v>49</v>
      </c>
      <c r="C188" s="7">
        <v>15.475364330326162</v>
      </c>
      <c r="D188" s="7">
        <v>3.8688410825815414</v>
      </c>
      <c r="E188" s="7">
        <v>60</v>
      </c>
      <c r="F188" s="7">
        <v>4</v>
      </c>
      <c r="G188" s="7">
        <v>45</v>
      </c>
      <c r="H188" s="7">
        <v>232.13046495489249</v>
      </c>
      <c r="I188" s="7">
        <v>15.475364330326165</v>
      </c>
      <c r="J188" s="7">
        <v>174.09784871616935</v>
      </c>
      <c r="K188" s="7">
        <v>9.2852185981956978</v>
      </c>
      <c r="L188" s="7">
        <v>0.61901457321304643</v>
      </c>
      <c r="M188" s="7">
        <v>69639.139486467728</v>
      </c>
      <c r="N188" s="7">
        <v>77.37682165163082</v>
      </c>
      <c r="O188" s="7">
        <v>1.9344205412907705</v>
      </c>
      <c r="P188" s="7">
        <v>52.840819335474698</v>
      </c>
      <c r="Q188" s="7">
        <v>6.963913948646773E-2</v>
      </c>
      <c r="R188" s="7">
        <v>2238.9503248867577</v>
      </c>
      <c r="S188" s="8">
        <v>25.847533632286996</v>
      </c>
      <c r="U188" s="6">
        <v>3</v>
      </c>
      <c r="V188" s="7" t="s">
        <v>51</v>
      </c>
      <c r="W188" s="7">
        <v>331.71408743927822</v>
      </c>
      <c r="X188" s="7">
        <v>82.928521859819568</v>
      </c>
      <c r="Y188" s="7">
        <v>0.5</v>
      </c>
      <c r="Z188" s="7">
        <v>1.5</v>
      </c>
      <c r="AA188" s="7">
        <v>0.6</v>
      </c>
      <c r="AB188" s="7">
        <v>41.464260929909784</v>
      </c>
      <c r="AC188" s="7">
        <v>124.39278278972934</v>
      </c>
      <c r="AD188" s="7">
        <v>49.757113115891741</v>
      </c>
      <c r="AE188" s="7">
        <v>1.6585704371963912</v>
      </c>
      <c r="AF188" s="7">
        <v>4.9757113115891727</v>
      </c>
      <c r="AG188" s="7">
        <v>19902.845246356694</v>
      </c>
      <c r="AH188" s="7">
        <v>13.821420309969925</v>
      </c>
      <c r="AI188" s="7">
        <v>15.549097848716166</v>
      </c>
      <c r="AJ188" s="7">
        <v>15.101890369122211</v>
      </c>
      <c r="AK188" s="7">
        <v>1.9902845246356694E-2</v>
      </c>
      <c r="AL188" s="7">
        <v>639.89133351023622</v>
      </c>
    </row>
    <row r="189" spans="1:38" x14ac:dyDescent="0.3">
      <c r="A189" s="6">
        <v>2</v>
      </c>
      <c r="B189" s="7" t="s">
        <v>50</v>
      </c>
      <c r="C189" s="7">
        <v>52.810548230395561</v>
      </c>
      <c r="D189" s="7">
        <v>13.202637057598892</v>
      </c>
      <c r="E189" s="7">
        <v>2</v>
      </c>
      <c r="F189" s="7">
        <v>50</v>
      </c>
      <c r="G189" s="7">
        <v>8</v>
      </c>
      <c r="H189" s="7">
        <v>26.405274115197784</v>
      </c>
      <c r="I189" s="7">
        <v>660.13185287994463</v>
      </c>
      <c r="J189" s="7">
        <v>105.62109646079114</v>
      </c>
      <c r="K189" s="7">
        <v>1.0562109646079112</v>
      </c>
      <c r="L189" s="7">
        <v>26.405274115197781</v>
      </c>
      <c r="M189" s="7">
        <v>42248.438584316449</v>
      </c>
      <c r="N189" s="7">
        <v>8.8017580383992602</v>
      </c>
      <c r="O189" s="7">
        <v>82.516481609993065</v>
      </c>
      <c r="P189" s="7">
        <v>32.057290295403085</v>
      </c>
      <c r="Q189" s="7">
        <v>4.2248438584316449E-2</v>
      </c>
      <c r="R189" s="7">
        <v>1358.318841844602</v>
      </c>
      <c r="S189" s="8">
        <v>7.5742444152431005</v>
      </c>
      <c r="U189" s="6">
        <v>4</v>
      </c>
      <c r="V189" s="7" t="s">
        <v>48</v>
      </c>
      <c r="W189" s="7">
        <v>400</v>
      </c>
      <c r="X189" s="7">
        <v>100</v>
      </c>
      <c r="Y189" s="7">
        <v>3</v>
      </c>
      <c r="Z189" s="7">
        <v>8</v>
      </c>
      <c r="AA189" s="7">
        <v>2.5</v>
      </c>
      <c r="AB189" s="7">
        <v>300</v>
      </c>
      <c r="AC189" s="7">
        <v>800.00000000000023</v>
      </c>
      <c r="AD189" s="7">
        <v>329.4760582928522</v>
      </c>
      <c r="AE189" s="7">
        <v>12</v>
      </c>
      <c r="AF189" s="7">
        <v>32</v>
      </c>
      <c r="AG189" s="7">
        <v>131790.42331714087</v>
      </c>
      <c r="AH189" s="7">
        <v>100</v>
      </c>
      <c r="AI189" s="7">
        <v>100</v>
      </c>
      <c r="AJ189" s="7">
        <v>100</v>
      </c>
      <c r="AK189" s="7">
        <v>0.13179042331714086</v>
      </c>
      <c r="AL189" s="7">
        <v>4237.1605002415963</v>
      </c>
    </row>
    <row r="190" spans="1:38" x14ac:dyDescent="0.3">
      <c r="A190" s="6">
        <v>3</v>
      </c>
      <c r="B190" s="7" t="s">
        <v>51</v>
      </c>
      <c r="C190" s="7">
        <v>331.71408743927822</v>
      </c>
      <c r="D190" s="7">
        <v>82.928521859819568</v>
      </c>
      <c r="E190" s="7">
        <v>0.5</v>
      </c>
      <c r="F190" s="7">
        <v>1.5</v>
      </c>
      <c r="G190" s="7">
        <v>0.6</v>
      </c>
      <c r="H190" s="7">
        <v>41.464260929909784</v>
      </c>
      <c r="I190" s="7">
        <v>124.39278278972934</v>
      </c>
      <c r="J190" s="7">
        <v>49.757113115891741</v>
      </c>
      <c r="K190" s="7">
        <v>1.6585704371963912</v>
      </c>
      <c r="L190" s="7">
        <v>4.9757113115891727</v>
      </c>
      <c r="M190" s="7">
        <v>19902.845246356694</v>
      </c>
      <c r="N190" s="7">
        <v>13.821420309969925</v>
      </c>
      <c r="O190" s="7">
        <v>15.549097848716166</v>
      </c>
      <c r="P190" s="7">
        <v>15.101890369122211</v>
      </c>
      <c r="Q190" s="7">
        <v>1.9902845246356694E-2</v>
      </c>
      <c r="R190" s="7">
        <v>639.89133351023622</v>
      </c>
      <c r="S190" s="8">
        <v>1.2058577405857742</v>
      </c>
      <c r="U190" s="6">
        <v>5</v>
      </c>
      <c r="V190" s="7" t="s">
        <v>153</v>
      </c>
      <c r="W190" s="7">
        <v>400</v>
      </c>
      <c r="X190" s="7">
        <v>100</v>
      </c>
      <c r="Y190" s="7">
        <v>3</v>
      </c>
      <c r="Z190" s="7">
        <v>8</v>
      </c>
      <c r="AA190" s="7">
        <v>2.5</v>
      </c>
      <c r="AB190" s="7">
        <v>300</v>
      </c>
      <c r="AC190" s="7">
        <v>800</v>
      </c>
      <c r="AD190" s="7">
        <v>250</v>
      </c>
      <c r="AE190" s="7">
        <v>12</v>
      </c>
      <c r="AF190" s="7">
        <v>32</v>
      </c>
      <c r="AG190" s="7">
        <v>100000</v>
      </c>
      <c r="AH190" s="7">
        <v>100</v>
      </c>
      <c r="AI190" s="7">
        <v>100</v>
      </c>
      <c r="AJ190" s="7">
        <v>131.79042331714086</v>
      </c>
      <c r="AK190" s="7">
        <v>0.1</v>
      </c>
      <c r="AL190" s="7">
        <v>3215.0746568627983</v>
      </c>
    </row>
    <row r="191" spans="1:38" x14ac:dyDescent="0.3">
      <c r="A191" s="6">
        <v>4</v>
      </c>
      <c r="B191" s="7" t="s">
        <v>48</v>
      </c>
      <c r="C191" s="7">
        <v>400</v>
      </c>
      <c r="D191" s="7">
        <v>100</v>
      </c>
      <c r="E191" s="7">
        <v>3</v>
      </c>
      <c r="F191" s="7">
        <v>8</v>
      </c>
      <c r="G191" s="7">
        <v>2.5</v>
      </c>
      <c r="H191" s="7">
        <v>300</v>
      </c>
      <c r="I191" s="7">
        <v>800.00000000000023</v>
      </c>
      <c r="J191" s="7">
        <v>329.4760582928522</v>
      </c>
      <c r="K191" s="7">
        <v>12</v>
      </c>
      <c r="L191" s="7">
        <v>32</v>
      </c>
      <c r="M191" s="7">
        <v>131790.42331714087</v>
      </c>
      <c r="N191" s="7">
        <v>100</v>
      </c>
      <c r="O191" s="7">
        <v>100</v>
      </c>
      <c r="P191" s="7">
        <v>100</v>
      </c>
      <c r="Q191" s="7">
        <v>0.13179042331714086</v>
      </c>
      <c r="R191" s="7">
        <v>4237.1605002415963</v>
      </c>
      <c r="S191" s="8">
        <v>1</v>
      </c>
      <c r="U191" s="25">
        <v>6</v>
      </c>
      <c r="V191" s="26" t="s">
        <v>154</v>
      </c>
      <c r="W191" s="26">
        <v>400</v>
      </c>
      <c r="X191" s="26">
        <v>100</v>
      </c>
      <c r="Y191" s="26">
        <v>3</v>
      </c>
      <c r="Z191" s="26">
        <v>8</v>
      </c>
      <c r="AA191" s="26">
        <v>3.294760582928522</v>
      </c>
      <c r="AB191" s="26">
        <v>300</v>
      </c>
      <c r="AC191" s="26">
        <v>800.00000000000023</v>
      </c>
      <c r="AD191" s="26">
        <v>329.4760582928522</v>
      </c>
      <c r="AE191" s="26">
        <v>12</v>
      </c>
      <c r="AF191" s="26">
        <v>32</v>
      </c>
      <c r="AG191" s="26">
        <v>131790.42331714087</v>
      </c>
      <c r="AH191" s="26">
        <v>100</v>
      </c>
      <c r="AI191" s="26">
        <v>100</v>
      </c>
      <c r="AJ191" s="26">
        <v>100</v>
      </c>
      <c r="AK191" s="26">
        <v>0.13179042331714086</v>
      </c>
      <c r="AL191" s="26">
        <v>4237.1605002415963</v>
      </c>
    </row>
    <row r="192" spans="1:38" x14ac:dyDescent="0.3">
      <c r="A192" s="6">
        <v>5</v>
      </c>
      <c r="B192" s="7" t="s">
        <v>153</v>
      </c>
      <c r="C192" s="7">
        <v>400</v>
      </c>
      <c r="D192" s="7">
        <v>100</v>
      </c>
      <c r="E192" s="7">
        <v>3</v>
      </c>
      <c r="F192" s="7">
        <v>8</v>
      </c>
      <c r="G192" s="7">
        <v>2.5</v>
      </c>
      <c r="H192" s="7">
        <v>300</v>
      </c>
      <c r="I192" s="7">
        <v>800</v>
      </c>
      <c r="J192" s="7">
        <v>250</v>
      </c>
      <c r="K192" s="7">
        <v>12</v>
      </c>
      <c r="L192" s="7">
        <v>32</v>
      </c>
      <c r="M192" s="7">
        <v>100000</v>
      </c>
      <c r="N192" s="7">
        <v>100</v>
      </c>
      <c r="O192" s="7">
        <v>100</v>
      </c>
      <c r="P192" s="7">
        <v>131.79042331714086</v>
      </c>
      <c r="Q192" s="7">
        <v>0.1</v>
      </c>
      <c r="R192" s="7">
        <v>3215.0746568627983</v>
      </c>
      <c r="S192" s="8">
        <v>1</v>
      </c>
    </row>
    <row r="193" spans="1:38" x14ac:dyDescent="0.3">
      <c r="A193" s="25">
        <v>6</v>
      </c>
      <c r="B193" s="26" t="s">
        <v>154</v>
      </c>
      <c r="C193" s="26">
        <v>400</v>
      </c>
      <c r="D193" s="26">
        <v>100</v>
      </c>
      <c r="E193" s="26">
        <v>3</v>
      </c>
      <c r="F193" s="26">
        <v>8</v>
      </c>
      <c r="G193" s="26">
        <v>3.294760582928522</v>
      </c>
      <c r="H193" s="26">
        <v>300</v>
      </c>
      <c r="I193" s="26">
        <v>800.00000000000023</v>
      </c>
      <c r="J193" s="26">
        <v>329.4760582928522</v>
      </c>
      <c r="K193" s="26">
        <v>12</v>
      </c>
      <c r="L193" s="26">
        <v>32</v>
      </c>
      <c r="M193" s="26">
        <v>131790.42331714087</v>
      </c>
      <c r="N193" s="26">
        <v>100</v>
      </c>
      <c r="O193" s="26">
        <v>100</v>
      </c>
      <c r="P193" s="26">
        <v>100</v>
      </c>
      <c r="Q193" s="26">
        <v>0.13179042331714086</v>
      </c>
      <c r="R193" s="26">
        <v>4237.1605002415963</v>
      </c>
      <c r="S193" s="14">
        <v>1</v>
      </c>
      <c r="U193" s="2" t="s">
        <v>94</v>
      </c>
    </row>
    <row r="194" spans="1:38" x14ac:dyDescent="0.3">
      <c r="U194" s="3" t="s">
        <v>33</v>
      </c>
      <c r="V194" s="4" t="s">
        <v>61</v>
      </c>
      <c r="W194" s="4" t="s">
        <v>79</v>
      </c>
      <c r="X194" s="4" t="s">
        <v>80</v>
      </c>
      <c r="Y194" s="4" t="s">
        <v>81</v>
      </c>
      <c r="Z194" s="4" t="s">
        <v>92</v>
      </c>
      <c r="AA194" s="4" t="s">
        <v>82</v>
      </c>
      <c r="AB194" s="4" t="s">
        <v>83</v>
      </c>
      <c r="AC194" s="4" t="s">
        <v>93</v>
      </c>
      <c r="AD194" s="4" t="s">
        <v>84</v>
      </c>
      <c r="AE194" s="4" t="s">
        <v>85</v>
      </c>
      <c r="AF194" s="4" t="s">
        <v>95</v>
      </c>
      <c r="AG194" s="4" t="s">
        <v>86</v>
      </c>
      <c r="AH194" s="4" t="s">
        <v>44</v>
      </c>
      <c r="AI194" s="4" t="s">
        <v>45</v>
      </c>
      <c r="AJ194" s="4" t="s">
        <v>47</v>
      </c>
      <c r="AK194" s="4" t="s">
        <v>87</v>
      </c>
      <c r="AL194" s="4" t="s">
        <v>88</v>
      </c>
    </row>
    <row r="195" spans="1:38" x14ac:dyDescent="0.3">
      <c r="A195" s="2" t="s">
        <v>94</v>
      </c>
      <c r="U195" s="6">
        <v>1</v>
      </c>
      <c r="V195" s="7" t="s">
        <v>49</v>
      </c>
      <c r="W195" s="7">
        <v>15.475364330326199</v>
      </c>
      <c r="X195" s="7">
        <v>3.8688410825815414</v>
      </c>
      <c r="Y195" s="7">
        <v>60</v>
      </c>
      <c r="Z195" s="7"/>
      <c r="AA195" s="7">
        <v>45</v>
      </c>
      <c r="AB195" s="7">
        <v>232.13046495489249</v>
      </c>
      <c r="AC195" s="7"/>
      <c r="AD195" s="7">
        <v>174.09784871616935</v>
      </c>
      <c r="AE195" s="7">
        <v>9.2852185981956978</v>
      </c>
      <c r="AF195" s="7"/>
      <c r="AG195" s="7">
        <v>69639.139486467728</v>
      </c>
      <c r="AH195" s="7">
        <v>77.37682165163082</v>
      </c>
      <c r="AI195" s="7"/>
      <c r="AJ195" s="7">
        <v>52.840819335474698</v>
      </c>
      <c r="AK195" s="7">
        <v>6.963913948646773E-2</v>
      </c>
      <c r="AL195" s="7">
        <v>2238.9503248867577</v>
      </c>
    </row>
    <row r="196" spans="1:38" x14ac:dyDescent="0.3">
      <c r="A196" s="3" t="s">
        <v>33</v>
      </c>
      <c r="B196" s="4" t="s">
        <v>61</v>
      </c>
      <c r="C196" s="4" t="s">
        <v>79</v>
      </c>
      <c r="D196" s="4" t="s">
        <v>80</v>
      </c>
      <c r="E196" s="4" t="s">
        <v>81</v>
      </c>
      <c r="F196" s="4" t="s">
        <v>92</v>
      </c>
      <c r="G196" s="4" t="s">
        <v>82</v>
      </c>
      <c r="H196" s="4" t="s">
        <v>83</v>
      </c>
      <c r="I196" s="4" t="s">
        <v>93</v>
      </c>
      <c r="J196" s="4" t="s">
        <v>84</v>
      </c>
      <c r="K196" s="4" t="s">
        <v>85</v>
      </c>
      <c r="L196" s="4" t="s">
        <v>95</v>
      </c>
      <c r="M196" s="4" t="s">
        <v>86</v>
      </c>
      <c r="N196" s="4" t="s">
        <v>44</v>
      </c>
      <c r="O196" s="4" t="s">
        <v>45</v>
      </c>
      <c r="P196" s="4" t="s">
        <v>47</v>
      </c>
      <c r="Q196" s="4" t="s">
        <v>87</v>
      </c>
      <c r="R196" s="4" t="s">
        <v>88</v>
      </c>
      <c r="S196" s="5" t="s">
        <v>89</v>
      </c>
      <c r="U196" s="6">
        <v>2</v>
      </c>
      <c r="V196" s="7" t="s">
        <v>50</v>
      </c>
      <c r="W196" s="7">
        <v>52.810548230395561</v>
      </c>
      <c r="X196" s="7">
        <v>13.202637057598892</v>
      </c>
      <c r="Y196" s="7"/>
      <c r="Z196" s="7">
        <v>50</v>
      </c>
      <c r="AA196" s="7"/>
      <c r="AB196" s="7"/>
      <c r="AC196" s="7">
        <v>660.13185287994463</v>
      </c>
      <c r="AD196" s="7"/>
      <c r="AE196" s="7"/>
      <c r="AF196" s="7">
        <v>26.405274115197781</v>
      </c>
      <c r="AG196" s="7"/>
      <c r="AH196" s="7"/>
      <c r="AI196" s="7">
        <v>82.516481609993065</v>
      </c>
      <c r="AJ196" s="7"/>
      <c r="AK196" s="7"/>
      <c r="AL196" s="7"/>
    </row>
    <row r="197" spans="1:38" x14ac:dyDescent="0.3">
      <c r="A197" s="6">
        <v>1</v>
      </c>
      <c r="B197" s="7" t="s">
        <v>49</v>
      </c>
      <c r="C197" s="7">
        <v>15.47536433032616</v>
      </c>
      <c r="D197" s="7">
        <f>$C$197*100/$C$200</f>
        <v>3.86884108258154</v>
      </c>
      <c r="E197" s="7">
        <v>60</v>
      </c>
      <c r="F197" s="7">
        <v>4</v>
      </c>
      <c r="G197" s="7">
        <v>45</v>
      </c>
      <c r="H197" s="7">
        <f>+$C197*$E$197*100/$C$200</f>
        <v>232.1304649548924</v>
      </c>
      <c r="I197" s="7">
        <f>+$C197*$F$197*100/$C$200</f>
        <v>15.47536433032616</v>
      </c>
      <c r="J197" s="7">
        <f>+$C197*$G$197*100/$C$200</f>
        <v>174.0978487161693</v>
      </c>
      <c r="K197" s="7">
        <f>+$C197*$E$197/100</f>
        <v>9.2852185981956961</v>
      </c>
      <c r="L197" s="7">
        <f>+$C197*$F$197/100</f>
        <v>0.61901457321304643</v>
      </c>
      <c r="M197" s="7">
        <f>+$C197*$G$197*100</f>
        <v>69639.139486467713</v>
      </c>
      <c r="N197" s="7">
        <f>+($C197*$E$197/SUM($C197*$E$197,$C198*$E$198,$C199*$E$199))*100</f>
        <v>77.376821651630806</v>
      </c>
      <c r="O197" s="7">
        <f>+($C197*$F$197/SUM($C197*$F$197,$C198*$F$198,$C199*$F$199))*100</f>
        <v>1.93442054129077</v>
      </c>
      <c r="P197" s="7">
        <f>+($C197*$G$197/SUM($C197*$G$197,$C198*$G$198,$C199*$G$199))*100</f>
        <v>52.840819335474698</v>
      </c>
      <c r="Q197" s="7">
        <f>+$C197*$G$197*0.0001</f>
        <v>6.9639139486467716E-2</v>
      </c>
      <c r="R197" s="7">
        <f>+$C197*$G197*100/31.1034768</f>
        <v>2238.9503248867572</v>
      </c>
      <c r="S197" s="8">
        <f>+$C$200/$C$197</f>
        <v>25.847533632287</v>
      </c>
      <c r="U197" s="6">
        <v>3</v>
      </c>
      <c r="V197" s="7" t="s">
        <v>51</v>
      </c>
      <c r="W197" s="7">
        <v>331.71408743927822</v>
      </c>
      <c r="X197" s="7">
        <v>82.928521859819568</v>
      </c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7"/>
      <c r="AJ197" s="7"/>
      <c r="AK197" s="7"/>
      <c r="AL197" s="7"/>
    </row>
    <row r="198" spans="1:38" x14ac:dyDescent="0.3">
      <c r="A198" s="6">
        <v>2</v>
      </c>
      <c r="B198" s="7" t="s">
        <v>50</v>
      </c>
      <c r="C198" s="7">
        <v>52.810548230395554</v>
      </c>
      <c r="D198" s="7">
        <f>$C$198*100/$C$200</f>
        <v>13.202637057598889</v>
      </c>
      <c r="E198" s="7">
        <v>2</v>
      </c>
      <c r="F198" s="7">
        <v>50</v>
      </c>
      <c r="G198" s="7">
        <v>8</v>
      </c>
      <c r="H198" s="7">
        <f>+$C198*$E$198*100/$C$200</f>
        <v>26.405274115197777</v>
      </c>
      <c r="I198" s="7">
        <f>+$C198*$F$198*100/$C$200</f>
        <v>660.13185287994429</v>
      </c>
      <c r="J198" s="7">
        <f>+$C198*$G$198*100/$C$200</f>
        <v>105.62109646079111</v>
      </c>
      <c r="K198" s="7">
        <f>+$C198*$E$198/100</f>
        <v>1.056210964607911</v>
      </c>
      <c r="L198" s="7">
        <f>+$C198*$F$198/100</f>
        <v>26.405274115197777</v>
      </c>
      <c r="M198" s="7">
        <f>+$C198*$G$198*100</f>
        <v>42248.438584316442</v>
      </c>
      <c r="N198" s="7">
        <f>+($C198*$E$198/SUM($C197*$E$197,$C198*$E$198,$C199*$E$199))*100</f>
        <v>8.8017580383992584</v>
      </c>
      <c r="O198" s="7">
        <f>+($C198*$F$198/SUM($C197*$F$197,$C198*$F$198,$C199*$F$199))*100</f>
        <v>82.51648160999305</v>
      </c>
      <c r="P198" s="7">
        <f>+($C198*$G$198/SUM($C197*$G$197,$C198*$G$198,$C199*$G$199))*100</f>
        <v>32.057290295403085</v>
      </c>
      <c r="Q198" s="7">
        <f>+$C198*$G$198*0.0001</f>
        <v>4.2248438584316449E-2</v>
      </c>
      <c r="R198" s="7">
        <f>+$C198*$G198*100/31.1034768</f>
        <v>1358.3188418446018</v>
      </c>
      <c r="S198" s="8">
        <f>+$C$200/$C$198</f>
        <v>7.5742444152431014</v>
      </c>
      <c r="U198" s="6">
        <v>4</v>
      </c>
      <c r="V198" s="7" t="s">
        <v>48</v>
      </c>
      <c r="W198" s="7">
        <v>400</v>
      </c>
      <c r="X198" s="7">
        <v>100</v>
      </c>
      <c r="Y198" s="7">
        <v>3</v>
      </c>
      <c r="Z198" s="7">
        <v>8</v>
      </c>
      <c r="AA198" s="7">
        <v>2.5</v>
      </c>
      <c r="AB198" s="7">
        <v>300</v>
      </c>
      <c r="AC198" s="7">
        <v>800.00000000000023</v>
      </c>
      <c r="AD198" s="7">
        <v>329.4760582928522</v>
      </c>
      <c r="AE198" s="7">
        <v>12</v>
      </c>
      <c r="AF198" s="7">
        <v>32</v>
      </c>
      <c r="AG198" s="7">
        <v>131790.42331714087</v>
      </c>
      <c r="AH198" s="7">
        <v>100</v>
      </c>
      <c r="AI198" s="7">
        <v>100</v>
      </c>
      <c r="AJ198" s="7">
        <v>100</v>
      </c>
      <c r="AK198" s="7">
        <v>0.13179042331714086</v>
      </c>
      <c r="AL198" s="7">
        <v>4237.1605002415963</v>
      </c>
    </row>
    <row r="199" spans="1:38" x14ac:dyDescent="0.3">
      <c r="A199" s="6">
        <v>3</v>
      </c>
      <c r="B199" s="7" t="s">
        <v>51</v>
      </c>
      <c r="C199" s="7">
        <v>331.71408743927827</v>
      </c>
      <c r="D199" s="7">
        <f>$C$199*100/$C$200</f>
        <v>82.928521859819568</v>
      </c>
      <c r="E199" s="7">
        <v>0.5</v>
      </c>
      <c r="F199" s="7">
        <v>1.5</v>
      </c>
      <c r="G199" s="7">
        <v>0.6</v>
      </c>
      <c r="H199" s="7">
        <f>+$C199*$E$199*100/$C$200</f>
        <v>41.464260929909784</v>
      </c>
      <c r="I199" s="7">
        <f>+$C199*$F$199*100/$C$200</f>
        <v>124.39278278972935</v>
      </c>
      <c r="J199" s="7">
        <f>+$C199*$G$199*100/$C$200</f>
        <v>49.757113115891741</v>
      </c>
      <c r="K199" s="7">
        <f>+$C199*$E$199/100</f>
        <v>1.6585704371963914</v>
      </c>
      <c r="L199" s="7">
        <f>+$C199*$F$199/100</f>
        <v>4.9757113115891745</v>
      </c>
      <c r="M199" s="7">
        <f>+$C199*$G$199*100</f>
        <v>19902.845246356697</v>
      </c>
      <c r="N199" s="7">
        <f>+($C199*$E$199/SUM($C197*$E$197,$C198*$E$198,$C199*$E$199))*100</f>
        <v>13.821420309969929</v>
      </c>
      <c r="O199" s="7">
        <f>+($C199*$F$199/SUM($C197*$F$197,$C198*$F$198,$C199*$F$199))*100</f>
        <v>15.549097848716171</v>
      </c>
      <c r="P199" s="7">
        <f>+($C199*$G$199/SUM($C197*$G$197,$C198*$G$198,$C199*$G$199))*100</f>
        <v>15.101890369122216</v>
      </c>
      <c r="Q199" s="7">
        <f>+$C199*$G$199*0.0001</f>
        <v>1.9902845246356698E-2</v>
      </c>
      <c r="R199" s="7">
        <f>+$C199*$G199*100/31.1034768</f>
        <v>639.89133351023634</v>
      </c>
      <c r="S199" s="8">
        <f>+$C$200/$C$199</f>
        <v>1.205857740585774</v>
      </c>
      <c r="AA199" s="449"/>
      <c r="AB199" s="449"/>
      <c r="AC199" s="449"/>
      <c r="AG199" s="449"/>
    </row>
    <row r="200" spans="1:38" ht="15.6" x14ac:dyDescent="0.3">
      <c r="A200" s="6">
        <v>4</v>
      </c>
      <c r="B200" s="7" t="s">
        <v>48</v>
      </c>
      <c r="C200" s="7">
        <v>400</v>
      </c>
      <c r="D200" s="7">
        <f>+SUM($D$197:$D$199)</f>
        <v>100</v>
      </c>
      <c r="E200" s="7">
        <v>3</v>
      </c>
      <c r="F200" s="7">
        <v>8</v>
      </c>
      <c r="G200" s="7">
        <v>2.5</v>
      </c>
      <c r="H200" s="7">
        <f>+SUM($H$197:$H$199)</f>
        <v>300</v>
      </c>
      <c r="I200" s="7">
        <f>+SUM($I$197:$I$199)</f>
        <v>799.99999999999989</v>
      </c>
      <c r="J200" s="7">
        <f>+SUM($J$197:$J$199)</f>
        <v>329.47605829285214</v>
      </c>
      <c r="K200" s="7">
        <f>+SUM($K$197:$K$199)</f>
        <v>12</v>
      </c>
      <c r="L200" s="7">
        <f>+SUM($L$197:$L$199)</f>
        <v>32</v>
      </c>
      <c r="M200" s="7">
        <f>+SUM($M$197:$M$199)</f>
        <v>131790.42331714087</v>
      </c>
      <c r="N200" s="7">
        <f>+SUM($N$197:$N$199)</f>
        <v>99.999999999999986</v>
      </c>
      <c r="O200" s="7">
        <f>+SUM($O$197:$O$199)</f>
        <v>100</v>
      </c>
      <c r="P200" s="7">
        <f>+SUM($P$197:$P$199)</f>
        <v>100</v>
      </c>
      <c r="Q200" s="7">
        <f>+SUM($Q$197:$Q$199)</f>
        <v>0.13179042331714086</v>
      </c>
      <c r="R200" s="7">
        <f>+SUM($R$197:$R$199)</f>
        <v>4237.1605002415954</v>
      </c>
      <c r="S200" s="8">
        <f>+$C$200/$C$200</f>
        <v>1</v>
      </c>
      <c r="V200" s="437"/>
      <c r="W200" s="450">
        <v>1</v>
      </c>
      <c r="X200" s="437">
        <v>1</v>
      </c>
      <c r="Y200">
        <v>1</v>
      </c>
      <c r="Z200" s="437"/>
      <c r="AB200" s="17"/>
    </row>
    <row r="201" spans="1:38" x14ac:dyDescent="0.3">
      <c r="A201" s="6">
        <v>5</v>
      </c>
      <c r="B201" s="7" t="s">
        <v>153</v>
      </c>
      <c r="C201" s="7">
        <v>400</v>
      </c>
      <c r="D201" s="7">
        <f>+SUM($D$197:$D$199)</f>
        <v>100</v>
      </c>
      <c r="E201" s="7">
        <v>3</v>
      </c>
      <c r="F201" s="7">
        <v>8</v>
      </c>
      <c r="G201" s="7">
        <v>2.5</v>
      </c>
      <c r="H201" s="7">
        <f>+SUM($C$197:$C$199)*$E$201*100/$C$201</f>
        <v>300</v>
      </c>
      <c r="I201" s="7">
        <f>+SUM($C$197:$C$199)*$F$201*100/$C$201</f>
        <v>800</v>
      </c>
      <c r="J201" s="7">
        <f>+SUM($C$197:$C$199)*$G$201*100/$C$201</f>
        <v>250</v>
      </c>
      <c r="K201" s="7">
        <f>+$C201*$E$201/100</f>
        <v>12</v>
      </c>
      <c r="L201" s="7">
        <f>+$C201*$F$201/100</f>
        <v>32</v>
      </c>
      <c r="M201" s="7">
        <f>+$C201*$G$201*100</f>
        <v>100000</v>
      </c>
      <c r="N201" s="7">
        <f>+(SUM(($C197*$E$197*100/$C$201),($C198*$E$198*100/$C$201),($C199*$E$199*100/$C$201))*100)/(SUM(($C197*100/$C$201),($C198*100/$C$201),($C199*100/$C$201))*($E$201))</f>
        <v>100</v>
      </c>
      <c r="O201" s="7">
        <f>+(SUM(($C197*$F$197*100/$C$201),($C198*$F$198*100/$C$201),($C199*$F$199*100/$C$201))*100)/(SUM(($C197*100/$C$201),($C198*100/$C$201),($C199*100/$C$201))*($F$201))</f>
        <v>99.999999999999986</v>
      </c>
      <c r="P201" s="7">
        <f>+(SUM(($C197*$G$197*100/$C$201),($C198*$G$198*100/$C$201),($C199*$G$199*100/$C$201))*100)/(SUM(($C197*100/$C$201),($C198*100/$C$201),($C199*100/$C$201))*($G$201))</f>
        <v>131.79042331714086</v>
      </c>
      <c r="Q201" s="7">
        <f>+$C201*$G$201*0.0001</f>
        <v>0.1</v>
      </c>
      <c r="R201" s="7">
        <f>+$C201*$G201*100/31.1034768</f>
        <v>3215.0746568627983</v>
      </c>
      <c r="S201" s="8">
        <f>+$C$200/$C$201</f>
        <v>1</v>
      </c>
      <c r="V201" s="437"/>
      <c r="W201" s="437">
        <v>41.47</v>
      </c>
      <c r="X201" s="437">
        <v>97.99</v>
      </c>
      <c r="Y201" s="17">
        <v>67.87</v>
      </c>
      <c r="AA201" s="449"/>
      <c r="AD201" s="17"/>
      <c r="AF201" s="449"/>
      <c r="AG201" s="449"/>
      <c r="AH201" s="17"/>
    </row>
    <row r="202" spans="1:38" x14ac:dyDescent="0.3">
      <c r="A202" s="25">
        <v>6</v>
      </c>
      <c r="B202" s="26" t="s">
        <v>154</v>
      </c>
      <c r="C202" s="26">
        <v>400</v>
      </c>
      <c r="D202" s="26">
        <f>+SUM($D$197:$D$199)</f>
        <v>100</v>
      </c>
      <c r="E202" s="26">
        <f>+SUM(($C$197*$E$197*100/$C$202),($C$198*$E$198*100/$C$202),($C$199*$E$199*100/$C$202))/100</f>
        <v>3</v>
      </c>
      <c r="F202" s="26">
        <f>+SUM(($C$197*$F$197*100/$C$202),($C$198*$F$198*100/$C$202),($C$199*$F$199*100/$C$202))/100</f>
        <v>7.9999999999999991</v>
      </c>
      <c r="G202" s="26">
        <f>+SUM(($C$197*$G$197*100/$C$202),($C$198*$G$198*100/$C$202),($C$199*$G$199*100/$C$202))/100</f>
        <v>3.2947605829285216</v>
      </c>
      <c r="H202" s="26">
        <f>+SUM($H$197:$H$199)</f>
        <v>300</v>
      </c>
      <c r="I202" s="26">
        <f>+SUM($I$197:$I$199)</f>
        <v>799.99999999999989</v>
      </c>
      <c r="J202" s="26">
        <f>+SUM($J$197:$J$199)</f>
        <v>329.47605829285214</v>
      </c>
      <c r="K202" s="26">
        <f>+SUM($K$197:$K$199)</f>
        <v>12</v>
      </c>
      <c r="L202" s="26">
        <f>+SUM($L$197:$L$199)</f>
        <v>32</v>
      </c>
      <c r="M202" s="26">
        <f>+SUM($M$197:$M$199)</f>
        <v>131790.42331714087</v>
      </c>
      <c r="N202" s="26">
        <f>+(SUM(($C197*$E$197*100/$C$202),($C198*$E$198*100/$C$202),($C199*$E$199*100/$C$202))*100)/(SUM(($C197*100/$C$202),($C198*100/$C$202),($C199*100/$C$202))*($E$202))</f>
        <v>100</v>
      </c>
      <c r="O202" s="26">
        <f>+(SUM(($C197*$F$197*100/$C$202),($C198*$F$198*100/$C$202),($C199*$F$199*100/$C$202))*100)/(SUM(($C197*100/$C$202),($C198*100/$C$202),($C199*100/$C$202))*($F$202))</f>
        <v>100</v>
      </c>
      <c r="P202" s="26">
        <f>+(SUM(($C197*$G$197*100/$C$202),($C198*$G$198*100/$C$202),($C199*$G$199*100/$C$202))*100)/(SUM(($C197*100/$C$202),($C198*100/$C$202),($C199*100/$C$202))*($G$202))</f>
        <v>100.00000000000001</v>
      </c>
      <c r="Q202" s="26">
        <f>+$C202*$G$202*0.0001</f>
        <v>0.13179042331714086</v>
      </c>
      <c r="R202" s="26">
        <f>+$C202*$G202*100/31.1034768</f>
        <v>4237.1605002415963</v>
      </c>
      <c r="S202" s="14">
        <f>+$C$200/$C$202</f>
        <v>1</v>
      </c>
      <c r="V202" s="449"/>
      <c r="W202" s="437"/>
      <c r="X202" s="437"/>
      <c r="Y202" s="449"/>
      <c r="AA202" s="449">
        <v>232.13</v>
      </c>
      <c r="AD202" s="449"/>
    </row>
    <row r="203" spans="1:38" x14ac:dyDescent="0.3">
      <c r="W203">
        <f t="array" ref="W203:X204">+MINVERSE(W200:X201)</f>
        <v>1.7337225760792641</v>
      </c>
      <c r="X203">
        <v>-1.7692852087756547E-2</v>
      </c>
      <c r="Y203">
        <f t="array" ref="Y203:Y204">+MMULT(W203:X204,Y200:Y201)</f>
        <v>0.53290870488322706</v>
      </c>
      <c r="AA203">
        <f>+W201*Y203</f>
        <v>22.099723991507425</v>
      </c>
      <c r="AB203">
        <f>+AA203/X196</f>
        <v>1.6738871102108905</v>
      </c>
    </row>
    <row r="204" spans="1:38" x14ac:dyDescent="0.3">
      <c r="A204" s="2" t="s">
        <v>94</v>
      </c>
      <c r="W204">
        <v>-0.73372257607926405</v>
      </c>
      <c r="X204">
        <v>1.7692852087756547E-2</v>
      </c>
      <c r="Y204">
        <v>0.46709129511677294</v>
      </c>
      <c r="AA204">
        <f>+X201*Y204</f>
        <v>45.77027600849258</v>
      </c>
      <c r="AB204">
        <f>+AA204/X197</f>
        <v>0.55192441613588128</v>
      </c>
      <c r="AE204">
        <f>SUM(0.25,0.25)</f>
        <v>0.5</v>
      </c>
    </row>
    <row r="205" spans="1:38" x14ac:dyDescent="0.3">
      <c r="A205" s="3" t="s">
        <v>33</v>
      </c>
      <c r="B205" s="4" t="s">
        <v>61</v>
      </c>
      <c r="C205" s="4" t="s">
        <v>79</v>
      </c>
      <c r="D205" s="4" t="s">
        <v>80</v>
      </c>
      <c r="E205" s="4" t="s">
        <v>81</v>
      </c>
      <c r="F205" s="4" t="s">
        <v>92</v>
      </c>
      <c r="G205" s="4" t="s">
        <v>82</v>
      </c>
      <c r="H205" s="4" t="s">
        <v>83</v>
      </c>
      <c r="I205" s="4" t="s">
        <v>93</v>
      </c>
      <c r="J205" s="4" t="s">
        <v>84</v>
      </c>
      <c r="K205" s="4" t="s">
        <v>85</v>
      </c>
      <c r="L205" s="4" t="s">
        <v>95</v>
      </c>
      <c r="M205" s="4" t="s">
        <v>86</v>
      </c>
      <c r="N205" s="4" t="s">
        <v>44</v>
      </c>
      <c r="O205" s="4" t="s">
        <v>45</v>
      </c>
      <c r="P205" s="4" t="s">
        <v>47</v>
      </c>
      <c r="Q205" s="4" t="s">
        <v>87</v>
      </c>
      <c r="R205" s="4" t="s">
        <v>88</v>
      </c>
      <c r="S205" s="5" t="s">
        <v>89</v>
      </c>
      <c r="AG205" s="449"/>
    </row>
    <row r="206" spans="1:38" x14ac:dyDescent="0.3">
      <c r="A206" s="6">
        <v>1</v>
      </c>
      <c r="B206" s="7" t="s">
        <v>49</v>
      </c>
      <c r="C206" s="7">
        <v>15.475364330326162</v>
      </c>
      <c r="D206" s="7">
        <v>3.8688410825815414</v>
      </c>
      <c r="E206" s="7">
        <v>60</v>
      </c>
      <c r="F206" s="7">
        <v>4</v>
      </c>
      <c r="G206" s="7">
        <v>45</v>
      </c>
      <c r="H206" s="7">
        <v>232.13046495489249</v>
      </c>
      <c r="I206" s="7">
        <v>15.475364330326165</v>
      </c>
      <c r="J206" s="7">
        <v>174.09784871616935</v>
      </c>
      <c r="K206" s="7">
        <v>9.2852185981956978</v>
      </c>
      <c r="L206" s="7">
        <v>0.61901457321304643</v>
      </c>
      <c r="M206" s="7">
        <v>69639.139486467728</v>
      </c>
      <c r="N206" s="7">
        <v>77.37682165163082</v>
      </c>
      <c r="O206" s="7">
        <v>1.9344205412907705</v>
      </c>
      <c r="P206" s="7">
        <v>52.840819335474698</v>
      </c>
      <c r="Q206" s="7">
        <v>6.963913948646773E-2</v>
      </c>
      <c r="R206" s="7">
        <v>2238.9503248867577</v>
      </c>
      <c r="S206" s="8">
        <v>25.847533632286996</v>
      </c>
      <c r="V206" s="437"/>
      <c r="W206">
        <v>1</v>
      </c>
      <c r="X206">
        <v>1</v>
      </c>
      <c r="Y206">
        <v>1</v>
      </c>
    </row>
    <row r="207" spans="1:38" x14ac:dyDescent="0.3">
      <c r="A207" s="6">
        <v>2</v>
      </c>
      <c r="B207" s="7" t="s">
        <v>50</v>
      </c>
      <c r="C207" s="7">
        <v>52.810548230395561</v>
      </c>
      <c r="D207" s="7">
        <v>13.202637057598892</v>
      </c>
      <c r="E207" s="7">
        <v>2</v>
      </c>
      <c r="F207" s="7">
        <v>50</v>
      </c>
      <c r="G207" s="7">
        <v>8</v>
      </c>
      <c r="H207" s="7">
        <v>26.405274115197784</v>
      </c>
      <c r="I207" s="7">
        <v>660.13185287994463</v>
      </c>
      <c r="J207" s="7">
        <v>105.62109646079114</v>
      </c>
      <c r="K207" s="7">
        <v>1.0562109646079112</v>
      </c>
      <c r="L207" s="7">
        <v>26.405274115197781</v>
      </c>
      <c r="M207" s="7">
        <v>42248.438584316449</v>
      </c>
      <c r="N207" s="7">
        <v>8.8017580383992602</v>
      </c>
      <c r="O207" s="7">
        <v>82.516481609993065</v>
      </c>
      <c r="P207" s="7">
        <v>32.057290295403085</v>
      </c>
      <c r="Q207" s="7">
        <v>4.2248438584316449E-2</v>
      </c>
      <c r="R207" s="7">
        <v>1358.318841844602</v>
      </c>
      <c r="S207" s="8">
        <v>7.5742444152431005</v>
      </c>
      <c r="V207" s="437"/>
      <c r="W207" s="449">
        <v>132.18</v>
      </c>
      <c r="X207" s="17">
        <v>25.99</v>
      </c>
      <c r="Y207">
        <v>139.87</v>
      </c>
      <c r="Z207" s="17"/>
      <c r="AD207" s="17"/>
    </row>
    <row r="208" spans="1:38" x14ac:dyDescent="0.3">
      <c r="A208" s="6">
        <v>3</v>
      </c>
      <c r="B208" s="7" t="s">
        <v>51</v>
      </c>
      <c r="C208" s="7">
        <v>331.71408743927822</v>
      </c>
      <c r="D208" s="7">
        <v>82.928521859819568</v>
      </c>
      <c r="E208" s="7">
        <v>0.5</v>
      </c>
      <c r="F208" s="7">
        <v>1.5</v>
      </c>
      <c r="G208" s="7">
        <v>0.6</v>
      </c>
      <c r="H208" s="7">
        <v>41.464260929909784</v>
      </c>
      <c r="I208" s="7">
        <v>124.39278278972934</v>
      </c>
      <c r="J208" s="7">
        <v>49.757113115891741</v>
      </c>
      <c r="K208" s="7">
        <v>1.6585704371963912</v>
      </c>
      <c r="L208" s="7">
        <v>4.9757113115891727</v>
      </c>
      <c r="M208" s="7">
        <v>19902.845246356694</v>
      </c>
      <c r="N208" s="7">
        <v>13.821420309969925</v>
      </c>
      <c r="O208" s="7">
        <v>15.549097848716166</v>
      </c>
      <c r="P208" s="7">
        <v>15.101890369122211</v>
      </c>
      <c r="Q208" s="7">
        <v>1.9902845246356694E-2</v>
      </c>
      <c r="R208" s="7">
        <v>639.89133351023622</v>
      </c>
      <c r="S208" s="8">
        <v>1.2058577405857742</v>
      </c>
    </row>
    <row r="209" spans="1:25" x14ac:dyDescent="0.3">
      <c r="A209" s="6">
        <v>4</v>
      </c>
      <c r="B209" s="7" t="s">
        <v>48</v>
      </c>
      <c r="C209" s="7">
        <v>400</v>
      </c>
      <c r="D209" s="7">
        <v>100</v>
      </c>
      <c r="E209" s="7">
        <v>3</v>
      </c>
      <c r="F209" s="7">
        <v>8</v>
      </c>
      <c r="G209" s="7">
        <v>2.5</v>
      </c>
      <c r="H209" s="7">
        <v>300</v>
      </c>
      <c r="I209" s="7">
        <v>800.00000000000023</v>
      </c>
      <c r="J209" s="7">
        <v>329.4760582928522</v>
      </c>
      <c r="K209" s="7">
        <v>12</v>
      </c>
      <c r="L209" s="7">
        <v>32</v>
      </c>
      <c r="M209" s="7">
        <v>131790.42331714087</v>
      </c>
      <c r="N209" s="7">
        <v>100</v>
      </c>
      <c r="O209" s="7">
        <v>100</v>
      </c>
      <c r="P209" s="7">
        <v>100</v>
      </c>
      <c r="Q209" s="7">
        <v>0.13179042331714086</v>
      </c>
      <c r="R209" s="7">
        <v>4237.1605002415963</v>
      </c>
      <c r="S209" s="8">
        <v>1</v>
      </c>
      <c r="W209">
        <f t="array" ref="W209:X210">+MINVERSE(W206:X207)</f>
        <v>-0.24474997645729343</v>
      </c>
      <c r="X209">
        <v>9.4170825878142957E-3</v>
      </c>
      <c r="Y209">
        <f t="array" ref="Y209:Y210">+MMULT(W209:X210,Y206:Y207)</f>
        <v>1.0724173651002922</v>
      </c>
    </row>
    <row r="210" spans="1:25" x14ac:dyDescent="0.3">
      <c r="A210" s="6">
        <v>5</v>
      </c>
      <c r="B210" s="7" t="s">
        <v>153</v>
      </c>
      <c r="C210" s="7">
        <v>400</v>
      </c>
      <c r="D210" s="7">
        <v>100</v>
      </c>
      <c r="E210" s="7">
        <v>3</v>
      </c>
      <c r="F210" s="7">
        <v>8</v>
      </c>
      <c r="G210" s="7">
        <v>2.5</v>
      </c>
      <c r="H210" s="7">
        <v>300</v>
      </c>
      <c r="I210" s="7">
        <v>800</v>
      </c>
      <c r="J210" s="7">
        <v>250</v>
      </c>
      <c r="K210" s="7">
        <v>12</v>
      </c>
      <c r="L210" s="7">
        <v>32</v>
      </c>
      <c r="M210" s="7">
        <v>100000</v>
      </c>
      <c r="N210" s="7">
        <v>100</v>
      </c>
      <c r="O210" s="7">
        <v>100</v>
      </c>
      <c r="P210" s="7">
        <v>131.79042331714086</v>
      </c>
      <c r="Q210" s="7">
        <v>0.1</v>
      </c>
      <c r="R210" s="7">
        <v>3215.0746568627983</v>
      </c>
      <c r="S210" s="8">
        <v>1</v>
      </c>
      <c r="W210">
        <v>1.2447499764572934</v>
      </c>
      <c r="X210">
        <v>-9.417082587814294E-3</v>
      </c>
      <c r="Y210">
        <v>-7.2417365100291953E-2</v>
      </c>
    </row>
    <row r="211" spans="1:25" x14ac:dyDescent="0.3">
      <c r="A211" s="25">
        <v>6</v>
      </c>
      <c r="B211" s="26" t="s">
        <v>154</v>
      </c>
      <c r="C211" s="26">
        <v>400</v>
      </c>
      <c r="D211" s="26">
        <v>100</v>
      </c>
      <c r="E211" s="26">
        <v>3</v>
      </c>
      <c r="F211" s="26">
        <v>8</v>
      </c>
      <c r="G211" s="26">
        <v>3.294760582928522</v>
      </c>
      <c r="H211" s="26">
        <v>300</v>
      </c>
      <c r="I211" s="26">
        <v>800.00000000000023</v>
      </c>
      <c r="J211" s="26">
        <v>329.4760582928522</v>
      </c>
      <c r="K211" s="26">
        <v>12</v>
      </c>
      <c r="L211" s="26">
        <v>32</v>
      </c>
      <c r="M211" s="26">
        <v>131790.42331714087</v>
      </c>
      <c r="N211" s="26">
        <v>100</v>
      </c>
      <c r="O211" s="26">
        <v>100</v>
      </c>
      <c r="P211" s="26">
        <v>100</v>
      </c>
      <c r="Q211" s="26">
        <v>0.13179042331714086</v>
      </c>
      <c r="R211" s="26">
        <v>4237.1605002415963</v>
      </c>
      <c r="S211" s="14">
        <v>1</v>
      </c>
    </row>
    <row r="213" spans="1:25" x14ac:dyDescent="0.3">
      <c r="E213" s="2" t="s">
        <v>94</v>
      </c>
    </row>
    <row r="214" spans="1:25" x14ac:dyDescent="0.3">
      <c r="A214" s="33">
        <v>400</v>
      </c>
      <c r="E214" s="34" t="s">
        <v>33</v>
      </c>
      <c r="F214" s="35" t="s">
        <v>61</v>
      </c>
      <c r="G214" s="35" t="s">
        <v>79</v>
      </c>
      <c r="H214" s="35" t="s">
        <v>80</v>
      </c>
      <c r="I214" s="4" t="s">
        <v>157</v>
      </c>
      <c r="J214" s="35" t="s">
        <v>177</v>
      </c>
      <c r="K214" s="35" t="s">
        <v>82</v>
      </c>
      <c r="L214" s="35" t="s">
        <v>178</v>
      </c>
      <c r="M214" s="35" t="s">
        <v>179</v>
      </c>
      <c r="N214" s="4" t="s">
        <v>86</v>
      </c>
      <c r="O214" s="4" t="s">
        <v>158</v>
      </c>
      <c r="P214" s="4" t="s">
        <v>180</v>
      </c>
      <c r="Q214" s="5" t="s">
        <v>47</v>
      </c>
    </row>
    <row r="215" spans="1:25" x14ac:dyDescent="0.3">
      <c r="A215" s="7">
        <v>60</v>
      </c>
      <c r="B215" s="7">
        <v>4</v>
      </c>
      <c r="C215" s="7">
        <v>45</v>
      </c>
      <c r="E215" s="6">
        <v>1</v>
      </c>
      <c r="F215" s="7" t="s">
        <v>159</v>
      </c>
      <c r="G215" s="7">
        <v>15.475364330326162</v>
      </c>
      <c r="H215" s="7">
        <v>3.8688410825815414</v>
      </c>
      <c r="I215" s="7">
        <v>60</v>
      </c>
      <c r="J215" s="7">
        <v>4</v>
      </c>
      <c r="K215" s="7">
        <v>45</v>
      </c>
      <c r="L215" s="7">
        <v>9.2852185981956978</v>
      </c>
      <c r="M215" s="7">
        <v>0.61901457321304643</v>
      </c>
      <c r="N215" s="7">
        <v>69639.139486467728</v>
      </c>
      <c r="O215" s="7">
        <v>77.37682165163082</v>
      </c>
      <c r="P215" s="7">
        <v>1.9344205412907705</v>
      </c>
      <c r="Q215" s="8">
        <v>52.840819335474698</v>
      </c>
    </row>
    <row r="216" spans="1:25" x14ac:dyDescent="0.3">
      <c r="A216" s="7">
        <v>2</v>
      </c>
      <c r="B216" s="7">
        <v>50</v>
      </c>
      <c r="C216" s="7">
        <v>8</v>
      </c>
      <c r="E216" s="6">
        <v>2</v>
      </c>
      <c r="F216" s="7" t="s">
        <v>167</v>
      </c>
      <c r="G216" s="7">
        <v>52.810548230395561</v>
      </c>
      <c r="H216" s="7">
        <v>13.202637057598892</v>
      </c>
      <c r="I216" s="7">
        <v>2</v>
      </c>
      <c r="J216" s="7">
        <v>50</v>
      </c>
      <c r="K216" s="7">
        <v>8</v>
      </c>
      <c r="L216" s="7">
        <v>1.0562109646079112</v>
      </c>
      <c r="M216" s="7">
        <v>26.405274115197781</v>
      </c>
      <c r="N216" s="7">
        <v>42248.438584316449</v>
      </c>
      <c r="O216" s="7">
        <v>8.8017580383992602</v>
      </c>
      <c r="P216" s="7">
        <v>82.516481609993065</v>
      </c>
      <c r="Q216" s="8">
        <v>32.057290295403085</v>
      </c>
    </row>
    <row r="217" spans="1:25" x14ac:dyDescent="0.3">
      <c r="A217" s="7">
        <v>0.5</v>
      </c>
      <c r="B217" s="7">
        <v>1.5</v>
      </c>
      <c r="C217" s="7">
        <v>0.6</v>
      </c>
      <c r="E217" s="6">
        <v>3</v>
      </c>
      <c r="F217" s="7" t="s">
        <v>51</v>
      </c>
      <c r="G217" s="7">
        <v>331.71408743927822</v>
      </c>
      <c r="H217" s="7">
        <v>82.928521859819568</v>
      </c>
      <c r="I217" s="7">
        <v>0.5</v>
      </c>
      <c r="J217" s="7">
        <v>1.5</v>
      </c>
      <c r="K217" s="7">
        <v>0.6</v>
      </c>
      <c r="L217" s="7">
        <v>1.6585704371963912</v>
      </c>
      <c r="M217" s="7">
        <v>4.9757113115891727</v>
      </c>
      <c r="N217" s="7">
        <v>19902.845246356694</v>
      </c>
      <c r="O217" s="7">
        <v>13.821420309969925</v>
      </c>
      <c r="P217" s="7">
        <v>15.549097848716166</v>
      </c>
      <c r="Q217" s="8">
        <v>15.101890369122211</v>
      </c>
    </row>
    <row r="218" spans="1:25" x14ac:dyDescent="0.3">
      <c r="A218" s="7">
        <v>3</v>
      </c>
      <c r="B218" s="7">
        <v>8</v>
      </c>
      <c r="C218" s="7">
        <v>2.5</v>
      </c>
      <c r="E218" s="6">
        <v>4</v>
      </c>
      <c r="F218" s="7" t="s">
        <v>48</v>
      </c>
      <c r="G218" s="7">
        <v>400</v>
      </c>
      <c r="H218" s="7">
        <v>100</v>
      </c>
      <c r="I218" s="7">
        <v>3</v>
      </c>
      <c r="J218" s="7">
        <v>8</v>
      </c>
      <c r="K218" s="7">
        <v>2.5</v>
      </c>
      <c r="L218" s="7">
        <v>12</v>
      </c>
      <c r="M218" s="7">
        <v>32</v>
      </c>
      <c r="N218" s="7">
        <v>131790.42331714087</v>
      </c>
      <c r="O218" s="7">
        <v>100</v>
      </c>
      <c r="P218" s="7">
        <v>100</v>
      </c>
      <c r="Q218" s="8">
        <v>100</v>
      </c>
    </row>
    <row r="219" spans="1:25" x14ac:dyDescent="0.3">
      <c r="A219" t="s">
        <v>166</v>
      </c>
      <c r="B219" t="s">
        <v>166</v>
      </c>
      <c r="C219" t="s">
        <v>139</v>
      </c>
      <c r="E219" s="25"/>
      <c r="F219" s="26" t="s">
        <v>159</v>
      </c>
      <c r="G219" s="26" t="s">
        <v>167</v>
      </c>
      <c r="H219" s="26" t="s">
        <v>168</v>
      </c>
      <c r="I219" s="26"/>
      <c r="J219" s="26"/>
      <c r="K219" s="26"/>
      <c r="L219" s="26"/>
      <c r="M219" s="26"/>
      <c r="N219" s="26"/>
      <c r="O219" s="26"/>
      <c r="P219" s="26"/>
      <c r="Q219" s="14"/>
    </row>
    <row r="220" spans="1:25" x14ac:dyDescent="0.3">
      <c r="A220" t="s">
        <v>159</v>
      </c>
      <c r="B220" t="s">
        <v>167</v>
      </c>
      <c r="C220" t="s">
        <v>168</v>
      </c>
    </row>
    <row r="222" spans="1:25" x14ac:dyDescent="0.3">
      <c r="A222">
        <v>2</v>
      </c>
      <c r="B222">
        <f>+A222+1</f>
        <v>3</v>
      </c>
      <c r="C222">
        <f>+B222*A222</f>
        <v>6</v>
      </c>
    </row>
    <row r="223" spans="1:25" x14ac:dyDescent="0.3">
      <c r="A223">
        <v>3</v>
      </c>
      <c r="B223">
        <f t="shared" ref="B223:B230" si="3">+A223+1</f>
        <v>4</v>
      </c>
      <c r="C223">
        <f t="shared" ref="C223:C230" si="4">+B223*A223</f>
        <v>12</v>
      </c>
    </row>
    <row r="224" spans="1:25" x14ac:dyDescent="0.3">
      <c r="A224">
        <v>4</v>
      </c>
      <c r="B224">
        <f t="shared" si="3"/>
        <v>5</v>
      </c>
      <c r="C224">
        <f t="shared" si="4"/>
        <v>20</v>
      </c>
    </row>
    <row r="225" spans="1:13" x14ac:dyDescent="0.3">
      <c r="A225">
        <v>5</v>
      </c>
      <c r="B225">
        <f t="shared" si="3"/>
        <v>6</v>
      </c>
      <c r="C225">
        <f t="shared" si="4"/>
        <v>30</v>
      </c>
    </row>
    <row r="226" spans="1:13" x14ac:dyDescent="0.3">
      <c r="A226">
        <v>6</v>
      </c>
      <c r="B226">
        <f t="shared" si="3"/>
        <v>7</v>
      </c>
      <c r="C226">
        <f t="shared" si="4"/>
        <v>42</v>
      </c>
    </row>
    <row r="227" spans="1:13" x14ac:dyDescent="0.3">
      <c r="A227">
        <v>7</v>
      </c>
      <c r="B227">
        <f t="shared" si="3"/>
        <v>8</v>
      </c>
      <c r="C227">
        <f t="shared" si="4"/>
        <v>56</v>
      </c>
    </row>
    <row r="228" spans="1:13" x14ac:dyDescent="0.3">
      <c r="A228">
        <v>8</v>
      </c>
      <c r="B228">
        <f t="shared" si="3"/>
        <v>9</v>
      </c>
      <c r="C228">
        <f t="shared" si="4"/>
        <v>72</v>
      </c>
    </row>
    <row r="229" spans="1:13" x14ac:dyDescent="0.3">
      <c r="A229">
        <v>9</v>
      </c>
      <c r="B229">
        <f t="shared" si="3"/>
        <v>10</v>
      </c>
      <c r="C229">
        <f t="shared" si="4"/>
        <v>90</v>
      </c>
    </row>
    <row r="230" spans="1:13" x14ac:dyDescent="0.3">
      <c r="A230">
        <v>10</v>
      </c>
      <c r="B230">
        <f t="shared" si="3"/>
        <v>11</v>
      </c>
      <c r="C230">
        <f t="shared" si="4"/>
        <v>110</v>
      </c>
    </row>
    <row r="233" spans="1:13" x14ac:dyDescent="0.3">
      <c r="A233" s="2" t="s">
        <v>94</v>
      </c>
    </row>
    <row r="234" spans="1:13" x14ac:dyDescent="0.3">
      <c r="A234" s="3" t="s">
        <v>33</v>
      </c>
      <c r="B234" s="4" t="s">
        <v>61</v>
      </c>
      <c r="C234" s="4" t="s">
        <v>79</v>
      </c>
      <c r="D234" s="4" t="s">
        <v>80</v>
      </c>
      <c r="E234" s="4" t="s">
        <v>157</v>
      </c>
      <c r="F234" s="4" t="s">
        <v>177</v>
      </c>
      <c r="G234" s="4" t="s">
        <v>82</v>
      </c>
      <c r="H234" s="4" t="s">
        <v>178</v>
      </c>
      <c r="I234" s="4" t="s">
        <v>179</v>
      </c>
      <c r="J234" s="4" t="s">
        <v>86</v>
      </c>
      <c r="K234" s="4" t="s">
        <v>158</v>
      </c>
      <c r="L234" s="4" t="s">
        <v>180</v>
      </c>
      <c r="M234" s="5" t="s">
        <v>47</v>
      </c>
    </row>
    <row r="235" spans="1:13" x14ac:dyDescent="0.3">
      <c r="A235" s="6">
        <v>1</v>
      </c>
      <c r="B235" s="7" t="s">
        <v>159</v>
      </c>
      <c r="C235" s="7">
        <v>15.475364330326162</v>
      </c>
      <c r="D235" s="7">
        <v>3.8688410825815414</v>
      </c>
      <c r="E235" s="7">
        <v>60</v>
      </c>
      <c r="F235" s="7">
        <v>4</v>
      </c>
      <c r="G235" s="7">
        <v>45</v>
      </c>
      <c r="H235" s="7">
        <v>9.2852185981956978</v>
      </c>
      <c r="I235" s="7">
        <v>0.61901457321304643</v>
      </c>
      <c r="J235" s="7">
        <v>69639.139486467728</v>
      </c>
      <c r="K235" s="7">
        <v>77.37682165163082</v>
      </c>
      <c r="L235" s="7">
        <v>1.9344205412907705</v>
      </c>
      <c r="M235" s="8">
        <v>52.840819335474698</v>
      </c>
    </row>
    <row r="236" spans="1:13" x14ac:dyDescent="0.3">
      <c r="A236" s="6">
        <v>2</v>
      </c>
      <c r="B236" s="7" t="s">
        <v>167</v>
      </c>
      <c r="C236" s="7">
        <v>52.810548230395561</v>
      </c>
      <c r="D236" s="7">
        <v>13.202637057598892</v>
      </c>
      <c r="E236" s="7">
        <v>2</v>
      </c>
      <c r="F236" s="7">
        <v>50</v>
      </c>
      <c r="G236" s="7">
        <v>8</v>
      </c>
      <c r="H236" s="7">
        <v>1.0562109646079112</v>
      </c>
      <c r="I236" s="7">
        <v>26.405274115197781</v>
      </c>
      <c r="J236" s="7">
        <v>42248.438584316449</v>
      </c>
      <c r="K236" s="7">
        <v>8.8017580383992602</v>
      </c>
      <c r="L236" s="7">
        <v>82.516481609993065</v>
      </c>
      <c r="M236" s="8">
        <v>32.057290295403085</v>
      </c>
    </row>
    <row r="237" spans="1:13" x14ac:dyDescent="0.3">
      <c r="A237" s="6">
        <v>3</v>
      </c>
      <c r="B237" s="7" t="s">
        <v>51</v>
      </c>
      <c r="C237" s="7">
        <v>331.71408743927822</v>
      </c>
      <c r="D237" s="7">
        <v>82.928521859819568</v>
      </c>
      <c r="E237" s="7">
        <v>0.5</v>
      </c>
      <c r="F237" s="7">
        <v>1.5</v>
      </c>
      <c r="G237" s="7">
        <v>0.6</v>
      </c>
      <c r="H237" s="7">
        <v>1.6585704371963912</v>
      </c>
      <c r="I237" s="7">
        <v>4.9757113115891727</v>
      </c>
      <c r="J237" s="7">
        <v>19902.845246356694</v>
      </c>
      <c r="K237" s="7">
        <v>13.821420309969925</v>
      </c>
      <c r="L237" s="7">
        <v>15.549097848716166</v>
      </c>
      <c r="M237" s="8">
        <v>15.101890369122211</v>
      </c>
    </row>
    <row r="238" spans="1:13" x14ac:dyDescent="0.3">
      <c r="A238" s="25">
        <v>4</v>
      </c>
      <c r="B238" s="26" t="s">
        <v>48</v>
      </c>
      <c r="C238" s="26">
        <v>400</v>
      </c>
      <c r="D238" s="26">
        <v>100</v>
      </c>
      <c r="E238" s="26">
        <v>3</v>
      </c>
      <c r="F238" s="26">
        <v>8</v>
      </c>
      <c r="G238" s="26">
        <v>2.5</v>
      </c>
      <c r="H238" s="26">
        <v>12</v>
      </c>
      <c r="I238" s="26">
        <v>32</v>
      </c>
      <c r="J238" s="26">
        <v>131790.42331714087</v>
      </c>
      <c r="K238" s="26">
        <v>100</v>
      </c>
      <c r="L238" s="26">
        <v>100</v>
      </c>
      <c r="M238" s="14">
        <v>100</v>
      </c>
    </row>
    <row r="240" spans="1:13" x14ac:dyDescent="0.3">
      <c r="A240" s="2" t="s">
        <v>65</v>
      </c>
    </row>
    <row r="241" spans="1:19" x14ac:dyDescent="0.3">
      <c r="A241" s="3" t="s">
        <v>33</v>
      </c>
      <c r="B241" s="4" t="s">
        <v>61</v>
      </c>
      <c r="C241" s="4" t="s">
        <v>79</v>
      </c>
      <c r="D241" s="4" t="s">
        <v>80</v>
      </c>
      <c r="E241" s="4" t="s">
        <v>81</v>
      </c>
      <c r="F241" s="4" t="s">
        <v>83</v>
      </c>
      <c r="G241" s="4" t="s">
        <v>85</v>
      </c>
      <c r="H241" s="4" t="s">
        <v>44</v>
      </c>
      <c r="I241" s="5" t="s">
        <v>89</v>
      </c>
    </row>
    <row r="242" spans="1:19" x14ac:dyDescent="0.3">
      <c r="A242" s="6">
        <v>1</v>
      </c>
      <c r="B242" s="7" t="s">
        <v>49</v>
      </c>
      <c r="C242" s="7">
        <v>264.70588235294122</v>
      </c>
      <c r="D242" s="7">
        <v>26.470588235294123</v>
      </c>
      <c r="E242" s="7">
        <v>8</v>
      </c>
      <c r="F242" s="7">
        <v>211.76470588235298</v>
      </c>
      <c r="G242" s="7">
        <v>21.176470588235297</v>
      </c>
      <c r="H242" s="7">
        <v>70.588235294117666</v>
      </c>
      <c r="I242" s="8">
        <v>3.7777777777777772</v>
      </c>
    </row>
    <row r="243" spans="1:19" x14ac:dyDescent="0.3">
      <c r="A243" s="6">
        <v>2</v>
      </c>
      <c r="B243" s="7" t="s">
        <v>51</v>
      </c>
      <c r="C243" s="7">
        <v>735.29411764705878</v>
      </c>
      <c r="D243" s="7">
        <v>73.52941176470587</v>
      </c>
      <c r="E243" s="7">
        <v>1.2</v>
      </c>
      <c r="F243" s="7">
        <v>88.235294117647044</v>
      </c>
      <c r="G243" s="7">
        <v>8.8235294117647047</v>
      </c>
      <c r="H243" s="7">
        <v>29.411764705882348</v>
      </c>
      <c r="I243" s="8">
        <v>1.36</v>
      </c>
    </row>
    <row r="244" spans="1:19" x14ac:dyDescent="0.3">
      <c r="A244" s="6">
        <v>3</v>
      </c>
      <c r="B244" s="7" t="s">
        <v>48</v>
      </c>
      <c r="C244" s="7">
        <v>1000</v>
      </c>
      <c r="D244" s="7">
        <v>100</v>
      </c>
      <c r="E244" s="7">
        <v>3</v>
      </c>
      <c r="F244" s="7">
        <v>300</v>
      </c>
      <c r="G244" s="7">
        <v>30</v>
      </c>
      <c r="H244" s="7">
        <v>100.00000000000001</v>
      </c>
      <c r="I244" s="8">
        <v>1</v>
      </c>
    </row>
    <row r="245" spans="1:19" x14ac:dyDescent="0.3">
      <c r="A245" s="6">
        <v>4</v>
      </c>
      <c r="B245" s="7" t="s">
        <v>153</v>
      </c>
      <c r="C245" s="7">
        <v>1000</v>
      </c>
      <c r="D245" s="7">
        <v>100</v>
      </c>
      <c r="E245" s="7">
        <v>3</v>
      </c>
      <c r="F245" s="7">
        <v>300</v>
      </c>
      <c r="G245" s="7">
        <v>30</v>
      </c>
      <c r="H245" s="7">
        <v>100</v>
      </c>
      <c r="I245" s="8">
        <v>1</v>
      </c>
    </row>
    <row r="246" spans="1:19" x14ac:dyDescent="0.3">
      <c r="A246" s="25">
        <v>5</v>
      </c>
      <c r="B246" s="26" t="s">
        <v>154</v>
      </c>
      <c r="C246" s="26">
        <v>1000</v>
      </c>
      <c r="D246" s="26">
        <v>100</v>
      </c>
      <c r="E246" s="26">
        <v>3</v>
      </c>
      <c r="F246" s="26">
        <v>300</v>
      </c>
      <c r="G246" s="26">
        <v>30</v>
      </c>
      <c r="H246" s="26">
        <v>100.00000000000001</v>
      </c>
      <c r="I246" s="14">
        <v>1</v>
      </c>
    </row>
    <row r="248" spans="1:19" x14ac:dyDescent="0.3">
      <c r="A248" s="2" t="s">
        <v>94</v>
      </c>
    </row>
    <row r="249" spans="1:19" x14ac:dyDescent="0.3">
      <c r="A249" s="3" t="s">
        <v>33</v>
      </c>
      <c r="B249" s="4" t="s">
        <v>61</v>
      </c>
      <c r="C249" s="4" t="s">
        <v>79</v>
      </c>
      <c r="D249" s="4" t="s">
        <v>80</v>
      </c>
      <c r="E249" s="4" t="s">
        <v>81</v>
      </c>
      <c r="F249" s="4" t="s">
        <v>92</v>
      </c>
      <c r="G249" s="4" t="s">
        <v>82</v>
      </c>
      <c r="H249" s="4" t="s">
        <v>83</v>
      </c>
      <c r="I249" s="4" t="s">
        <v>93</v>
      </c>
      <c r="J249" s="4" t="s">
        <v>84</v>
      </c>
      <c r="K249" s="4" t="s">
        <v>85</v>
      </c>
      <c r="L249" s="4" t="s">
        <v>95</v>
      </c>
      <c r="M249" s="4" t="s">
        <v>86</v>
      </c>
      <c r="N249" s="4" t="s">
        <v>44</v>
      </c>
      <c r="O249" s="4" t="s">
        <v>45</v>
      </c>
      <c r="P249" s="4" t="s">
        <v>47</v>
      </c>
      <c r="Q249" s="4" t="s">
        <v>87</v>
      </c>
      <c r="R249" s="4" t="s">
        <v>88</v>
      </c>
      <c r="S249" s="5" t="s">
        <v>89</v>
      </c>
    </row>
    <row r="250" spans="1:19" x14ac:dyDescent="0.3">
      <c r="A250" s="6">
        <v>1</v>
      </c>
      <c r="B250" s="7" t="s">
        <v>49</v>
      </c>
      <c r="C250" s="7">
        <v>15.475364330326162</v>
      </c>
      <c r="D250" s="7">
        <v>3.8688410825815414</v>
      </c>
      <c r="E250" s="7">
        <v>60</v>
      </c>
      <c r="F250" s="7">
        <v>4</v>
      </c>
      <c r="G250" s="7">
        <v>45</v>
      </c>
      <c r="H250" s="7">
        <v>232.13046495489249</v>
      </c>
      <c r="I250" s="7">
        <v>15.475364330326165</v>
      </c>
      <c r="J250" s="7">
        <v>174.09784871616935</v>
      </c>
      <c r="K250" s="7">
        <v>9.2852185981956978</v>
      </c>
      <c r="L250" s="7">
        <v>0.61901457321304643</v>
      </c>
      <c r="M250" s="7">
        <v>69639.139486467728</v>
      </c>
      <c r="N250" s="7">
        <v>77.37682165163082</v>
      </c>
      <c r="O250" s="7">
        <v>1.9344205412907705</v>
      </c>
      <c r="P250" s="7">
        <v>52.840819335474698</v>
      </c>
      <c r="Q250" s="7">
        <v>6.963913948646773E-2</v>
      </c>
      <c r="R250" s="7">
        <v>2238.9503248867577</v>
      </c>
      <c r="S250" s="8">
        <v>25.847533632286996</v>
      </c>
    </row>
    <row r="251" spans="1:19" x14ac:dyDescent="0.3">
      <c r="A251" s="6">
        <v>2</v>
      </c>
      <c r="B251" s="7" t="s">
        <v>50</v>
      </c>
      <c r="C251" s="7">
        <v>52.810548230395561</v>
      </c>
      <c r="D251" s="7">
        <v>13.202637057598892</v>
      </c>
      <c r="E251" s="7">
        <v>2</v>
      </c>
      <c r="F251" s="7">
        <v>50</v>
      </c>
      <c r="G251" s="7">
        <v>8</v>
      </c>
      <c r="H251" s="7">
        <v>26.405274115197784</v>
      </c>
      <c r="I251" s="7">
        <v>660.13185287994463</v>
      </c>
      <c r="J251" s="7">
        <v>105.62109646079114</v>
      </c>
      <c r="K251" s="7">
        <v>1.0562109646079112</v>
      </c>
      <c r="L251" s="7">
        <v>26.405274115197781</v>
      </c>
      <c r="M251" s="7">
        <v>42248.438584316449</v>
      </c>
      <c r="N251" s="7">
        <v>8.8017580383992602</v>
      </c>
      <c r="O251" s="7">
        <v>82.516481609993065</v>
      </c>
      <c r="P251" s="7">
        <v>32.057290295403085</v>
      </c>
      <c r="Q251" s="7">
        <v>4.2248438584316449E-2</v>
      </c>
      <c r="R251" s="7">
        <v>1358.318841844602</v>
      </c>
      <c r="S251" s="8">
        <v>7.5742444152431005</v>
      </c>
    </row>
    <row r="252" spans="1:19" x14ac:dyDescent="0.3">
      <c r="A252" s="6">
        <v>3</v>
      </c>
      <c r="B252" s="7" t="s">
        <v>51</v>
      </c>
      <c r="C252" s="7">
        <v>331.71408743927822</v>
      </c>
      <c r="D252" s="7">
        <v>82.928521859819568</v>
      </c>
      <c r="E252" s="7">
        <v>0.5</v>
      </c>
      <c r="F252" s="7">
        <v>1.5</v>
      </c>
      <c r="G252" s="7">
        <v>0.6</v>
      </c>
      <c r="H252" s="7">
        <v>41.464260929909784</v>
      </c>
      <c r="I252" s="7">
        <v>124.39278278972934</v>
      </c>
      <c r="J252" s="7">
        <v>49.757113115891741</v>
      </c>
      <c r="K252" s="7">
        <v>1.6585704371963912</v>
      </c>
      <c r="L252" s="7">
        <v>4.9757113115891727</v>
      </c>
      <c r="M252" s="7">
        <v>19902.845246356694</v>
      </c>
      <c r="N252" s="7">
        <v>13.821420309969925</v>
      </c>
      <c r="O252" s="7">
        <v>15.549097848716166</v>
      </c>
      <c r="P252" s="7">
        <v>15.101890369122211</v>
      </c>
      <c r="Q252" s="7">
        <v>1.9902845246356694E-2</v>
      </c>
      <c r="R252" s="7">
        <v>639.89133351023622</v>
      </c>
      <c r="S252" s="8">
        <v>1.2058577405857742</v>
      </c>
    </row>
    <row r="253" spans="1:19" x14ac:dyDescent="0.3">
      <c r="A253" s="6">
        <v>4</v>
      </c>
      <c r="B253" s="7" t="s">
        <v>48</v>
      </c>
      <c r="C253" s="7">
        <v>400</v>
      </c>
      <c r="D253" s="7">
        <v>100</v>
      </c>
      <c r="E253" s="7">
        <v>3</v>
      </c>
      <c r="F253" s="7">
        <v>8</v>
      </c>
      <c r="G253" s="7">
        <v>2.5</v>
      </c>
      <c r="H253" s="7">
        <v>300</v>
      </c>
      <c r="I253" s="7">
        <v>800.00000000000023</v>
      </c>
      <c r="J253" s="7">
        <v>329.4760582928522</v>
      </c>
      <c r="K253" s="7">
        <v>12</v>
      </c>
      <c r="L253" s="7">
        <v>32</v>
      </c>
      <c r="M253" s="7">
        <v>131790.42331714087</v>
      </c>
      <c r="N253" s="7">
        <v>100</v>
      </c>
      <c r="O253" s="7">
        <v>100</v>
      </c>
      <c r="P253" s="7">
        <v>100</v>
      </c>
      <c r="Q253" s="7">
        <v>0.13179042331714086</v>
      </c>
      <c r="R253" s="7">
        <v>4237.1605002415963</v>
      </c>
      <c r="S253" s="8">
        <v>1</v>
      </c>
    </row>
    <row r="254" spans="1:19" x14ac:dyDescent="0.3">
      <c r="A254" s="6">
        <v>5</v>
      </c>
      <c r="B254" s="7" t="s">
        <v>153</v>
      </c>
      <c r="C254" s="7">
        <v>400</v>
      </c>
      <c r="D254" s="7">
        <v>100</v>
      </c>
      <c r="E254" s="7">
        <v>3</v>
      </c>
      <c r="F254" s="7">
        <v>8</v>
      </c>
      <c r="G254" s="7">
        <v>2.5</v>
      </c>
      <c r="H254" s="7">
        <v>300</v>
      </c>
      <c r="I254" s="7">
        <v>800</v>
      </c>
      <c r="J254" s="7">
        <v>250</v>
      </c>
      <c r="K254" s="7">
        <v>12</v>
      </c>
      <c r="L254" s="7">
        <v>32</v>
      </c>
      <c r="M254" s="7">
        <v>100000</v>
      </c>
      <c r="N254" s="7">
        <v>100</v>
      </c>
      <c r="O254" s="7">
        <v>100</v>
      </c>
      <c r="P254" s="7">
        <v>131.79042331714086</v>
      </c>
      <c r="Q254" s="7">
        <v>0.1</v>
      </c>
      <c r="R254" s="7">
        <v>3215.0746568627983</v>
      </c>
      <c r="S254" s="8">
        <v>1</v>
      </c>
    </row>
    <row r="255" spans="1:19" x14ac:dyDescent="0.3">
      <c r="A255" s="25">
        <v>6</v>
      </c>
      <c r="B255" s="26" t="s">
        <v>154</v>
      </c>
      <c r="C255" s="26">
        <v>400</v>
      </c>
      <c r="D255" s="26">
        <v>100</v>
      </c>
      <c r="E255" s="26">
        <v>3</v>
      </c>
      <c r="F255" s="26">
        <v>8</v>
      </c>
      <c r="G255" s="26">
        <v>3.294760582928522</v>
      </c>
      <c r="H255" s="26">
        <v>300</v>
      </c>
      <c r="I255" s="26">
        <v>800.00000000000023</v>
      </c>
      <c r="J255" s="26">
        <v>329.4760582928522</v>
      </c>
      <c r="K255" s="26">
        <v>12</v>
      </c>
      <c r="L255" s="26">
        <v>32</v>
      </c>
      <c r="M255" s="26">
        <v>131790.42331714087</v>
      </c>
      <c r="N255" s="26">
        <v>100</v>
      </c>
      <c r="O255" s="26">
        <v>100</v>
      </c>
      <c r="P255" s="26">
        <v>100</v>
      </c>
      <c r="Q255" s="26">
        <v>0.13179042331714086</v>
      </c>
      <c r="R255" s="26">
        <v>4237.1605002415963</v>
      </c>
      <c r="S255" s="14">
        <v>1</v>
      </c>
    </row>
    <row r="258" spans="1:19" x14ac:dyDescent="0.3">
      <c r="E258">
        <f>+(($N$250*$E$253*$E$250)-(100*$E$253*$E$250))/(($N$250*$E$253)-(100*$E$250))</f>
        <v>0.70600974553329698</v>
      </c>
    </row>
    <row r="259" spans="1:19" x14ac:dyDescent="0.3">
      <c r="E259">
        <f>+(($N$252*$E$253*$E$250)-(100*$E$253*$E$250))/(($N$252*$E$253)-(100*$E$250))</f>
        <v>2.6033483767651768</v>
      </c>
    </row>
    <row r="260" spans="1:19" x14ac:dyDescent="0.3">
      <c r="A260" s="2" t="s">
        <v>94</v>
      </c>
    </row>
    <row r="261" spans="1:19" x14ac:dyDescent="0.3">
      <c r="A261" s="3" t="s">
        <v>33</v>
      </c>
      <c r="B261" s="4" t="s">
        <v>61</v>
      </c>
      <c r="C261" s="4" t="s">
        <v>79</v>
      </c>
      <c r="D261" s="4" t="s">
        <v>80</v>
      </c>
      <c r="E261" s="4" t="s">
        <v>81</v>
      </c>
      <c r="F261" s="4" t="s">
        <v>92</v>
      </c>
      <c r="G261" s="4" t="s">
        <v>82</v>
      </c>
      <c r="H261" s="4" t="s">
        <v>83</v>
      </c>
      <c r="I261" s="4" t="s">
        <v>93</v>
      </c>
      <c r="J261" s="4" t="s">
        <v>84</v>
      </c>
      <c r="K261" s="4" t="s">
        <v>85</v>
      </c>
      <c r="L261" s="4" t="s">
        <v>95</v>
      </c>
      <c r="M261" s="4" t="s">
        <v>86</v>
      </c>
      <c r="N261" s="4" t="s">
        <v>44</v>
      </c>
      <c r="O261" s="4" t="s">
        <v>45</v>
      </c>
      <c r="P261" s="4" t="s">
        <v>47</v>
      </c>
      <c r="Q261" s="4" t="s">
        <v>87</v>
      </c>
      <c r="R261" s="4" t="s">
        <v>88</v>
      </c>
      <c r="S261" s="5" t="s">
        <v>89</v>
      </c>
    </row>
    <row r="262" spans="1:19" x14ac:dyDescent="0.3">
      <c r="A262" s="6">
        <v>1</v>
      </c>
      <c r="B262" s="7" t="s">
        <v>49</v>
      </c>
      <c r="C262" s="36">
        <v>3.0000000000000075</v>
      </c>
      <c r="D262" s="7">
        <v>20.986710358638295</v>
      </c>
      <c r="E262" s="7">
        <v>60</v>
      </c>
      <c r="F262" s="7">
        <v>18.076233183856399</v>
      </c>
      <c r="G262" s="7">
        <v>45</v>
      </c>
      <c r="H262" s="7">
        <v>1259.2026215182975</v>
      </c>
      <c r="I262" s="7">
        <v>379.36067020480039</v>
      </c>
      <c r="J262" s="7">
        <v>944.40196613872331</v>
      </c>
      <c r="K262" s="7">
        <v>1.8000000000000045</v>
      </c>
      <c r="L262" s="7">
        <v>0.54228699551569337</v>
      </c>
      <c r="M262" s="7">
        <v>13500.000000000035</v>
      </c>
      <c r="N262" s="7">
        <v>89.14834339037931</v>
      </c>
      <c r="O262" s="7">
        <v>11.866049560759311</v>
      </c>
      <c r="P262" s="7">
        <v>95.715252351797801</v>
      </c>
      <c r="Q262" s="7">
        <v>1.3500000000000035E-2</v>
      </c>
      <c r="R262" s="7">
        <v>434.03507867647886</v>
      </c>
      <c r="S262" s="8">
        <v>133.333333333333</v>
      </c>
    </row>
    <row r="263" spans="1:19" x14ac:dyDescent="0.3">
      <c r="A263" s="6">
        <v>2</v>
      </c>
      <c r="B263" s="7" t="s">
        <v>50</v>
      </c>
      <c r="C263" s="36">
        <v>8.0000000000000018</v>
      </c>
      <c r="D263" s="7">
        <v>55.964560956368658</v>
      </c>
      <c r="E263" s="7">
        <v>2.5703022339027601</v>
      </c>
      <c r="F263" s="7">
        <v>50</v>
      </c>
      <c r="G263" s="7">
        <v>0.70893561103810798</v>
      </c>
      <c r="H263" s="7">
        <v>143.84583604554152</v>
      </c>
      <c r="I263" s="7">
        <v>2798.228047818433</v>
      </c>
      <c r="J263" s="7">
        <v>39.675270218082652</v>
      </c>
      <c r="K263" s="7">
        <v>0.20562417871222086</v>
      </c>
      <c r="L263" s="7">
        <v>4.0000000000000009</v>
      </c>
      <c r="M263" s="7">
        <v>567.14848883048649</v>
      </c>
      <c r="N263" s="7">
        <v>10.183919385112079</v>
      </c>
      <c r="O263" s="7">
        <v>87.525975425430786</v>
      </c>
      <c r="P263" s="7">
        <v>4.0210933873593078</v>
      </c>
      <c r="Q263" s="7">
        <v>5.6714848883048646E-4</v>
      </c>
      <c r="R263" s="7">
        <v>18.234247331169307</v>
      </c>
      <c r="S263" s="8">
        <v>49.999999999999986</v>
      </c>
    </row>
    <row r="264" spans="1:19" x14ac:dyDescent="0.3">
      <c r="A264" s="6">
        <v>3</v>
      </c>
      <c r="B264" s="7" t="s">
        <v>51</v>
      </c>
      <c r="C264" s="36">
        <v>3.29476058292853</v>
      </c>
      <c r="D264" s="7">
        <v>23.048728684993051</v>
      </c>
      <c r="E264" s="7">
        <v>0.40920502092050298</v>
      </c>
      <c r="F264" s="7">
        <v>0.84330543933054203</v>
      </c>
      <c r="G264" s="7">
        <v>0.11286610878661101</v>
      </c>
      <c r="H264" s="7">
        <v>9.4316555037335785</v>
      </c>
      <c r="I264" s="7">
        <v>19.437118269708535</v>
      </c>
      <c r="J264" s="7">
        <v>2.6014203191535072</v>
      </c>
      <c r="K264" s="7">
        <v>1.3482325732653178E-2</v>
      </c>
      <c r="L264" s="7">
        <v>2.7784895208754969E-2</v>
      </c>
      <c r="M264" s="7">
        <v>37.186680637864939</v>
      </c>
      <c r="N264" s="7">
        <v>0.66773722450861661</v>
      </c>
      <c r="O264" s="7">
        <v>0.60797501380991403</v>
      </c>
      <c r="P264" s="7">
        <v>0.26365426084288496</v>
      </c>
      <c r="Q264" s="7">
        <v>3.7186680637864943E-5</v>
      </c>
      <c r="R264" s="7">
        <v>1.1955795449165008</v>
      </c>
      <c r="S264" s="8">
        <v>121.40487599389154</v>
      </c>
    </row>
    <row r="265" spans="1:19" x14ac:dyDescent="0.3">
      <c r="A265" s="6">
        <v>4</v>
      </c>
      <c r="B265" s="7" t="s">
        <v>48</v>
      </c>
      <c r="C265" s="7">
        <v>400</v>
      </c>
      <c r="D265" s="7">
        <v>100</v>
      </c>
      <c r="E265" s="7">
        <v>3.0000000000000102</v>
      </c>
      <c r="F265" s="7">
        <v>8</v>
      </c>
      <c r="G265" s="7">
        <v>3.29476058292853</v>
      </c>
      <c r="H265" s="7">
        <v>1412.4801130675726</v>
      </c>
      <c r="I265" s="7">
        <v>3197.0258362929421</v>
      </c>
      <c r="J265" s="7">
        <v>986.67865667595947</v>
      </c>
      <c r="K265" s="7">
        <v>2.0191065044448786</v>
      </c>
      <c r="L265" s="7">
        <v>4.5700718907244493</v>
      </c>
      <c r="M265" s="7">
        <v>14104.335169468386</v>
      </c>
      <c r="N265" s="7">
        <v>100</v>
      </c>
      <c r="O265" s="7">
        <v>100.00000000000001</v>
      </c>
      <c r="P265" s="7">
        <v>100</v>
      </c>
      <c r="Q265" s="7">
        <v>1.4104335169468386E-2</v>
      </c>
      <c r="R265" s="7">
        <v>453.46490555256463</v>
      </c>
      <c r="S265" s="8">
        <v>1</v>
      </c>
    </row>
    <row r="266" spans="1:19" x14ac:dyDescent="0.3">
      <c r="A266" s="6">
        <v>5</v>
      </c>
      <c r="B266" s="7" t="s">
        <v>153</v>
      </c>
      <c r="C266" s="7">
        <v>400</v>
      </c>
      <c r="D266" s="7">
        <v>100</v>
      </c>
      <c r="E266" s="7">
        <v>3.0000000000000102</v>
      </c>
      <c r="F266" s="7">
        <v>8</v>
      </c>
      <c r="G266" s="7">
        <v>3.29476058292853</v>
      </c>
      <c r="H266" s="7">
        <v>300.00000000000102</v>
      </c>
      <c r="I266" s="7">
        <v>800</v>
      </c>
      <c r="J266" s="7">
        <v>329.476058292853</v>
      </c>
      <c r="K266" s="7">
        <v>12.000000000000041</v>
      </c>
      <c r="L266" s="7">
        <v>32</v>
      </c>
      <c r="M266" s="7">
        <v>131790.42331714119</v>
      </c>
      <c r="N266" s="7">
        <v>16.825887537040597</v>
      </c>
      <c r="O266" s="7">
        <v>14.281474658513906</v>
      </c>
      <c r="P266" s="7">
        <v>10.702094138909953</v>
      </c>
      <c r="Q266" s="7">
        <v>0.13179042331714119</v>
      </c>
      <c r="R266" s="7">
        <v>4237.1605002416063</v>
      </c>
      <c r="S266" s="8">
        <v>1</v>
      </c>
    </row>
    <row r="267" spans="1:19" x14ac:dyDescent="0.3">
      <c r="A267" s="25">
        <v>6</v>
      </c>
      <c r="B267" s="26" t="s">
        <v>154</v>
      </c>
      <c r="C267" s="26">
        <v>400</v>
      </c>
      <c r="D267" s="26">
        <v>100</v>
      </c>
      <c r="E267" s="26">
        <v>0.50477662611121954</v>
      </c>
      <c r="F267" s="26">
        <v>1.1425179726811125</v>
      </c>
      <c r="G267" s="26">
        <v>0.35260837923670962</v>
      </c>
      <c r="H267" s="26">
        <v>1412.4801130675726</v>
      </c>
      <c r="I267" s="26">
        <v>3197.0258362929421</v>
      </c>
      <c r="J267" s="26">
        <v>986.67865667595947</v>
      </c>
      <c r="K267" s="26">
        <v>2.0191065044448786</v>
      </c>
      <c r="L267" s="26">
        <v>4.5700718907244493</v>
      </c>
      <c r="M267" s="26">
        <v>14104.335169468386</v>
      </c>
      <c r="N267" s="26">
        <v>100</v>
      </c>
      <c r="O267" s="26">
        <v>100.00000000000001</v>
      </c>
      <c r="P267" s="26">
        <v>100</v>
      </c>
      <c r="Q267" s="26">
        <v>1.4104335169468386E-2</v>
      </c>
      <c r="R267" s="26">
        <v>453.46490555256463</v>
      </c>
      <c r="S267" s="14">
        <v>1</v>
      </c>
    </row>
    <row r="269" spans="1:19" x14ac:dyDescent="0.3">
      <c r="A269" s="2" t="s">
        <v>94</v>
      </c>
    </row>
    <row r="270" spans="1:19" x14ac:dyDescent="0.3">
      <c r="A270" s="3" t="s">
        <v>33</v>
      </c>
      <c r="B270" s="4" t="s">
        <v>61</v>
      </c>
      <c r="C270" s="4" t="s">
        <v>79</v>
      </c>
      <c r="D270" s="4" t="s">
        <v>80</v>
      </c>
      <c r="E270" s="4" t="s">
        <v>81</v>
      </c>
      <c r="F270" s="4" t="s">
        <v>92</v>
      </c>
      <c r="G270" s="4" t="s">
        <v>82</v>
      </c>
      <c r="H270" s="4" t="s">
        <v>83</v>
      </c>
      <c r="I270" s="4" t="s">
        <v>93</v>
      </c>
      <c r="J270" s="4" t="s">
        <v>84</v>
      </c>
      <c r="K270" s="4" t="s">
        <v>85</v>
      </c>
      <c r="L270" s="4" t="s">
        <v>95</v>
      </c>
      <c r="M270" s="4" t="s">
        <v>86</v>
      </c>
      <c r="N270" s="4" t="s">
        <v>44</v>
      </c>
      <c r="O270" s="4" t="s">
        <v>45</v>
      </c>
      <c r="P270" s="4" t="s">
        <v>47</v>
      </c>
      <c r="Q270" s="4" t="s">
        <v>87</v>
      </c>
      <c r="R270" s="4" t="s">
        <v>88</v>
      </c>
      <c r="S270" s="5" t="s">
        <v>89</v>
      </c>
    </row>
    <row r="271" spans="1:19" x14ac:dyDescent="0.3">
      <c r="A271" s="6">
        <v>1</v>
      </c>
      <c r="B271" s="7" t="s">
        <v>49</v>
      </c>
      <c r="C271" s="7">
        <v>15.475364330326226</v>
      </c>
      <c r="D271" s="7">
        <v>3.8688410825815565</v>
      </c>
      <c r="E271" s="7">
        <v>60</v>
      </c>
      <c r="F271" s="7">
        <v>18.076233183856399</v>
      </c>
      <c r="G271" s="7">
        <v>45</v>
      </c>
      <c r="H271" s="7">
        <v>232.1304649548934</v>
      </c>
      <c r="I271" s="7">
        <v>69.934073560027642</v>
      </c>
      <c r="J271" s="7">
        <v>174.09784871617003</v>
      </c>
      <c r="K271" s="7">
        <v>9.2852185981957351</v>
      </c>
      <c r="L271" s="7">
        <v>2.7973629424011057</v>
      </c>
      <c r="M271" s="7">
        <v>69639.139486468019</v>
      </c>
      <c r="N271" s="7">
        <v>77.376821651630863</v>
      </c>
      <c r="O271" s="7">
        <v>8.741759195003457</v>
      </c>
      <c r="P271" s="7">
        <v>90.291524203707056</v>
      </c>
      <c r="Q271" s="7">
        <v>6.9639139486468021E-2</v>
      </c>
      <c r="R271" s="7">
        <v>2238.9503248867668</v>
      </c>
      <c r="S271" s="8">
        <v>25.84753363228689</v>
      </c>
    </row>
    <row r="272" spans="1:19" x14ac:dyDescent="0.3">
      <c r="A272" s="6">
        <v>2</v>
      </c>
      <c r="B272" s="7" t="s">
        <v>50</v>
      </c>
      <c r="C272" s="7">
        <v>52.810548230395568</v>
      </c>
      <c r="D272" s="7">
        <v>13.202637057598892</v>
      </c>
      <c r="E272" s="7">
        <v>2.5703022339027601</v>
      </c>
      <c r="F272" s="7">
        <v>50</v>
      </c>
      <c r="G272" s="7">
        <v>0.70893561103810798</v>
      </c>
      <c r="H272" s="7">
        <v>33.934767522553798</v>
      </c>
      <c r="I272" s="7">
        <v>660.13185287994463</v>
      </c>
      <c r="J272" s="7">
        <v>9.3598195697432391</v>
      </c>
      <c r="K272" s="7">
        <v>1.357390700902152</v>
      </c>
      <c r="L272" s="7">
        <v>26.405274115197784</v>
      </c>
      <c r="M272" s="7">
        <v>3743.9278278972956</v>
      </c>
      <c r="N272" s="7">
        <v>11.311589174184562</v>
      </c>
      <c r="O272" s="7">
        <v>82.516481609993093</v>
      </c>
      <c r="P272" s="7">
        <v>4.854237898146466</v>
      </c>
      <c r="Q272" s="7">
        <v>3.743927827897296E-3</v>
      </c>
      <c r="R272" s="7">
        <v>120.37007476595979</v>
      </c>
      <c r="S272" s="8">
        <v>7.5742444152430997</v>
      </c>
    </row>
    <row r="273" spans="1:19" x14ac:dyDescent="0.3">
      <c r="A273" s="6">
        <v>3</v>
      </c>
      <c r="B273" s="7" t="s">
        <v>51</v>
      </c>
      <c r="C273" s="7">
        <v>331.71408743927822</v>
      </c>
      <c r="D273" s="7">
        <v>82.928521859819554</v>
      </c>
      <c r="E273" s="7">
        <v>0.40920502092050298</v>
      </c>
      <c r="F273" s="7">
        <v>0.84330543933054203</v>
      </c>
      <c r="G273" s="7">
        <v>0.11286610878661101</v>
      </c>
      <c r="H273" s="7">
        <v>33.934767522553848</v>
      </c>
      <c r="I273" s="7">
        <v>69.934073560027585</v>
      </c>
      <c r="J273" s="7">
        <v>9.3598195697432427</v>
      </c>
      <c r="K273" s="7">
        <v>1.357390700902154</v>
      </c>
      <c r="L273" s="7">
        <v>2.7973629424011035</v>
      </c>
      <c r="M273" s="7">
        <v>3743.927827897297</v>
      </c>
      <c r="N273" s="7">
        <v>11.311589174184578</v>
      </c>
      <c r="O273" s="7">
        <v>8.7417591950034499</v>
      </c>
      <c r="P273" s="7">
        <v>4.8542378981464678</v>
      </c>
      <c r="Q273" s="7">
        <v>3.7439278278972974E-3</v>
      </c>
      <c r="R273" s="7">
        <v>120.37007476595983</v>
      </c>
      <c r="S273" s="8">
        <v>1.2058577405857742</v>
      </c>
    </row>
    <row r="274" spans="1:19" x14ac:dyDescent="0.3">
      <c r="A274" s="6">
        <v>4</v>
      </c>
      <c r="B274" s="7" t="s">
        <v>48</v>
      </c>
      <c r="C274" s="7">
        <v>400</v>
      </c>
      <c r="D274" s="7">
        <v>100</v>
      </c>
      <c r="E274" s="7">
        <v>3.0000000000000102</v>
      </c>
      <c r="F274" s="7">
        <v>8</v>
      </c>
      <c r="G274" s="7">
        <v>3.29476058292853</v>
      </c>
      <c r="H274" s="7">
        <v>300.00000000000102</v>
      </c>
      <c r="I274" s="7">
        <v>799.99999999999989</v>
      </c>
      <c r="J274" s="7">
        <v>192.81748785565654</v>
      </c>
      <c r="K274" s="7">
        <v>12.000000000000043</v>
      </c>
      <c r="L274" s="7">
        <v>31.999999999999993</v>
      </c>
      <c r="M274" s="7">
        <v>77126.995142262604</v>
      </c>
      <c r="N274" s="7">
        <v>100</v>
      </c>
      <c r="O274" s="7">
        <v>100</v>
      </c>
      <c r="P274" s="7">
        <v>99.999999999999986</v>
      </c>
      <c r="Q274" s="7">
        <v>7.7126995142262622E-2</v>
      </c>
      <c r="R274" s="7">
        <v>2479.6904744186868</v>
      </c>
      <c r="S274" s="8">
        <v>1</v>
      </c>
    </row>
    <row r="275" spans="1:19" x14ac:dyDescent="0.3">
      <c r="A275" s="6">
        <v>5</v>
      </c>
      <c r="B275" s="7" t="s">
        <v>153</v>
      </c>
      <c r="C275" s="7">
        <v>400</v>
      </c>
      <c r="D275" s="7">
        <v>100</v>
      </c>
      <c r="E275" s="7">
        <v>3.0000000000000102</v>
      </c>
      <c r="F275" s="7">
        <v>8</v>
      </c>
      <c r="G275" s="7">
        <v>3.29476058292853</v>
      </c>
      <c r="H275" s="7">
        <v>300.00000000000102</v>
      </c>
      <c r="I275" s="7">
        <v>800</v>
      </c>
      <c r="J275" s="7">
        <v>329.476058292853</v>
      </c>
      <c r="K275" s="7">
        <v>12.000000000000041</v>
      </c>
      <c r="L275" s="7">
        <v>32</v>
      </c>
      <c r="M275" s="7">
        <v>131790.42331714119</v>
      </c>
      <c r="N275" s="7">
        <v>100</v>
      </c>
      <c r="O275" s="7">
        <v>99.999999999999986</v>
      </c>
      <c r="P275" s="7">
        <v>58.522458006424181</v>
      </c>
      <c r="Q275" s="7">
        <v>0.13179042331714119</v>
      </c>
      <c r="R275" s="7">
        <v>4237.1605002416063</v>
      </c>
      <c r="S275" s="8">
        <v>1</v>
      </c>
    </row>
    <row r="276" spans="1:19" x14ac:dyDescent="0.3">
      <c r="A276" s="25">
        <v>6</v>
      </c>
      <c r="B276" s="26" t="s">
        <v>154</v>
      </c>
      <c r="C276" s="26">
        <v>400</v>
      </c>
      <c r="D276" s="26">
        <v>100</v>
      </c>
      <c r="E276" s="26">
        <v>3.0000000000000102</v>
      </c>
      <c r="F276" s="26">
        <v>7.9999999999999991</v>
      </c>
      <c r="G276" s="26">
        <v>1.9281748785565653</v>
      </c>
      <c r="H276" s="26">
        <v>300.00000000000102</v>
      </c>
      <c r="I276" s="26">
        <v>799.99999999999989</v>
      </c>
      <c r="J276" s="26">
        <v>192.81748785565654</v>
      </c>
      <c r="K276" s="26">
        <v>12.000000000000043</v>
      </c>
      <c r="L276" s="26">
        <v>31.999999999999993</v>
      </c>
      <c r="M276" s="26">
        <v>77126.995142262604</v>
      </c>
      <c r="N276" s="26">
        <v>100</v>
      </c>
      <c r="O276" s="26">
        <v>100</v>
      </c>
      <c r="P276" s="26">
        <v>99.999999999999986</v>
      </c>
      <c r="Q276" s="26">
        <v>7.7126995142262622E-2</v>
      </c>
      <c r="R276" s="26">
        <v>2479.6904744186868</v>
      </c>
      <c r="S276" s="14">
        <v>1</v>
      </c>
    </row>
    <row r="278" spans="1:19" x14ac:dyDescent="0.3">
      <c r="A278" s="2" t="s">
        <v>94</v>
      </c>
    </row>
    <row r="279" spans="1:19" x14ac:dyDescent="0.3">
      <c r="A279" s="3" t="s">
        <v>33</v>
      </c>
      <c r="B279" s="4" t="s">
        <v>61</v>
      </c>
      <c r="C279" s="4" t="s">
        <v>79</v>
      </c>
      <c r="D279" s="4" t="s">
        <v>80</v>
      </c>
      <c r="E279" s="4" t="s">
        <v>81</v>
      </c>
      <c r="F279" s="4" t="s">
        <v>92</v>
      </c>
      <c r="G279" s="4" t="s">
        <v>82</v>
      </c>
      <c r="H279" s="4" t="s">
        <v>83</v>
      </c>
      <c r="I279" s="4" t="s">
        <v>93</v>
      </c>
      <c r="J279" s="4" t="s">
        <v>84</v>
      </c>
      <c r="K279" s="4" t="s">
        <v>85</v>
      </c>
      <c r="L279" s="4" t="s">
        <v>95</v>
      </c>
      <c r="M279" s="4" t="s">
        <v>86</v>
      </c>
      <c r="N279" s="4" t="s">
        <v>44</v>
      </c>
      <c r="O279" s="4" t="s">
        <v>45</v>
      </c>
      <c r="P279" s="4" t="s">
        <v>47</v>
      </c>
      <c r="Q279" s="4" t="s">
        <v>87</v>
      </c>
      <c r="R279" s="4" t="s">
        <v>88</v>
      </c>
      <c r="S279" s="5" t="s">
        <v>89</v>
      </c>
    </row>
    <row r="280" spans="1:19" x14ac:dyDescent="0.3">
      <c r="A280" s="6">
        <v>1</v>
      </c>
      <c r="B280" s="7" t="s">
        <v>49</v>
      </c>
      <c r="C280" s="7">
        <v>15.475364330326199</v>
      </c>
      <c r="D280" s="7">
        <v>3.8688410825815498</v>
      </c>
      <c r="E280" s="7">
        <v>60</v>
      </c>
      <c r="F280" s="7">
        <v>18.076233183856399</v>
      </c>
      <c r="G280" s="7">
        <v>45</v>
      </c>
      <c r="H280" s="7">
        <v>232.130464954893</v>
      </c>
      <c r="I280" s="7">
        <v>69.934073560027528</v>
      </c>
      <c r="J280" s="7">
        <v>174.09784871616975</v>
      </c>
      <c r="K280" s="7">
        <v>9.2852185981957192</v>
      </c>
      <c r="L280" s="7">
        <v>2.7973629424011013</v>
      </c>
      <c r="M280" s="7">
        <v>69639.139486467902</v>
      </c>
      <c r="N280" s="7">
        <v>77.376821651630905</v>
      </c>
      <c r="O280" s="7">
        <v>8.7417591950034392</v>
      </c>
      <c r="P280" s="7">
        <v>52.840819335474663</v>
      </c>
      <c r="Q280" s="7">
        <v>6.963913948646791E-2</v>
      </c>
      <c r="R280" s="7">
        <v>2238.9503248867632</v>
      </c>
      <c r="S280" s="8">
        <v>25.847533632286932</v>
      </c>
    </row>
    <row r="281" spans="1:19" x14ac:dyDescent="0.3">
      <c r="A281" s="6">
        <v>2</v>
      </c>
      <c r="B281" s="7" t="s">
        <v>50</v>
      </c>
      <c r="C281" s="7">
        <v>52.810548230395597</v>
      </c>
      <c r="D281" s="7">
        <v>13.202637057598899</v>
      </c>
      <c r="E281" s="7">
        <v>2.5703022339027499</v>
      </c>
      <c r="F281" s="7">
        <v>50</v>
      </c>
      <c r="G281" s="7">
        <v>5.8843626806833296</v>
      </c>
      <c r="H281" s="7">
        <v>33.934767522553678</v>
      </c>
      <c r="I281" s="7">
        <v>660.13185287994497</v>
      </c>
      <c r="J281" s="7">
        <v>77.689104788341723</v>
      </c>
      <c r="K281" s="7">
        <v>1.3573907009021471</v>
      </c>
      <c r="L281" s="7">
        <v>26.405274115197798</v>
      </c>
      <c r="M281" s="7">
        <v>31075.641915336688</v>
      </c>
      <c r="N281" s="7">
        <v>11.311589174184547</v>
      </c>
      <c r="O281" s="7">
        <v>82.516481609993107</v>
      </c>
      <c r="P281" s="7">
        <v>23.579590332262672</v>
      </c>
      <c r="Q281" s="7">
        <v>3.1075641915336689E-2</v>
      </c>
      <c r="R281" s="7">
        <v>999.10508767742283</v>
      </c>
      <c r="S281" s="8">
        <v>7.5742444152430961</v>
      </c>
    </row>
    <row r="282" spans="1:19" x14ac:dyDescent="0.3">
      <c r="A282" s="6">
        <v>3</v>
      </c>
      <c r="B282" s="7" t="s">
        <v>51</v>
      </c>
      <c r="C282" s="7">
        <v>331.71408743927822</v>
      </c>
      <c r="D282" s="7">
        <v>82.928521859819554</v>
      </c>
      <c r="E282" s="7">
        <v>0.40920502092050098</v>
      </c>
      <c r="F282" s="7">
        <v>0.84330543933054203</v>
      </c>
      <c r="G282" s="7">
        <v>0.93682008368201197</v>
      </c>
      <c r="H282" s="7">
        <v>33.934767522553685</v>
      </c>
      <c r="I282" s="7">
        <v>69.934073560027585</v>
      </c>
      <c r="J282" s="7">
        <v>77.689104788341709</v>
      </c>
      <c r="K282" s="7">
        <v>1.3573907009021473</v>
      </c>
      <c r="L282" s="7">
        <v>2.7973629424011035</v>
      </c>
      <c r="M282" s="7">
        <v>31075.641915336684</v>
      </c>
      <c r="N282" s="7">
        <v>11.311589174184549</v>
      </c>
      <c r="O282" s="7">
        <v>8.7417591950034463</v>
      </c>
      <c r="P282" s="7">
        <v>23.579590332262665</v>
      </c>
      <c r="Q282" s="7">
        <v>3.1075641915336686E-2</v>
      </c>
      <c r="R282" s="7">
        <v>999.10508767742272</v>
      </c>
      <c r="S282" s="8">
        <v>1.2058577405857742</v>
      </c>
    </row>
    <row r="283" spans="1:19" x14ac:dyDescent="0.3">
      <c r="A283" s="6">
        <v>4</v>
      </c>
      <c r="B283" s="7" t="s">
        <v>48</v>
      </c>
      <c r="C283" s="7">
        <v>400</v>
      </c>
      <c r="D283" s="7">
        <v>100</v>
      </c>
      <c r="E283" s="7">
        <v>3</v>
      </c>
      <c r="F283" s="7">
        <v>8</v>
      </c>
      <c r="G283" s="7">
        <v>1.92817487855656</v>
      </c>
      <c r="H283" s="7">
        <v>300.00000000000034</v>
      </c>
      <c r="I283" s="7">
        <v>800.00000000000011</v>
      </c>
      <c r="J283" s="7">
        <v>329.47605829285317</v>
      </c>
      <c r="K283" s="7">
        <v>12.000000000000014</v>
      </c>
      <c r="L283" s="7">
        <v>32</v>
      </c>
      <c r="M283" s="7">
        <v>131790.42331714128</v>
      </c>
      <c r="N283" s="7">
        <v>100</v>
      </c>
      <c r="O283" s="7">
        <v>100</v>
      </c>
      <c r="P283" s="7">
        <v>100</v>
      </c>
      <c r="Q283" s="7">
        <v>0.13179042331714128</v>
      </c>
      <c r="R283" s="7">
        <v>4237.160500241609</v>
      </c>
      <c r="S283" s="8">
        <v>1</v>
      </c>
    </row>
    <row r="284" spans="1:19" x14ac:dyDescent="0.3">
      <c r="A284" s="6">
        <v>5</v>
      </c>
      <c r="B284" s="7" t="s">
        <v>153</v>
      </c>
      <c r="C284" s="7">
        <v>400</v>
      </c>
      <c r="D284" s="7">
        <v>100</v>
      </c>
      <c r="E284" s="7">
        <v>3</v>
      </c>
      <c r="F284" s="7">
        <v>8</v>
      </c>
      <c r="G284" s="7">
        <v>1.92817487855656</v>
      </c>
      <c r="H284" s="7">
        <v>300</v>
      </c>
      <c r="I284" s="7">
        <v>800</v>
      </c>
      <c r="J284" s="7">
        <v>192.817487855656</v>
      </c>
      <c r="K284" s="7">
        <v>12</v>
      </c>
      <c r="L284" s="7">
        <v>32</v>
      </c>
      <c r="M284" s="7">
        <v>77126.9951422624</v>
      </c>
      <c r="N284" s="7">
        <v>100.00000000000011</v>
      </c>
      <c r="O284" s="7">
        <v>100.00000000000001</v>
      </c>
      <c r="P284" s="7">
        <v>170.87457261112147</v>
      </c>
      <c r="Q284" s="7">
        <v>7.71269951422624E-2</v>
      </c>
      <c r="R284" s="7">
        <v>2479.69047441868</v>
      </c>
      <c r="S284" s="8">
        <v>1</v>
      </c>
    </row>
    <row r="285" spans="1:19" x14ac:dyDescent="0.3">
      <c r="A285" s="25">
        <v>6</v>
      </c>
      <c r="B285" s="26" t="s">
        <v>154</v>
      </c>
      <c r="C285" s="26">
        <v>400</v>
      </c>
      <c r="D285" s="26">
        <v>100</v>
      </c>
      <c r="E285" s="26">
        <v>3.0000000000000036</v>
      </c>
      <c r="F285" s="26">
        <v>8.0000000000000018</v>
      </c>
      <c r="G285" s="26">
        <v>3.2947605829285318</v>
      </c>
      <c r="H285" s="26">
        <v>300.00000000000034</v>
      </c>
      <c r="I285" s="26">
        <v>800.00000000000011</v>
      </c>
      <c r="J285" s="26">
        <v>329.47605829285317</v>
      </c>
      <c r="K285" s="26">
        <v>12.000000000000014</v>
      </c>
      <c r="L285" s="26">
        <v>32</v>
      </c>
      <c r="M285" s="26">
        <v>131790.42331714128</v>
      </c>
      <c r="N285" s="26">
        <v>100</v>
      </c>
      <c r="O285" s="26">
        <v>100</v>
      </c>
      <c r="P285" s="26">
        <v>100</v>
      </c>
      <c r="Q285" s="26">
        <v>0.13179042331714128</v>
      </c>
      <c r="R285" s="26">
        <v>4237.160500241609</v>
      </c>
      <c r="S285" s="14">
        <v>1</v>
      </c>
    </row>
    <row r="287" spans="1:19" x14ac:dyDescent="0.3">
      <c r="A287" s="2" t="s">
        <v>94</v>
      </c>
    </row>
    <row r="288" spans="1:19" x14ac:dyDescent="0.3">
      <c r="A288" s="3" t="s">
        <v>33</v>
      </c>
      <c r="B288" s="4" t="s">
        <v>61</v>
      </c>
      <c r="C288" s="4" t="s">
        <v>79</v>
      </c>
      <c r="D288" s="4" t="s">
        <v>80</v>
      </c>
      <c r="E288" s="4" t="s">
        <v>81</v>
      </c>
      <c r="F288" s="4" t="s">
        <v>92</v>
      </c>
      <c r="G288" s="4" t="s">
        <v>82</v>
      </c>
      <c r="H288" s="4" t="s">
        <v>83</v>
      </c>
      <c r="I288" s="4" t="s">
        <v>93</v>
      </c>
      <c r="J288" s="4" t="s">
        <v>84</v>
      </c>
      <c r="K288" s="4" t="s">
        <v>85</v>
      </c>
      <c r="L288" s="4" t="s">
        <v>95</v>
      </c>
      <c r="M288" s="4" t="s">
        <v>86</v>
      </c>
      <c r="N288" s="4" t="s">
        <v>44</v>
      </c>
      <c r="O288" s="4" t="s">
        <v>45</v>
      </c>
      <c r="P288" s="4" t="s">
        <v>47</v>
      </c>
      <c r="Q288" s="4" t="s">
        <v>87</v>
      </c>
      <c r="R288" s="4" t="s">
        <v>88</v>
      </c>
      <c r="S288" s="5" t="s">
        <v>89</v>
      </c>
    </row>
    <row r="289" spans="1:19" x14ac:dyDescent="0.3">
      <c r="A289" s="6">
        <v>1</v>
      </c>
      <c r="B289" s="7" t="s">
        <v>49</v>
      </c>
      <c r="C289" s="7">
        <v>15.475364330326199</v>
      </c>
      <c r="D289" s="7">
        <v>3.8688410825815498</v>
      </c>
      <c r="E289" s="7">
        <v>59.999999999999901</v>
      </c>
      <c r="F289" s="7">
        <v>18.076233183856399</v>
      </c>
      <c r="G289" s="7">
        <v>26.335106102890801</v>
      </c>
      <c r="H289" s="7">
        <v>232.1304649548926</v>
      </c>
      <c r="I289" s="7">
        <v>69.934073560027528</v>
      </c>
      <c r="J289" s="7">
        <v>101.88634040500803</v>
      </c>
      <c r="K289" s="7">
        <v>9.2852185981957049</v>
      </c>
      <c r="L289" s="7">
        <v>2.7973629424011013</v>
      </c>
      <c r="M289" s="7">
        <v>40754.536162003213</v>
      </c>
      <c r="N289" s="7">
        <v>77.376821651630905</v>
      </c>
      <c r="O289" s="7">
        <v>8.7417591950034392</v>
      </c>
      <c r="P289" s="7">
        <v>90.29152420370707</v>
      </c>
      <c r="Q289" s="7">
        <v>4.075453616200321E-2</v>
      </c>
      <c r="R289" s="7">
        <v>1310.2887636665498</v>
      </c>
      <c r="S289" s="8">
        <v>25.847533632286932</v>
      </c>
    </row>
    <row r="290" spans="1:19" x14ac:dyDescent="0.3">
      <c r="A290" s="6">
        <v>2</v>
      </c>
      <c r="B290" s="7" t="s">
        <v>50</v>
      </c>
      <c r="C290" s="7">
        <v>52.810548230395597</v>
      </c>
      <c r="D290" s="7">
        <v>13.202637057598899</v>
      </c>
      <c r="E290" s="7">
        <v>2.5703022339027499</v>
      </c>
      <c r="F290" s="7">
        <v>50</v>
      </c>
      <c r="G290" s="7">
        <v>0.41488654526236102</v>
      </c>
      <c r="H290" s="7">
        <v>33.934767522553678</v>
      </c>
      <c r="I290" s="7">
        <v>660.13185287994497</v>
      </c>
      <c r="J290" s="7">
        <v>5.4775964771800307</v>
      </c>
      <c r="K290" s="7">
        <v>1.3573907009021471</v>
      </c>
      <c r="L290" s="7">
        <v>26.405274115197798</v>
      </c>
      <c r="M290" s="7">
        <v>2191.0385908720123</v>
      </c>
      <c r="N290" s="7">
        <v>11.311589174184563</v>
      </c>
      <c r="O290" s="7">
        <v>82.516481609993107</v>
      </c>
      <c r="P290" s="7">
        <v>4.8542378981464642</v>
      </c>
      <c r="Q290" s="7">
        <v>2.1910385908720125E-3</v>
      </c>
      <c r="R290" s="7">
        <v>70.443526457209842</v>
      </c>
      <c r="S290" s="8">
        <v>7.5742444152430961</v>
      </c>
    </row>
    <row r="291" spans="1:19" x14ac:dyDescent="0.3">
      <c r="A291" s="6">
        <v>3</v>
      </c>
      <c r="B291" s="7" t="s">
        <v>51</v>
      </c>
      <c r="C291" s="7">
        <v>331.71408743927822</v>
      </c>
      <c r="D291" s="7">
        <v>82.928521859819554</v>
      </c>
      <c r="E291" s="7">
        <v>0.40920502092049998</v>
      </c>
      <c r="F291" s="7">
        <v>0.84330543933054203</v>
      </c>
      <c r="G291" s="7">
        <v>6.6052021118128995E-2</v>
      </c>
      <c r="H291" s="7">
        <v>33.934767522553599</v>
      </c>
      <c r="I291" s="7">
        <v>69.934073560027585</v>
      </c>
      <c r="J291" s="7">
        <v>5.4775964771800236</v>
      </c>
      <c r="K291" s="7">
        <v>1.357390700902144</v>
      </c>
      <c r="L291" s="7">
        <v>2.7973629424011035</v>
      </c>
      <c r="M291" s="7">
        <v>2191.0385908720095</v>
      </c>
      <c r="N291" s="7">
        <v>11.311589174184537</v>
      </c>
      <c r="O291" s="7">
        <v>8.7417591950034463</v>
      </c>
      <c r="P291" s="7">
        <v>4.854237898146458</v>
      </c>
      <c r="Q291" s="7">
        <v>2.1910385908720095E-3</v>
      </c>
      <c r="R291" s="7">
        <v>70.443526457209742</v>
      </c>
      <c r="S291" s="8">
        <v>1.2058577405857742</v>
      </c>
    </row>
    <row r="292" spans="1:19" x14ac:dyDescent="0.3">
      <c r="A292" s="6">
        <v>4</v>
      </c>
      <c r="B292" s="7" t="s">
        <v>48</v>
      </c>
      <c r="C292" s="7">
        <v>400</v>
      </c>
      <c r="D292" s="7">
        <v>100</v>
      </c>
      <c r="E292" s="7">
        <v>3</v>
      </c>
      <c r="F292" s="7">
        <v>8</v>
      </c>
      <c r="G292" s="7">
        <v>1.92817487855656</v>
      </c>
      <c r="H292" s="7">
        <v>299.99999999999989</v>
      </c>
      <c r="I292" s="7">
        <v>800.00000000000011</v>
      </c>
      <c r="J292" s="7">
        <v>112.84153335936809</v>
      </c>
      <c r="K292" s="7">
        <v>11.999999999999996</v>
      </c>
      <c r="L292" s="7">
        <v>32</v>
      </c>
      <c r="M292" s="7">
        <v>45136.613343747238</v>
      </c>
      <c r="N292" s="7">
        <v>100</v>
      </c>
      <c r="O292" s="7">
        <v>100</v>
      </c>
      <c r="P292" s="7">
        <v>100</v>
      </c>
      <c r="Q292" s="7">
        <v>4.5136613343747231E-2</v>
      </c>
      <c r="R292" s="7">
        <v>1451.1758165809695</v>
      </c>
      <c r="S292" s="8">
        <v>1</v>
      </c>
    </row>
    <row r="293" spans="1:19" x14ac:dyDescent="0.3">
      <c r="A293" s="6">
        <v>5</v>
      </c>
      <c r="B293" s="7" t="s">
        <v>153</v>
      </c>
      <c r="C293" s="7">
        <v>400</v>
      </c>
      <c r="D293" s="7">
        <v>100</v>
      </c>
      <c r="E293" s="7">
        <v>3</v>
      </c>
      <c r="F293" s="7">
        <v>8</v>
      </c>
      <c r="G293" s="7">
        <v>1.92817487855656</v>
      </c>
      <c r="H293" s="7">
        <v>300</v>
      </c>
      <c r="I293" s="7">
        <v>800</v>
      </c>
      <c r="J293" s="7">
        <v>192.817487855656</v>
      </c>
      <c r="K293" s="7">
        <v>12</v>
      </c>
      <c r="L293" s="7">
        <v>32</v>
      </c>
      <c r="M293" s="7">
        <v>77126.9951422624</v>
      </c>
      <c r="N293" s="7">
        <v>99.999999999999957</v>
      </c>
      <c r="O293" s="7">
        <v>100.00000000000001</v>
      </c>
      <c r="P293" s="7">
        <v>58.522458006424053</v>
      </c>
      <c r="Q293" s="7">
        <v>7.71269951422624E-2</v>
      </c>
      <c r="R293" s="7">
        <v>2479.69047441868</v>
      </c>
      <c r="S293" s="8">
        <v>1</v>
      </c>
    </row>
    <row r="294" spans="1:19" x14ac:dyDescent="0.3">
      <c r="A294" s="25">
        <v>6</v>
      </c>
      <c r="B294" s="26" t="s">
        <v>154</v>
      </c>
      <c r="C294" s="26">
        <v>400</v>
      </c>
      <c r="D294" s="26">
        <v>100</v>
      </c>
      <c r="E294" s="26">
        <v>2.9999999999999987</v>
      </c>
      <c r="F294" s="26">
        <v>8.0000000000000018</v>
      </c>
      <c r="G294" s="26">
        <v>1.1284153335936808</v>
      </c>
      <c r="H294" s="26">
        <v>299.99999999999989</v>
      </c>
      <c r="I294" s="26">
        <v>800.00000000000011</v>
      </c>
      <c r="J294" s="26">
        <v>112.84153335936809</v>
      </c>
      <c r="K294" s="26">
        <v>11.999999999999996</v>
      </c>
      <c r="L294" s="26">
        <v>32</v>
      </c>
      <c r="M294" s="26">
        <v>45136.613343747238</v>
      </c>
      <c r="N294" s="26">
        <v>100</v>
      </c>
      <c r="O294" s="26">
        <v>100</v>
      </c>
      <c r="P294" s="26">
        <v>100</v>
      </c>
      <c r="Q294" s="26">
        <v>4.5136613343747231E-2</v>
      </c>
      <c r="R294" s="26">
        <v>1451.1758165809695</v>
      </c>
      <c r="S294" s="14">
        <v>1</v>
      </c>
    </row>
    <row r="296" spans="1:19" x14ac:dyDescent="0.3">
      <c r="A296" s="2" t="s">
        <v>65</v>
      </c>
    </row>
    <row r="297" spans="1:19" x14ac:dyDescent="0.3">
      <c r="A297" s="3" t="s">
        <v>33</v>
      </c>
      <c r="B297" s="4" t="s">
        <v>61</v>
      </c>
      <c r="C297" s="4" t="s">
        <v>79</v>
      </c>
      <c r="D297" s="4" t="s">
        <v>80</v>
      </c>
      <c r="E297" s="4" t="s">
        <v>81</v>
      </c>
      <c r="F297" s="4" t="s">
        <v>83</v>
      </c>
      <c r="G297" s="4" t="s">
        <v>85</v>
      </c>
      <c r="H297" s="4" t="s">
        <v>44</v>
      </c>
      <c r="I297" s="5" t="s">
        <v>89</v>
      </c>
    </row>
    <row r="298" spans="1:19" x14ac:dyDescent="0.3">
      <c r="A298" s="6">
        <v>1</v>
      </c>
      <c r="B298" s="7" t="s">
        <v>49</v>
      </c>
      <c r="C298" s="7">
        <v>17.39057168134141</v>
      </c>
      <c r="D298" s="7">
        <v>4.3476429203353524</v>
      </c>
      <c r="E298" s="7">
        <v>59.999999999999901</v>
      </c>
      <c r="F298" s="7">
        <v>260.85857522012071</v>
      </c>
      <c r="G298" s="7">
        <v>10.434343008804829</v>
      </c>
      <c r="H298" s="7">
        <v>86.952858406706895</v>
      </c>
      <c r="I298" s="8">
        <v>23.000968992248005</v>
      </c>
    </row>
    <row r="299" spans="1:19" x14ac:dyDescent="0.3">
      <c r="A299" s="6">
        <v>2</v>
      </c>
      <c r="B299" s="7" t="s">
        <v>51</v>
      </c>
      <c r="C299" s="7">
        <v>382.60942831865862</v>
      </c>
      <c r="D299" s="7">
        <v>95.652357079664654</v>
      </c>
      <c r="E299" s="7">
        <v>0.40920502092049998</v>
      </c>
      <c r="F299" s="7">
        <v>39.141424779879308</v>
      </c>
      <c r="G299" s="7">
        <v>1.5656569911951723</v>
      </c>
      <c r="H299" s="7">
        <v>13.047141593293102</v>
      </c>
      <c r="I299" s="8">
        <v>1.0454525434926227</v>
      </c>
    </row>
    <row r="300" spans="1:19" x14ac:dyDescent="0.3">
      <c r="A300" s="6">
        <v>3</v>
      </c>
      <c r="B300" s="7" t="s">
        <v>48</v>
      </c>
      <c r="C300" s="7">
        <v>400</v>
      </c>
      <c r="D300" s="7">
        <v>100</v>
      </c>
      <c r="E300" s="7">
        <v>3</v>
      </c>
      <c r="F300" s="7">
        <v>300</v>
      </c>
      <c r="G300" s="7">
        <v>12.000000000000002</v>
      </c>
      <c r="H300" s="7">
        <v>100</v>
      </c>
      <c r="I300" s="8">
        <v>1</v>
      </c>
    </row>
    <row r="301" spans="1:19" x14ac:dyDescent="0.3">
      <c r="A301" s="6">
        <v>4</v>
      </c>
      <c r="B301" s="7" t="s">
        <v>153</v>
      </c>
      <c r="C301" s="7">
        <v>400</v>
      </c>
      <c r="D301" s="7">
        <v>100</v>
      </c>
      <c r="E301" s="7">
        <v>3</v>
      </c>
      <c r="F301" s="7">
        <v>300</v>
      </c>
      <c r="G301" s="7">
        <v>12</v>
      </c>
      <c r="H301" s="7">
        <v>100</v>
      </c>
      <c r="I301" s="8">
        <v>1</v>
      </c>
    </row>
    <row r="302" spans="1:19" x14ac:dyDescent="0.3">
      <c r="A302" s="25">
        <v>5</v>
      </c>
      <c r="B302" s="26" t="s">
        <v>154</v>
      </c>
      <c r="C302" s="26">
        <v>400</v>
      </c>
      <c r="D302" s="26">
        <v>100</v>
      </c>
      <c r="E302" s="26">
        <v>3</v>
      </c>
      <c r="F302" s="26">
        <v>300</v>
      </c>
      <c r="G302" s="26">
        <v>12.000000000000002</v>
      </c>
      <c r="H302" s="26">
        <v>100</v>
      </c>
      <c r="I302" s="14">
        <v>1</v>
      </c>
    </row>
    <row r="304" spans="1:19" x14ac:dyDescent="0.3">
      <c r="A304" s="2" t="s">
        <v>65</v>
      </c>
    </row>
    <row r="305" spans="1:9" x14ac:dyDescent="0.3">
      <c r="A305" s="3" t="s">
        <v>33</v>
      </c>
      <c r="B305" s="4" t="s">
        <v>61</v>
      </c>
      <c r="C305" s="4" t="s">
        <v>79</v>
      </c>
      <c r="D305" s="4" t="s">
        <v>80</v>
      </c>
      <c r="E305" s="4" t="s">
        <v>81</v>
      </c>
      <c r="F305" s="4" t="s">
        <v>83</v>
      </c>
      <c r="G305" s="4" t="s">
        <v>85</v>
      </c>
      <c r="H305" s="4" t="s">
        <v>44</v>
      </c>
      <c r="I305" s="5" t="s">
        <v>89</v>
      </c>
    </row>
    <row r="306" spans="1:9" x14ac:dyDescent="0.3">
      <c r="A306" s="6">
        <v>1</v>
      </c>
      <c r="B306" s="7" t="s">
        <v>49</v>
      </c>
      <c r="C306" s="7">
        <v>17.39057168134141</v>
      </c>
      <c r="D306" s="7">
        <v>4.3476429203353524</v>
      </c>
      <c r="E306" s="7">
        <v>59.999999999999901</v>
      </c>
      <c r="F306" s="7">
        <v>260.85857522012071</v>
      </c>
      <c r="G306" s="7">
        <v>10.434343008804829</v>
      </c>
      <c r="H306" s="7">
        <v>86.952858406706895</v>
      </c>
      <c r="I306" s="8">
        <v>23.000968992248005</v>
      </c>
    </row>
    <row r="307" spans="1:9" x14ac:dyDescent="0.3">
      <c r="A307" s="6">
        <v>2</v>
      </c>
      <c r="B307" s="7" t="s">
        <v>51</v>
      </c>
      <c r="C307" s="7">
        <v>382.60942831865862</v>
      </c>
      <c r="D307" s="7">
        <v>95.652357079664654</v>
      </c>
      <c r="E307" s="7">
        <v>0.40920502092049998</v>
      </c>
      <c r="F307" s="7">
        <v>39.141424779879308</v>
      </c>
      <c r="G307" s="7">
        <v>1.5656569911951723</v>
      </c>
      <c r="H307" s="7">
        <v>13.047141593293102</v>
      </c>
      <c r="I307" s="8">
        <v>1.0454525434926227</v>
      </c>
    </row>
    <row r="308" spans="1:9" x14ac:dyDescent="0.3">
      <c r="A308" s="25">
        <v>3</v>
      </c>
      <c r="B308" s="26" t="s">
        <v>48</v>
      </c>
      <c r="C308" s="26">
        <v>400</v>
      </c>
      <c r="D308" s="26">
        <v>100</v>
      </c>
      <c r="E308" s="26">
        <v>3</v>
      </c>
      <c r="F308" s="26">
        <v>300</v>
      </c>
      <c r="G308" s="26">
        <v>12.000000000000002</v>
      </c>
      <c r="H308" s="26">
        <v>100</v>
      </c>
      <c r="I308" s="14">
        <v>1</v>
      </c>
    </row>
    <row r="310" spans="1:9" x14ac:dyDescent="0.3">
      <c r="A310" s="2" t="s">
        <v>65</v>
      </c>
    </row>
    <row r="311" spans="1:9" x14ac:dyDescent="0.3">
      <c r="A311" s="3" t="s">
        <v>33</v>
      </c>
      <c r="B311" s="4" t="s">
        <v>61</v>
      </c>
      <c r="C311" s="4" t="s">
        <v>79</v>
      </c>
      <c r="D311" s="4" t="s">
        <v>80</v>
      </c>
      <c r="E311" s="4" t="s">
        <v>81</v>
      </c>
      <c r="F311" s="4" t="s">
        <v>83</v>
      </c>
      <c r="G311" s="4" t="s">
        <v>85</v>
      </c>
      <c r="H311" s="4" t="s">
        <v>44</v>
      </c>
      <c r="I311" s="5" t="s">
        <v>89</v>
      </c>
    </row>
    <row r="312" spans="1:9" x14ac:dyDescent="0.3">
      <c r="A312" s="6">
        <v>1</v>
      </c>
      <c r="B312" s="7" t="s">
        <v>49</v>
      </c>
      <c r="C312" s="7">
        <v>17.39057168134141</v>
      </c>
      <c r="D312" s="7">
        <f>$C$312*100/$C$314</f>
        <v>4.3476429203353524</v>
      </c>
      <c r="E312" s="7">
        <v>59.999999999999901</v>
      </c>
      <c r="F312" s="7">
        <f>+$C312*$E$312*100/$C$314</f>
        <v>260.85857522012071</v>
      </c>
      <c r="G312" s="7">
        <f>+$C312*$E$312/100</f>
        <v>10.434343008804829</v>
      </c>
      <c r="H312" s="7">
        <f>+($C312*$E$312/SUM($C312*$E$312,$C313*$E$313))*100</f>
        <v>86.952858406706895</v>
      </c>
      <c r="I312" s="8">
        <f>+$C$314/$C$312</f>
        <v>23.000968992248005</v>
      </c>
    </row>
    <row r="313" spans="1:9" x14ac:dyDescent="0.3">
      <c r="A313" s="6">
        <v>2</v>
      </c>
      <c r="B313" s="7" t="s">
        <v>51</v>
      </c>
      <c r="C313" s="7">
        <v>382.60942831865862</v>
      </c>
      <c r="D313" s="7">
        <f>$C$313*100/$C$314</f>
        <v>95.652357079664654</v>
      </c>
      <c r="E313" s="7">
        <v>0.40920502092049998</v>
      </c>
      <c r="F313" s="7">
        <f>+$C313*$E$313*100/$C$314</f>
        <v>39.141424779879308</v>
      </c>
      <c r="G313" s="7">
        <f>+$C313*$E$313/100</f>
        <v>1.5656569911951723</v>
      </c>
      <c r="H313" s="7">
        <f>+($C313*$E$313/SUM($C312*$E$312,$C313*$E$313))*100</f>
        <v>13.047141593293102</v>
      </c>
      <c r="I313" s="8">
        <f>+$C$314/$C$313</f>
        <v>1.0454525434926227</v>
      </c>
    </row>
    <row r="314" spans="1:9" x14ac:dyDescent="0.3">
      <c r="A314" s="25">
        <v>3</v>
      </c>
      <c r="B314" s="26" t="s">
        <v>48</v>
      </c>
      <c r="C314" s="26">
        <v>400</v>
      </c>
      <c r="D314" s="26">
        <f>+SUM($D$312:$D$313)</f>
        <v>100</v>
      </c>
      <c r="E314" s="26">
        <v>3</v>
      </c>
      <c r="F314" s="26">
        <f>+SUM($F$312:$F$313)</f>
        <v>300</v>
      </c>
      <c r="G314" s="26">
        <f>+SUM($G$312:$G$313)</f>
        <v>12.000000000000002</v>
      </c>
      <c r="H314" s="26">
        <f>+SUM($H$312:$H$313)</f>
        <v>100</v>
      </c>
      <c r="I314" s="14">
        <f>+$C$314/$C$314</f>
        <v>1</v>
      </c>
    </row>
    <row r="316" spans="1:9" x14ac:dyDescent="0.3">
      <c r="A316" s="2" t="s">
        <v>65</v>
      </c>
    </row>
    <row r="317" spans="1:9" x14ac:dyDescent="0.3">
      <c r="A317" s="3" t="s">
        <v>33</v>
      </c>
      <c r="B317" s="4" t="s">
        <v>61</v>
      </c>
      <c r="C317" s="4" t="s">
        <v>79</v>
      </c>
      <c r="D317" s="4" t="s">
        <v>80</v>
      </c>
      <c r="E317" s="4" t="s">
        <v>81</v>
      </c>
      <c r="F317" s="4" t="s">
        <v>83</v>
      </c>
      <c r="G317" s="4" t="s">
        <v>85</v>
      </c>
      <c r="H317" s="4" t="s">
        <v>44</v>
      </c>
      <c r="I317" s="5" t="s">
        <v>89</v>
      </c>
    </row>
    <row r="318" spans="1:9" x14ac:dyDescent="0.3">
      <c r="A318" s="6">
        <v>1</v>
      </c>
      <c r="B318" s="7" t="s">
        <v>49</v>
      </c>
      <c r="C318" s="7">
        <v>17.39057168134141</v>
      </c>
      <c r="D318" s="7">
        <f>$C$318*100/$C$320</f>
        <v>4.3476429203353524</v>
      </c>
      <c r="E318" s="7">
        <v>59.999999999999901</v>
      </c>
      <c r="F318" s="7">
        <f>+$C318*$E$318*100/$C$320</f>
        <v>260.85857522012071</v>
      </c>
      <c r="G318" s="7">
        <f>+$C318*$E$318/100</f>
        <v>10.434343008804829</v>
      </c>
      <c r="H318" s="7">
        <f>+($C318*$E$318/SUM($C318*$E$318,$C319*$E$319))*100</f>
        <v>86.952858406706895</v>
      </c>
      <c r="I318" s="8">
        <f>+$C$320/$C$318</f>
        <v>23.000968992248005</v>
      </c>
    </row>
    <row r="319" spans="1:9" x14ac:dyDescent="0.3">
      <c r="A319" s="6">
        <v>2</v>
      </c>
      <c r="B319" s="7" t="s">
        <v>51</v>
      </c>
      <c r="C319" s="7">
        <v>382.60942831865862</v>
      </c>
      <c r="D319" s="7">
        <f>$C$319*100/$C$320</f>
        <v>95.652357079664654</v>
      </c>
      <c r="E319" s="7">
        <v>0.40920502092049998</v>
      </c>
      <c r="F319" s="7">
        <f>+$C319*$E$319*100/$C$320</f>
        <v>39.141424779879308</v>
      </c>
      <c r="G319" s="7">
        <f>+$C319*$E$319/100</f>
        <v>1.5656569911951723</v>
      </c>
      <c r="H319" s="7">
        <f>+($C319*$E$319/SUM($C318*$E$318,$C319*$E$319))*100</f>
        <v>13.047141593293102</v>
      </c>
      <c r="I319" s="8">
        <f>+$C$320/$C$319</f>
        <v>1.0454525434926227</v>
      </c>
    </row>
    <row r="320" spans="1:9" x14ac:dyDescent="0.3">
      <c r="A320" s="6">
        <v>3</v>
      </c>
      <c r="B320" s="7" t="s">
        <v>48</v>
      </c>
      <c r="C320" s="7">
        <v>400</v>
      </c>
      <c r="D320" s="7">
        <f>+SUM($D$318:$D$319)</f>
        <v>100</v>
      </c>
      <c r="E320" s="7">
        <v>3</v>
      </c>
      <c r="F320" s="7">
        <f>+SUM($F$318:$F$319)</f>
        <v>300</v>
      </c>
      <c r="G320" s="7">
        <f>+SUM($G$318:$G$319)</f>
        <v>12.000000000000002</v>
      </c>
      <c r="H320" s="7">
        <f>+SUM($H$318:$H$319)</f>
        <v>100</v>
      </c>
      <c r="I320" s="8">
        <f>+$C$320/$C$320</f>
        <v>1</v>
      </c>
    </row>
    <row r="321" spans="1:19" x14ac:dyDescent="0.3">
      <c r="A321" s="6">
        <v>4</v>
      </c>
      <c r="B321" s="7" t="s">
        <v>153</v>
      </c>
      <c r="C321" s="7">
        <v>400</v>
      </c>
      <c r="D321" s="7">
        <f>+SUM($D$318:$D$319)</f>
        <v>100</v>
      </c>
      <c r="E321" s="7">
        <v>3</v>
      </c>
      <c r="F321" s="7">
        <f>+SUM($C$318:$C$319)*$E$321*100/$C$321</f>
        <v>300</v>
      </c>
      <c r="G321" s="7">
        <f>+$C321*$E$321/100</f>
        <v>12</v>
      </c>
      <c r="H321" s="7">
        <f>+(SUM(($C318*$E$318*100/$C$321),($C319*$E$319*100/$C$321))*100)/(SUM(($C318*100/$C$321),($C319*100/$C$321))*($E$321))</f>
        <v>100</v>
      </c>
      <c r="I321" s="8">
        <f>+$C$320/$C$321</f>
        <v>1</v>
      </c>
    </row>
    <row r="322" spans="1:19" x14ac:dyDescent="0.3">
      <c r="A322" s="25">
        <v>5</v>
      </c>
      <c r="B322" s="26" t="s">
        <v>154</v>
      </c>
      <c r="C322" s="26">
        <v>400</v>
      </c>
      <c r="D322" s="26">
        <f>+SUM($D$318:$D$319)</f>
        <v>100</v>
      </c>
      <c r="E322" s="26">
        <f>+SUM(($C$318*$E$318*100/$C$322),($C$319*$E$319*100/$C$322))/100</f>
        <v>3</v>
      </c>
      <c r="F322" s="26">
        <f>+SUM($F$318:$F$319)</f>
        <v>300</v>
      </c>
      <c r="G322" s="26">
        <f>+SUM($G$318:$G$319)</f>
        <v>12.000000000000002</v>
      </c>
      <c r="H322" s="26">
        <f>+(SUM(($C318*$E$318*100/$C$322),($C319*$E$319*100/$C$322))*100)/(SUM(($C318*100/$C$322),($C319*100/$C$322))*($E$322))</f>
        <v>100</v>
      </c>
      <c r="I322" s="14">
        <f>+$C$320/$C$322</f>
        <v>1</v>
      </c>
    </row>
    <row r="324" spans="1:19" x14ac:dyDescent="0.3">
      <c r="A324" s="2" t="s">
        <v>94</v>
      </c>
    </row>
    <row r="325" spans="1:19" x14ac:dyDescent="0.3">
      <c r="A325" s="3" t="s">
        <v>33</v>
      </c>
      <c r="B325" s="4" t="s">
        <v>61</v>
      </c>
      <c r="C325" s="4" t="s">
        <v>79</v>
      </c>
      <c r="D325" s="4" t="s">
        <v>80</v>
      </c>
      <c r="E325" s="4" t="s">
        <v>81</v>
      </c>
      <c r="F325" s="4" t="s">
        <v>92</v>
      </c>
      <c r="G325" s="4" t="s">
        <v>82</v>
      </c>
      <c r="H325" s="4" t="s">
        <v>83</v>
      </c>
      <c r="I325" s="4" t="s">
        <v>93</v>
      </c>
      <c r="J325" s="4" t="s">
        <v>84</v>
      </c>
      <c r="K325" s="4" t="s">
        <v>85</v>
      </c>
      <c r="L325" s="4" t="s">
        <v>95</v>
      </c>
      <c r="M325" s="4" t="s">
        <v>86</v>
      </c>
      <c r="N325" s="4" t="s">
        <v>44</v>
      </c>
      <c r="O325" s="4" t="s">
        <v>45</v>
      </c>
      <c r="P325" s="4" t="s">
        <v>47</v>
      </c>
      <c r="Q325" s="4" t="s">
        <v>87</v>
      </c>
      <c r="R325" s="4" t="s">
        <v>88</v>
      </c>
      <c r="S325" s="5" t="s">
        <v>89</v>
      </c>
    </row>
    <row r="326" spans="1:19" x14ac:dyDescent="0.3">
      <c r="A326" s="6">
        <v>1</v>
      </c>
      <c r="B326" s="7" t="s">
        <v>49</v>
      </c>
      <c r="C326" s="7">
        <v>15.475364330326206</v>
      </c>
      <c r="D326" s="7">
        <f>$C$326*100/$C$329</f>
        <v>3.8688410825815516</v>
      </c>
      <c r="E326" s="7">
        <v>59.999999999999901</v>
      </c>
      <c r="F326" s="7">
        <v>18.076233183856399</v>
      </c>
      <c r="G326" s="7">
        <v>26.335106102890801</v>
      </c>
      <c r="H326" s="7">
        <f>+$C326*$E$326*100/$C$329</f>
        <v>232.13046495489272</v>
      </c>
      <c r="I326" s="7">
        <f>+$C326*$F$326*100/$C$329</f>
        <v>69.934073560027556</v>
      </c>
      <c r="J326" s="7">
        <f>+$C326*$G$326*100/$C$329</f>
        <v>101.88634040500807</v>
      </c>
      <c r="K326" s="7">
        <f>+$C326*$E$326/100</f>
        <v>9.2852185981957085</v>
      </c>
      <c r="L326" s="7">
        <f>+$C326*$F$326/100</f>
        <v>2.7973629424011022</v>
      </c>
      <c r="M326" s="7">
        <f>+$C326*$G$326*100</f>
        <v>40754.536162003227</v>
      </c>
      <c r="N326" s="7">
        <f>+($C326*$E$326/SUM($C326*$E$326,$C327*$E$327,$C328*$E$328))*100</f>
        <v>77.376821651630905</v>
      </c>
      <c r="O326" s="7">
        <f>+($C326*$F$326/SUM($C326*$F$326,$C327*$F$327,$C328*$F$328))*100</f>
        <v>8.7417591950034463</v>
      </c>
      <c r="P326" s="7">
        <f>+($C326*$G$326/SUM($C326*$G$326,$C327*$G$327,$C328*$G$328))*100</f>
        <v>90.29152420370707</v>
      </c>
      <c r="Q326" s="7">
        <f>+$C326*$G$326*0.0001</f>
        <v>4.0754536162003231E-2</v>
      </c>
      <c r="R326" s="7">
        <f>+$C326*$G326*100/31.1034768</f>
        <v>1310.2887636665503</v>
      </c>
      <c r="S326" s="8">
        <f>+$C$329/$C$326</f>
        <v>25.847533632286922</v>
      </c>
    </row>
    <row r="327" spans="1:19" x14ac:dyDescent="0.3">
      <c r="A327" s="6">
        <v>2</v>
      </c>
      <c r="B327" s="7" t="s">
        <v>50</v>
      </c>
      <c r="C327" s="7">
        <v>52.810548230395582</v>
      </c>
      <c r="D327" s="7">
        <f>$C$327*100/$C$329</f>
        <v>13.202637057598896</v>
      </c>
      <c r="E327" s="7">
        <v>2.5703022339027499</v>
      </c>
      <c r="F327" s="7">
        <v>50</v>
      </c>
      <c r="G327" s="7">
        <v>0.41488654526236102</v>
      </c>
      <c r="H327" s="7">
        <f>+$C327*$E$327*100/$C$329</f>
        <v>33.93476752255367</v>
      </c>
      <c r="I327" s="7">
        <f>+$C327*$F$327*100/$C$329</f>
        <v>660.13185287994474</v>
      </c>
      <c r="J327" s="7">
        <f>+$C327*$G$327*100/$C$329</f>
        <v>5.4775964771800298</v>
      </c>
      <c r="K327" s="7">
        <f>+$C327*$E$327/100</f>
        <v>1.3573907009021469</v>
      </c>
      <c r="L327" s="7">
        <f>+$C327*$F$327/100</f>
        <v>26.405274115197791</v>
      </c>
      <c r="M327" s="7">
        <f>+$C327*$G$327*100</f>
        <v>2191.0385908720118</v>
      </c>
      <c r="N327" s="7">
        <f>+($C327*$E$327/SUM($C326*$E$326,$C327*$E$327,$C328*$E$328))*100</f>
        <v>11.311589174184556</v>
      </c>
      <c r="O327" s="7">
        <f>+($C327*$F$327/SUM($C326*$F$326,$C327*$F$327,$C328*$F$328))*100</f>
        <v>82.516481609993107</v>
      </c>
      <c r="P327" s="7">
        <f>+($C327*$G$327/SUM($C326*$G$326,$C327*$G$327,$C328*$G$328))*100</f>
        <v>4.8542378981464607</v>
      </c>
      <c r="Q327" s="7">
        <f>+$C327*$G$327*0.0001</f>
        <v>2.1910385908720117E-3</v>
      </c>
      <c r="R327" s="7">
        <f>+$C327*$G327*100/31.1034768</f>
        <v>70.443526457209828</v>
      </c>
      <c r="S327" s="8">
        <f>+$C$329/$C$327</f>
        <v>7.5742444152430979</v>
      </c>
    </row>
    <row r="328" spans="1:19" x14ac:dyDescent="0.3">
      <c r="A328" s="6">
        <v>3</v>
      </c>
      <c r="B328" s="7" t="s">
        <v>51</v>
      </c>
      <c r="C328" s="7">
        <v>331.71408743927822</v>
      </c>
      <c r="D328" s="7">
        <f>$C$328*100/$C$329</f>
        <v>82.928521859819554</v>
      </c>
      <c r="E328" s="7">
        <v>0.40920502092049998</v>
      </c>
      <c r="F328" s="7">
        <v>0.84330543933054203</v>
      </c>
      <c r="G328" s="7">
        <v>6.6052021118128995E-2</v>
      </c>
      <c r="H328" s="7">
        <f>+$C328*$E$328*100/$C$329</f>
        <v>33.934767522553599</v>
      </c>
      <c r="I328" s="7">
        <f>+$C328*$F$328*100/$C$329</f>
        <v>69.934073560027585</v>
      </c>
      <c r="J328" s="7">
        <f>+$C328*$G$328*100/$C$329</f>
        <v>5.4775964771800236</v>
      </c>
      <c r="K328" s="7">
        <f>+$C328*$E$328/100</f>
        <v>1.357390700902144</v>
      </c>
      <c r="L328" s="7">
        <f>+$C328*$F$328/100</f>
        <v>2.7973629424011035</v>
      </c>
      <c r="M328" s="7">
        <f>+$C328*$G$328*100</f>
        <v>2191.0385908720095</v>
      </c>
      <c r="N328" s="7">
        <f>+($C328*$E$328/SUM($C326*$E$326,$C327*$E$327,$C328*$E$328))*100</f>
        <v>11.311589174184533</v>
      </c>
      <c r="O328" s="7">
        <f>+($C328*$F$328/SUM($C326*$F$326,$C327*$F$327,$C328*$F$328))*100</f>
        <v>8.7417591950034499</v>
      </c>
      <c r="P328" s="7">
        <f>+($C328*$G$328/SUM($C326*$G$326,$C327*$G$327,$C328*$G$328))*100</f>
        <v>4.8542378981464562</v>
      </c>
      <c r="Q328" s="7">
        <f>+$C328*$G$328*0.0001</f>
        <v>2.1910385908720095E-3</v>
      </c>
      <c r="R328" s="7">
        <f>+$C328*$G328*100/31.1034768</f>
        <v>70.443526457209742</v>
      </c>
      <c r="S328" s="8">
        <f>+$C$329/$C$328</f>
        <v>1.2058577405857742</v>
      </c>
    </row>
    <row r="329" spans="1:19" x14ac:dyDescent="0.3">
      <c r="A329" s="6">
        <v>4</v>
      </c>
      <c r="B329" s="7" t="s">
        <v>48</v>
      </c>
      <c r="C329" s="7">
        <v>400</v>
      </c>
      <c r="D329" s="7">
        <f>+SUM($D$326:$D$328)</f>
        <v>100</v>
      </c>
      <c r="E329" s="7">
        <v>3</v>
      </c>
      <c r="F329" s="7">
        <v>8</v>
      </c>
      <c r="G329" s="7">
        <v>1.92817487855656</v>
      </c>
      <c r="H329" s="7">
        <f>+SUM($H$326:$H$328)</f>
        <v>300</v>
      </c>
      <c r="I329" s="7">
        <f>+SUM($I$326:$I$328)</f>
        <v>799.99999999999989</v>
      </c>
      <c r="J329" s="7">
        <f>+SUM($J$326:$J$328)</f>
        <v>112.84153335936813</v>
      </c>
      <c r="K329" s="7">
        <f>+SUM($K$326:$K$328)</f>
        <v>12</v>
      </c>
      <c r="L329" s="7">
        <f>+SUM($L$326:$L$328)</f>
        <v>31.999999999999996</v>
      </c>
      <c r="M329" s="7">
        <f>+SUM($M$326:$M$328)</f>
        <v>45136.613343747253</v>
      </c>
      <c r="N329" s="7">
        <f>+SUM($N$326:$N$328)</f>
        <v>100</v>
      </c>
      <c r="O329" s="7">
        <f>+SUM($O$326:$O$328)</f>
        <v>100</v>
      </c>
      <c r="P329" s="7">
        <f>+SUM($P$326:$P$328)</f>
        <v>99.999999999999986</v>
      </c>
      <c r="Q329" s="7">
        <f>+SUM($Q$326:$Q$328)</f>
        <v>4.5136613343747252E-2</v>
      </c>
      <c r="R329" s="7">
        <f>+SUM($R$326:$R$328)</f>
        <v>1451.1758165809699</v>
      </c>
      <c r="S329" s="8">
        <f>+$C$329/$C$329</f>
        <v>1</v>
      </c>
    </row>
    <row r="330" spans="1:19" x14ac:dyDescent="0.3">
      <c r="A330" s="6">
        <v>5</v>
      </c>
      <c r="B330" s="7" t="s">
        <v>153</v>
      </c>
      <c r="C330" s="7">
        <v>400</v>
      </c>
      <c r="D330" s="7">
        <f>+SUM($D$326:$D$328)</f>
        <v>100</v>
      </c>
      <c r="E330" s="7">
        <v>3</v>
      </c>
      <c r="F330" s="7">
        <v>8</v>
      </c>
      <c r="G330" s="7">
        <v>1.92817487855656</v>
      </c>
      <c r="H330" s="7">
        <f>+SUM($C$326:$C$328)*$E$330*100/$C$330</f>
        <v>300</v>
      </c>
      <c r="I330" s="7">
        <f>+SUM($C$326:$C$328)*$F$330*100/$C$330</f>
        <v>800</v>
      </c>
      <c r="J330" s="7">
        <f>+SUM($C$326:$C$328)*$G$330*100/$C$330</f>
        <v>192.817487855656</v>
      </c>
      <c r="K330" s="7">
        <f>+$C330*$E$330/100</f>
        <v>12</v>
      </c>
      <c r="L330" s="7">
        <f>+$C330*$F$330/100</f>
        <v>32</v>
      </c>
      <c r="M330" s="7">
        <f>+$C330*$G$330*100</f>
        <v>77126.9951422624</v>
      </c>
      <c r="N330" s="7">
        <f>+(SUM(($C326*$E$326*100/$C$330),($C327*$E$327*100/$C$330),($C328*$E$328*100/$C$330))*100)/(SUM(($C326*100/$C$330),($C327*100/$C$330),($C328*100/$C$330))*($E$330))</f>
        <v>100</v>
      </c>
      <c r="O330" s="7">
        <f>+(SUM(($C326*$F$326*100/$C$330),($C327*$F$327*100/$C$330),($C328*$F$328*100/$C$330))*100)/(SUM(($C326*100/$C$330),($C327*100/$C$330),($C328*100/$C$330))*($F$330))</f>
        <v>99.999999999999986</v>
      </c>
      <c r="P330" s="7">
        <f>+(SUM(($C326*$G$326*100/$C$330),($C327*$G$327*100/$C$330),($C328*$G$328*100/$C$330))*100)/(SUM(($C326*100/$C$330),($C327*100/$C$330),($C328*100/$C$330))*($G$330))</f>
        <v>58.522458006424081</v>
      </c>
      <c r="Q330" s="7">
        <f>+$C330*$G$330*0.0001</f>
        <v>7.71269951422624E-2</v>
      </c>
      <c r="R330" s="7">
        <f>+$C330*$G330*100/31.1034768</f>
        <v>2479.69047441868</v>
      </c>
      <c r="S330" s="8">
        <f>+$C$329/$C$330</f>
        <v>1</v>
      </c>
    </row>
    <row r="331" spans="1:19" x14ac:dyDescent="0.3">
      <c r="A331" s="25">
        <v>6</v>
      </c>
      <c r="B331" s="26" t="s">
        <v>154</v>
      </c>
      <c r="C331" s="26">
        <v>400</v>
      </c>
      <c r="D331" s="26">
        <f>+SUM($D$326:$D$328)</f>
        <v>100</v>
      </c>
      <c r="E331" s="26">
        <f>+SUM(($C$326*$E$326*100/$C$331),($C$327*$E$327*100/$C$331),($C$328*$E$328*100/$C$331))/100</f>
        <v>3</v>
      </c>
      <c r="F331" s="26">
        <f>+SUM(($C$326*$F$326*100/$C$331),($C$327*$F$327*100/$C$331),($C$328*$F$328*100/$C$331))/100</f>
        <v>7.9999999999999991</v>
      </c>
      <c r="G331" s="26">
        <f>+SUM(($C$326*$G$326*100/$C$331),($C$327*$G$327*100/$C$331),($C$328*$G$328*100/$C$331))/100</f>
        <v>1.1284153335936813</v>
      </c>
      <c r="H331" s="26">
        <f>+SUM($H$326:$H$328)</f>
        <v>300</v>
      </c>
      <c r="I331" s="26">
        <f>+SUM($I$326:$I$328)</f>
        <v>799.99999999999989</v>
      </c>
      <c r="J331" s="26">
        <f>+SUM($J$326:$J$328)</f>
        <v>112.84153335936813</v>
      </c>
      <c r="K331" s="26">
        <f>+SUM($K$326:$K$328)</f>
        <v>12</v>
      </c>
      <c r="L331" s="26">
        <f>+SUM($L$326:$L$328)</f>
        <v>31.999999999999996</v>
      </c>
      <c r="M331" s="26">
        <f>+SUM($M$326:$M$328)</f>
        <v>45136.613343747253</v>
      </c>
      <c r="N331" s="26">
        <f>+(SUM(($C326*$E$326*100/$C$331),($C327*$E$327*100/$C$331),($C328*$E$328*100/$C$331))*100)/(SUM(($C326*100/$C$331),($C327*100/$C$331),($C328*100/$C$331))*($E$331))</f>
        <v>100</v>
      </c>
      <c r="O331" s="26">
        <f>+(SUM(($C326*$F$326*100/$C$331),($C327*$F$327*100/$C$331),($C328*$F$328*100/$C$331))*100)/(SUM(($C326*100/$C$331),($C327*100/$C$331),($C328*100/$C$331))*($F$331))</f>
        <v>100</v>
      </c>
      <c r="P331" s="26">
        <f>+(SUM(($C326*$G$326*100/$C$331),($C327*$G$327*100/$C$331),($C328*$G$328*100/$C$331))*100)/(SUM(($C326*100/$C$331),($C327*100/$C$331),($C328*100/$C$331))*($G$331))</f>
        <v>100</v>
      </c>
      <c r="Q331" s="26">
        <f>+$C331*$G$331*0.0001</f>
        <v>4.5136613343747252E-2</v>
      </c>
      <c r="R331" s="26">
        <f>+$C331*$G331*100/31.1034768</f>
        <v>1451.1758165809699</v>
      </c>
      <c r="S331" s="14">
        <f>+$C$329/$C$331</f>
        <v>1</v>
      </c>
    </row>
    <row r="333" spans="1:19" x14ac:dyDescent="0.3">
      <c r="A333" s="2" t="s">
        <v>94</v>
      </c>
    </row>
    <row r="334" spans="1:19" x14ac:dyDescent="0.3">
      <c r="A334" s="3" t="s">
        <v>33</v>
      </c>
      <c r="B334" s="4" t="s">
        <v>61</v>
      </c>
      <c r="C334" s="4" t="s">
        <v>79</v>
      </c>
      <c r="D334" s="4" t="s">
        <v>80</v>
      </c>
      <c r="E334" s="4" t="s">
        <v>81</v>
      </c>
      <c r="F334" s="4" t="s">
        <v>92</v>
      </c>
      <c r="G334" s="4" t="s">
        <v>82</v>
      </c>
      <c r="H334" s="4" t="s">
        <v>83</v>
      </c>
      <c r="I334" s="4" t="s">
        <v>93</v>
      </c>
      <c r="J334" s="4" t="s">
        <v>84</v>
      </c>
      <c r="K334" s="4" t="s">
        <v>85</v>
      </c>
      <c r="L334" s="4" t="s">
        <v>95</v>
      </c>
      <c r="M334" s="4" t="s">
        <v>86</v>
      </c>
      <c r="N334" s="4" t="s">
        <v>44</v>
      </c>
      <c r="O334" s="4" t="s">
        <v>45</v>
      </c>
      <c r="P334" s="4" t="s">
        <v>47</v>
      </c>
      <c r="Q334" s="4" t="s">
        <v>87</v>
      </c>
      <c r="R334" s="4" t="s">
        <v>88</v>
      </c>
      <c r="S334" s="5" t="s">
        <v>89</v>
      </c>
    </row>
    <row r="335" spans="1:19" x14ac:dyDescent="0.3">
      <c r="A335" s="6">
        <v>1</v>
      </c>
      <c r="B335" s="7" t="s">
        <v>49</v>
      </c>
      <c r="C335" s="7">
        <v>15.475364330326206</v>
      </c>
      <c r="D335" s="7">
        <v>3.868841082581552</v>
      </c>
      <c r="E335" s="7">
        <v>59.999999999999901</v>
      </c>
      <c r="F335" s="7">
        <v>18.076233183856399</v>
      </c>
      <c r="G335" s="7">
        <v>26.335106102890801</v>
      </c>
      <c r="H335" s="7">
        <v>232.13046495489274</v>
      </c>
      <c r="I335" s="7">
        <v>69.934073560027571</v>
      </c>
      <c r="J335" s="7">
        <v>101.88634040500808</v>
      </c>
      <c r="K335" s="7">
        <v>9.2852185981957085</v>
      </c>
      <c r="L335" s="7">
        <v>2.7973629424011022</v>
      </c>
      <c r="M335" s="7">
        <v>40754.536162003227</v>
      </c>
      <c r="N335" s="7">
        <v>77.376821651630905</v>
      </c>
      <c r="O335" s="7">
        <v>8.7417591950034446</v>
      </c>
      <c r="P335" s="7">
        <v>90.29152420370707</v>
      </c>
      <c r="Q335" s="7">
        <v>4.0754536162003231E-2</v>
      </c>
      <c r="R335" s="7">
        <v>1310.2887636665503</v>
      </c>
      <c r="S335" s="8">
        <v>25.847533632286922</v>
      </c>
    </row>
    <row r="336" spans="1:19" x14ac:dyDescent="0.3">
      <c r="A336" s="6">
        <v>2</v>
      </c>
      <c r="B336" s="7" t="s">
        <v>50</v>
      </c>
      <c r="C336" s="7">
        <v>52.81054823039559</v>
      </c>
      <c r="D336" s="7">
        <v>13.202637057598899</v>
      </c>
      <c r="E336" s="7">
        <v>2.5703022339027499</v>
      </c>
      <c r="F336" s="7">
        <v>50</v>
      </c>
      <c r="G336" s="7">
        <v>0.41488654526236102</v>
      </c>
      <c r="H336" s="7">
        <v>33.934767522553685</v>
      </c>
      <c r="I336" s="7">
        <v>660.13185287994497</v>
      </c>
      <c r="J336" s="7">
        <v>5.4775964771800307</v>
      </c>
      <c r="K336" s="7">
        <v>1.3573907009021471</v>
      </c>
      <c r="L336" s="7">
        <v>26.405274115197795</v>
      </c>
      <c r="M336" s="7">
        <v>2191.0385908720118</v>
      </c>
      <c r="N336" s="7">
        <v>11.31158917418456</v>
      </c>
      <c r="O336" s="7">
        <v>82.516481609993122</v>
      </c>
      <c r="P336" s="7">
        <v>4.8542378981464616</v>
      </c>
      <c r="Q336" s="7">
        <v>2.1910385908720121E-3</v>
      </c>
      <c r="R336" s="7">
        <v>70.443526457209828</v>
      </c>
      <c r="S336" s="8">
        <v>7.574244415243097</v>
      </c>
    </row>
    <row r="337" spans="1:19" x14ac:dyDescent="0.3">
      <c r="A337" s="6">
        <v>3</v>
      </c>
      <c r="B337" s="7" t="s">
        <v>51</v>
      </c>
      <c r="C337" s="7">
        <v>331.71408743927816</v>
      </c>
      <c r="D337" s="7">
        <v>82.928521859819554</v>
      </c>
      <c r="E337" s="7">
        <v>0.40920502092049998</v>
      </c>
      <c r="F337" s="7">
        <v>0.84330543933054203</v>
      </c>
      <c r="G337" s="7">
        <v>6.6052021118128995E-2</v>
      </c>
      <c r="H337" s="7">
        <v>33.934767522553599</v>
      </c>
      <c r="I337" s="7">
        <v>69.934073560027585</v>
      </c>
      <c r="J337" s="7">
        <v>5.4775964771800227</v>
      </c>
      <c r="K337" s="7">
        <v>1.3573907009021438</v>
      </c>
      <c r="L337" s="7">
        <v>2.7973629424011026</v>
      </c>
      <c r="M337" s="7">
        <v>2191.0385908720086</v>
      </c>
      <c r="N337" s="7">
        <v>11.31158917418453</v>
      </c>
      <c r="O337" s="7">
        <v>8.7417591950034463</v>
      </c>
      <c r="P337" s="7">
        <v>4.8542378981464545</v>
      </c>
      <c r="Q337" s="7">
        <v>2.1910385908720091E-3</v>
      </c>
      <c r="R337" s="7">
        <v>70.443526457209714</v>
      </c>
      <c r="S337" s="8">
        <v>1.2058577405857744</v>
      </c>
    </row>
    <row r="338" spans="1:19" x14ac:dyDescent="0.3">
      <c r="A338" s="6">
        <v>4</v>
      </c>
      <c r="B338" s="7" t="s">
        <v>48</v>
      </c>
      <c r="C338" s="7">
        <v>400</v>
      </c>
      <c r="D338" s="7">
        <v>100</v>
      </c>
      <c r="E338" s="7">
        <v>3</v>
      </c>
      <c r="F338" s="7">
        <v>8</v>
      </c>
      <c r="G338" s="7">
        <v>1.92817487855656</v>
      </c>
      <c r="H338" s="7">
        <v>300.00000000000006</v>
      </c>
      <c r="I338" s="7">
        <v>800.00000000000023</v>
      </c>
      <c r="J338" s="7">
        <v>112.84153335936814</v>
      </c>
      <c r="K338" s="7">
        <v>12</v>
      </c>
      <c r="L338" s="7">
        <v>32</v>
      </c>
      <c r="M338" s="7">
        <v>45136.613343747245</v>
      </c>
      <c r="N338" s="7">
        <v>100</v>
      </c>
      <c r="O338" s="7">
        <v>100</v>
      </c>
      <c r="P338" s="7">
        <v>99.999999999999986</v>
      </c>
      <c r="Q338" s="7">
        <v>4.5136613343747252E-2</v>
      </c>
      <c r="R338" s="7">
        <v>1451.1758165809697</v>
      </c>
      <c r="S338" s="8">
        <v>1</v>
      </c>
    </row>
    <row r="339" spans="1:19" x14ac:dyDescent="0.3">
      <c r="A339" s="6">
        <v>5</v>
      </c>
      <c r="B339" s="7" t="s">
        <v>153</v>
      </c>
      <c r="C339" s="7">
        <v>400</v>
      </c>
      <c r="D339" s="7">
        <v>100</v>
      </c>
      <c r="E339" s="7">
        <v>3</v>
      </c>
      <c r="F339" s="7">
        <v>8</v>
      </c>
      <c r="G339" s="7">
        <v>1.92817487855656</v>
      </c>
      <c r="H339" s="7">
        <v>300</v>
      </c>
      <c r="I339" s="7">
        <v>800</v>
      </c>
      <c r="J339" s="7">
        <v>192.817487855656</v>
      </c>
      <c r="K339" s="7">
        <v>12</v>
      </c>
      <c r="L339" s="7">
        <v>32</v>
      </c>
      <c r="M339" s="7">
        <v>77126.9951422624</v>
      </c>
      <c r="N339" s="7">
        <v>100</v>
      </c>
      <c r="O339" s="7">
        <v>100</v>
      </c>
      <c r="P339" s="7">
        <v>58.522458006424081</v>
      </c>
      <c r="Q339" s="7">
        <v>7.71269951422624E-2</v>
      </c>
      <c r="R339" s="7">
        <v>2479.69047441868</v>
      </c>
      <c r="S339" s="8">
        <v>1</v>
      </c>
    </row>
    <row r="340" spans="1:19" x14ac:dyDescent="0.3">
      <c r="A340" s="25">
        <v>6</v>
      </c>
      <c r="B340" s="26" t="s">
        <v>154</v>
      </c>
      <c r="C340" s="26">
        <v>400</v>
      </c>
      <c r="D340" s="26">
        <v>100</v>
      </c>
      <c r="E340" s="26">
        <v>3</v>
      </c>
      <c r="F340" s="26">
        <v>8</v>
      </c>
      <c r="G340" s="26">
        <v>1.12841533359368</v>
      </c>
      <c r="H340" s="26">
        <v>300.00000000000006</v>
      </c>
      <c r="I340" s="26">
        <v>800.00000000000023</v>
      </c>
      <c r="J340" s="26">
        <v>112.84153335936814</v>
      </c>
      <c r="K340" s="26">
        <v>12</v>
      </c>
      <c r="L340" s="26">
        <v>32</v>
      </c>
      <c r="M340" s="26">
        <v>45136.613343747245</v>
      </c>
      <c r="N340" s="26">
        <v>100</v>
      </c>
      <c r="O340" s="26">
        <v>100</v>
      </c>
      <c r="P340" s="26">
        <v>99.999999999999986</v>
      </c>
      <c r="Q340" s="26">
        <v>4.5136613343747252E-2</v>
      </c>
      <c r="R340" s="26">
        <v>1451.1758165809697</v>
      </c>
      <c r="S340" s="14">
        <v>1</v>
      </c>
    </row>
    <row r="342" spans="1:19" x14ac:dyDescent="0.3">
      <c r="A342" s="2" t="s">
        <v>94</v>
      </c>
    </row>
    <row r="343" spans="1:19" x14ac:dyDescent="0.3">
      <c r="A343" s="3" t="s">
        <v>33</v>
      </c>
      <c r="B343" s="4" t="s">
        <v>61</v>
      </c>
      <c r="C343" s="4" t="s">
        <v>79</v>
      </c>
      <c r="D343" s="4" t="s">
        <v>80</v>
      </c>
      <c r="E343" s="4" t="s">
        <v>81</v>
      </c>
      <c r="F343" s="4" t="s">
        <v>92</v>
      </c>
      <c r="G343" s="4" t="s">
        <v>82</v>
      </c>
      <c r="H343" s="4" t="s">
        <v>83</v>
      </c>
      <c r="I343" s="4" t="s">
        <v>93</v>
      </c>
      <c r="J343" s="4" t="s">
        <v>84</v>
      </c>
      <c r="K343" s="4" t="s">
        <v>85</v>
      </c>
      <c r="L343" s="4" t="s">
        <v>95</v>
      </c>
      <c r="M343" s="4" t="s">
        <v>86</v>
      </c>
      <c r="N343" s="4" t="s">
        <v>44</v>
      </c>
      <c r="O343" s="4" t="s">
        <v>45</v>
      </c>
      <c r="P343" s="4" t="s">
        <v>47</v>
      </c>
      <c r="Q343" s="4" t="s">
        <v>87</v>
      </c>
      <c r="R343" s="4" t="s">
        <v>88</v>
      </c>
      <c r="S343" s="5" t="s">
        <v>89</v>
      </c>
    </row>
    <row r="344" spans="1:19" x14ac:dyDescent="0.3">
      <c r="A344" s="6">
        <v>1</v>
      </c>
      <c r="B344" s="7" t="s">
        <v>49</v>
      </c>
      <c r="C344" s="7">
        <v>15.475364330326199</v>
      </c>
      <c r="D344" s="7">
        <v>3.8688410825815498</v>
      </c>
      <c r="E344" s="7">
        <v>59.999999999999901</v>
      </c>
      <c r="F344" s="7">
        <v>18.076233183856399</v>
      </c>
      <c r="G344" s="7">
        <v>26.335106102890801</v>
      </c>
      <c r="H344" s="7">
        <v>232.1304649548926</v>
      </c>
      <c r="I344" s="7">
        <v>69.934073560027528</v>
      </c>
      <c r="J344" s="7">
        <v>101.88634040500803</v>
      </c>
      <c r="K344" s="7">
        <v>9.2852185981957049</v>
      </c>
      <c r="L344" s="7">
        <v>2.7973629424011013</v>
      </c>
      <c r="M344" s="7">
        <v>40754.536162003213</v>
      </c>
      <c r="N344" s="7">
        <v>77.376821651630905</v>
      </c>
      <c r="O344" s="7">
        <v>8.7417591950034392</v>
      </c>
      <c r="P344" s="7">
        <v>52.840819335474642</v>
      </c>
      <c r="Q344" s="7">
        <v>4.075453616200321E-2</v>
      </c>
      <c r="R344" s="7">
        <v>1310.2887636665498</v>
      </c>
      <c r="S344" s="8">
        <v>25.847533632286932</v>
      </c>
    </row>
    <row r="345" spans="1:19" x14ac:dyDescent="0.3">
      <c r="A345" s="6">
        <v>2</v>
      </c>
      <c r="B345" s="7" t="s">
        <v>50</v>
      </c>
      <c r="C345" s="7">
        <v>52.810548230395597</v>
      </c>
      <c r="D345" s="7">
        <v>13.202637057598899</v>
      </c>
      <c r="E345" s="7">
        <v>2.5703022339027499</v>
      </c>
      <c r="F345" s="7">
        <v>50</v>
      </c>
      <c r="G345" s="7">
        <v>3.4436736787485902</v>
      </c>
      <c r="H345" s="7">
        <v>33.934767522553678</v>
      </c>
      <c r="I345" s="7">
        <v>660.13185287994497</v>
      </c>
      <c r="J345" s="7">
        <v>45.465573725324063</v>
      </c>
      <c r="K345" s="7">
        <v>1.3573907009021471</v>
      </c>
      <c r="L345" s="7">
        <v>26.405274115197798</v>
      </c>
      <c r="M345" s="7">
        <v>18186.229490129626</v>
      </c>
      <c r="N345" s="7">
        <v>11.311589174184563</v>
      </c>
      <c r="O345" s="7">
        <v>82.516481609993107</v>
      </c>
      <c r="P345" s="7">
        <v>23.579590332262683</v>
      </c>
      <c r="Q345" s="7">
        <v>1.8186229490129626E-2</v>
      </c>
      <c r="R345" s="7">
        <v>584.7008553760661</v>
      </c>
      <c r="S345" s="8">
        <v>7.5742444152430961</v>
      </c>
    </row>
    <row r="346" spans="1:19" x14ac:dyDescent="0.3">
      <c r="A346" s="6">
        <v>3</v>
      </c>
      <c r="B346" s="7" t="s">
        <v>51</v>
      </c>
      <c r="C346" s="7">
        <v>331.71408743927822</v>
      </c>
      <c r="D346" s="7">
        <v>82.928521859819554</v>
      </c>
      <c r="E346" s="7">
        <v>0.40920502092049998</v>
      </c>
      <c r="F346" s="7">
        <v>0.84330543933054203</v>
      </c>
      <c r="G346" s="7">
        <v>0.54825014006855199</v>
      </c>
      <c r="H346" s="7">
        <v>33.934767522553599</v>
      </c>
      <c r="I346" s="7">
        <v>69.934073560027585</v>
      </c>
      <c r="J346" s="7">
        <v>45.465573725324049</v>
      </c>
      <c r="K346" s="7">
        <v>1.357390700902144</v>
      </c>
      <c r="L346" s="7">
        <v>2.7973629424011035</v>
      </c>
      <c r="M346" s="7">
        <v>18186.229490129619</v>
      </c>
      <c r="N346" s="7">
        <v>11.311589174184537</v>
      </c>
      <c r="O346" s="7">
        <v>8.7417591950034463</v>
      </c>
      <c r="P346" s="7">
        <v>23.579590332262672</v>
      </c>
      <c r="Q346" s="7">
        <v>1.8186229490129619E-2</v>
      </c>
      <c r="R346" s="7">
        <v>584.70085537606587</v>
      </c>
      <c r="S346" s="8">
        <v>1.2058577405857742</v>
      </c>
    </row>
    <row r="347" spans="1:19" x14ac:dyDescent="0.3">
      <c r="A347" s="6">
        <v>4</v>
      </c>
      <c r="B347" s="7" t="s">
        <v>48</v>
      </c>
      <c r="C347" s="7">
        <v>400</v>
      </c>
      <c r="D347" s="7">
        <v>100</v>
      </c>
      <c r="E347" s="7">
        <v>3</v>
      </c>
      <c r="F347" s="7">
        <v>8</v>
      </c>
      <c r="G347" s="7">
        <v>1.12841533359368</v>
      </c>
      <c r="H347" s="7">
        <v>299.99999999999989</v>
      </c>
      <c r="I347" s="7">
        <v>800.00000000000011</v>
      </c>
      <c r="J347" s="7">
        <v>192.81748785565614</v>
      </c>
      <c r="K347" s="7">
        <v>11.999999999999996</v>
      </c>
      <c r="L347" s="7">
        <v>32</v>
      </c>
      <c r="M347" s="7">
        <v>77126.995142262458</v>
      </c>
      <c r="N347" s="7">
        <v>100</v>
      </c>
      <c r="O347" s="7">
        <v>100</v>
      </c>
      <c r="P347" s="7">
        <v>99.999999999999986</v>
      </c>
      <c r="Q347" s="7">
        <v>7.7126995142262456E-2</v>
      </c>
      <c r="R347" s="7">
        <v>2479.6904744186818</v>
      </c>
      <c r="S347" s="8">
        <v>1</v>
      </c>
    </row>
    <row r="348" spans="1:19" x14ac:dyDescent="0.3">
      <c r="A348" s="6">
        <v>5</v>
      </c>
      <c r="B348" s="7" t="s">
        <v>153</v>
      </c>
      <c r="C348" s="7">
        <v>400</v>
      </c>
      <c r="D348" s="7">
        <v>100</v>
      </c>
      <c r="E348" s="7">
        <v>3</v>
      </c>
      <c r="F348" s="7">
        <v>8</v>
      </c>
      <c r="G348" s="7">
        <v>1.12841533359368</v>
      </c>
      <c r="H348" s="7">
        <v>300</v>
      </c>
      <c r="I348" s="7">
        <v>800</v>
      </c>
      <c r="J348" s="7">
        <v>112.841533359368</v>
      </c>
      <c r="K348" s="7">
        <v>12</v>
      </c>
      <c r="L348" s="7">
        <v>32</v>
      </c>
      <c r="M348" s="7">
        <v>45136.613343747202</v>
      </c>
      <c r="N348" s="7">
        <v>99.999999999999957</v>
      </c>
      <c r="O348" s="7">
        <v>100.00000000000001</v>
      </c>
      <c r="P348" s="7">
        <v>170.87457261112149</v>
      </c>
      <c r="Q348" s="7">
        <v>4.5136613343747203E-2</v>
      </c>
      <c r="R348" s="7">
        <v>1451.1758165809683</v>
      </c>
      <c r="S348" s="8">
        <v>1</v>
      </c>
    </row>
    <row r="349" spans="1:19" x14ac:dyDescent="0.3">
      <c r="A349" s="25">
        <v>6</v>
      </c>
      <c r="B349" s="26" t="s">
        <v>154</v>
      </c>
      <c r="C349" s="26">
        <v>400</v>
      </c>
      <c r="D349" s="26">
        <v>100</v>
      </c>
      <c r="E349" s="26">
        <v>2.9999999999999987</v>
      </c>
      <c r="F349" s="26">
        <v>8.0000000000000018</v>
      </c>
      <c r="G349" s="26">
        <v>1.9281748785565613</v>
      </c>
      <c r="H349" s="26">
        <v>299.99999999999989</v>
      </c>
      <c r="I349" s="26">
        <v>800.00000000000011</v>
      </c>
      <c r="J349" s="26">
        <v>192.81748785565614</v>
      </c>
      <c r="K349" s="26">
        <v>11.999999999999996</v>
      </c>
      <c r="L349" s="26">
        <v>32</v>
      </c>
      <c r="M349" s="26">
        <v>77126.995142262458</v>
      </c>
      <c r="N349" s="26">
        <v>100</v>
      </c>
      <c r="O349" s="26">
        <v>100</v>
      </c>
      <c r="P349" s="26">
        <v>99.999999999999986</v>
      </c>
      <c r="Q349" s="26">
        <v>7.7126995142262456E-2</v>
      </c>
      <c r="R349" s="26">
        <v>2479.6904744186818</v>
      </c>
      <c r="S349" s="14">
        <v>1</v>
      </c>
    </row>
    <row r="351" spans="1:19" x14ac:dyDescent="0.3">
      <c r="A351" s="2" t="s">
        <v>94</v>
      </c>
    </row>
    <row r="352" spans="1:19" x14ac:dyDescent="0.3">
      <c r="A352" s="3" t="s">
        <v>33</v>
      </c>
      <c r="B352" s="4" t="s">
        <v>61</v>
      </c>
      <c r="C352" s="4" t="s">
        <v>79</v>
      </c>
      <c r="D352" s="4" t="s">
        <v>80</v>
      </c>
      <c r="E352" s="4" t="s">
        <v>81</v>
      </c>
      <c r="F352" s="4" t="s">
        <v>92</v>
      </c>
      <c r="G352" s="4" t="s">
        <v>82</v>
      </c>
      <c r="H352" s="4" t="s">
        <v>83</v>
      </c>
      <c r="I352" s="4" t="s">
        <v>93</v>
      </c>
      <c r="J352" s="4" t="s">
        <v>84</v>
      </c>
      <c r="K352" s="4" t="s">
        <v>85</v>
      </c>
      <c r="L352" s="4" t="s">
        <v>95</v>
      </c>
      <c r="M352" s="4" t="s">
        <v>86</v>
      </c>
      <c r="N352" s="4" t="s">
        <v>44</v>
      </c>
      <c r="O352" s="4" t="s">
        <v>45</v>
      </c>
      <c r="P352" s="4" t="s">
        <v>47</v>
      </c>
      <c r="Q352" s="4" t="s">
        <v>87</v>
      </c>
      <c r="R352" s="4" t="s">
        <v>88</v>
      </c>
      <c r="S352" s="5" t="s">
        <v>89</v>
      </c>
    </row>
    <row r="353" spans="1:19" x14ac:dyDescent="0.3">
      <c r="A353" s="6">
        <v>1</v>
      </c>
      <c r="B353" s="7" t="s">
        <v>49</v>
      </c>
      <c r="C353" s="7">
        <v>15.475364330326199</v>
      </c>
      <c r="D353" s="7">
        <v>3.8688410825815498</v>
      </c>
      <c r="E353" s="7">
        <v>59.999999999999901</v>
      </c>
      <c r="F353" s="7">
        <v>18.076233183856399</v>
      </c>
      <c r="G353" s="7">
        <v>359.68615770458598</v>
      </c>
      <c r="H353" s="7">
        <v>232.1304649548926</v>
      </c>
      <c r="I353" s="7">
        <v>69.934073560027528</v>
      </c>
      <c r="J353" s="7">
        <v>1391.5685837634085</v>
      </c>
      <c r="K353" s="7">
        <v>9.2852185981957049</v>
      </c>
      <c r="L353" s="7">
        <v>2.7973629424011013</v>
      </c>
      <c r="M353" s="7">
        <v>556627.43350536341</v>
      </c>
      <c r="N353" s="7">
        <v>77.376821651630905</v>
      </c>
      <c r="O353" s="7">
        <v>8.7417591950034392</v>
      </c>
      <c r="P353" s="7">
        <v>90.291524203707198</v>
      </c>
      <c r="Q353" s="7">
        <v>0.55662743350536337</v>
      </c>
      <c r="R353" s="7">
        <v>17895.987547776764</v>
      </c>
      <c r="S353" s="8">
        <v>25.847533632286932</v>
      </c>
    </row>
    <row r="354" spans="1:19" x14ac:dyDescent="0.3">
      <c r="A354" s="6">
        <v>2</v>
      </c>
      <c r="B354" s="7" t="s">
        <v>50</v>
      </c>
      <c r="C354" s="7">
        <v>52.810548230395597</v>
      </c>
      <c r="D354" s="7">
        <v>13.202637057598899</v>
      </c>
      <c r="E354" s="7">
        <v>2.5703022339027499</v>
      </c>
      <c r="F354" s="7">
        <v>50</v>
      </c>
      <c r="G354" s="7">
        <v>5.6665405776498998</v>
      </c>
      <c r="H354" s="7">
        <v>33.934767522553678</v>
      </c>
      <c r="I354" s="7">
        <v>660.13185287994497</v>
      </c>
      <c r="J354" s="7">
        <v>74.813278618868438</v>
      </c>
      <c r="K354" s="7">
        <v>1.3573907009021471</v>
      </c>
      <c r="L354" s="7">
        <v>26.405274115197798</v>
      </c>
      <c r="M354" s="7">
        <v>29925.311447547374</v>
      </c>
      <c r="N354" s="7">
        <v>11.311589174184563</v>
      </c>
      <c r="O354" s="7">
        <v>82.516481609993107</v>
      </c>
      <c r="P354" s="7">
        <v>4.8542378981463994</v>
      </c>
      <c r="Q354" s="7">
        <v>2.9925311447547377E-2</v>
      </c>
      <c r="R354" s="7">
        <v>962.12110433735734</v>
      </c>
      <c r="S354" s="8">
        <v>7.5742444152430961</v>
      </c>
    </row>
    <row r="355" spans="1:19" x14ac:dyDescent="0.3">
      <c r="A355" s="6">
        <v>3</v>
      </c>
      <c r="B355" s="7" t="s">
        <v>51</v>
      </c>
      <c r="C355" s="7">
        <v>331.71408743927822</v>
      </c>
      <c r="D355" s="7">
        <v>82.928521859819554</v>
      </c>
      <c r="E355" s="7">
        <v>0.40920502092049998</v>
      </c>
      <c r="F355" s="7">
        <v>0.84330543933054203</v>
      </c>
      <c r="G355" s="7">
        <v>0.90214171121162701</v>
      </c>
      <c r="H355" s="7">
        <v>33.934767522553599</v>
      </c>
      <c r="I355" s="7">
        <v>69.934073560027585</v>
      </c>
      <c r="J355" s="7">
        <v>74.813278618868424</v>
      </c>
      <c r="K355" s="7">
        <v>1.357390700902144</v>
      </c>
      <c r="L355" s="7">
        <v>2.7973629424011035</v>
      </c>
      <c r="M355" s="7">
        <v>29925.31144754737</v>
      </c>
      <c r="N355" s="7">
        <v>11.311589174184537</v>
      </c>
      <c r="O355" s="7">
        <v>8.7417591950034463</v>
      </c>
      <c r="P355" s="7">
        <v>4.8542378981463985</v>
      </c>
      <c r="Q355" s="7">
        <v>2.992531144754737E-2</v>
      </c>
      <c r="R355" s="7">
        <v>962.12110433735722</v>
      </c>
      <c r="S355" s="8">
        <v>1.2058577405857742</v>
      </c>
    </row>
    <row r="356" spans="1:19" x14ac:dyDescent="0.3">
      <c r="A356" s="6">
        <v>4</v>
      </c>
      <c r="B356" s="7" t="s">
        <v>48</v>
      </c>
      <c r="C356" s="7">
        <v>400</v>
      </c>
      <c r="D356" s="7">
        <v>100</v>
      </c>
      <c r="E356" s="7">
        <v>3</v>
      </c>
      <c r="F356" s="7">
        <v>8</v>
      </c>
      <c r="G356" s="7">
        <v>26.335106102890801</v>
      </c>
      <c r="H356" s="7">
        <v>299.99999999999989</v>
      </c>
      <c r="I356" s="7">
        <v>800.00000000000011</v>
      </c>
      <c r="J356" s="7">
        <v>1541.1951410011454</v>
      </c>
      <c r="K356" s="7">
        <v>11.999999999999996</v>
      </c>
      <c r="L356" s="7">
        <v>32</v>
      </c>
      <c r="M356" s="7">
        <v>616478.05640045821</v>
      </c>
      <c r="N356" s="7">
        <v>100</v>
      </c>
      <c r="O356" s="7">
        <v>100</v>
      </c>
      <c r="P356" s="7">
        <v>99.999999999999986</v>
      </c>
      <c r="Q356" s="7">
        <v>0.61647805640045816</v>
      </c>
      <c r="R356" s="7">
        <v>19820.229756451481</v>
      </c>
      <c r="S356" s="8">
        <v>1</v>
      </c>
    </row>
    <row r="357" spans="1:19" x14ac:dyDescent="0.3">
      <c r="A357" s="6">
        <v>5</v>
      </c>
      <c r="B357" s="7" t="s">
        <v>153</v>
      </c>
      <c r="C357" s="7">
        <v>400</v>
      </c>
      <c r="D357" s="7">
        <v>100</v>
      </c>
      <c r="E357" s="7">
        <v>3</v>
      </c>
      <c r="F357" s="7">
        <v>8</v>
      </c>
      <c r="G357" s="7">
        <v>26.335106102890801</v>
      </c>
      <c r="H357" s="7">
        <v>300</v>
      </c>
      <c r="I357" s="7">
        <v>800</v>
      </c>
      <c r="J357" s="7">
        <v>2633.51061028908</v>
      </c>
      <c r="K357" s="7">
        <v>12</v>
      </c>
      <c r="L357" s="7">
        <v>32</v>
      </c>
      <c r="M357" s="7">
        <v>1053404.244115632</v>
      </c>
      <c r="N357" s="7">
        <v>99.999999999999957</v>
      </c>
      <c r="O357" s="7">
        <v>100.00000000000001</v>
      </c>
      <c r="P357" s="7">
        <v>58.522458006423932</v>
      </c>
      <c r="Q357" s="7">
        <v>1.0534042441156319</v>
      </c>
      <c r="R357" s="7">
        <v>33867.73288687881</v>
      </c>
      <c r="S357" s="8">
        <v>1</v>
      </c>
    </row>
    <row r="358" spans="1:19" x14ac:dyDescent="0.3">
      <c r="A358" s="25">
        <v>6</v>
      </c>
      <c r="B358" s="26" t="s">
        <v>154</v>
      </c>
      <c r="C358" s="26">
        <v>400</v>
      </c>
      <c r="D358" s="26">
        <v>100</v>
      </c>
      <c r="E358" s="26">
        <v>2.9999999999999987</v>
      </c>
      <c r="F358" s="26">
        <v>8.0000000000000018</v>
      </c>
      <c r="G358" s="26">
        <v>15.411951410011454</v>
      </c>
      <c r="H358" s="26">
        <v>299.99999999999989</v>
      </c>
      <c r="I358" s="26">
        <v>800.00000000000011</v>
      </c>
      <c r="J358" s="26">
        <v>1541.1951410011454</v>
      </c>
      <c r="K358" s="26">
        <v>11.999999999999996</v>
      </c>
      <c r="L358" s="26">
        <v>32</v>
      </c>
      <c r="M358" s="26">
        <v>616478.05640045821</v>
      </c>
      <c r="N358" s="26">
        <v>100</v>
      </c>
      <c r="O358" s="26">
        <v>100</v>
      </c>
      <c r="P358" s="26">
        <v>99.999999999999986</v>
      </c>
      <c r="Q358" s="26">
        <v>0.61647805640045816</v>
      </c>
      <c r="R358" s="26">
        <v>19820.229756451481</v>
      </c>
      <c r="S358" s="14">
        <v>1</v>
      </c>
    </row>
    <row r="360" spans="1:19" x14ac:dyDescent="0.3">
      <c r="A360" s="2" t="s">
        <v>94</v>
      </c>
    </row>
    <row r="361" spans="1:19" x14ac:dyDescent="0.3">
      <c r="A361" s="3" t="s">
        <v>33</v>
      </c>
      <c r="B361" s="4" t="s">
        <v>61</v>
      </c>
      <c r="C361" s="4" t="s">
        <v>79</v>
      </c>
      <c r="D361" s="4" t="s">
        <v>80</v>
      </c>
      <c r="E361" s="4" t="s">
        <v>81</v>
      </c>
      <c r="F361" s="4" t="s">
        <v>92</v>
      </c>
      <c r="G361" s="4" t="s">
        <v>82</v>
      </c>
      <c r="H361" s="4" t="s">
        <v>83</v>
      </c>
      <c r="I361" s="4" t="s">
        <v>93</v>
      </c>
      <c r="J361" s="4" t="s">
        <v>84</v>
      </c>
      <c r="K361" s="4" t="s">
        <v>85</v>
      </c>
      <c r="L361" s="4" t="s">
        <v>95</v>
      </c>
      <c r="M361" s="4" t="s">
        <v>86</v>
      </c>
      <c r="N361" s="4" t="s">
        <v>44</v>
      </c>
      <c r="O361" s="4" t="s">
        <v>45</v>
      </c>
      <c r="P361" s="4" t="s">
        <v>47</v>
      </c>
      <c r="Q361" s="4" t="s">
        <v>87</v>
      </c>
      <c r="R361" s="4" t="s">
        <v>88</v>
      </c>
      <c r="S361" s="5" t="s">
        <v>89</v>
      </c>
    </row>
    <row r="362" spans="1:19" x14ac:dyDescent="0.3">
      <c r="A362" s="6">
        <v>1</v>
      </c>
      <c r="B362" s="7" t="s">
        <v>49</v>
      </c>
      <c r="C362" s="7">
        <v>15.475364330326206</v>
      </c>
      <c r="D362" s="7">
        <v>3.868841082581552</v>
      </c>
      <c r="E362" s="7">
        <v>59.999999999999901</v>
      </c>
      <c r="F362" s="7">
        <v>18.076233183856399</v>
      </c>
      <c r="G362" s="7">
        <v>359.68615770458598</v>
      </c>
      <c r="H362" s="7">
        <v>232.13046495489274</v>
      </c>
      <c r="I362" s="7">
        <v>69.934073560027571</v>
      </c>
      <c r="J362" s="7">
        <v>1391.5685837634094</v>
      </c>
      <c r="K362" s="7">
        <v>9.2852185981957085</v>
      </c>
      <c r="L362" s="7">
        <v>2.7973629424011022</v>
      </c>
      <c r="M362" s="7">
        <v>556627.43350536365</v>
      </c>
      <c r="N362" s="7">
        <v>77.376821651630905</v>
      </c>
      <c r="O362" s="7">
        <v>8.7417591950034446</v>
      </c>
      <c r="P362" s="7">
        <v>90.291524203707198</v>
      </c>
      <c r="Q362" s="7">
        <v>0.5566274335053637</v>
      </c>
      <c r="R362" s="7">
        <v>17895.987547776771</v>
      </c>
      <c r="S362" s="8">
        <v>25.847533632286922</v>
      </c>
    </row>
    <row r="363" spans="1:19" x14ac:dyDescent="0.3">
      <c r="A363" s="6">
        <v>2</v>
      </c>
      <c r="B363" s="7" t="s">
        <v>50</v>
      </c>
      <c r="C363" s="7">
        <v>52.81054823039559</v>
      </c>
      <c r="D363" s="7">
        <v>13.202637057598899</v>
      </c>
      <c r="E363" s="7">
        <v>2.5703022339027499</v>
      </c>
      <c r="F363" s="7">
        <v>50</v>
      </c>
      <c r="G363" s="7">
        <v>5.6665405776498998</v>
      </c>
      <c r="H363" s="7">
        <v>33.934767522553685</v>
      </c>
      <c r="I363" s="7">
        <v>660.13185287994497</v>
      </c>
      <c r="J363" s="7">
        <v>74.813278618868438</v>
      </c>
      <c r="K363" s="7">
        <v>1.3573907009021471</v>
      </c>
      <c r="L363" s="7">
        <v>26.405274115197795</v>
      </c>
      <c r="M363" s="7">
        <v>29925.31144754737</v>
      </c>
      <c r="N363" s="7">
        <v>11.31158917418456</v>
      </c>
      <c r="O363" s="7">
        <v>82.516481609993122</v>
      </c>
      <c r="P363" s="7">
        <v>4.8542378981463958</v>
      </c>
      <c r="Q363" s="7">
        <v>2.992531144754737E-2</v>
      </c>
      <c r="R363" s="7">
        <v>962.12110433735722</v>
      </c>
      <c r="S363" s="8">
        <v>7.574244415243097</v>
      </c>
    </row>
    <row r="364" spans="1:19" x14ac:dyDescent="0.3">
      <c r="A364" s="6">
        <v>3</v>
      </c>
      <c r="B364" s="7" t="s">
        <v>51</v>
      </c>
      <c r="C364" s="7">
        <v>331.71408743927816</v>
      </c>
      <c r="D364" s="7">
        <v>82.928521859819554</v>
      </c>
      <c r="E364" s="7">
        <v>0.40920502092049998</v>
      </c>
      <c r="F364" s="7">
        <v>0.84330543933054203</v>
      </c>
      <c r="G364" s="7">
        <v>0.90214171121162701</v>
      </c>
      <c r="H364" s="7">
        <v>33.934767522553599</v>
      </c>
      <c r="I364" s="7">
        <v>69.934073560027585</v>
      </c>
      <c r="J364" s="7">
        <v>74.813278618868438</v>
      </c>
      <c r="K364" s="7">
        <v>1.3573907009021438</v>
      </c>
      <c r="L364" s="7">
        <v>2.7973629424011026</v>
      </c>
      <c r="M364" s="7">
        <v>29925.31144754737</v>
      </c>
      <c r="N364" s="7">
        <v>11.31158917418453</v>
      </c>
      <c r="O364" s="7">
        <v>8.7417591950034463</v>
      </c>
      <c r="P364" s="7">
        <v>4.8542378981463958</v>
      </c>
      <c r="Q364" s="7">
        <v>2.992531144754737E-2</v>
      </c>
      <c r="R364" s="7">
        <v>962.12110433735722</v>
      </c>
      <c r="S364" s="8">
        <v>1.2058577405857744</v>
      </c>
    </row>
    <row r="365" spans="1:19" x14ac:dyDescent="0.3">
      <c r="A365" s="6">
        <v>4</v>
      </c>
      <c r="B365" s="7" t="s">
        <v>48</v>
      </c>
      <c r="C365" s="7">
        <v>400</v>
      </c>
      <c r="D365" s="7">
        <v>100</v>
      </c>
      <c r="E365" s="7">
        <v>3</v>
      </c>
      <c r="F365" s="7">
        <v>8</v>
      </c>
      <c r="G365" s="7">
        <v>26.335106102890801</v>
      </c>
      <c r="H365" s="7">
        <v>300.00000000000006</v>
      </c>
      <c r="I365" s="7">
        <v>800.00000000000023</v>
      </c>
      <c r="J365" s="7">
        <v>1541.1951410011463</v>
      </c>
      <c r="K365" s="7">
        <v>12</v>
      </c>
      <c r="L365" s="7">
        <v>32</v>
      </c>
      <c r="M365" s="7">
        <v>616478.05640045844</v>
      </c>
      <c r="N365" s="7">
        <v>100</v>
      </c>
      <c r="O365" s="7">
        <v>100</v>
      </c>
      <c r="P365" s="7">
        <v>99.999999999999986</v>
      </c>
      <c r="Q365" s="7">
        <v>0.6164780564004585</v>
      </c>
      <c r="R365" s="7">
        <v>19820.229756451488</v>
      </c>
      <c r="S365" s="8">
        <v>1</v>
      </c>
    </row>
    <row r="366" spans="1:19" x14ac:dyDescent="0.3">
      <c r="A366" s="6">
        <v>5</v>
      </c>
      <c r="B366" s="7" t="s">
        <v>153</v>
      </c>
      <c r="C366" s="7">
        <v>400</v>
      </c>
      <c r="D366" s="7">
        <v>100</v>
      </c>
      <c r="E366" s="7">
        <v>3</v>
      </c>
      <c r="F366" s="7">
        <v>8</v>
      </c>
      <c r="G366" s="7">
        <v>26.335106102890801</v>
      </c>
      <c r="H366" s="7">
        <v>300</v>
      </c>
      <c r="I366" s="7">
        <v>800</v>
      </c>
      <c r="J366" s="7">
        <v>2633.51061028908</v>
      </c>
      <c r="K366" s="7">
        <v>12</v>
      </c>
      <c r="L366" s="7">
        <v>32</v>
      </c>
      <c r="M366" s="7">
        <v>1053404.244115632</v>
      </c>
      <c r="N366" s="7">
        <v>100</v>
      </c>
      <c r="O366" s="7">
        <v>100</v>
      </c>
      <c r="P366" s="7">
        <v>58.52245800642396</v>
      </c>
      <c r="Q366" s="7">
        <v>1.0534042441156319</v>
      </c>
      <c r="R366" s="7">
        <v>33867.73288687881</v>
      </c>
      <c r="S366" s="8">
        <v>1</v>
      </c>
    </row>
    <row r="367" spans="1:19" x14ac:dyDescent="0.3">
      <c r="A367" s="25">
        <v>6</v>
      </c>
      <c r="B367" s="26" t="s">
        <v>154</v>
      </c>
      <c r="C367" s="26">
        <v>400</v>
      </c>
      <c r="D367" s="26">
        <v>100</v>
      </c>
      <c r="E367" s="26">
        <v>3</v>
      </c>
      <c r="F367" s="26">
        <v>8</v>
      </c>
      <c r="G367" s="26">
        <v>15.411951410011461</v>
      </c>
      <c r="H367" s="26">
        <v>300.00000000000006</v>
      </c>
      <c r="I367" s="26">
        <v>800.00000000000023</v>
      </c>
      <c r="J367" s="26">
        <v>1541.1951410011463</v>
      </c>
      <c r="K367" s="26">
        <v>12</v>
      </c>
      <c r="L367" s="26">
        <v>32</v>
      </c>
      <c r="M367" s="26">
        <v>616478.05640045844</v>
      </c>
      <c r="N367" s="26">
        <v>100</v>
      </c>
      <c r="O367" s="26">
        <v>100</v>
      </c>
      <c r="P367" s="26">
        <v>99.999999999999986</v>
      </c>
      <c r="Q367" s="26">
        <v>0.6164780564004585</v>
      </c>
      <c r="R367" s="26">
        <v>19820.229756451488</v>
      </c>
      <c r="S367" s="14">
        <v>1</v>
      </c>
    </row>
    <row r="370" spans="1:39" x14ac:dyDescent="0.3">
      <c r="U370" s="2" t="s">
        <v>94</v>
      </c>
    </row>
    <row r="371" spans="1:39" x14ac:dyDescent="0.3">
      <c r="A371" s="2" t="s">
        <v>94</v>
      </c>
      <c r="U371" s="3" t="s">
        <v>33</v>
      </c>
      <c r="V371" s="4" t="s">
        <v>61</v>
      </c>
      <c r="W371" s="4" t="s">
        <v>79</v>
      </c>
      <c r="X371" s="4" t="s">
        <v>80</v>
      </c>
      <c r="Y371" s="4" t="s">
        <v>81</v>
      </c>
      <c r="Z371" s="4" t="s">
        <v>92</v>
      </c>
      <c r="AA371" s="4" t="s">
        <v>82</v>
      </c>
      <c r="AB371" s="4" t="s">
        <v>83</v>
      </c>
      <c r="AC371" s="4" t="s">
        <v>93</v>
      </c>
      <c r="AD371" s="4" t="s">
        <v>84</v>
      </c>
      <c r="AE371" s="4" t="s">
        <v>85</v>
      </c>
      <c r="AF371" s="4" t="s">
        <v>95</v>
      </c>
      <c r="AG371" s="4" t="s">
        <v>86</v>
      </c>
      <c r="AH371" s="4" t="s">
        <v>44</v>
      </c>
      <c r="AI371" s="4" t="s">
        <v>45</v>
      </c>
      <c r="AJ371" s="4" t="s">
        <v>47</v>
      </c>
      <c r="AK371" s="4" t="s">
        <v>87</v>
      </c>
      <c r="AL371" s="4" t="s">
        <v>88</v>
      </c>
      <c r="AM371" s="5" t="s">
        <v>89</v>
      </c>
    </row>
    <row r="372" spans="1:39" x14ac:dyDescent="0.3">
      <c r="A372" s="3" t="s">
        <v>33</v>
      </c>
      <c r="B372" s="4" t="s">
        <v>61</v>
      </c>
      <c r="C372" s="4" t="s">
        <v>79</v>
      </c>
      <c r="D372" s="4" t="s">
        <v>80</v>
      </c>
      <c r="E372" s="4" t="s">
        <v>81</v>
      </c>
      <c r="F372" s="4" t="s">
        <v>92</v>
      </c>
      <c r="G372" s="4" t="s">
        <v>82</v>
      </c>
      <c r="H372" s="4" t="s">
        <v>83</v>
      </c>
      <c r="I372" s="4" t="s">
        <v>93</v>
      </c>
      <c r="J372" s="4" t="s">
        <v>84</v>
      </c>
      <c r="K372" s="4" t="s">
        <v>85</v>
      </c>
      <c r="L372" s="4" t="s">
        <v>95</v>
      </c>
      <c r="M372" s="4" t="s">
        <v>86</v>
      </c>
      <c r="N372" s="4" t="s">
        <v>44</v>
      </c>
      <c r="O372" s="4" t="s">
        <v>45</v>
      </c>
      <c r="P372" s="4" t="s">
        <v>47</v>
      </c>
      <c r="Q372" s="4" t="s">
        <v>87</v>
      </c>
      <c r="R372" s="4" t="s">
        <v>88</v>
      </c>
      <c r="S372" s="5" t="s">
        <v>89</v>
      </c>
      <c r="U372" s="6">
        <v>1</v>
      </c>
      <c r="V372" s="7" t="s">
        <v>49</v>
      </c>
      <c r="W372" s="7">
        <v>15.475364330326206</v>
      </c>
      <c r="X372" s="7">
        <v>3.8688410825815516</v>
      </c>
      <c r="Y372" s="7">
        <v>59.999999999999901</v>
      </c>
      <c r="Z372" s="7">
        <v>18.076233183856399</v>
      </c>
      <c r="AA372" s="7">
        <v>359.68615770458598</v>
      </c>
      <c r="AB372" s="7">
        <v>232.13046495489272</v>
      </c>
      <c r="AC372" s="7">
        <v>69.934073560027556</v>
      </c>
      <c r="AD372" s="7">
        <v>1391.5685837634092</v>
      </c>
      <c r="AE372" s="7">
        <v>9.2852185981957103</v>
      </c>
      <c r="AF372" s="7">
        <v>2.7973629424011022</v>
      </c>
      <c r="AG372" s="7">
        <v>556627.43350536365</v>
      </c>
      <c r="AH372" s="7">
        <v>77.376821651630905</v>
      </c>
      <c r="AI372" s="7">
        <v>8.7417591950034463</v>
      </c>
      <c r="AJ372" s="7">
        <v>90.291524203707198</v>
      </c>
      <c r="AK372" s="7">
        <v>0.5566274335053637</v>
      </c>
      <c r="AL372" s="7">
        <v>17895.987547776771</v>
      </c>
      <c r="AM372" s="8">
        <v>25.847533632286922</v>
      </c>
    </row>
    <row r="373" spans="1:39" x14ac:dyDescent="0.3">
      <c r="A373" s="6">
        <v>1</v>
      </c>
      <c r="B373" s="7" t="s">
        <v>49</v>
      </c>
      <c r="C373" s="7">
        <v>15.475364330326206</v>
      </c>
      <c r="D373" s="7">
        <v>3.8688410825815516</v>
      </c>
      <c r="E373" s="7">
        <v>59.999999999999901</v>
      </c>
      <c r="F373" s="7">
        <v>18.076233183856399</v>
      </c>
      <c r="G373" s="7">
        <v>359.68615770458598</v>
      </c>
      <c r="H373" s="7">
        <v>232.13046495489272</v>
      </c>
      <c r="I373" s="7">
        <v>69.934073560027556</v>
      </c>
      <c r="J373" s="7">
        <v>1391.5685837634092</v>
      </c>
      <c r="K373" s="7">
        <v>9.2852185981957103</v>
      </c>
      <c r="L373" s="7">
        <v>2.7973629424011022</v>
      </c>
      <c r="M373" s="7">
        <v>556627.43350536365</v>
      </c>
      <c r="N373" s="7">
        <v>77.376821651630905</v>
      </c>
      <c r="O373" s="7">
        <v>8.7417591950034463</v>
      </c>
      <c r="P373" s="7">
        <v>90.291524203707198</v>
      </c>
      <c r="Q373" s="7">
        <v>0.5566274335053637</v>
      </c>
      <c r="R373" s="7">
        <v>17895.987547776771</v>
      </c>
      <c r="S373" s="8">
        <v>25.847533632286922</v>
      </c>
      <c r="U373" s="6">
        <v>2</v>
      </c>
      <c r="V373" s="7" t="s">
        <v>50</v>
      </c>
      <c r="W373" s="7">
        <v>52.810548230395582</v>
      </c>
      <c r="X373" s="7">
        <v>13.202637057598896</v>
      </c>
      <c r="Y373" s="7">
        <v>2.5703022339027499</v>
      </c>
      <c r="Z373" s="7">
        <v>50</v>
      </c>
      <c r="AA373" s="7">
        <v>5.6665405776498998</v>
      </c>
      <c r="AB373" s="7">
        <v>33.93476752255367</v>
      </c>
      <c r="AC373" s="7">
        <v>660.13185287994474</v>
      </c>
      <c r="AD373" s="7">
        <v>74.813278618868424</v>
      </c>
      <c r="AE373" s="7">
        <v>1.3573907009021469</v>
      </c>
      <c r="AF373" s="7">
        <v>26.405274115197791</v>
      </c>
      <c r="AG373" s="7">
        <v>29925.31144754737</v>
      </c>
      <c r="AH373" s="7">
        <v>11.311589174184556</v>
      </c>
      <c r="AI373" s="7">
        <v>82.516481609993107</v>
      </c>
      <c r="AJ373" s="7">
        <v>4.8542378981463958</v>
      </c>
      <c r="AK373" s="7">
        <v>2.992531144754737E-2</v>
      </c>
      <c r="AL373" s="7">
        <v>962.12110433735722</v>
      </c>
      <c r="AM373" s="8">
        <v>7.5742444152430979</v>
      </c>
    </row>
    <row r="374" spans="1:39" x14ac:dyDescent="0.3">
      <c r="A374" s="6">
        <v>2</v>
      </c>
      <c r="B374" s="7" t="s">
        <v>50</v>
      </c>
      <c r="C374" s="7">
        <v>52.810548230395582</v>
      </c>
      <c r="D374" s="7">
        <v>13.202637057598896</v>
      </c>
      <c r="E374" s="7">
        <v>2.5703022339027499</v>
      </c>
      <c r="F374" s="7">
        <v>50</v>
      </c>
      <c r="G374" s="7">
        <v>5.6665405776498998</v>
      </c>
      <c r="H374" s="7">
        <v>33.93476752255367</v>
      </c>
      <c r="I374" s="7">
        <v>660.13185287994474</v>
      </c>
      <c r="J374" s="7">
        <v>74.813278618868424</v>
      </c>
      <c r="K374" s="7">
        <v>1.3573907009021469</v>
      </c>
      <c r="L374" s="7">
        <v>26.405274115197791</v>
      </c>
      <c r="M374" s="7">
        <v>29925.31144754737</v>
      </c>
      <c r="N374" s="7">
        <v>11.311589174184556</v>
      </c>
      <c r="O374" s="7">
        <v>82.516481609993107</v>
      </c>
      <c r="P374" s="7">
        <v>4.8542378981463958</v>
      </c>
      <c r="Q374" s="7">
        <v>2.992531144754737E-2</v>
      </c>
      <c r="R374" s="7">
        <v>962.12110433735722</v>
      </c>
      <c r="S374" s="8">
        <v>7.5742444152430979</v>
      </c>
      <c r="U374" s="6">
        <v>3</v>
      </c>
      <c r="V374" s="7" t="s">
        <v>51</v>
      </c>
      <c r="W374" s="7">
        <v>331.71408743927822</v>
      </c>
      <c r="X374" s="7">
        <v>82.928521859819554</v>
      </c>
      <c r="Y374" s="7">
        <v>0.40920502092049998</v>
      </c>
      <c r="Z374" s="7">
        <v>0.84330543933054203</v>
      </c>
      <c r="AA374" s="7">
        <v>0.90214171121162701</v>
      </c>
      <c r="AB374" s="7">
        <v>33.934767522553599</v>
      </c>
      <c r="AC374" s="7">
        <v>69.934073560027585</v>
      </c>
      <c r="AD374" s="7">
        <v>74.813278618868424</v>
      </c>
      <c r="AE374" s="7">
        <v>1.357390700902144</v>
      </c>
      <c r="AF374" s="7">
        <v>2.7973629424011035</v>
      </c>
      <c r="AG374" s="7">
        <v>29925.31144754737</v>
      </c>
      <c r="AH374" s="7">
        <v>11.311589174184533</v>
      </c>
      <c r="AI374" s="7">
        <v>8.7417591950034499</v>
      </c>
      <c r="AJ374" s="7">
        <v>4.8542378981463958</v>
      </c>
      <c r="AK374" s="7">
        <v>2.992531144754737E-2</v>
      </c>
      <c r="AL374" s="7">
        <v>962.12110433735722</v>
      </c>
      <c r="AM374" s="8">
        <v>1.2058577405857742</v>
      </c>
    </row>
    <row r="375" spans="1:39" x14ac:dyDescent="0.3">
      <c r="A375" s="6">
        <v>3</v>
      </c>
      <c r="B375" s="7" t="s">
        <v>51</v>
      </c>
      <c r="C375" s="7">
        <v>331.71408743927822</v>
      </c>
      <c r="D375" s="7">
        <v>82.928521859819554</v>
      </c>
      <c r="E375" s="7">
        <v>0.40920502092049998</v>
      </c>
      <c r="F375" s="7">
        <v>0.84330543933054203</v>
      </c>
      <c r="G375" s="7">
        <v>0.90214171121162701</v>
      </c>
      <c r="H375" s="7">
        <v>33.934767522553599</v>
      </c>
      <c r="I375" s="7">
        <v>69.934073560027585</v>
      </c>
      <c r="J375" s="7">
        <v>74.813278618868424</v>
      </c>
      <c r="K375" s="7">
        <v>1.357390700902144</v>
      </c>
      <c r="L375" s="7">
        <v>2.7973629424011035</v>
      </c>
      <c r="M375" s="7">
        <v>29925.31144754737</v>
      </c>
      <c r="N375" s="7">
        <v>11.311589174184533</v>
      </c>
      <c r="O375" s="7">
        <v>8.7417591950034499</v>
      </c>
      <c r="P375" s="7">
        <v>4.8542378981463958</v>
      </c>
      <c r="Q375" s="7">
        <v>2.992531144754737E-2</v>
      </c>
      <c r="R375" s="7">
        <v>962.12110433735722</v>
      </c>
      <c r="S375" s="8">
        <v>1.2058577405857742</v>
      </c>
      <c r="U375" s="6">
        <v>4</v>
      </c>
      <c r="V375" s="7" t="s">
        <v>48</v>
      </c>
      <c r="W375" s="7">
        <v>400</v>
      </c>
      <c r="X375" s="7">
        <v>100</v>
      </c>
      <c r="Y375" s="7">
        <v>3</v>
      </c>
      <c r="Z375" s="7">
        <v>8</v>
      </c>
      <c r="AA375" s="7">
        <v>26.335106102890801</v>
      </c>
      <c r="AB375" s="7">
        <v>300</v>
      </c>
      <c r="AC375" s="7">
        <v>799.99999999999989</v>
      </c>
      <c r="AD375" s="7">
        <v>1541.1951410011461</v>
      </c>
      <c r="AE375" s="7">
        <v>12</v>
      </c>
      <c r="AF375" s="7">
        <v>31.999999999999996</v>
      </c>
      <c r="AG375" s="7">
        <v>616478.05640045844</v>
      </c>
      <c r="AH375" s="7">
        <v>100</v>
      </c>
      <c r="AI375" s="7">
        <v>100</v>
      </c>
      <c r="AJ375" s="7">
        <v>99.999999999999986</v>
      </c>
      <c r="AK375" s="7">
        <v>0.6164780564004585</v>
      </c>
      <c r="AL375" s="7">
        <v>19820.229756451488</v>
      </c>
      <c r="AM375" s="8">
        <v>1</v>
      </c>
    </row>
    <row r="376" spans="1:39" x14ac:dyDescent="0.3">
      <c r="A376" s="6">
        <v>4</v>
      </c>
      <c r="B376" s="7" t="s">
        <v>48</v>
      </c>
      <c r="C376" s="7">
        <v>400</v>
      </c>
      <c r="D376" s="7">
        <v>100</v>
      </c>
      <c r="E376" s="7">
        <v>3</v>
      </c>
      <c r="F376" s="7">
        <v>8</v>
      </c>
      <c r="G376" s="7">
        <v>26.335106102890801</v>
      </c>
      <c r="H376" s="7">
        <v>300</v>
      </c>
      <c r="I376" s="7">
        <v>799.99999999999989</v>
      </c>
      <c r="J376" s="7">
        <v>1541.1951410011461</v>
      </c>
      <c r="K376" s="7">
        <v>12</v>
      </c>
      <c r="L376" s="7">
        <v>31.999999999999996</v>
      </c>
      <c r="M376" s="7">
        <v>616478.05640045844</v>
      </c>
      <c r="N376" s="7">
        <v>100</v>
      </c>
      <c r="O376" s="7">
        <v>100</v>
      </c>
      <c r="P376" s="7">
        <v>99.999999999999986</v>
      </c>
      <c r="Q376" s="7">
        <v>0.6164780564004585</v>
      </c>
      <c r="R376" s="7">
        <v>19820.229756451488</v>
      </c>
      <c r="S376" s="8">
        <v>1</v>
      </c>
      <c r="U376" s="6"/>
      <c r="V376" s="7"/>
      <c r="W376" s="7"/>
      <c r="X376" s="7"/>
      <c r="Y376" s="7"/>
      <c r="Z376" s="7"/>
      <c r="AA376" s="7"/>
      <c r="AB376" s="7"/>
      <c r="AC376" s="7"/>
      <c r="AD376" s="7"/>
      <c r="AE376" s="7"/>
      <c r="AF376" s="7"/>
      <c r="AG376" s="7"/>
      <c r="AH376" s="7"/>
      <c r="AI376" s="7"/>
      <c r="AJ376" s="7"/>
      <c r="AK376" s="7"/>
      <c r="AL376" s="7"/>
      <c r="AM376" s="8"/>
    </row>
    <row r="377" spans="1:39" x14ac:dyDescent="0.3">
      <c r="A377" s="6">
        <v>5</v>
      </c>
      <c r="B377" s="7" t="s">
        <v>153</v>
      </c>
      <c r="C377" s="7">
        <v>400</v>
      </c>
      <c r="D377" s="7">
        <v>100</v>
      </c>
      <c r="E377" s="7">
        <v>3</v>
      </c>
      <c r="F377" s="7">
        <v>8</v>
      </c>
      <c r="G377" s="7">
        <v>26.335106102890801</v>
      </c>
      <c r="H377" s="7">
        <v>300</v>
      </c>
      <c r="I377" s="7">
        <v>800</v>
      </c>
      <c r="J377" s="7">
        <v>2633.51061028908</v>
      </c>
      <c r="K377" s="7">
        <v>12</v>
      </c>
      <c r="L377" s="7">
        <v>32</v>
      </c>
      <c r="M377" s="7">
        <v>1053404.244115632</v>
      </c>
      <c r="N377" s="7">
        <v>100</v>
      </c>
      <c r="O377" s="7">
        <v>99.999999999999986</v>
      </c>
      <c r="P377" s="7">
        <v>58.52245800642396</v>
      </c>
      <c r="Q377" s="7">
        <v>1.0534042441156319</v>
      </c>
      <c r="R377" s="7">
        <v>33867.73288687881</v>
      </c>
      <c r="S377" s="8">
        <v>1</v>
      </c>
      <c r="U377" s="25"/>
      <c r="V377" s="26"/>
      <c r="W377" s="26"/>
      <c r="X377" s="26"/>
      <c r="Y377" s="26"/>
      <c r="Z377" s="26"/>
      <c r="AA377" s="26"/>
      <c r="AB377" s="26"/>
      <c r="AC377" s="26"/>
      <c r="AD377" s="26"/>
      <c r="AE377" s="26"/>
      <c r="AF377" s="26"/>
      <c r="AG377" s="26"/>
      <c r="AH377" s="26"/>
      <c r="AI377" s="26"/>
      <c r="AJ377" s="26"/>
      <c r="AK377" s="26"/>
      <c r="AL377" s="26"/>
      <c r="AM377" s="14"/>
    </row>
    <row r="378" spans="1:39" x14ac:dyDescent="0.3">
      <c r="A378" s="25">
        <v>6</v>
      </c>
      <c r="B378" s="26" t="s">
        <v>154</v>
      </c>
      <c r="C378" s="26">
        <v>400</v>
      </c>
      <c r="D378" s="26">
        <v>100</v>
      </c>
      <c r="E378" s="26">
        <v>3</v>
      </c>
      <c r="F378" s="26">
        <v>7.9999999999999991</v>
      </c>
      <c r="G378" s="26">
        <v>15.411951410011461</v>
      </c>
      <c r="H378" s="26">
        <v>300</v>
      </c>
      <c r="I378" s="26">
        <v>799.99999999999989</v>
      </c>
      <c r="J378" s="26">
        <v>1541.1951410011461</v>
      </c>
      <c r="K378" s="26">
        <v>12</v>
      </c>
      <c r="L378" s="26">
        <v>31.999999999999996</v>
      </c>
      <c r="M378" s="26">
        <v>616478.05640045844</v>
      </c>
      <c r="N378" s="26">
        <v>100</v>
      </c>
      <c r="O378" s="26">
        <v>100</v>
      </c>
      <c r="P378" s="26">
        <v>99.999999999999986</v>
      </c>
      <c r="Q378" s="26">
        <v>0.6164780564004585</v>
      </c>
      <c r="R378" s="26">
        <v>19820.229756451488</v>
      </c>
      <c r="S378" s="14">
        <v>1</v>
      </c>
    </row>
    <row r="379" spans="1:39" x14ac:dyDescent="0.3">
      <c r="U379" s="2" t="s">
        <v>94</v>
      </c>
    </row>
    <row r="380" spans="1:39" x14ac:dyDescent="0.3">
      <c r="E380" s="7">
        <v>3</v>
      </c>
      <c r="F380" s="7">
        <v>8</v>
      </c>
      <c r="G380" s="7">
        <v>26.335106102890801</v>
      </c>
      <c r="J380">
        <f>+C373*G373*100</f>
        <v>556627.43350536365</v>
      </c>
      <c r="U380" s="3" t="s">
        <v>33</v>
      </c>
      <c r="V380" s="4" t="s">
        <v>61</v>
      </c>
      <c r="W380" s="4" t="s">
        <v>79</v>
      </c>
      <c r="X380" s="4" t="s">
        <v>80</v>
      </c>
      <c r="Y380" s="4" t="s">
        <v>81</v>
      </c>
      <c r="Z380" s="4" t="s">
        <v>92</v>
      </c>
      <c r="AA380" s="4" t="s">
        <v>82</v>
      </c>
      <c r="AB380" s="4" t="s">
        <v>83</v>
      </c>
      <c r="AC380" s="4" t="s">
        <v>93</v>
      </c>
      <c r="AD380" s="4" t="s">
        <v>84</v>
      </c>
      <c r="AE380" s="4" t="s">
        <v>85</v>
      </c>
      <c r="AF380" s="4" t="s">
        <v>95</v>
      </c>
      <c r="AG380" s="4" t="s">
        <v>86</v>
      </c>
      <c r="AH380" s="4" t="s">
        <v>44</v>
      </c>
      <c r="AI380" s="4" t="s">
        <v>45</v>
      </c>
      <c r="AJ380" s="4" t="s">
        <v>47</v>
      </c>
      <c r="AK380" s="4" t="s">
        <v>87</v>
      </c>
      <c r="AL380" s="4" t="s">
        <v>88</v>
      </c>
      <c r="AM380" s="5" t="s">
        <v>89</v>
      </c>
    </row>
    <row r="381" spans="1:39" x14ac:dyDescent="0.3">
      <c r="A381" s="30" t="s">
        <v>1022</v>
      </c>
      <c r="E381" s="7">
        <v>59.999999999999901</v>
      </c>
      <c r="F381" s="7">
        <v>18.076233183856399</v>
      </c>
      <c r="G381" s="7">
        <v>359.68615770458598</v>
      </c>
      <c r="J381">
        <f>+J380/G373/100</f>
        <v>15.475364330326206</v>
      </c>
      <c r="U381" s="6">
        <v>1</v>
      </c>
      <c r="V381" s="7" t="s">
        <v>49</v>
      </c>
      <c r="W381" s="7">
        <v>15.475364330326206</v>
      </c>
      <c r="X381" s="7">
        <v>3.8688410825815516</v>
      </c>
      <c r="Y381" s="7">
        <v>59.999999999999901</v>
      </c>
      <c r="Z381" s="7">
        <f>+AC381/X381</f>
        <v>-2.7859717308079115</v>
      </c>
      <c r="AA381" s="7">
        <v>359.68615770458598</v>
      </c>
      <c r="AB381" s="7">
        <v>232.13046495489272</v>
      </c>
      <c r="AC381" s="7">
        <f>+AC389*AE392</f>
        <v>-10.778481887060479</v>
      </c>
      <c r="AD381" s="7">
        <v>1391.5685837634092</v>
      </c>
      <c r="AE381" s="7">
        <v>9.2852185981957103</v>
      </c>
      <c r="AF381" s="7">
        <f>+W381*Z381/100</f>
        <v>-0.4311392754824192</v>
      </c>
      <c r="AG381" s="7">
        <v>556627.43350536365</v>
      </c>
      <c r="AH381" s="7">
        <v>77.376821651630905</v>
      </c>
      <c r="AI381" s="7">
        <f>+AC381/AC384*100</f>
        <v>-1.3473102358825602</v>
      </c>
      <c r="AJ381" s="7">
        <v>90.291524203707198</v>
      </c>
      <c r="AK381" s="7">
        <v>0.5566274335053637</v>
      </c>
      <c r="AL381" s="7">
        <v>17895.987547776771</v>
      </c>
      <c r="AM381" s="8">
        <v>25.847533632286922</v>
      </c>
    </row>
    <row r="382" spans="1:39" x14ac:dyDescent="0.3">
      <c r="E382" s="7">
        <v>2.5703022339027499</v>
      </c>
      <c r="F382" s="7">
        <v>50</v>
      </c>
      <c r="G382" s="7">
        <v>5.6665405776498998</v>
      </c>
      <c r="U382" s="6">
        <v>2</v>
      </c>
      <c r="V382" s="7" t="s">
        <v>50</v>
      </c>
      <c r="W382" s="7">
        <v>52.810548230395582</v>
      </c>
      <c r="X382" s="7">
        <v>13.202637057598896</v>
      </c>
      <c r="Y382" s="7">
        <f>+AB382*X382</f>
        <v>37.639159987870421</v>
      </c>
      <c r="Z382" s="7">
        <v>50</v>
      </c>
      <c r="AA382" s="7">
        <f>+AD382/X382</f>
        <v>-0.95630625921340728</v>
      </c>
      <c r="AB382" s="7">
        <f>13.2*AA392</f>
        <v>2.85088197332569</v>
      </c>
      <c r="AC382" s="7">
        <v>660.13185287994474</v>
      </c>
      <c r="AD382" s="7">
        <f>+AG389*AI392</f>
        <v>-12.625764456304706</v>
      </c>
      <c r="AE382" s="7">
        <f>+W382*Y382/100</f>
        <v>19.877446738910063</v>
      </c>
      <c r="AF382" s="7">
        <v>26.405274115197791</v>
      </c>
      <c r="AG382" s="7">
        <f>+W382*AA382*100</f>
        <v>-5050.3057825218821</v>
      </c>
      <c r="AH382" s="7">
        <f>+AB382/AB384*100</f>
        <v>0.95029399110856339</v>
      </c>
      <c r="AI382" s="7">
        <v>82.516481609993107</v>
      </c>
      <c r="AJ382" s="7">
        <f>+AD382/AD384*100</f>
        <v>-0.81921906710029768</v>
      </c>
      <c r="AK382" s="7">
        <f>+AG382/(1000^2)</f>
        <v>-5.0503057825218821E-3</v>
      </c>
      <c r="AL382" s="7">
        <f>+AG382/31.1035</f>
        <v>-162.37098019585841</v>
      </c>
      <c r="AM382" s="8">
        <v>7.5742444152430979</v>
      </c>
    </row>
    <row r="383" spans="1:39" x14ac:dyDescent="0.3">
      <c r="E383" s="7">
        <v>0.40920502092049998</v>
      </c>
      <c r="F383" s="7">
        <v>0.84330543933054203</v>
      </c>
      <c r="G383" s="7">
        <v>0.90214171121162701</v>
      </c>
      <c r="U383" s="6">
        <v>3</v>
      </c>
      <c r="V383" s="7" t="s">
        <v>51</v>
      </c>
      <c r="W383" s="7">
        <v>331.71408743927822</v>
      </c>
      <c r="X383" s="7">
        <v>82.928521859819554</v>
      </c>
      <c r="Y383" s="7">
        <f>+AB383/X383</f>
        <v>0.78403806758525285</v>
      </c>
      <c r="Z383" s="7">
        <f>+AC383/X383</f>
        <v>1.8165840368138384</v>
      </c>
      <c r="AA383" s="7">
        <f>+AD383/X383</f>
        <v>1.9565321804277331</v>
      </c>
      <c r="AB383" s="7">
        <f>82.93*AA393</f>
        <v>65.01911802667432</v>
      </c>
      <c r="AC383" s="7">
        <f>+AD389*AE393</f>
        <v>150.64662900711565</v>
      </c>
      <c r="AD383" s="7">
        <f>+AH389*AI393</f>
        <v>162.25232169404168</v>
      </c>
      <c r="AE383" s="7">
        <f>+W383*Y383/100</f>
        <v>2.6007647210669727</v>
      </c>
      <c r="AF383" s="7">
        <f>+W383*Z383/100</f>
        <v>6.025865160284626</v>
      </c>
      <c r="AG383" s="7">
        <f>+W383*AA383*100</f>
        <v>64900.92867761667</v>
      </c>
      <c r="AH383" s="7">
        <f>+AB383/AB384*100</f>
        <v>21.673039342224772</v>
      </c>
      <c r="AI383" s="7">
        <f>+AC383/AC384*100</f>
        <v>18.83082862588946</v>
      </c>
      <c r="AJ383" s="7">
        <f>+AD383/AD384*100</f>
        <v>10.527694863393098</v>
      </c>
      <c r="AK383" s="7">
        <f>+AG383/(1000^2)</f>
        <v>6.4900928677616668E-2</v>
      </c>
      <c r="AL383" s="7">
        <f>+AG383/31.1035</f>
        <v>2086.6117535845378</v>
      </c>
      <c r="AM383" s="8">
        <v>1.2058577405857742</v>
      </c>
    </row>
    <row r="384" spans="1:39" x14ac:dyDescent="0.3">
      <c r="A384" s="2"/>
      <c r="U384" s="6">
        <v>4</v>
      </c>
      <c r="V384" s="7" t="s">
        <v>48</v>
      </c>
      <c r="W384" s="7">
        <v>400</v>
      </c>
      <c r="X384" s="7">
        <v>100</v>
      </c>
      <c r="Y384" s="7">
        <v>3</v>
      </c>
      <c r="Z384" s="7">
        <v>8</v>
      </c>
      <c r="AA384" s="7">
        <v>26.335106102890801</v>
      </c>
      <c r="AB384" s="7">
        <v>300</v>
      </c>
      <c r="AC384" s="7">
        <v>799.99999999999989</v>
      </c>
      <c r="AD384" s="7">
        <v>1541.1951410011461</v>
      </c>
      <c r="AE384" s="7">
        <v>12</v>
      </c>
      <c r="AF384" s="7">
        <v>31.999999999999996</v>
      </c>
      <c r="AG384" s="7">
        <v>616478.05640045844</v>
      </c>
      <c r="AH384" s="7">
        <v>100</v>
      </c>
      <c r="AI384" s="7">
        <v>100</v>
      </c>
      <c r="AJ384" s="7">
        <v>99.999999999999986</v>
      </c>
      <c r="AK384" s="7">
        <v>0.6164780564004585</v>
      </c>
      <c r="AL384" s="7">
        <v>19820.229756451488</v>
      </c>
      <c r="AM384" s="8">
        <v>1</v>
      </c>
    </row>
    <row r="385" spans="1:39" x14ac:dyDescent="0.3">
      <c r="A385" s="30" t="s">
        <v>1039</v>
      </c>
      <c r="U385" s="6"/>
      <c r="V385" s="7"/>
      <c r="W385" s="7"/>
      <c r="X385" s="7"/>
      <c r="Y385" s="7"/>
      <c r="Z385" s="7"/>
      <c r="AA385" s="7"/>
      <c r="AB385" s="7"/>
      <c r="AC385" s="7"/>
      <c r="AD385" s="7"/>
      <c r="AE385" s="7"/>
      <c r="AF385" s="7"/>
      <c r="AG385" s="7"/>
      <c r="AH385" s="7"/>
      <c r="AI385" s="7"/>
      <c r="AJ385" s="7"/>
      <c r="AK385" s="7"/>
      <c r="AL385" s="7"/>
      <c r="AM385" s="8"/>
    </row>
    <row r="386" spans="1:39" x14ac:dyDescent="0.3">
      <c r="A386" s="30" t="s">
        <v>1040</v>
      </c>
      <c r="U386" s="25"/>
      <c r="V386" s="26"/>
      <c r="W386" s="26"/>
      <c r="X386" s="26"/>
      <c r="Y386" s="26"/>
      <c r="Z386" s="26"/>
      <c r="AA386" s="26"/>
      <c r="AB386" s="26"/>
      <c r="AC386" s="26"/>
      <c r="AD386" s="26"/>
      <c r="AE386" s="26"/>
      <c r="AF386" s="26"/>
      <c r="AG386" s="26"/>
      <c r="AH386" s="26"/>
      <c r="AI386" s="26"/>
      <c r="AJ386" s="26"/>
      <c r="AK386" s="26"/>
      <c r="AL386" s="26"/>
      <c r="AM386" s="14"/>
    </row>
    <row r="387" spans="1:39" x14ac:dyDescent="0.3">
      <c r="A387" s="30" t="s">
        <v>1041</v>
      </c>
      <c r="I387">
        <v>1</v>
      </c>
      <c r="J387">
        <v>1</v>
      </c>
    </row>
    <row r="388" spans="1:39" x14ac:dyDescent="0.3">
      <c r="A388" s="30" t="s">
        <v>1042</v>
      </c>
      <c r="I388">
        <v>59.99</v>
      </c>
      <c r="J388">
        <v>18.07</v>
      </c>
    </row>
    <row r="389" spans="1:39" x14ac:dyDescent="0.3">
      <c r="A389" s="30" t="s">
        <v>1043</v>
      </c>
      <c r="I389">
        <v>2.6</v>
      </c>
      <c r="J389">
        <v>50</v>
      </c>
      <c r="Y389">
        <v>13.2</v>
      </c>
      <c r="Z389">
        <v>82.93</v>
      </c>
      <c r="AA389">
        <f>300-232.13</f>
        <v>67.87</v>
      </c>
      <c r="AC389">
        <v>13.2</v>
      </c>
      <c r="AD389">
        <v>82.93</v>
      </c>
      <c r="AE389" s="17">
        <f>+AC384-AC382</f>
        <v>139.86814712005514</v>
      </c>
      <c r="AG389">
        <v>13.2</v>
      </c>
      <c r="AH389">
        <v>82.93</v>
      </c>
      <c r="AI389" s="17">
        <f>+AD384-AD381</f>
        <v>149.62655723773696</v>
      </c>
    </row>
    <row r="390" spans="1:39" x14ac:dyDescent="0.3">
      <c r="A390" s="30" t="s">
        <v>1044</v>
      </c>
      <c r="I390">
        <v>0.4</v>
      </c>
      <c r="J390">
        <v>0.84</v>
      </c>
      <c r="Y390">
        <v>1</v>
      </c>
      <c r="Z390">
        <v>1</v>
      </c>
      <c r="AA390">
        <v>1</v>
      </c>
      <c r="AC390">
        <v>1</v>
      </c>
      <c r="AD390">
        <v>1</v>
      </c>
      <c r="AE390">
        <v>1</v>
      </c>
      <c r="AG390">
        <v>1</v>
      </c>
      <c r="AH390">
        <v>1</v>
      </c>
      <c r="AI390">
        <v>1</v>
      </c>
    </row>
    <row r="391" spans="1:39" x14ac:dyDescent="0.3">
      <c r="A391" s="30" t="s">
        <v>1045</v>
      </c>
    </row>
    <row r="392" spans="1:39" x14ac:dyDescent="0.3">
      <c r="A392" s="30" t="s">
        <v>1046</v>
      </c>
      <c r="H392">
        <v>1</v>
      </c>
      <c r="I392">
        <v>1</v>
      </c>
      <c r="J392">
        <v>1</v>
      </c>
      <c r="Y392">
        <f t="array" ref="Y392:Z393">+MINVERSE(Y389:Z390)</f>
        <v>-1.4341029685931445E-2</v>
      </c>
      <c r="Z392">
        <v>1.1893015918542953</v>
      </c>
      <c r="AA392">
        <f t="array" ref="AA392:AA393">+MMULT(Y392:Z393,AA389:AA390)</f>
        <v>0.21597590707012804</v>
      </c>
      <c r="AC392">
        <f t="array" ref="AC392:AD393">+MINVERSE(AC389:AD390)</f>
        <v>-1.4341029685931445E-2</v>
      </c>
      <c r="AD392">
        <v>1.1893015918542953</v>
      </c>
      <c r="AE392">
        <f t="array" ref="AE392:AE393">+MMULT(AC392:AD393,AE389:AE390)</f>
        <v>-0.81655165811064245</v>
      </c>
      <c r="AG392">
        <f t="array" ref="AG392:AH393">+MINVERSE(AG389:AH390)</f>
        <v>-1.4341029685931445E-2</v>
      </c>
      <c r="AH392">
        <v>1.1893015918542953</v>
      </c>
      <c r="AI392">
        <f t="array" ref="AI392:AI393">+MMULT(AG392:AH393,AI389:AI390)</f>
        <v>-0.95649730729581117</v>
      </c>
    </row>
    <row r="393" spans="1:39" x14ac:dyDescent="0.3">
      <c r="A393" s="30" t="s">
        <v>1047</v>
      </c>
      <c r="G393" t="s">
        <v>1048</v>
      </c>
      <c r="H393">
        <f t="array" ref="H393:J394">+TRANSPOSE(I388:J390)</f>
        <v>59.99</v>
      </c>
      <c r="I393">
        <v>2.6</v>
      </c>
      <c r="J393">
        <v>0.4</v>
      </c>
      <c r="Y393">
        <v>1.4341029685931449E-2</v>
      </c>
      <c r="Z393">
        <v>-0.18930159185429513</v>
      </c>
      <c r="AA393">
        <v>0.7840240929298723</v>
      </c>
      <c r="AC393">
        <v>1.4341029685931449E-2</v>
      </c>
      <c r="AD393">
        <v>-0.18930159185429513</v>
      </c>
      <c r="AE393">
        <v>1.8165516581106431</v>
      </c>
      <c r="AG393">
        <v>1.4341029685931449E-2</v>
      </c>
      <c r="AH393">
        <v>-0.18930159185429513</v>
      </c>
      <c r="AI393">
        <v>1.9564973072958118</v>
      </c>
    </row>
    <row r="394" spans="1:39" x14ac:dyDescent="0.3">
      <c r="A394" s="30" t="s">
        <v>1049</v>
      </c>
      <c r="H394">
        <v>18.07</v>
      </c>
      <c r="I394">
        <v>50</v>
      </c>
      <c r="J394">
        <v>0.84</v>
      </c>
    </row>
    <row r="395" spans="1:39" x14ac:dyDescent="0.3">
      <c r="A395" s="30" t="s">
        <v>1050</v>
      </c>
    </row>
    <row r="396" spans="1:39" x14ac:dyDescent="0.3">
      <c r="A396" s="30" t="s">
        <v>1051</v>
      </c>
      <c r="H396">
        <f>+MDETERM(H392:J394)</f>
        <v>2891.5383999999999</v>
      </c>
    </row>
    <row r="397" spans="1:39" x14ac:dyDescent="0.3">
      <c r="A397" s="2"/>
    </row>
    <row r="398" spans="1:39" x14ac:dyDescent="0.3">
      <c r="A398" s="2"/>
    </row>
    <row r="399" spans="1:39" x14ac:dyDescent="0.3">
      <c r="A399" s="2"/>
    </row>
    <row r="400" spans="1:39" x14ac:dyDescent="0.3">
      <c r="A400" s="2"/>
    </row>
    <row r="401" spans="1:13" x14ac:dyDescent="0.3">
      <c r="A401" s="2"/>
    </row>
    <row r="402" spans="1:13" x14ac:dyDescent="0.3">
      <c r="A402" s="2"/>
    </row>
    <row r="403" spans="1:13" x14ac:dyDescent="0.3">
      <c r="A403" s="2"/>
    </row>
    <row r="404" spans="1:13" x14ac:dyDescent="0.3">
      <c r="A404" s="2"/>
    </row>
    <row r="405" spans="1:13" x14ac:dyDescent="0.3">
      <c r="A405" s="2"/>
    </row>
    <row r="407" spans="1:13" x14ac:dyDescent="0.3">
      <c r="A407" s="2" t="s">
        <v>94</v>
      </c>
    </row>
    <row r="408" spans="1:13" x14ac:dyDescent="0.3">
      <c r="A408" s="3" t="s">
        <v>33</v>
      </c>
      <c r="B408" s="4" t="s">
        <v>61</v>
      </c>
      <c r="C408" s="4" t="s">
        <v>79</v>
      </c>
      <c r="D408" s="4" t="s">
        <v>80</v>
      </c>
      <c r="E408" s="4" t="s">
        <v>81</v>
      </c>
      <c r="F408" s="4" t="s">
        <v>92</v>
      </c>
      <c r="G408" s="4" t="s">
        <v>83</v>
      </c>
      <c r="H408" s="4" t="s">
        <v>93</v>
      </c>
      <c r="I408" s="4" t="s">
        <v>85</v>
      </c>
      <c r="J408" s="4" t="s">
        <v>95</v>
      </c>
      <c r="K408" s="4" t="s">
        <v>44</v>
      </c>
      <c r="L408" s="4" t="s">
        <v>45</v>
      </c>
      <c r="M408" s="5" t="s">
        <v>89</v>
      </c>
    </row>
    <row r="409" spans="1:13" x14ac:dyDescent="0.3">
      <c r="A409" s="6">
        <v>1</v>
      </c>
      <c r="B409" s="7" t="s">
        <v>49</v>
      </c>
      <c r="C409" s="7">
        <v>482.34309623430966</v>
      </c>
      <c r="D409" s="7">
        <v>120.58577405857743</v>
      </c>
      <c r="E409" s="7">
        <v>3</v>
      </c>
      <c r="F409" s="7">
        <v>8</v>
      </c>
      <c r="G409" s="7">
        <v>361.75732217573233</v>
      </c>
      <c r="H409" s="7">
        <v>964.68619246861942</v>
      </c>
      <c r="I409" s="7">
        <v>14.470292887029292</v>
      </c>
      <c r="J409" s="7">
        <v>38.587447698744775</v>
      </c>
      <c r="K409" s="7">
        <v>884.04907975460446</v>
      </c>
      <c r="L409" s="7">
        <v>1143.9345075663639</v>
      </c>
      <c r="M409" s="8">
        <v>0.82928521859819559</v>
      </c>
    </row>
    <row r="410" spans="1:13" x14ac:dyDescent="0.3">
      <c r="A410" s="6">
        <v>2</v>
      </c>
      <c r="B410" s="7" t="s">
        <v>50</v>
      </c>
      <c r="C410" s="7">
        <v>-18.66108786610884</v>
      </c>
      <c r="D410" s="7">
        <v>-4.6652719665272109</v>
      </c>
      <c r="E410" s="7">
        <v>59.999999999999901</v>
      </c>
      <c r="F410" s="7">
        <v>18.076233183856399</v>
      </c>
      <c r="G410" s="7">
        <v>-279.91631799163218</v>
      </c>
      <c r="H410" s="7">
        <v>-84.330543933054159</v>
      </c>
      <c r="I410" s="7">
        <v>-11.196652719665286</v>
      </c>
      <c r="J410" s="7">
        <v>-3.3732217573221659</v>
      </c>
      <c r="K410" s="7">
        <v>-684.04907975460446</v>
      </c>
      <c r="L410" s="7">
        <v>-99.999999999999972</v>
      </c>
      <c r="M410" s="8">
        <v>-21.434977578475277</v>
      </c>
    </row>
    <row r="411" spans="1:13" x14ac:dyDescent="0.3">
      <c r="A411" s="6">
        <v>3</v>
      </c>
      <c r="B411" s="7" t="s">
        <v>51</v>
      </c>
      <c r="C411" s="7">
        <v>-63.682008368200876</v>
      </c>
      <c r="D411" s="7">
        <v>-15.920502092050221</v>
      </c>
      <c r="E411" s="7">
        <v>2.5703022339027499</v>
      </c>
      <c r="F411" s="7">
        <v>50</v>
      </c>
      <c r="G411" s="7">
        <v>-40.920502092050086</v>
      </c>
      <c r="H411" s="7">
        <v>-796.02510460251108</v>
      </c>
      <c r="I411" s="7">
        <v>-1.636820083682003</v>
      </c>
      <c r="J411" s="7">
        <v>-31.841004184100438</v>
      </c>
      <c r="K411" s="7">
        <v>-100.00000000000004</v>
      </c>
      <c r="L411" s="7">
        <v>-943.93450756636389</v>
      </c>
      <c r="M411" s="8">
        <v>-6.2812089356110343</v>
      </c>
    </row>
    <row r="412" spans="1:13" x14ac:dyDescent="0.3">
      <c r="A412" s="6">
        <v>4</v>
      </c>
      <c r="B412" s="7" t="s">
        <v>48</v>
      </c>
      <c r="C412" s="7">
        <v>400</v>
      </c>
      <c r="D412" s="7">
        <v>100</v>
      </c>
      <c r="E412" s="7">
        <v>0.40920502092049998</v>
      </c>
      <c r="F412" s="7">
        <v>0.84330543933054203</v>
      </c>
      <c r="G412" s="7">
        <v>40.920502092050057</v>
      </c>
      <c r="H412" s="7">
        <v>84.330543933054173</v>
      </c>
      <c r="I412" s="7">
        <v>1.6368200836820026</v>
      </c>
      <c r="J412" s="7">
        <v>3.3732217573221739</v>
      </c>
      <c r="K412" s="7">
        <v>99.999999999999957</v>
      </c>
      <c r="L412" s="7">
        <v>100</v>
      </c>
      <c r="M412" s="8">
        <v>1</v>
      </c>
    </row>
    <row r="413" spans="1:13" x14ac:dyDescent="0.3">
      <c r="A413" s="6">
        <v>5</v>
      </c>
      <c r="B413" s="7" t="s">
        <v>153</v>
      </c>
      <c r="C413" s="7">
        <v>400</v>
      </c>
      <c r="D413" s="7">
        <v>100</v>
      </c>
      <c r="E413" s="7">
        <v>0.40920502092049998</v>
      </c>
      <c r="F413" s="7">
        <v>0.84330543933054203</v>
      </c>
      <c r="G413" s="7">
        <v>40.92050209205</v>
      </c>
      <c r="H413" s="7">
        <v>84.330543933054201</v>
      </c>
      <c r="I413" s="7">
        <v>1.6368200836819999</v>
      </c>
      <c r="J413" s="7">
        <v>3.3732217573221681</v>
      </c>
      <c r="K413" s="7">
        <v>100.00000000000016</v>
      </c>
      <c r="L413" s="7">
        <v>99.999999999999972</v>
      </c>
      <c r="M413" s="8">
        <v>1</v>
      </c>
    </row>
    <row r="414" spans="1:13" x14ac:dyDescent="0.3">
      <c r="A414" s="25">
        <v>6</v>
      </c>
      <c r="B414" s="26" t="s">
        <v>154</v>
      </c>
      <c r="C414" s="26">
        <v>400</v>
      </c>
      <c r="D414" s="26">
        <v>100</v>
      </c>
      <c r="E414" s="26">
        <v>0.40920502092050065</v>
      </c>
      <c r="F414" s="26">
        <v>0.8433054393305417</v>
      </c>
      <c r="G414" s="26">
        <v>40.920502092050057</v>
      </c>
      <c r="H414" s="26">
        <v>84.330543933054173</v>
      </c>
      <c r="I414" s="26">
        <v>1.6368200836820026</v>
      </c>
      <c r="J414" s="26">
        <v>3.3732217573221739</v>
      </c>
      <c r="K414" s="26">
        <v>99.999999999999957</v>
      </c>
      <c r="L414" s="26">
        <v>100</v>
      </c>
      <c r="M414" s="14">
        <v>1</v>
      </c>
    </row>
    <row r="416" spans="1:13" x14ac:dyDescent="0.3">
      <c r="A416" s="2" t="s">
        <v>94</v>
      </c>
    </row>
    <row r="417" spans="1:13" x14ac:dyDescent="0.3">
      <c r="A417" s="3" t="s">
        <v>33</v>
      </c>
      <c r="B417" s="4" t="s">
        <v>61</v>
      </c>
      <c r="C417" s="4" t="s">
        <v>79</v>
      </c>
      <c r="D417" s="4" t="s">
        <v>80</v>
      </c>
      <c r="E417" s="4" t="s">
        <v>81</v>
      </c>
      <c r="F417" s="4" t="s">
        <v>92</v>
      </c>
      <c r="G417" s="4" t="s">
        <v>83</v>
      </c>
      <c r="H417" s="4" t="s">
        <v>93</v>
      </c>
      <c r="I417" s="4" t="s">
        <v>85</v>
      </c>
      <c r="J417" s="4" t="s">
        <v>95</v>
      </c>
      <c r="K417" s="4" t="s">
        <v>44</v>
      </c>
      <c r="L417" s="4" t="s">
        <v>45</v>
      </c>
      <c r="M417" s="5" t="s">
        <v>89</v>
      </c>
    </row>
    <row r="418" spans="1:13" x14ac:dyDescent="0.3">
      <c r="A418" s="6">
        <v>1</v>
      </c>
      <c r="B418" s="7" t="s">
        <v>49</v>
      </c>
      <c r="C418" s="7"/>
      <c r="D418" s="7">
        <f>$C$418*100/$C$421</f>
        <v>0</v>
      </c>
      <c r="E418" s="7">
        <v>3</v>
      </c>
      <c r="F418" s="7">
        <v>8</v>
      </c>
      <c r="G418" s="7">
        <f>+$C418*$E$418*100/$C$421</f>
        <v>0</v>
      </c>
      <c r="H418" s="7">
        <f>+$C418*$F$418*100/$C$421</f>
        <v>0</v>
      </c>
      <c r="I418" s="7">
        <f>+$C418*$E$418/100</f>
        <v>0</v>
      </c>
      <c r="J418" s="7">
        <f>+$C418*$F$418/100</f>
        <v>0</v>
      </c>
      <c r="K418" s="7" t="e">
        <f>+($C418*$E$418/SUM($C418*$E$418,$C419*$E$419,$C420*$E$420))*100</f>
        <v>#DIV/0!</v>
      </c>
      <c r="L418" s="7" t="e">
        <f>+($C418*$F$418/SUM($C418*$F$418,$C419*$F$419,$C420*$F$420))*100</f>
        <v>#DIV/0!</v>
      </c>
      <c r="M418" s="8" t="e">
        <f>+$C$421/$C$418</f>
        <v>#DIV/0!</v>
      </c>
    </row>
    <row r="419" spans="1:13" x14ac:dyDescent="0.3">
      <c r="A419" s="6">
        <v>2</v>
      </c>
      <c r="B419" s="7" t="s">
        <v>50</v>
      </c>
      <c r="C419" s="7"/>
      <c r="D419" s="7">
        <f>$C$419*100/$C$421</f>
        <v>0</v>
      </c>
      <c r="E419" s="7">
        <v>59.999999999999901</v>
      </c>
      <c r="F419" s="7">
        <v>18.076233183856399</v>
      </c>
      <c r="G419" s="7">
        <f>+$C419*$E$419*100/$C$421</f>
        <v>0</v>
      </c>
      <c r="H419" s="7">
        <f>+$C419*$F$419*100/$C$421</f>
        <v>0</v>
      </c>
      <c r="I419" s="7">
        <f>+$C419*$E$419/100</f>
        <v>0</v>
      </c>
      <c r="J419" s="7">
        <f>+$C419*$F$419/100</f>
        <v>0</v>
      </c>
      <c r="K419" s="7" t="e">
        <f>+($C419*$E$419/SUM($C418*$E$418,$C419*$E$419,$C420*$E$420))*100</f>
        <v>#DIV/0!</v>
      </c>
      <c r="L419" s="7" t="e">
        <f>+($C419*$F$419/SUM($C418*$F$418,$C419*$F$419,$C420*$F$420))*100</f>
        <v>#DIV/0!</v>
      </c>
      <c r="M419" s="8" t="e">
        <f>+$C$421/$C$419</f>
        <v>#DIV/0!</v>
      </c>
    </row>
    <row r="420" spans="1:13" x14ac:dyDescent="0.3">
      <c r="A420" s="6">
        <v>3</v>
      </c>
      <c r="B420" s="7" t="s">
        <v>51</v>
      </c>
      <c r="C420" s="7"/>
      <c r="D420" s="7">
        <f>$C$420*100/$C$421</f>
        <v>0</v>
      </c>
      <c r="E420" s="7">
        <v>2.5703022339027499</v>
      </c>
      <c r="F420" s="7">
        <v>50</v>
      </c>
      <c r="G420" s="7">
        <f>+$C420*$E$420*100/$C$421</f>
        <v>0</v>
      </c>
      <c r="H420" s="7">
        <f>+$C420*$F$420*100/$C$421</f>
        <v>0</v>
      </c>
      <c r="I420" s="7">
        <f>+$C420*$E$420/100</f>
        <v>0</v>
      </c>
      <c r="J420" s="7">
        <f>+$C420*$F$420/100</f>
        <v>0</v>
      </c>
      <c r="K420" s="7" t="e">
        <f>+($C420*$E$420/SUM($C418*$E$418,$C419*$E$419,$C420*$E$420))*100</f>
        <v>#DIV/0!</v>
      </c>
      <c r="L420" s="7" t="e">
        <f>+($C420*$F$420/SUM($C418*$F$418,$C419*$F$419,$C420*$F$420))*100</f>
        <v>#DIV/0!</v>
      </c>
      <c r="M420" s="8" t="e">
        <f>+$C$421/$C$420</f>
        <v>#DIV/0!</v>
      </c>
    </row>
    <row r="421" spans="1:13" x14ac:dyDescent="0.3">
      <c r="A421" s="6">
        <v>4</v>
      </c>
      <c r="B421" s="7" t="s">
        <v>48</v>
      </c>
      <c r="C421" s="7">
        <v>400</v>
      </c>
      <c r="D421" s="7">
        <f>+SUM($D$418:$D$420)</f>
        <v>0</v>
      </c>
      <c r="E421" s="7">
        <v>0.40920502092049998</v>
      </c>
      <c r="F421" s="7">
        <v>0.84330543933054203</v>
      </c>
      <c r="G421" s="7">
        <f>+SUM($G$418:$G$420)</f>
        <v>0</v>
      </c>
      <c r="H421" s="7">
        <f>+SUM($H$418:$H$420)</f>
        <v>0</v>
      </c>
      <c r="I421" s="7">
        <f>+SUM($I$418:$I$420)</f>
        <v>0</v>
      </c>
      <c r="J421" s="7">
        <f>+SUM($J$418:$J$420)</f>
        <v>0</v>
      </c>
      <c r="K421" s="7" t="e">
        <f>+SUM($K$418:$K$420)</f>
        <v>#DIV/0!</v>
      </c>
      <c r="L421" s="7" t="e">
        <f>+SUM($L$418:$L$420)</f>
        <v>#DIV/0!</v>
      </c>
      <c r="M421" s="8">
        <f>+$C$421/$C$421</f>
        <v>1</v>
      </c>
    </row>
    <row r="422" spans="1:13" x14ac:dyDescent="0.3">
      <c r="A422" s="6">
        <v>5</v>
      </c>
      <c r="B422" s="7" t="s">
        <v>153</v>
      </c>
      <c r="C422" s="7">
        <v>400</v>
      </c>
      <c r="D422" s="7">
        <f>+SUM($D$418:$D$420)</f>
        <v>0</v>
      </c>
      <c r="E422" s="7">
        <v>0.40920502092049998</v>
      </c>
      <c r="F422" s="7">
        <v>0.84330543933054203</v>
      </c>
      <c r="G422" s="7">
        <f>+SUM($C$418:$C$420)*$E$422*100/$C$422</f>
        <v>0</v>
      </c>
      <c r="H422" s="7">
        <f>+SUM($C$418:$C$420)*$F$422*100/$C$422</f>
        <v>0</v>
      </c>
      <c r="I422" s="7">
        <f>+$C422*$E$422/100</f>
        <v>1.6368200836819999</v>
      </c>
      <c r="J422" s="7">
        <f>+$C422*$F$422/100</f>
        <v>3.3732217573221681</v>
      </c>
      <c r="K422" s="7" t="e">
        <f>+(SUM(($C418*$E$418*100/$C$422),($C419*$E$419*100/$C$422),($C420*$E$420*100/$C$422))*100)/(SUM(($C418*100/$C$422),($C419*100/$C$422),($C420*100/$C$422))*($E$422))</f>
        <v>#DIV/0!</v>
      </c>
      <c r="L422" s="7" t="e">
        <f>+(SUM(($C418*$F$418*100/$C$422),($C419*$F$419*100/$C$422),($C420*$F$420*100/$C$422))*100)/(SUM(($C418*100/$C$422),($C419*100/$C$422),($C420*100/$C$422))*($F$422))</f>
        <v>#DIV/0!</v>
      </c>
      <c r="M422" s="8">
        <f>+$C$421/$C$422</f>
        <v>1</v>
      </c>
    </row>
    <row r="423" spans="1:13" x14ac:dyDescent="0.3">
      <c r="A423" s="25">
        <v>6</v>
      </c>
      <c r="B423" s="26" t="s">
        <v>154</v>
      </c>
      <c r="C423" s="26">
        <v>400</v>
      </c>
      <c r="D423" s="26">
        <f>+SUM($D$418:$D$420)</f>
        <v>0</v>
      </c>
      <c r="E423" s="26">
        <f>+SUM(($C$418*$E$418*100/$C$423),($C$419*$E$419*100/$C$423),($C$420*$E$420*100/$C$423))/100</f>
        <v>0</v>
      </c>
      <c r="F423" s="26">
        <f>+SUM(($C$418*$F$418*100/$C$423),($C$419*$F$419*100/$C$423),($C$420*$F$420*100/$C$423))/100</f>
        <v>0</v>
      </c>
      <c r="G423" s="26">
        <f>+SUM($G$418:$G$420)</f>
        <v>0</v>
      </c>
      <c r="H423" s="26">
        <f>+SUM($H$418:$H$420)</f>
        <v>0</v>
      </c>
      <c r="I423" s="26">
        <f>+SUM($I$418:$I$420)</f>
        <v>0</v>
      </c>
      <c r="J423" s="26">
        <f>+SUM($J$418:$J$420)</f>
        <v>0</v>
      </c>
      <c r="K423" s="26" t="e">
        <f>+(SUM(($C418*$E$418*100/$C$423),($C419*$E$419*100/$C$423),($C420*$E$420*100/$C$423))*100)/(SUM(($C418*100/$C$423),($C419*100/$C$423),($C420*100/$C$423))*($E$423))</f>
        <v>#DIV/0!</v>
      </c>
      <c r="L423" s="26" t="e">
        <f>+(SUM(($C418*$F$418*100/$C$423),($C419*$F$419*100/$C$423),($C420*$F$420*100/$C$423))*100)/(SUM(($C418*100/$C$423),($C419*100/$C$423),($C420*100/$C$423))*($F$423))</f>
        <v>#DIV/0!</v>
      </c>
      <c r="M423" s="14">
        <f>+$C$421/$C$423</f>
        <v>1</v>
      </c>
    </row>
    <row r="425" spans="1:13" x14ac:dyDescent="0.3">
      <c r="E425" s="17">
        <f>+SUM(($C$418*$E$418/$C$423),($C$419*$E$419/$C$423),($C$420*$E$420/$C$423))</f>
        <v>0</v>
      </c>
      <c r="F425" s="17">
        <f>+SUM(($C$418*$E$418),($C$419*$E$419),($C$420*$E$420))/$C$423</f>
        <v>0</v>
      </c>
      <c r="G425" s="17">
        <f>+SUM(($C$418*$F$418),($C$419*$F$419),($C$420*$F$420))/$C$423</f>
        <v>0</v>
      </c>
    </row>
    <row r="426" spans="1:13" x14ac:dyDescent="0.3">
      <c r="A426" s="2" t="s">
        <v>94</v>
      </c>
    </row>
    <row r="427" spans="1:13" x14ac:dyDescent="0.3">
      <c r="A427" s="3" t="s">
        <v>33</v>
      </c>
      <c r="B427" s="4" t="s">
        <v>61</v>
      </c>
      <c r="C427" s="4" t="s">
        <v>79</v>
      </c>
      <c r="D427" s="4" t="s">
        <v>80</v>
      </c>
      <c r="E427" s="4" t="s">
        <v>81</v>
      </c>
      <c r="F427" s="4" t="s">
        <v>877</v>
      </c>
      <c r="G427" s="4" t="s">
        <v>83</v>
      </c>
      <c r="H427" s="4" t="s">
        <v>878</v>
      </c>
      <c r="I427" s="4" t="s">
        <v>85</v>
      </c>
      <c r="J427" s="4" t="s">
        <v>879</v>
      </c>
      <c r="K427" s="4" t="s">
        <v>44</v>
      </c>
      <c r="L427" s="4" t="s">
        <v>880</v>
      </c>
      <c r="M427" s="5" t="s">
        <v>89</v>
      </c>
    </row>
    <row r="428" spans="1:13" x14ac:dyDescent="0.3">
      <c r="A428" s="6">
        <v>1</v>
      </c>
      <c r="B428" s="7" t="s">
        <v>49</v>
      </c>
      <c r="C428" s="7">
        <v>15.475364330326206</v>
      </c>
      <c r="D428" s="7">
        <v>3.8688410825815516</v>
      </c>
      <c r="E428" s="7">
        <v>59.999999999999901</v>
      </c>
      <c r="F428" s="7">
        <v>18.076233183856399</v>
      </c>
      <c r="G428" s="7">
        <v>232.13046495489272</v>
      </c>
      <c r="H428" s="7">
        <v>69.934073560027556</v>
      </c>
      <c r="I428" s="7">
        <v>9.2852185981957085</v>
      </c>
      <c r="J428" s="7">
        <v>2.7973629424011019E-4</v>
      </c>
      <c r="K428" s="7">
        <v>77.376821651630905</v>
      </c>
      <c r="L428" s="7">
        <v>8.7417591950034463</v>
      </c>
      <c r="M428" s="8">
        <v>25.847533632286922</v>
      </c>
    </row>
    <row r="429" spans="1:13" x14ac:dyDescent="0.3">
      <c r="A429" s="6">
        <v>2</v>
      </c>
      <c r="B429" s="7" t="s">
        <v>513</v>
      </c>
      <c r="C429" s="7">
        <v>52.810548230395582</v>
      </c>
      <c r="D429" s="7">
        <v>13.202637057598896</v>
      </c>
      <c r="E429" s="7">
        <v>2.5703022339027499</v>
      </c>
      <c r="F429" s="7">
        <v>50</v>
      </c>
      <c r="G429" s="7">
        <v>33.93476752255367</v>
      </c>
      <c r="H429" s="7">
        <v>660.13185287994474</v>
      </c>
      <c r="I429" s="7">
        <v>1.3573907009021469</v>
      </c>
      <c r="J429" s="7">
        <v>2.6405274115197789E-3</v>
      </c>
      <c r="K429" s="7">
        <v>11.311589174184556</v>
      </c>
      <c r="L429" s="7">
        <v>82.516481609993107</v>
      </c>
      <c r="M429" s="8">
        <v>7.5742444152430979</v>
      </c>
    </row>
    <row r="430" spans="1:13" x14ac:dyDescent="0.3">
      <c r="A430" s="6">
        <v>3</v>
      </c>
      <c r="B430" s="7" t="s">
        <v>51</v>
      </c>
      <c r="C430" s="7">
        <v>331.71408743927822</v>
      </c>
      <c r="D430" s="7">
        <v>82.928521859819554</v>
      </c>
      <c r="E430" s="7">
        <v>0.40920502092049998</v>
      </c>
      <c r="F430" s="7">
        <v>0.84330543933054203</v>
      </c>
      <c r="G430" s="7">
        <v>33.934767522553599</v>
      </c>
      <c r="H430" s="7">
        <v>69.934073560027585</v>
      </c>
      <c r="I430" s="7">
        <v>1.357390700902144</v>
      </c>
      <c r="J430" s="7">
        <v>2.7973629424011035E-4</v>
      </c>
      <c r="K430" s="7">
        <v>11.311589174184533</v>
      </c>
      <c r="L430" s="7">
        <v>8.7417591950034499</v>
      </c>
      <c r="M430" s="8">
        <v>1.2058577405857742</v>
      </c>
    </row>
    <row r="431" spans="1:13" x14ac:dyDescent="0.3">
      <c r="A431" s="6">
        <v>4</v>
      </c>
      <c r="B431" s="7" t="s">
        <v>48</v>
      </c>
      <c r="C431" s="7">
        <v>400</v>
      </c>
      <c r="D431" s="7">
        <v>100</v>
      </c>
      <c r="E431" s="7">
        <v>3</v>
      </c>
      <c r="F431" s="7">
        <v>8</v>
      </c>
      <c r="G431" s="7">
        <v>300</v>
      </c>
      <c r="H431" s="7">
        <v>799.99999999999989</v>
      </c>
      <c r="I431" s="7">
        <v>12</v>
      </c>
      <c r="J431" s="7">
        <v>3.1999999999999993E-3</v>
      </c>
      <c r="K431" s="7">
        <v>100</v>
      </c>
      <c r="L431" s="7">
        <v>100</v>
      </c>
      <c r="M431" s="8">
        <v>1</v>
      </c>
    </row>
    <row r="432" spans="1:13" x14ac:dyDescent="0.3">
      <c r="A432" s="6">
        <v>5</v>
      </c>
      <c r="B432" s="7" t="s">
        <v>153</v>
      </c>
      <c r="C432" s="7">
        <v>400</v>
      </c>
      <c r="D432" s="7">
        <v>100</v>
      </c>
      <c r="E432" s="7">
        <v>3</v>
      </c>
      <c r="F432" s="7">
        <v>8</v>
      </c>
      <c r="G432" s="7">
        <v>300</v>
      </c>
      <c r="H432" s="7">
        <v>800</v>
      </c>
      <c r="I432" s="7">
        <v>12</v>
      </c>
      <c r="J432" s="7">
        <v>3.1999999999999997E-3</v>
      </c>
      <c r="K432" s="7">
        <v>100</v>
      </c>
      <c r="L432" s="7">
        <v>99.999999999999986</v>
      </c>
      <c r="M432" s="8">
        <v>1</v>
      </c>
    </row>
    <row r="433" spans="1:13" x14ac:dyDescent="0.3">
      <c r="A433" s="25">
        <v>6</v>
      </c>
      <c r="B433" s="26" t="s">
        <v>154</v>
      </c>
      <c r="C433" s="26">
        <v>400</v>
      </c>
      <c r="D433" s="26">
        <v>100</v>
      </c>
      <c r="E433" s="26">
        <v>3</v>
      </c>
      <c r="F433" s="26">
        <v>7.9999999999999991</v>
      </c>
      <c r="G433" s="26">
        <v>300</v>
      </c>
      <c r="H433" s="26">
        <v>799.99999999999989</v>
      </c>
      <c r="I433" s="26">
        <v>12</v>
      </c>
      <c r="J433" s="26">
        <v>3.1999999999999993E-3</v>
      </c>
      <c r="K433" s="26">
        <v>100</v>
      </c>
      <c r="L433" s="26">
        <v>100</v>
      </c>
      <c r="M433" s="14">
        <v>1</v>
      </c>
    </row>
    <row r="436" spans="1:13" x14ac:dyDescent="0.3">
      <c r="D436" t="s">
        <v>881</v>
      </c>
      <c r="E436" t="s">
        <v>884</v>
      </c>
      <c r="F436" t="s">
        <v>882</v>
      </c>
      <c r="G436" t="s">
        <v>883</v>
      </c>
      <c r="H436" t="s">
        <v>137</v>
      </c>
    </row>
    <row r="437" spans="1:13" x14ac:dyDescent="0.3">
      <c r="D437">
        <f>+C428/F437</f>
        <v>856116.6573214496</v>
      </c>
      <c r="E437">
        <f>+D437/$D$440*100</f>
        <v>1.712233314642899</v>
      </c>
      <c r="F437">
        <f>+F428/1000/1000</f>
        <v>1.8076233183856401E-5</v>
      </c>
      <c r="G437">
        <f>+D437*F437/100</f>
        <v>0.15475364330326205</v>
      </c>
      <c r="H437">
        <f>+G437/$G$440*100</f>
        <v>3.8688410825815511</v>
      </c>
    </row>
    <row r="438" spans="1:13" x14ac:dyDescent="0.3">
      <c r="D438">
        <f>+C429/F438</f>
        <v>1056210.9646079117</v>
      </c>
      <c r="E438">
        <f>+D438/$D$440*100</f>
        <v>2.1124219292158233</v>
      </c>
      <c r="F438">
        <f>+F429/1000/1000</f>
        <v>5.0000000000000002E-5</v>
      </c>
      <c r="G438">
        <f>+D438*F438/100</f>
        <v>0.52810548230395582</v>
      </c>
      <c r="H438">
        <f>+G438/$G$440*100</f>
        <v>13.202637057598896</v>
      </c>
    </row>
    <row r="439" spans="1:13" x14ac:dyDescent="0.3">
      <c r="D439">
        <f>+C430/F439</f>
        <v>393349872.97438687</v>
      </c>
      <c r="E439">
        <f>+D439/$D$440*100</f>
        <v>786.69974594877374</v>
      </c>
      <c r="F439">
        <f>+F430/1000/1000</f>
        <v>8.4330543933054198E-7</v>
      </c>
      <c r="G439">
        <f>+D439*F439/100</f>
        <v>3.3171408743927824</v>
      </c>
      <c r="H439">
        <f>+G439/$G$440*100</f>
        <v>82.928521859819554</v>
      </c>
    </row>
    <row r="440" spans="1:13" x14ac:dyDescent="0.3">
      <c r="D440">
        <f>+C431/F440</f>
        <v>50000000</v>
      </c>
      <c r="E440">
        <f>+D440/$D$440*100</f>
        <v>100</v>
      </c>
      <c r="F440">
        <f>+F431/1000/1000</f>
        <v>7.9999999999999996E-6</v>
      </c>
      <c r="G440">
        <f>+D440*F440/100</f>
        <v>4</v>
      </c>
      <c r="H440">
        <f>+G440/$G$440*100</f>
        <v>100</v>
      </c>
    </row>
    <row r="442" spans="1:13" x14ac:dyDescent="0.3">
      <c r="A442" s="2" t="s">
        <v>94</v>
      </c>
    </row>
    <row r="443" spans="1:13" x14ac:dyDescent="0.3">
      <c r="A443" s="3" t="s">
        <v>33</v>
      </c>
      <c r="B443" s="4" t="s">
        <v>61</v>
      </c>
      <c r="C443" s="4" t="s">
        <v>79</v>
      </c>
      <c r="D443" s="4" t="s">
        <v>80</v>
      </c>
      <c r="E443" s="4" t="s">
        <v>81</v>
      </c>
      <c r="F443" s="4" t="s">
        <v>92</v>
      </c>
      <c r="G443" s="4" t="s">
        <v>83</v>
      </c>
      <c r="H443" s="4" t="s">
        <v>93</v>
      </c>
      <c r="I443" s="4" t="s">
        <v>85</v>
      </c>
      <c r="J443" s="4" t="s">
        <v>95</v>
      </c>
      <c r="K443" s="4" t="s">
        <v>44</v>
      </c>
      <c r="L443" s="4" t="s">
        <v>45</v>
      </c>
      <c r="M443" s="5" t="s">
        <v>89</v>
      </c>
    </row>
    <row r="444" spans="1:13" x14ac:dyDescent="0.3">
      <c r="A444" s="6">
        <v>1</v>
      </c>
      <c r="B444" s="7" t="s">
        <v>49</v>
      </c>
      <c r="C444" s="7">
        <v>15.475364330326206</v>
      </c>
      <c r="D444" s="7">
        <v>3.8688410825815516</v>
      </c>
      <c r="E444" s="7">
        <v>59.999999999999901</v>
      </c>
      <c r="F444" s="7">
        <v>18.076233183856399</v>
      </c>
      <c r="G444" s="7">
        <v>232.13046495489272</v>
      </c>
      <c r="H444" s="7">
        <v>69.934073560027556</v>
      </c>
      <c r="I444" s="7">
        <v>9.2852185981957085</v>
      </c>
      <c r="J444" s="7">
        <v>2.7973629424011022</v>
      </c>
      <c r="K444" s="7">
        <v>77.376821651630905</v>
      </c>
      <c r="L444" s="7">
        <v>8.7417591950034463</v>
      </c>
      <c r="M444" s="8">
        <v>25.847533632286922</v>
      </c>
    </row>
    <row r="445" spans="1:13" x14ac:dyDescent="0.3">
      <c r="A445" s="6">
        <v>2</v>
      </c>
      <c r="B445" s="7" t="s">
        <v>50</v>
      </c>
      <c r="C445" s="7">
        <v>52.810548230395582</v>
      </c>
      <c r="D445" s="7">
        <v>13.202637057598896</v>
      </c>
      <c r="E445" s="7">
        <v>2.5703022339027499</v>
      </c>
      <c r="F445" s="7">
        <v>50</v>
      </c>
      <c r="G445" s="7">
        <v>33.93476752255367</v>
      </c>
      <c r="H445" s="7">
        <v>660.13185287994474</v>
      </c>
      <c r="I445" s="7">
        <v>1.3573907009021469</v>
      </c>
      <c r="J445" s="7">
        <v>26.405274115197791</v>
      </c>
      <c r="K445" s="7">
        <v>11.311589174184556</v>
      </c>
      <c r="L445" s="7">
        <v>82.516481609993107</v>
      </c>
      <c r="M445" s="8">
        <v>7.5742444152430979</v>
      </c>
    </row>
    <row r="446" spans="1:13" x14ac:dyDescent="0.3">
      <c r="A446" s="6">
        <v>3</v>
      </c>
      <c r="B446" s="7" t="s">
        <v>51</v>
      </c>
      <c r="C446" s="7">
        <v>331.71408743927822</v>
      </c>
      <c r="D446" s="7">
        <v>82.928521859819554</v>
      </c>
      <c r="E446" s="7">
        <v>0.40920502092049998</v>
      </c>
      <c r="F446" s="7">
        <v>0.84330543933054203</v>
      </c>
      <c r="G446" s="7">
        <v>33.934767522553599</v>
      </c>
      <c r="H446" s="7">
        <v>69.934073560027585</v>
      </c>
      <c r="I446" s="7">
        <v>1.357390700902144</v>
      </c>
      <c r="J446" s="7">
        <v>2.7973629424011035</v>
      </c>
      <c r="K446" s="7">
        <v>11.311589174184533</v>
      </c>
      <c r="L446" s="7">
        <v>8.7417591950034499</v>
      </c>
      <c r="M446" s="8">
        <v>1.2058577405857742</v>
      </c>
    </row>
    <row r="447" spans="1:13" x14ac:dyDescent="0.3">
      <c r="A447" s="6">
        <v>4</v>
      </c>
      <c r="B447" s="7" t="s">
        <v>48</v>
      </c>
      <c r="C447" s="7">
        <v>400</v>
      </c>
      <c r="D447" s="7">
        <v>100</v>
      </c>
      <c r="E447" s="7">
        <v>3</v>
      </c>
      <c r="F447" s="7">
        <v>8</v>
      </c>
      <c r="G447" s="7">
        <v>300</v>
      </c>
      <c r="H447" s="7">
        <v>799.99999999999989</v>
      </c>
      <c r="I447" s="7">
        <v>12</v>
      </c>
      <c r="J447" s="7">
        <v>31.999999999999996</v>
      </c>
      <c r="K447" s="7">
        <v>100</v>
      </c>
      <c r="L447" s="7">
        <v>100</v>
      </c>
      <c r="M447" s="8">
        <v>1</v>
      </c>
    </row>
    <row r="448" spans="1:13" x14ac:dyDescent="0.3">
      <c r="A448" s="6">
        <v>5</v>
      </c>
      <c r="B448" s="7" t="s">
        <v>153</v>
      </c>
      <c r="C448" s="7">
        <v>400</v>
      </c>
      <c r="D448" s="7">
        <v>100</v>
      </c>
      <c r="E448" s="7">
        <v>3</v>
      </c>
      <c r="F448" s="7">
        <v>8</v>
      </c>
      <c r="G448" s="7">
        <v>300</v>
      </c>
      <c r="H448" s="7">
        <v>800</v>
      </c>
      <c r="I448" s="7">
        <v>12</v>
      </c>
      <c r="J448" s="7">
        <v>32</v>
      </c>
      <c r="K448" s="7">
        <v>100</v>
      </c>
      <c r="L448" s="7">
        <v>99.999999999999986</v>
      </c>
      <c r="M448" s="8">
        <v>1</v>
      </c>
    </row>
    <row r="449" spans="1:13" x14ac:dyDescent="0.3">
      <c r="A449" s="25">
        <v>6</v>
      </c>
      <c r="B449" s="26" t="s">
        <v>154</v>
      </c>
      <c r="C449" s="26">
        <v>400</v>
      </c>
      <c r="D449" s="26">
        <v>100</v>
      </c>
      <c r="E449" s="26">
        <v>3</v>
      </c>
      <c r="F449" s="26">
        <v>7.9999999999999991</v>
      </c>
      <c r="G449" s="26">
        <v>300</v>
      </c>
      <c r="H449" s="26">
        <v>799.99999999999989</v>
      </c>
      <c r="I449" s="26">
        <v>12</v>
      </c>
      <c r="J449" s="26">
        <v>31.999999999999996</v>
      </c>
      <c r="K449" s="26">
        <v>100</v>
      </c>
      <c r="L449" s="26">
        <v>100</v>
      </c>
      <c r="M449" s="14">
        <v>1</v>
      </c>
    </row>
    <row r="451" spans="1:13" x14ac:dyDescent="0.3">
      <c r="A451" t="s">
        <v>33</v>
      </c>
      <c r="B451" s="437" t="s">
        <v>61</v>
      </c>
      <c r="C451" t="s">
        <v>62</v>
      </c>
      <c r="D451" t="s">
        <v>36</v>
      </c>
      <c r="E451" t="s">
        <v>886</v>
      </c>
      <c r="F451" t="s">
        <v>884</v>
      </c>
      <c r="G451" t="s">
        <v>887</v>
      </c>
      <c r="H451" t="s">
        <v>888</v>
      </c>
      <c r="I451" t="s">
        <v>889</v>
      </c>
      <c r="J451" t="s">
        <v>890</v>
      </c>
      <c r="K451" t="s">
        <v>89</v>
      </c>
    </row>
    <row r="452" spans="1:13" x14ac:dyDescent="0.3">
      <c r="B452" s="437" t="s">
        <v>159</v>
      </c>
      <c r="E452" t="s">
        <v>1023</v>
      </c>
    </row>
    <row r="453" spans="1:13" x14ac:dyDescent="0.3">
      <c r="B453" s="437" t="s">
        <v>1008</v>
      </c>
      <c r="E453" t="s">
        <v>1024</v>
      </c>
      <c r="J453">
        <f>+K444*$I$447/100</f>
        <v>9.2852185981957085</v>
      </c>
    </row>
    <row r="454" spans="1:13" x14ac:dyDescent="0.3">
      <c r="B454" s="437" t="s">
        <v>1009</v>
      </c>
      <c r="E454" t="s">
        <v>1025</v>
      </c>
      <c r="J454">
        <f>+K445*$I$447/100</f>
        <v>1.3573907009021469</v>
      </c>
    </row>
    <row r="455" spans="1:13" x14ac:dyDescent="0.3">
      <c r="B455" s="437" t="s">
        <v>167</v>
      </c>
      <c r="E455" t="s">
        <v>1026</v>
      </c>
      <c r="J455">
        <f>+K446*$I$447/100</f>
        <v>1.357390700902144</v>
      </c>
    </row>
    <row r="456" spans="1:13" x14ac:dyDescent="0.3">
      <c r="B456" s="437" t="s">
        <v>1010</v>
      </c>
      <c r="J456">
        <f>+K447*$I$447/100</f>
        <v>12</v>
      </c>
    </row>
    <row r="457" spans="1:13" x14ac:dyDescent="0.3">
      <c r="B457" s="437" t="s">
        <v>1011</v>
      </c>
      <c r="G457" s="17">
        <f>+G444/$G$447*100</f>
        <v>77.376821651630905</v>
      </c>
      <c r="H457" s="17">
        <f>+I444/$I$447*100</f>
        <v>77.376821651630905</v>
      </c>
    </row>
    <row r="458" spans="1:13" x14ac:dyDescent="0.3">
      <c r="B458" s="437" t="s">
        <v>51</v>
      </c>
      <c r="G458" s="17">
        <f>+G445/$G$447*100</f>
        <v>11.311589174184556</v>
      </c>
      <c r="H458" s="17">
        <f>+I445/$I$447*100</f>
        <v>11.311589174184556</v>
      </c>
      <c r="J458">
        <f>+G444/$G$447*100</f>
        <v>77.376821651630905</v>
      </c>
    </row>
    <row r="459" spans="1:13" x14ac:dyDescent="0.3">
      <c r="B459" s="437" t="s">
        <v>48</v>
      </c>
      <c r="G459" s="17">
        <f>+G446/$G$447*100</f>
        <v>11.311589174184533</v>
      </c>
      <c r="H459" s="17">
        <f>+I446/$I$447*100</f>
        <v>11.311589174184533</v>
      </c>
      <c r="J459">
        <f>+G445/$G$447*100</f>
        <v>11.311589174184556</v>
      </c>
    </row>
    <row r="460" spans="1:13" x14ac:dyDescent="0.3">
      <c r="J460">
        <f>+G446/$G$447*100</f>
        <v>11.311589174184533</v>
      </c>
    </row>
    <row r="461" spans="1:13" x14ac:dyDescent="0.3">
      <c r="J461">
        <f>+G447/$G$447*100</f>
        <v>100</v>
      </c>
    </row>
    <row r="462" spans="1:13" x14ac:dyDescent="0.3">
      <c r="A462" t="s">
        <v>980</v>
      </c>
      <c r="I462" t="s">
        <v>993</v>
      </c>
      <c r="L462" t="s">
        <v>992</v>
      </c>
    </row>
    <row r="463" spans="1:13" x14ac:dyDescent="0.3">
      <c r="A463" t="s">
        <v>981</v>
      </c>
      <c r="B463" t="s">
        <v>982</v>
      </c>
      <c r="I463" t="s">
        <v>35</v>
      </c>
      <c r="J463" t="s">
        <v>994</v>
      </c>
      <c r="L463" t="s">
        <v>36</v>
      </c>
      <c r="M463" t="s">
        <v>986</v>
      </c>
    </row>
    <row r="464" spans="1:13" x14ac:dyDescent="0.3">
      <c r="A464" t="s">
        <v>422</v>
      </c>
      <c r="B464" t="s">
        <v>983</v>
      </c>
      <c r="C464" t="s">
        <v>984</v>
      </c>
      <c r="I464" t="s">
        <v>36</v>
      </c>
      <c r="J464" t="s">
        <v>986</v>
      </c>
      <c r="L464" t="s">
        <v>423</v>
      </c>
    </row>
    <row r="465" spans="1:12" x14ac:dyDescent="0.3">
      <c r="A465" t="s">
        <v>985</v>
      </c>
      <c r="B465" t="s">
        <v>983</v>
      </c>
      <c r="C465" t="s">
        <v>984</v>
      </c>
      <c r="I465" t="s">
        <v>423</v>
      </c>
      <c r="J465" t="s">
        <v>984</v>
      </c>
      <c r="L465" t="s">
        <v>987</v>
      </c>
    </row>
    <row r="466" spans="1:12" x14ac:dyDescent="0.3">
      <c r="A466" t="s">
        <v>423</v>
      </c>
      <c r="B466" t="s">
        <v>983</v>
      </c>
      <c r="C466" t="s">
        <v>984</v>
      </c>
      <c r="I466" t="s">
        <v>987</v>
      </c>
      <c r="J466" t="s">
        <v>984</v>
      </c>
      <c r="L466" t="s">
        <v>988</v>
      </c>
    </row>
    <row r="467" spans="1:12" x14ac:dyDescent="0.3">
      <c r="I467" t="s">
        <v>995</v>
      </c>
      <c r="L467" t="s">
        <v>989</v>
      </c>
    </row>
    <row r="468" spans="1:12" x14ac:dyDescent="0.3">
      <c r="A468" t="s">
        <v>998</v>
      </c>
      <c r="I468" t="s">
        <v>996</v>
      </c>
      <c r="J468" t="s">
        <v>984</v>
      </c>
      <c r="L468" t="s">
        <v>990</v>
      </c>
    </row>
    <row r="469" spans="1:12" x14ac:dyDescent="0.3">
      <c r="A469" t="s">
        <v>1005</v>
      </c>
      <c r="I469" t="s">
        <v>990</v>
      </c>
      <c r="L469" t="s">
        <v>991</v>
      </c>
    </row>
    <row r="470" spans="1:12" x14ac:dyDescent="0.3">
      <c r="A470" t="s">
        <v>1000</v>
      </c>
      <c r="I470" t="s">
        <v>991</v>
      </c>
      <c r="J470" t="s">
        <v>984</v>
      </c>
    </row>
    <row r="471" spans="1:12" x14ac:dyDescent="0.3">
      <c r="A471" t="s">
        <v>1001</v>
      </c>
    </row>
    <row r="472" spans="1:12" x14ac:dyDescent="0.3">
      <c r="A472" t="s">
        <v>1002</v>
      </c>
      <c r="I472" t="s">
        <v>997</v>
      </c>
    </row>
    <row r="473" spans="1:12" x14ac:dyDescent="0.3">
      <c r="A473" t="s">
        <v>1012</v>
      </c>
      <c r="I473" t="s">
        <v>991</v>
      </c>
    </row>
    <row r="474" spans="1:12" x14ac:dyDescent="0.3">
      <c r="I474" t="s">
        <v>422</v>
      </c>
    </row>
    <row r="477" spans="1:12" x14ac:dyDescent="0.3">
      <c r="A477">
        <v>8</v>
      </c>
      <c r="B477" s="17">
        <v>3</v>
      </c>
      <c r="C477" s="31">
        <v>2.5</v>
      </c>
    </row>
    <row r="478" spans="1:12" x14ac:dyDescent="0.3">
      <c r="A478">
        <v>1.2</v>
      </c>
      <c r="B478" s="17">
        <v>8</v>
      </c>
      <c r="C478" s="31">
        <v>45</v>
      </c>
    </row>
    <row r="479" spans="1:12" x14ac:dyDescent="0.3">
      <c r="A479">
        <v>3</v>
      </c>
      <c r="B479" s="17">
        <v>1.2</v>
      </c>
      <c r="C479" s="31">
        <v>0.6</v>
      </c>
      <c r="D479" s="31"/>
    </row>
    <row r="480" spans="1:12" x14ac:dyDescent="0.3">
      <c r="A480">
        <v>8</v>
      </c>
      <c r="B480" s="17">
        <v>3</v>
      </c>
      <c r="C480" s="31">
        <v>2.5</v>
      </c>
    </row>
    <row r="481" spans="1:7" x14ac:dyDescent="0.3">
      <c r="A481" s="438" t="s">
        <v>1053</v>
      </c>
      <c r="B481" s="46"/>
      <c r="C481" s="46"/>
      <c r="D481" s="46"/>
      <c r="E481" s="46"/>
      <c r="F481" s="46"/>
      <c r="G481" s="46"/>
    </row>
    <row r="482" spans="1:7" x14ac:dyDescent="0.3">
      <c r="A482" s="30" t="s">
        <v>1275</v>
      </c>
    </row>
    <row r="483" spans="1:7" x14ac:dyDescent="0.3">
      <c r="A483" s="30" t="s">
        <v>1059</v>
      </c>
    </row>
    <row r="484" spans="1:7" x14ac:dyDescent="0.3">
      <c r="A484" s="30" t="s">
        <v>1060</v>
      </c>
    </row>
    <row r="485" spans="1:7" x14ac:dyDescent="0.3">
      <c r="A485" s="30" t="s">
        <v>1056</v>
      </c>
    </row>
    <row r="486" spans="1:7" x14ac:dyDescent="0.3">
      <c r="A486" s="30" t="s">
        <v>1061</v>
      </c>
    </row>
    <row r="487" spans="1:7" x14ac:dyDescent="0.3">
      <c r="A487" s="30" t="s">
        <v>1062</v>
      </c>
    </row>
    <row r="488" spans="1:7" x14ac:dyDescent="0.3">
      <c r="A488" s="30" t="s">
        <v>1063</v>
      </c>
    </row>
    <row r="489" spans="1:7" x14ac:dyDescent="0.3">
      <c r="A489" s="30" t="s">
        <v>1064</v>
      </c>
    </row>
    <row r="490" spans="1:7" x14ac:dyDescent="0.3">
      <c r="A490" s="30" t="s">
        <v>1065</v>
      </c>
    </row>
    <row r="491" spans="1:7" x14ac:dyDescent="0.3">
      <c r="A491" s="30" t="s">
        <v>1066</v>
      </c>
    </row>
    <row r="492" spans="1:7" x14ac:dyDescent="0.3">
      <c r="A492" s="30" t="s">
        <v>1067</v>
      </c>
    </row>
    <row r="493" spans="1:7" x14ac:dyDescent="0.3">
      <c r="A493" s="30" t="s">
        <v>1068</v>
      </c>
    </row>
    <row r="494" spans="1:7" x14ac:dyDescent="0.3">
      <c r="A494" s="30"/>
    </row>
    <row r="495" spans="1:7" x14ac:dyDescent="0.3">
      <c r="A495" s="439" t="s">
        <v>789</v>
      </c>
      <c r="B495" s="440"/>
      <c r="C495" s="440"/>
      <c r="D495" s="440"/>
      <c r="E495" s="440"/>
      <c r="F495" s="440"/>
      <c r="G495" s="440"/>
    </row>
    <row r="496" spans="1:7" x14ac:dyDescent="0.3">
      <c r="A496" s="30" t="s">
        <v>1038</v>
      </c>
    </row>
    <row r="497" spans="1:1" x14ac:dyDescent="0.3">
      <c r="A497" s="30" t="s">
        <v>1027</v>
      </c>
    </row>
    <row r="498" spans="1:1" x14ac:dyDescent="0.3">
      <c r="A498" s="30" t="s">
        <v>1028</v>
      </c>
    </row>
    <row r="499" spans="1:1" x14ac:dyDescent="0.3">
      <c r="A499" s="30" t="s">
        <v>1029</v>
      </c>
    </row>
    <row r="500" spans="1:1" x14ac:dyDescent="0.3">
      <c r="A500" s="30" t="s">
        <v>1030</v>
      </c>
    </row>
    <row r="501" spans="1:1" x14ac:dyDescent="0.3">
      <c r="A501" s="30" t="s">
        <v>1031</v>
      </c>
    </row>
    <row r="502" spans="1:1" x14ac:dyDescent="0.3">
      <c r="A502" s="30" t="s">
        <v>1032</v>
      </c>
    </row>
    <row r="503" spans="1:1" x14ac:dyDescent="0.3">
      <c r="A503" s="30" t="s">
        <v>1033</v>
      </c>
    </row>
    <row r="504" spans="1:1" x14ac:dyDescent="0.3">
      <c r="A504" s="30" t="s">
        <v>1034</v>
      </c>
    </row>
    <row r="505" spans="1:1" x14ac:dyDescent="0.3">
      <c r="A505" s="30" t="s">
        <v>1035</v>
      </c>
    </row>
    <row r="506" spans="1:1" x14ac:dyDescent="0.3">
      <c r="A506" s="30" t="s">
        <v>1036</v>
      </c>
    </row>
    <row r="507" spans="1:1" x14ac:dyDescent="0.3">
      <c r="A507" s="30" t="s">
        <v>1037</v>
      </c>
    </row>
    <row r="508" spans="1:1" x14ac:dyDescent="0.3">
      <c r="A508" s="30"/>
    </row>
    <row r="509" spans="1:1" x14ac:dyDescent="0.3">
      <c r="A509" s="30"/>
    </row>
    <row r="510" spans="1:1" x14ac:dyDescent="0.3">
      <c r="A510" s="30"/>
    </row>
    <row r="511" spans="1:1" x14ac:dyDescent="0.3">
      <c r="A511" s="30"/>
    </row>
    <row r="512" spans="1:1" x14ac:dyDescent="0.3">
      <c r="A512" s="30"/>
    </row>
    <row r="513" spans="1:15" x14ac:dyDescent="0.3">
      <c r="A513" s="30"/>
    </row>
    <row r="514" spans="1:15" x14ac:dyDescent="0.3">
      <c r="A514" s="30"/>
    </row>
    <row r="515" spans="1:15" x14ac:dyDescent="0.3">
      <c r="A515" s="30"/>
    </row>
    <row r="516" spans="1:15" x14ac:dyDescent="0.3">
      <c r="A516" s="30"/>
    </row>
    <row r="517" spans="1:15" x14ac:dyDescent="0.3">
      <c r="A517" s="30"/>
    </row>
    <row r="518" spans="1:15" x14ac:dyDescent="0.3">
      <c r="A518" s="30"/>
    </row>
    <row r="521" spans="1:15" x14ac:dyDescent="0.3">
      <c r="A521" s="2" t="s">
        <v>65</v>
      </c>
    </row>
    <row r="522" spans="1:15" x14ac:dyDescent="0.3">
      <c r="A522" s="3" t="s">
        <v>33</v>
      </c>
      <c r="B522" s="4" t="s">
        <v>61</v>
      </c>
      <c r="C522" s="4" t="s">
        <v>79</v>
      </c>
      <c r="D522" s="4" t="s">
        <v>80</v>
      </c>
      <c r="E522" s="4" t="s">
        <v>81</v>
      </c>
      <c r="F522" s="4" t="s">
        <v>82</v>
      </c>
      <c r="G522" s="4" t="s">
        <v>83</v>
      </c>
      <c r="H522" s="4" t="s">
        <v>84</v>
      </c>
      <c r="I522" s="4" t="s">
        <v>85</v>
      </c>
      <c r="J522" s="4" t="s">
        <v>86</v>
      </c>
      <c r="K522" s="4" t="s">
        <v>44</v>
      </c>
      <c r="L522" s="4" t="s">
        <v>47</v>
      </c>
      <c r="M522" s="4" t="s">
        <v>87</v>
      </c>
      <c r="N522" s="4" t="s">
        <v>88</v>
      </c>
      <c r="O522" s="5" t="s">
        <v>89</v>
      </c>
    </row>
    <row r="523" spans="1:15" x14ac:dyDescent="0.3">
      <c r="A523" s="6">
        <v>1</v>
      </c>
      <c r="B523" s="7" t="s">
        <v>49</v>
      </c>
      <c r="C523" s="7">
        <v>105.88235294117648</v>
      </c>
      <c r="D523" s="7">
        <v>26.470588235294123</v>
      </c>
      <c r="E523" s="7">
        <v>8</v>
      </c>
      <c r="F523" s="7">
        <v>45</v>
      </c>
      <c r="G523" s="7">
        <v>211.76470588235298</v>
      </c>
      <c r="H523" s="7">
        <v>1191.1764705882354</v>
      </c>
      <c r="I523" s="7">
        <v>8.4705882352941178</v>
      </c>
      <c r="J523" s="7">
        <v>476470.58823529416</v>
      </c>
      <c r="K523" s="7">
        <v>70.588235294117652</v>
      </c>
      <c r="L523" s="7">
        <v>96.428571428571445</v>
      </c>
      <c r="M523" s="7">
        <v>0.47647058823529415</v>
      </c>
      <c r="N523" s="7">
        <v>15318.885129758039</v>
      </c>
      <c r="O523" s="8">
        <v>3.7777777777777777</v>
      </c>
    </row>
    <row r="524" spans="1:15" x14ac:dyDescent="0.3">
      <c r="A524" s="6">
        <v>2</v>
      </c>
      <c r="B524" s="7" t="s">
        <v>51</v>
      </c>
      <c r="C524" s="7">
        <v>294.11764705882354</v>
      </c>
      <c r="D524" s="7">
        <v>73.529411764705884</v>
      </c>
      <c r="E524" s="7">
        <v>1.2</v>
      </c>
      <c r="F524" s="7">
        <v>0.6</v>
      </c>
      <c r="G524" s="7">
        <v>88.235294117647058</v>
      </c>
      <c r="H524" s="7">
        <v>44.117647058823529</v>
      </c>
      <c r="I524" s="7">
        <v>3.5294117647058822</v>
      </c>
      <c r="J524" s="7">
        <v>17647.058823529413</v>
      </c>
      <c r="K524" s="7">
        <v>29.411764705882348</v>
      </c>
      <c r="L524" s="7">
        <v>3.5714285714285712</v>
      </c>
      <c r="M524" s="7">
        <v>1.7647058823529412E-2</v>
      </c>
      <c r="N524" s="7">
        <v>567.36611591696442</v>
      </c>
      <c r="O524" s="8">
        <v>1.3599999999999999</v>
      </c>
    </row>
    <row r="525" spans="1:15" x14ac:dyDescent="0.3">
      <c r="A525" s="6">
        <v>3</v>
      </c>
      <c r="B525" s="7" t="s">
        <v>48</v>
      </c>
      <c r="C525" s="7">
        <v>400</v>
      </c>
      <c r="D525" s="7">
        <v>100</v>
      </c>
      <c r="E525" s="7">
        <v>3</v>
      </c>
      <c r="F525" s="7">
        <v>2.5</v>
      </c>
      <c r="G525" s="7">
        <v>300.00000000000006</v>
      </c>
      <c r="H525" s="7">
        <v>1235.2941176470588</v>
      </c>
      <c r="I525" s="7">
        <v>12</v>
      </c>
      <c r="J525" s="7">
        <v>494117.64705882355</v>
      </c>
      <c r="K525" s="7">
        <v>100</v>
      </c>
      <c r="L525" s="7">
        <v>100.00000000000001</v>
      </c>
      <c r="M525" s="7">
        <v>0.49411764705882355</v>
      </c>
      <c r="N525" s="7">
        <v>15886.251245675003</v>
      </c>
      <c r="O525" s="8">
        <v>1</v>
      </c>
    </row>
    <row r="526" spans="1:15" x14ac:dyDescent="0.3">
      <c r="A526" s="6">
        <v>4</v>
      </c>
      <c r="B526" s="7" t="s">
        <v>153</v>
      </c>
      <c r="C526" s="7">
        <v>400</v>
      </c>
      <c r="D526" s="7">
        <v>100</v>
      </c>
      <c r="E526" s="7">
        <v>3</v>
      </c>
      <c r="F526" s="7">
        <v>2.5</v>
      </c>
      <c r="G526" s="7">
        <v>300</v>
      </c>
      <c r="H526" s="7">
        <v>250</v>
      </c>
      <c r="I526" s="7">
        <v>12</v>
      </c>
      <c r="J526" s="7">
        <v>100000</v>
      </c>
      <c r="K526" s="7">
        <v>100.00000000000003</v>
      </c>
      <c r="L526" s="7">
        <v>494.11764705882348</v>
      </c>
      <c r="M526" s="7">
        <v>0.1</v>
      </c>
      <c r="N526" s="7">
        <v>3215.0746568627983</v>
      </c>
      <c r="O526" s="8">
        <v>1</v>
      </c>
    </row>
    <row r="527" spans="1:15" x14ac:dyDescent="0.3">
      <c r="A527" s="25">
        <v>5</v>
      </c>
      <c r="B527" s="26" t="s">
        <v>154</v>
      </c>
      <c r="C527" s="26">
        <v>400</v>
      </c>
      <c r="D527" s="26">
        <v>100</v>
      </c>
      <c r="E527" s="26">
        <v>3.0000000000000004</v>
      </c>
      <c r="F527" s="26">
        <v>12.352941176470587</v>
      </c>
      <c r="G527" s="26">
        <v>300.00000000000006</v>
      </c>
      <c r="H527" s="26">
        <v>1235.2941176470588</v>
      </c>
      <c r="I527" s="26">
        <v>12</v>
      </c>
      <c r="J527" s="26">
        <v>494117.64705882355</v>
      </c>
      <c r="K527" s="26">
        <v>100</v>
      </c>
      <c r="L527" s="26">
        <v>100.00000000000001</v>
      </c>
      <c r="M527" s="26">
        <v>0.49411764705882355</v>
      </c>
      <c r="N527" s="26">
        <v>15886.251245675003</v>
      </c>
      <c r="O527" s="14">
        <v>1</v>
      </c>
    </row>
    <row r="529" spans="1:15" x14ac:dyDescent="0.3">
      <c r="A529" s="2" t="s">
        <v>65</v>
      </c>
    </row>
    <row r="530" spans="1:15" x14ac:dyDescent="0.3">
      <c r="A530" s="3" t="s">
        <v>33</v>
      </c>
      <c r="B530" s="4" t="s">
        <v>61</v>
      </c>
      <c r="C530" s="4" t="s">
        <v>79</v>
      </c>
      <c r="D530" s="4" t="s">
        <v>80</v>
      </c>
      <c r="E530" s="4" t="s">
        <v>81</v>
      </c>
      <c r="F530" s="4" t="s">
        <v>82</v>
      </c>
      <c r="G530" s="4" t="s">
        <v>83</v>
      </c>
      <c r="H530" s="4" t="s">
        <v>84</v>
      </c>
      <c r="I530" s="4" t="s">
        <v>85</v>
      </c>
      <c r="J530" s="4" t="s">
        <v>86</v>
      </c>
      <c r="K530" s="4" t="s">
        <v>44</v>
      </c>
      <c r="L530" s="4" t="s">
        <v>47</v>
      </c>
      <c r="M530" s="4" t="s">
        <v>87</v>
      </c>
      <c r="N530" s="4" t="s">
        <v>88</v>
      </c>
      <c r="O530" s="5" t="s">
        <v>89</v>
      </c>
    </row>
    <row r="531" spans="1:15" x14ac:dyDescent="0.3">
      <c r="A531" s="6">
        <v>1</v>
      </c>
      <c r="B531" s="7" t="s">
        <v>49</v>
      </c>
      <c r="C531" s="7"/>
      <c r="D531" s="7">
        <f>$C$531*100/$C$533</f>
        <v>0</v>
      </c>
      <c r="E531" s="7">
        <v>8</v>
      </c>
      <c r="F531" s="7">
        <v>45</v>
      </c>
      <c r="G531" s="7">
        <f>+$C531*$E$531*100/$C$533</f>
        <v>0</v>
      </c>
      <c r="H531" s="7">
        <f>+$C531*$F$531*100/$C$533</f>
        <v>0</v>
      </c>
      <c r="I531" s="7">
        <f>+$C531*$E$531/100</f>
        <v>0</v>
      </c>
      <c r="J531" s="7">
        <f>+$C531*$F$531*100</f>
        <v>0</v>
      </c>
      <c r="K531" s="7" t="e">
        <f>+($C531*$E$531/SUM($C531*$E$531,$C532*$E$532))*100</f>
        <v>#DIV/0!</v>
      </c>
      <c r="L531" s="7" t="e">
        <f>+($C531*$F$531/SUM($C531*$F$531,$C532*$F$532))*100</f>
        <v>#DIV/0!</v>
      </c>
      <c r="M531" s="7">
        <f>+$C531*$F$531*0.0001</f>
        <v>0</v>
      </c>
      <c r="N531" s="7">
        <f>+$C531*$F531*100/31.1034768</f>
        <v>0</v>
      </c>
      <c r="O531" s="8" t="e">
        <f>+$C$533/$C$531</f>
        <v>#DIV/0!</v>
      </c>
    </row>
    <row r="532" spans="1:15" x14ac:dyDescent="0.3">
      <c r="A532" s="6">
        <v>2</v>
      </c>
      <c r="B532" s="7" t="s">
        <v>51</v>
      </c>
      <c r="C532" s="7"/>
      <c r="D532" s="7">
        <f>$C$532*100/$C$533</f>
        <v>0</v>
      </c>
      <c r="E532" s="7">
        <v>1.2</v>
      </c>
      <c r="F532" s="7">
        <v>0.6</v>
      </c>
      <c r="G532" s="7">
        <f>+$C532*$E$532*100/$C$533</f>
        <v>0</v>
      </c>
      <c r="H532" s="7">
        <f>+$C532*$F$532*100/$C$533</f>
        <v>0</v>
      </c>
      <c r="I532" s="7">
        <f>+$C532*$E$532/100</f>
        <v>0</v>
      </c>
      <c r="J532" s="7">
        <f>+$C532*$F$532*100</f>
        <v>0</v>
      </c>
      <c r="K532" s="7" t="e">
        <f>+($C532*$E$532/SUM($C531*$E$531,$C532*$E$532))*100</f>
        <v>#DIV/0!</v>
      </c>
      <c r="L532" s="7" t="e">
        <f>+($C532*$F$532/SUM($C531*$F$531,$C532*$F$532))*100</f>
        <v>#DIV/0!</v>
      </c>
      <c r="M532" s="7">
        <f>+$C532*$F$532*0.0001</f>
        <v>0</v>
      </c>
      <c r="N532" s="7">
        <f>+$C532*$F532*100/31.1034768</f>
        <v>0</v>
      </c>
      <c r="O532" s="8" t="e">
        <f>+$C$533/$C$532</f>
        <v>#DIV/0!</v>
      </c>
    </row>
    <row r="533" spans="1:15" x14ac:dyDescent="0.3">
      <c r="A533" s="6">
        <v>3</v>
      </c>
      <c r="B533" s="7" t="s">
        <v>48</v>
      </c>
      <c r="C533" s="7">
        <v>400</v>
      </c>
      <c r="D533" s="7">
        <f>+SUM($D$531:$D$532)</f>
        <v>0</v>
      </c>
      <c r="E533" s="7">
        <v>3</v>
      </c>
      <c r="F533" s="7">
        <v>2.5</v>
      </c>
      <c r="G533" s="7">
        <f>+SUM($G$531:$G$532)</f>
        <v>0</v>
      </c>
      <c r="H533" s="7">
        <f>+SUM($H$531:$H$532)</f>
        <v>0</v>
      </c>
      <c r="I533" s="7">
        <f>+SUM($I$531:$I$532)</f>
        <v>0</v>
      </c>
      <c r="J533" s="7">
        <f>+SUM($J$531:$J$532)</f>
        <v>0</v>
      </c>
      <c r="K533" s="7" t="e">
        <f>+SUM($K$531:$K$532)</f>
        <v>#DIV/0!</v>
      </c>
      <c r="L533" s="7" t="e">
        <f>+SUM($L$531:$L$532)</f>
        <v>#DIV/0!</v>
      </c>
      <c r="M533" s="7">
        <f>+SUM($M$531:$M$532)</f>
        <v>0</v>
      </c>
      <c r="N533" s="7">
        <f>+SUM($N$531:$N$532)</f>
        <v>0</v>
      </c>
      <c r="O533" s="8">
        <f>+$C$533/$C$533</f>
        <v>1</v>
      </c>
    </row>
    <row r="534" spans="1:15" x14ac:dyDescent="0.3">
      <c r="A534" s="6">
        <v>4</v>
      </c>
      <c r="B534" s="7" t="s">
        <v>153</v>
      </c>
      <c r="C534" s="7">
        <v>400</v>
      </c>
      <c r="D534" s="7">
        <f>+SUM($D$531:$D$532)</f>
        <v>0</v>
      </c>
      <c r="E534" s="7">
        <v>3</v>
      </c>
      <c r="F534" s="7">
        <v>2.5</v>
      </c>
      <c r="G534" s="7">
        <f>+SUM($C$531:$C$532)*$E$534*100/$C$534</f>
        <v>0</v>
      </c>
      <c r="H534" s="7">
        <f>+SUM($C$531:$C$532)*$F$534*100/$C$534</f>
        <v>0</v>
      </c>
      <c r="I534" s="7">
        <f>+$C534*$E$534/100</f>
        <v>12</v>
      </c>
      <c r="J534" s="7">
        <f>+$C534*$F$534*100</f>
        <v>100000</v>
      </c>
      <c r="K534" s="7" t="e">
        <f>+(SUM(($C531*$E$531*100/$C$534),($C532*$E$532*100/$C$534))*100)/(SUM(($C531*100/$C$534),($C532*100/$C$534))*($E$534))</f>
        <v>#DIV/0!</v>
      </c>
      <c r="L534" s="7" t="e">
        <f>+(SUM(($C531*$F$531*100/$C$534),($C532*$F$532*100/$C$534))*100)/(SUM(($C531*100/$C$534),($C532*100/$C$534))*($F$534))</f>
        <v>#DIV/0!</v>
      </c>
      <c r="M534" s="7">
        <f>+$C534*$F$534*0.0001</f>
        <v>0.1</v>
      </c>
      <c r="N534" s="7">
        <f>+$C534*$F534*100/31.1034768</f>
        <v>3215.0746568627983</v>
      </c>
      <c r="O534" s="8">
        <f>+$C$533/$C$534</f>
        <v>1</v>
      </c>
    </row>
    <row r="535" spans="1:15" x14ac:dyDescent="0.3">
      <c r="A535" s="25">
        <v>5</v>
      </c>
      <c r="B535" s="26" t="s">
        <v>154</v>
      </c>
      <c r="C535" s="26">
        <v>400</v>
      </c>
      <c r="D535" s="26">
        <f>+SUM($D$531:$D$532)</f>
        <v>0</v>
      </c>
      <c r="E535" s="26">
        <f>+SUM(($C$531*$E$531*100/$C$535),($C$532*$E$532*100/$C$535))/100</f>
        <v>0</v>
      </c>
      <c r="F535" s="26">
        <f>+SUM(($C$531*$F$531*100/$C$535),($C$532*$F$532*100/$C$535))/100</f>
        <v>0</v>
      </c>
      <c r="G535" s="26">
        <f>+SUM($G$531:$G$532)</f>
        <v>0</v>
      </c>
      <c r="H535" s="26">
        <f>+SUM($H$531:$H$532)</f>
        <v>0</v>
      </c>
      <c r="I535" s="26">
        <f>+SUM($I$531:$I$532)</f>
        <v>0</v>
      </c>
      <c r="J535" s="26">
        <f>+SUM($J$531:$J$532)</f>
        <v>0</v>
      </c>
      <c r="K535" s="26" t="e">
        <f>+(SUM(($C531*$E$531*100/$C$535),($C532*$E$532*100/$C$535))*100)/(SUM(($C531*100/$C$535),($C532*100/$C$535))*($E$535))</f>
        <v>#DIV/0!</v>
      </c>
      <c r="L535" s="26" t="e">
        <f>+(SUM(($C531*$F$531*100/$C$535),($C532*$F$532*100/$C$535))*100)/(SUM(($C531*100/$C$535),($C532*100/$C$535))*($F$535))</f>
        <v>#DIV/0!</v>
      </c>
      <c r="M535" s="26">
        <f>+$C535*$F$535*0.0001</f>
        <v>0</v>
      </c>
      <c r="N535" s="26">
        <f>+$C535*$F535*100/31.1034768</f>
        <v>0</v>
      </c>
      <c r="O535" s="14">
        <f>+$C$533/$C$535</f>
        <v>1</v>
      </c>
    </row>
    <row r="537" spans="1:15" x14ac:dyDescent="0.3">
      <c r="A537" s="2" t="s">
        <v>65</v>
      </c>
    </row>
    <row r="538" spans="1:15" x14ac:dyDescent="0.3">
      <c r="A538" s="3" t="s">
        <v>33</v>
      </c>
      <c r="B538" s="4" t="s">
        <v>61</v>
      </c>
      <c r="C538" s="4" t="s">
        <v>79</v>
      </c>
      <c r="D538" s="4" t="s">
        <v>80</v>
      </c>
      <c r="E538" s="4" t="s">
        <v>81</v>
      </c>
      <c r="F538" s="4" t="s">
        <v>82</v>
      </c>
      <c r="G538" s="4" t="s">
        <v>83</v>
      </c>
      <c r="H538" s="4" t="s">
        <v>84</v>
      </c>
      <c r="I538" s="4" t="s">
        <v>85</v>
      </c>
      <c r="J538" s="4" t="s">
        <v>86</v>
      </c>
      <c r="K538" s="4" t="s">
        <v>44</v>
      </c>
      <c r="L538" s="4" t="s">
        <v>47</v>
      </c>
      <c r="M538" s="4" t="s">
        <v>87</v>
      </c>
      <c r="N538" s="4" t="s">
        <v>88</v>
      </c>
      <c r="O538" s="5" t="s">
        <v>89</v>
      </c>
    </row>
    <row r="539" spans="1:15" x14ac:dyDescent="0.3">
      <c r="A539" s="6">
        <v>1</v>
      </c>
      <c r="B539" s="7" t="s">
        <v>49</v>
      </c>
      <c r="C539" s="7"/>
      <c r="D539" s="7">
        <f>$C$539*100/$C$541</f>
        <v>0</v>
      </c>
      <c r="E539" s="7">
        <v>8</v>
      </c>
      <c r="F539" s="7">
        <v>45</v>
      </c>
      <c r="G539" s="7">
        <f>+$C539*$E$539*100/$C$541</f>
        <v>0</v>
      </c>
      <c r="H539" s="7">
        <f>+$C539*$F$539*100/$C$541</f>
        <v>0</v>
      </c>
      <c r="I539" s="7">
        <f>+$C539*$E$539/100</f>
        <v>0</v>
      </c>
      <c r="J539" s="7">
        <f>+$C539*$F$539*100</f>
        <v>0</v>
      </c>
      <c r="K539" s="7" t="e">
        <f>+($C539*$E$539/SUM($C539*$E$539,$C540*$E$540))*100</f>
        <v>#DIV/0!</v>
      </c>
      <c r="L539" s="7" t="e">
        <f>+($C539*$F$539/SUM($C539*$F$539,$C540*$F$540))*100</f>
        <v>#DIV/0!</v>
      </c>
      <c r="M539" s="7">
        <f>+$C539*$F$539*0.0001</f>
        <v>0</v>
      </c>
      <c r="N539" s="7">
        <f>+$C539*$F539*100/31.1034768</f>
        <v>0</v>
      </c>
      <c r="O539" s="8" t="e">
        <f>+$C$541/$C$539</f>
        <v>#DIV/0!</v>
      </c>
    </row>
    <row r="540" spans="1:15" x14ac:dyDescent="0.3">
      <c r="A540" s="6">
        <v>2</v>
      </c>
      <c r="B540" s="7" t="s">
        <v>51</v>
      </c>
      <c r="C540" s="7"/>
      <c r="D540" s="7">
        <f>$C$540*100/$C$541</f>
        <v>0</v>
      </c>
      <c r="E540" s="7">
        <v>1.2</v>
      </c>
      <c r="F540" s="7">
        <v>0.6</v>
      </c>
      <c r="G540" s="7">
        <f>+$C540*$E$540*100/$C$541</f>
        <v>0</v>
      </c>
      <c r="H540" s="7">
        <f>+$C540*$F$540*100/$C$541</f>
        <v>0</v>
      </c>
      <c r="I540" s="7">
        <f>+$C540*$E$540/100</f>
        <v>0</v>
      </c>
      <c r="J540" s="7">
        <f>+$C540*$F$540*100</f>
        <v>0</v>
      </c>
      <c r="K540" s="7" t="e">
        <f>+($C540*$E$540/SUM($C539*$E$539,$C540*$E$540))*100</f>
        <v>#DIV/0!</v>
      </c>
      <c r="L540" s="7" t="e">
        <f>+($C540*$F$540/SUM($C539*$F$539,$C540*$F$540))*100</f>
        <v>#DIV/0!</v>
      </c>
      <c r="M540" s="7">
        <f>+$C540*$F$540*0.0001</f>
        <v>0</v>
      </c>
      <c r="N540" s="7">
        <f>+$C540*$F540*100/31.1034768</f>
        <v>0</v>
      </c>
      <c r="O540" s="8" t="e">
        <f>+$C$541/$C$540</f>
        <v>#DIV/0!</v>
      </c>
    </row>
    <row r="541" spans="1:15" x14ac:dyDescent="0.3">
      <c r="A541" s="6">
        <v>3</v>
      </c>
      <c r="B541" s="7" t="s">
        <v>48</v>
      </c>
      <c r="C541" s="7">
        <v>400</v>
      </c>
      <c r="D541" s="7">
        <f>+SUM($D$539:$D$540)</f>
        <v>0</v>
      </c>
      <c r="E541" s="7">
        <v>3</v>
      </c>
      <c r="F541" s="7">
        <v>2.5</v>
      </c>
      <c r="G541" s="7">
        <f>+SUM($G$539:$G$540)</f>
        <v>0</v>
      </c>
      <c r="H541" s="7">
        <f>+SUM($H$539:$H$540)</f>
        <v>0</v>
      </c>
      <c r="I541" s="7">
        <f>+SUM($I$539:$I$540)</f>
        <v>0</v>
      </c>
      <c r="J541" s="7">
        <f>+SUM($J$539:$J$540)</f>
        <v>0</v>
      </c>
      <c r="K541" s="7" t="e">
        <f>+SUM($K$539:$K$540)</f>
        <v>#DIV/0!</v>
      </c>
      <c r="L541" s="7" t="e">
        <f>+SUM($L$539:$L$540)</f>
        <v>#DIV/0!</v>
      </c>
      <c r="M541" s="7">
        <f>+SUM($M$539:$M$540)</f>
        <v>0</v>
      </c>
      <c r="N541" s="7">
        <f>+SUM($N$539:$N$540)</f>
        <v>0</v>
      </c>
      <c r="O541" s="8">
        <f>+$C$541/$C$541</f>
        <v>1</v>
      </c>
    </row>
    <row r="542" spans="1:15" x14ac:dyDescent="0.3">
      <c r="A542" s="6">
        <v>4</v>
      </c>
      <c r="B542" s="7" t="s">
        <v>153</v>
      </c>
      <c r="C542" s="7">
        <v>400</v>
      </c>
      <c r="D542" s="7">
        <f>+SUM($D$539:$D$540)</f>
        <v>0</v>
      </c>
      <c r="E542" s="7">
        <v>3</v>
      </c>
      <c r="F542" s="7">
        <v>2.5</v>
      </c>
      <c r="G542" s="7">
        <f>+SUM($C$539:$C$540)*$E$542*100/$C$542</f>
        <v>0</v>
      </c>
      <c r="H542" s="7">
        <f>+SUM($C$539:$C$540)*$F$542*100/$C$542</f>
        <v>0</v>
      </c>
      <c r="I542" s="7">
        <f>+$C542*$E$542/100</f>
        <v>12</v>
      </c>
      <c r="J542" s="7">
        <f>+$C542*$F$542*100</f>
        <v>100000</v>
      </c>
      <c r="K542" s="7" t="e">
        <f>+(SUM(($C539*$E$539*100/$C$542),($C540*$E$540*100/$C$542))*100)/(SUM(($C539*100/$C$542),($C540*100/$C$542))*($E$542))</f>
        <v>#DIV/0!</v>
      </c>
      <c r="L542" s="7" t="e">
        <f>+(SUM(($C539*$F$539*100/$C$542),($C540*$F$540*100/$C$542))*100)/(SUM(($C539*100/$C$542),($C540*100/$C$542))*($F$542))</f>
        <v>#DIV/0!</v>
      </c>
      <c r="M542" s="7">
        <f>+$C542*$F$542*0.0001</f>
        <v>0.1</v>
      </c>
      <c r="N542" s="7">
        <f>+$C542*$F542*100/31.1034768</f>
        <v>3215.0746568627983</v>
      </c>
      <c r="O542" s="8">
        <f>+$C$541/$C$542</f>
        <v>1</v>
      </c>
    </row>
    <row r="543" spans="1:15" x14ac:dyDescent="0.3">
      <c r="A543" s="25">
        <v>5</v>
      </c>
      <c r="B543" s="26" t="s">
        <v>154</v>
      </c>
      <c r="C543" s="26">
        <v>400</v>
      </c>
      <c r="D543" s="26">
        <f>+SUM($D$539:$D$540)</f>
        <v>0</v>
      </c>
      <c r="E543" s="26">
        <f>+SUM(($C$539*$E$539*100/$C$543),($C$540*$E$540*100/$C$543))/100</f>
        <v>0</v>
      </c>
      <c r="F543" s="26">
        <f>+SUM(($C$539*$F$539*100/$C$543),($C$540*$F$540*100/$C$543))/100</f>
        <v>0</v>
      </c>
      <c r="G543" s="26">
        <f>+SUM($G$539:$G$540)</f>
        <v>0</v>
      </c>
      <c r="H543" s="26">
        <f>+SUM($H$539:$H$540)</f>
        <v>0</v>
      </c>
      <c r="I543" s="26">
        <f>+SUM($I$539:$I$540)</f>
        <v>0</v>
      </c>
      <c r="J543" s="26">
        <f>+SUM($J$539:$J$540)</f>
        <v>0</v>
      </c>
      <c r="K543" s="26" t="e">
        <f>+(SUM(($C539*$E$539*100/$C$543),($C540*$E$540*100/$C$543))*100)/(SUM(($C539*100/$C$543),($C540*100/$C$543))*($E$543))</f>
        <v>#DIV/0!</v>
      </c>
      <c r="L543" s="26" t="e">
        <f>+(SUM(($C539*$F$539*100/$C$543),($C540*$F$540*100/$C$543))*100)/(SUM(($C539*100/$C$543),($C540*100/$C$543))*($F$543))</f>
        <v>#DIV/0!</v>
      </c>
      <c r="M543" s="26">
        <f>+$C543*$F$543*0.0001</f>
        <v>0</v>
      </c>
      <c r="N543" s="26">
        <f>+$C543*$F543*100/31.1034768</f>
        <v>0</v>
      </c>
      <c r="O543" s="14">
        <f>+$C$541/$C$543</f>
        <v>1</v>
      </c>
    </row>
    <row r="544" spans="1:15" x14ac:dyDescent="0.3">
      <c r="A544" s="447"/>
      <c r="B544" s="448"/>
      <c r="C544" s="448"/>
      <c r="D544" s="448"/>
      <c r="E544" s="448"/>
      <c r="F544" s="448"/>
      <c r="G544" s="448"/>
      <c r="H544" s="448"/>
      <c r="I544" s="448"/>
      <c r="J544" s="448"/>
      <c r="K544" s="448"/>
      <c r="L544" s="448"/>
      <c r="M544" s="448"/>
      <c r="N544" s="448"/>
      <c r="O544" s="448"/>
    </row>
    <row r="545" spans="1:17" x14ac:dyDescent="0.3">
      <c r="A545" s="447"/>
      <c r="B545" s="448"/>
      <c r="C545" s="448"/>
      <c r="D545" s="448"/>
      <c r="E545" s="448"/>
      <c r="F545" s="448"/>
      <c r="G545" s="448">
        <f>+(C539*100/$C$541)*F539</f>
        <v>0</v>
      </c>
      <c r="H545" s="448">
        <f>+G545/G547*100</f>
        <v>0</v>
      </c>
      <c r="I545" s="448">
        <f>+SUM((C539*100*F539/$C$541)/(100*F541),(C540*100*F540/$C$541)/(100*F541))*100</f>
        <v>0</v>
      </c>
      <c r="J545" s="448"/>
      <c r="K545" s="448"/>
      <c r="L545" s="448"/>
      <c r="M545" s="448"/>
      <c r="N545" s="448"/>
      <c r="O545" s="448"/>
    </row>
    <row r="546" spans="1:17" x14ac:dyDescent="0.3">
      <c r="A546" s="447"/>
      <c r="B546" s="448"/>
      <c r="C546" s="448"/>
      <c r="D546" s="448"/>
      <c r="E546" s="448"/>
      <c r="F546" s="448"/>
      <c r="G546" s="448">
        <f>+(C540*100/$C$541)*F540</f>
        <v>0</v>
      </c>
      <c r="H546" s="448">
        <f>+G546/G547*100</f>
        <v>0</v>
      </c>
      <c r="I546" s="448"/>
      <c r="J546" s="448"/>
      <c r="K546" s="448"/>
      <c r="L546" s="448"/>
      <c r="M546" s="448"/>
      <c r="N546" s="448"/>
      <c r="O546" s="448"/>
    </row>
    <row r="547" spans="1:17" x14ac:dyDescent="0.3">
      <c r="A547" s="447"/>
      <c r="B547" s="448"/>
      <c r="C547" s="448"/>
      <c r="D547" s="448"/>
      <c r="E547" s="448"/>
      <c r="F547" s="448"/>
      <c r="G547" s="448">
        <f>+(C541*100/$C$541)*F541</f>
        <v>250</v>
      </c>
      <c r="H547" s="448">
        <f>+SUM(H545:H546)</f>
        <v>0</v>
      </c>
      <c r="I547" s="448">
        <f>+SUM((C539*F539/$C$541)/(F541),(C540*F540/$C$541)/(F541))*100</f>
        <v>0</v>
      </c>
      <c r="J547" s="448"/>
      <c r="K547" s="448"/>
      <c r="L547" s="448"/>
      <c r="M547" s="448"/>
      <c r="N547" s="448"/>
      <c r="O547" s="448"/>
    </row>
    <row r="548" spans="1:17" x14ac:dyDescent="0.3">
      <c r="A548" s="447"/>
      <c r="B548" s="448"/>
      <c r="C548" s="448"/>
      <c r="D548" s="448"/>
      <c r="E548" s="448"/>
      <c r="F548" s="448"/>
      <c r="G548" s="448"/>
      <c r="H548" s="448"/>
      <c r="I548" s="448">
        <f>+(SUM(C539*F539,C540*F540)/($C$541*$F$541))*100</f>
        <v>0</v>
      </c>
      <c r="J548" s="448"/>
      <c r="K548" s="448"/>
      <c r="L548" s="448"/>
      <c r="M548" s="448"/>
      <c r="N548" s="448"/>
      <c r="O548" s="448"/>
    </row>
    <row r="549" spans="1:17" x14ac:dyDescent="0.3">
      <c r="A549" s="447"/>
      <c r="B549" s="448"/>
      <c r="C549" s="448"/>
      <c r="D549" s="448"/>
      <c r="E549" s="448"/>
      <c r="F549" s="448"/>
      <c r="G549" s="448"/>
      <c r="H549" s="448"/>
      <c r="I549" s="448"/>
      <c r="J549" s="448"/>
      <c r="K549" s="448"/>
      <c r="L549" s="448"/>
      <c r="M549" s="448"/>
      <c r="N549" s="448"/>
      <c r="O549" s="448"/>
    </row>
    <row r="550" spans="1:17" x14ac:dyDescent="0.3">
      <c r="K550" t="e">
        <f>+(SUM($C539*$E$539,$C540*$E$540)/$C$542)/((SUM($C539*100,$C540*100)/$C$542)*($E$542))</f>
        <v>#DIV/0!</v>
      </c>
    </row>
    <row r="551" spans="1:17" x14ac:dyDescent="0.3">
      <c r="A551" s="2" t="s">
        <v>65</v>
      </c>
    </row>
    <row r="552" spans="1:17" x14ac:dyDescent="0.3">
      <c r="A552" s="3" t="s">
        <v>33</v>
      </c>
      <c r="B552" s="4" t="s">
        <v>61</v>
      </c>
      <c r="C552" s="4" t="s">
        <v>79</v>
      </c>
      <c r="D552" s="4" t="s">
        <v>80</v>
      </c>
      <c r="E552" s="4" t="s">
        <v>1054</v>
      </c>
      <c r="F552" s="4" t="s">
        <v>1055</v>
      </c>
      <c r="G552" s="4" t="s">
        <v>81</v>
      </c>
      <c r="H552" s="4" t="s">
        <v>1057</v>
      </c>
      <c r="I552" s="4" t="s">
        <v>83</v>
      </c>
      <c r="J552" s="4" t="s">
        <v>84</v>
      </c>
      <c r="K552" s="4" t="s">
        <v>85</v>
      </c>
      <c r="L552" s="4" t="s">
        <v>1058</v>
      </c>
      <c r="M552" s="4" t="s">
        <v>44</v>
      </c>
      <c r="N552" s="4" t="s">
        <v>47</v>
      </c>
      <c r="O552" s="4" t="s">
        <v>87</v>
      </c>
      <c r="P552" s="4" t="s">
        <v>88</v>
      </c>
      <c r="Q552" s="5" t="s">
        <v>89</v>
      </c>
    </row>
    <row r="553" spans="1:17" x14ac:dyDescent="0.3">
      <c r="A553" s="6">
        <v>1</v>
      </c>
      <c r="B553" s="7" t="s">
        <v>49</v>
      </c>
      <c r="C553" s="441">
        <v>105.88235294117648</v>
      </c>
      <c r="D553" s="441">
        <f>+C553/$C$555*100</f>
        <v>26.47058823529412</v>
      </c>
      <c r="E553" s="441" t="e">
        <f t="array" ref="E553:E554">+EQL_BALMET_VOLUMEN_CURRENT(E555,G553:G555,H553:H555,,"%;g/l")</f>
        <v>#VALUE!</v>
      </c>
      <c r="F553" s="441" t="e">
        <f>+E553/$E$555*100</f>
        <v>#VALUE!</v>
      </c>
      <c r="G553" s="7">
        <v>8</v>
      </c>
      <c r="H553" s="7">
        <v>45</v>
      </c>
      <c r="I553" s="441">
        <f>+C553*100*G553/$C$555</f>
        <v>211.76470588235298</v>
      </c>
      <c r="J553" s="441" t="e">
        <f>+E553*100*H553/$E$555</f>
        <v>#VALUE!</v>
      </c>
      <c r="K553" s="441">
        <f>+C553*G553/100</f>
        <v>8.4705882352941178</v>
      </c>
      <c r="L553" s="441" t="e">
        <f>+E553*H553/(1000^2)</f>
        <v>#VALUE!</v>
      </c>
      <c r="M553" s="441"/>
      <c r="N553" s="441"/>
      <c r="O553" s="441"/>
      <c r="P553" s="441"/>
      <c r="Q553" s="443"/>
    </row>
    <row r="554" spans="1:17" x14ac:dyDescent="0.3">
      <c r="A554" s="6">
        <v>2</v>
      </c>
      <c r="B554" s="7" t="s">
        <v>51</v>
      </c>
      <c r="C554" s="441">
        <v>294.11764705882354</v>
      </c>
      <c r="D554" s="441">
        <f>+C554/$C$555*100</f>
        <v>73.529411764705884</v>
      </c>
      <c r="E554" s="441" t="e">
        <v>#VALUE!</v>
      </c>
      <c r="F554" s="441" t="e">
        <f>+E554/$E$555*100</f>
        <v>#VALUE!</v>
      </c>
      <c r="G554" s="7">
        <v>1.2</v>
      </c>
      <c r="H554" s="7">
        <v>0.6</v>
      </c>
      <c r="I554" s="441">
        <f>+C554*100*G554/$C$555</f>
        <v>88.235294117647058</v>
      </c>
      <c r="J554" s="441" t="e">
        <f>+E554*100*H554/$E$555</f>
        <v>#VALUE!</v>
      </c>
      <c r="K554" s="441">
        <f>+C554*G554/100</f>
        <v>3.5294117647058822</v>
      </c>
      <c r="L554" s="441" t="e">
        <f>+E554*H554/(1000^2)</f>
        <v>#VALUE!</v>
      </c>
      <c r="M554" s="441"/>
      <c r="N554" s="441"/>
      <c r="O554" s="441"/>
      <c r="P554" s="441"/>
      <c r="Q554" s="443"/>
    </row>
    <row r="555" spans="1:17" x14ac:dyDescent="0.3">
      <c r="A555" s="6">
        <v>3</v>
      </c>
      <c r="B555" s="7" t="s">
        <v>48</v>
      </c>
      <c r="C555" s="7">
        <v>400</v>
      </c>
      <c r="D555" s="441">
        <f>+C555/$C$555*100</f>
        <v>100</v>
      </c>
      <c r="E555">
        <v>500</v>
      </c>
      <c r="F555" s="441">
        <f>+E555/$E$555*100</f>
        <v>100</v>
      </c>
      <c r="G555" s="7">
        <v>3</v>
      </c>
      <c r="H555" s="7">
        <v>2.5</v>
      </c>
      <c r="I555" s="441">
        <f>+C555*100*G555/$C$555</f>
        <v>300</v>
      </c>
      <c r="J555" s="441">
        <f>+E555*100*H555/$E$555</f>
        <v>250</v>
      </c>
      <c r="K555" s="441">
        <f>+C555*G555/100</f>
        <v>12</v>
      </c>
      <c r="L555" s="441">
        <f>+E555*H555/(1000^2)</f>
        <v>1.25E-3</v>
      </c>
      <c r="M555" s="441"/>
      <c r="N555" s="441"/>
      <c r="O555" s="441"/>
      <c r="P555" s="441"/>
      <c r="Q555" s="443"/>
    </row>
    <row r="556" spans="1:17" x14ac:dyDescent="0.3">
      <c r="A556" s="6">
        <v>4</v>
      </c>
      <c r="B556" s="7" t="s">
        <v>153</v>
      </c>
      <c r="C556" s="441">
        <v>400</v>
      </c>
      <c r="D556" s="441">
        <f>+C556/$C$555*100</f>
        <v>100</v>
      </c>
      <c r="E556" s="441">
        <f>+E555</f>
        <v>500</v>
      </c>
      <c r="F556" s="441">
        <f>+E556/$E$555*100</f>
        <v>100</v>
      </c>
      <c r="G556" s="441">
        <f>+G555</f>
        <v>3</v>
      </c>
      <c r="H556" s="441">
        <f>+H555</f>
        <v>2.5</v>
      </c>
      <c r="I556" s="441">
        <f>+C556*100*G556/$C$555</f>
        <v>300</v>
      </c>
      <c r="J556" s="441">
        <f>+E556*100*H556/$E$555</f>
        <v>250</v>
      </c>
      <c r="K556" s="441">
        <f>+C556*G556/100</f>
        <v>12</v>
      </c>
      <c r="L556" s="441">
        <f>+E556*H556/(1000^2)</f>
        <v>1.25E-3</v>
      </c>
      <c r="M556" s="441"/>
      <c r="N556" s="441"/>
      <c r="O556" s="441"/>
      <c r="P556" s="441"/>
      <c r="Q556" s="443"/>
    </row>
    <row r="557" spans="1:17" x14ac:dyDescent="0.3">
      <c r="A557" s="25">
        <v>5</v>
      </c>
      <c r="B557" s="26" t="s">
        <v>154</v>
      </c>
      <c r="C557" s="441">
        <v>400</v>
      </c>
      <c r="D557" s="441">
        <f>+C557/$C$555*100</f>
        <v>100</v>
      </c>
      <c r="E557" s="441">
        <f>+E555</f>
        <v>500</v>
      </c>
      <c r="F557" s="441">
        <f>+E557/$E$555*100</f>
        <v>100</v>
      </c>
      <c r="G557" s="442">
        <f>+SUM(C553*G553*100/$C$555,C554*G554*100/$C$555)/(C555*100/C555)</f>
        <v>3.0000000000000004</v>
      </c>
      <c r="H557" s="442" t="e">
        <f>+SUM(E553*H553*100/$E$555,E554*H554*100/$E$555)/(E555*100/$E$555)</f>
        <v>#VALUE!</v>
      </c>
      <c r="I557" s="441">
        <f>+C557*100*G557/$C$555</f>
        <v>300.00000000000006</v>
      </c>
      <c r="J557" s="441" t="e">
        <f>+E557*100*H557/$E$555</f>
        <v>#VALUE!</v>
      </c>
      <c r="K557" s="441">
        <f>+C557*G557/100</f>
        <v>12.000000000000002</v>
      </c>
      <c r="L557" s="441" t="e">
        <f>+E557*H557/(1000^2)</f>
        <v>#VALUE!</v>
      </c>
      <c r="M557" s="442"/>
      <c r="N557" s="442"/>
      <c r="O557" s="442"/>
      <c r="P557" s="442"/>
      <c r="Q557" s="444"/>
    </row>
    <row r="558" spans="1:17" x14ac:dyDescent="0.3">
      <c r="G558" s="17">
        <f>+SUM(C553*G553,C554*G554)/C555</f>
        <v>3</v>
      </c>
      <c r="H558" s="17" t="e">
        <f>+SUM(E553*H553,E554*H554)/E555</f>
        <v>#VALUE!</v>
      </c>
      <c r="I558" s="17">
        <f>+(C553*100*G553/C555)</f>
        <v>211.76470588235298</v>
      </c>
    </row>
    <row r="559" spans="1:17" x14ac:dyDescent="0.3">
      <c r="A559" s="2" t="s">
        <v>65</v>
      </c>
    </row>
    <row r="560" spans="1:17" x14ac:dyDescent="0.3">
      <c r="A560" s="3" t="s">
        <v>33</v>
      </c>
      <c r="B560" s="4" t="s">
        <v>61</v>
      </c>
      <c r="C560" s="4" t="s">
        <v>79</v>
      </c>
      <c r="D560" s="4" t="s">
        <v>80</v>
      </c>
      <c r="E560" s="4" t="s">
        <v>1054</v>
      </c>
      <c r="F560" s="4" t="s">
        <v>1055</v>
      </c>
      <c r="G560" s="4" t="s">
        <v>81</v>
      </c>
      <c r="H560" s="4" t="s">
        <v>1057</v>
      </c>
      <c r="I560" s="4" t="s">
        <v>83</v>
      </c>
      <c r="J560" s="4" t="s">
        <v>84</v>
      </c>
      <c r="K560" s="4" t="s">
        <v>85</v>
      </c>
      <c r="L560" s="4" t="s">
        <v>1058</v>
      </c>
      <c r="M560" s="4" t="s">
        <v>44</v>
      </c>
      <c r="N560" s="4" t="s">
        <v>47</v>
      </c>
      <c r="O560" s="4" t="s">
        <v>87</v>
      </c>
      <c r="P560" s="4" t="s">
        <v>88</v>
      </c>
      <c r="Q560" s="5" t="s">
        <v>89</v>
      </c>
    </row>
    <row r="561" spans="1:17" x14ac:dyDescent="0.3">
      <c r="A561" s="6">
        <v>1</v>
      </c>
      <c r="B561" s="7" t="s">
        <v>49</v>
      </c>
      <c r="C561" s="441">
        <v>105.88235294117648</v>
      </c>
      <c r="D561" s="441">
        <f>+C561/$C$555*100</f>
        <v>26.47058823529412</v>
      </c>
      <c r="E561" s="441"/>
      <c r="F561" s="441">
        <f>+E561/$E$555*100</f>
        <v>0</v>
      </c>
      <c r="G561" s="7">
        <v>8</v>
      </c>
      <c r="H561" s="7">
        <v>45</v>
      </c>
      <c r="I561" s="441">
        <f>+C561*100*G561/$C$555</f>
        <v>211.76470588235298</v>
      </c>
      <c r="J561" s="441">
        <f>+E561*100*H561/$E$555</f>
        <v>0</v>
      </c>
      <c r="K561" s="441">
        <f>+C561*G561/100</f>
        <v>8.4705882352941178</v>
      </c>
      <c r="L561" s="441">
        <f>+E561*H561/(1000^2)</f>
        <v>0</v>
      </c>
      <c r="M561" s="441"/>
      <c r="N561" s="441"/>
      <c r="O561" s="441"/>
      <c r="P561" s="441"/>
      <c r="Q561" s="443"/>
    </row>
    <row r="562" spans="1:17" x14ac:dyDescent="0.3">
      <c r="A562" s="6">
        <v>2</v>
      </c>
      <c r="B562" s="7" t="s">
        <v>51</v>
      </c>
      <c r="C562" s="441">
        <v>294.11764705882354</v>
      </c>
      <c r="D562" s="441">
        <f>+C562/$C$555*100</f>
        <v>73.529411764705884</v>
      </c>
      <c r="E562" s="441"/>
      <c r="F562" s="441">
        <f>+E562/$E$555*100</f>
        <v>0</v>
      </c>
      <c r="G562" s="7">
        <v>1.2</v>
      </c>
      <c r="H562" s="7">
        <v>0.6</v>
      </c>
      <c r="I562" s="441">
        <f>+C562*100*G562/$C$555</f>
        <v>88.235294117647058</v>
      </c>
      <c r="J562" s="441">
        <f>+E562*100*H562/$E$555</f>
        <v>0</v>
      </c>
      <c r="K562" s="441">
        <f>+C562*G562/100</f>
        <v>3.5294117647058822</v>
      </c>
      <c r="L562" s="441">
        <f>+E562*H562/(1000^2)</f>
        <v>0</v>
      </c>
      <c r="M562" s="441"/>
      <c r="N562" s="441"/>
      <c r="O562" s="441"/>
      <c r="P562" s="441"/>
      <c r="Q562" s="443"/>
    </row>
    <row r="563" spans="1:17" x14ac:dyDescent="0.3">
      <c r="A563" s="6">
        <v>3</v>
      </c>
      <c r="B563" s="7" t="s">
        <v>48</v>
      </c>
      <c r="C563" s="7">
        <v>400</v>
      </c>
      <c r="D563" s="441">
        <f>+C563/$C$555*100</f>
        <v>100</v>
      </c>
      <c r="E563">
        <v>500</v>
      </c>
      <c r="F563" s="441">
        <f>+E563/$E$555*100</f>
        <v>100</v>
      </c>
      <c r="G563" s="7">
        <v>3</v>
      </c>
      <c r="H563" s="7">
        <v>2.5</v>
      </c>
      <c r="I563" s="441">
        <f>+C563*100*G563/$C$555</f>
        <v>300</v>
      </c>
      <c r="J563" s="441">
        <f>+E563*100*H563/$E$555</f>
        <v>250</v>
      </c>
      <c r="K563" s="441">
        <f>+C563*G563/100</f>
        <v>12</v>
      </c>
      <c r="L563" s="441">
        <f>+E563*H563/(1000^2)</f>
        <v>1.25E-3</v>
      </c>
      <c r="M563" s="441"/>
      <c r="N563" s="441"/>
      <c r="O563" s="441"/>
      <c r="P563" s="441"/>
      <c r="Q563" s="443"/>
    </row>
    <row r="564" spans="1:17" x14ac:dyDescent="0.3">
      <c r="A564" s="6">
        <v>4</v>
      </c>
      <c r="B564" s="7" t="s">
        <v>153</v>
      </c>
      <c r="C564" s="441">
        <v>400</v>
      </c>
      <c r="D564" s="441">
        <f>+C564/$C$555*100</f>
        <v>100</v>
      </c>
      <c r="E564" s="441">
        <f>+E563</f>
        <v>500</v>
      </c>
      <c r="F564" s="441">
        <f>+E564/$E$555*100</f>
        <v>100</v>
      </c>
      <c r="G564" s="441">
        <f>+G563</f>
        <v>3</v>
      </c>
      <c r="H564" s="441">
        <f>+H563</f>
        <v>2.5</v>
      </c>
      <c r="I564" s="441">
        <f>+C564*100*G564/$C$555</f>
        <v>300</v>
      </c>
      <c r="J564" s="441">
        <f>+E564*100*H564/$E$555</f>
        <v>250</v>
      </c>
      <c r="K564" s="441">
        <f>+C564*G564/100</f>
        <v>12</v>
      </c>
      <c r="L564" s="441">
        <f>+E564*H564/(1000^2)</f>
        <v>1.25E-3</v>
      </c>
      <c r="M564" s="441"/>
      <c r="N564" s="441"/>
      <c r="O564" s="441"/>
      <c r="P564" s="441"/>
      <c r="Q564" s="443"/>
    </row>
    <row r="565" spans="1:17" x14ac:dyDescent="0.3">
      <c r="A565" s="25">
        <v>5</v>
      </c>
      <c r="B565" s="26" t="s">
        <v>154</v>
      </c>
      <c r="C565" s="441">
        <v>400</v>
      </c>
      <c r="D565" s="441">
        <f>+C565/$C$555*100</f>
        <v>100</v>
      </c>
      <c r="E565" s="441">
        <f>+E563</f>
        <v>500</v>
      </c>
      <c r="F565" s="441">
        <f>+E565/$E$555*100</f>
        <v>100</v>
      </c>
      <c r="G565" s="442">
        <f>+SUM(C561*G561*100/$C$555,C562*G562*100/$C$555)/(C563*100/C563)</f>
        <v>3.0000000000000004</v>
      </c>
      <c r="H565" s="442">
        <f>+SUM(E561*H561*100/$E$555,E562*H562*100/$E$555)/(E563*100/$E$555)</f>
        <v>0</v>
      </c>
      <c r="I565" s="441">
        <f>+C565*100*G565/$C$555</f>
        <v>300.00000000000006</v>
      </c>
      <c r="J565" s="441">
        <f>+E565*100*H565/$E$555</f>
        <v>0</v>
      </c>
      <c r="K565" s="441">
        <f>+C565*G565/100</f>
        <v>12.000000000000002</v>
      </c>
      <c r="L565" s="441">
        <f>+E565*H565/(1000^2)</f>
        <v>0</v>
      </c>
      <c r="M565" s="442"/>
      <c r="N565" s="442"/>
      <c r="O565" s="442"/>
      <c r="P565" s="442"/>
      <c r="Q565" s="444"/>
    </row>
    <row r="567" spans="1:17" x14ac:dyDescent="0.3">
      <c r="E567">
        <f>+I567*(1000^2)/H561</f>
        <v>26.785714285714292</v>
      </c>
      <c r="F567" s="437">
        <f>+E567/$E$569*100</f>
        <v>5.3571428571428585</v>
      </c>
      <c r="G567" s="446">
        <f>+E567*H561/(1000^2)</f>
        <v>1.2053571428571432E-3</v>
      </c>
      <c r="H567">
        <f>+D561*H561</f>
        <v>1191.1764705882354</v>
      </c>
      <c r="I567" s="445">
        <f>+J567*$I$569/100</f>
        <v>1.2053571428571432E-3</v>
      </c>
      <c r="J567" s="437">
        <f>+H567*100/$H$569</f>
        <v>96.428571428571445</v>
      </c>
    </row>
    <row r="568" spans="1:17" x14ac:dyDescent="0.3">
      <c r="E568">
        <f>+I568/H562*(1000^2)</f>
        <v>74.404761904761926</v>
      </c>
      <c r="F568" s="437">
        <f>+E568/$E$569*100</f>
        <v>14.880952380952387</v>
      </c>
      <c r="G568" s="446">
        <f>+E568*H562/(1000^2)</f>
        <v>4.4642857142857156E-5</v>
      </c>
      <c r="H568">
        <f>+D562*H562</f>
        <v>44.117647058823529</v>
      </c>
      <c r="I568" s="445">
        <f>+J568*$I$569/100</f>
        <v>4.464285714285715E-5</v>
      </c>
      <c r="J568" s="437">
        <f>+H568*100/$H$569</f>
        <v>3.5714285714285716</v>
      </c>
    </row>
    <row r="569" spans="1:17" x14ac:dyDescent="0.3">
      <c r="E569">
        <v>500</v>
      </c>
      <c r="F569" s="437">
        <f>+SUM(F567:F568)</f>
        <v>20.238095238095244</v>
      </c>
      <c r="G569" s="446">
        <f>+E569*H563/(1000^2)</f>
        <v>1.25E-3</v>
      </c>
      <c r="H569">
        <f>+SUM(H567:H568)</f>
        <v>1235.2941176470588</v>
      </c>
      <c r="I569">
        <f>+E569*H563/(1000^2)</f>
        <v>1.25E-3</v>
      </c>
      <c r="J569" s="437">
        <f>+H569*100/$H$569</f>
        <v>100</v>
      </c>
    </row>
    <row r="571" spans="1:17" x14ac:dyDescent="0.3">
      <c r="A571" s="2" t="s">
        <v>1070</v>
      </c>
      <c r="G571" s="2" t="s">
        <v>1069</v>
      </c>
    </row>
    <row r="572" spans="1:17" x14ac:dyDescent="0.3">
      <c r="A572" t="s">
        <v>1072</v>
      </c>
      <c r="G572" t="s">
        <v>1072</v>
      </c>
    </row>
    <row r="573" spans="1:17" x14ac:dyDescent="0.3">
      <c r="A573" t="s">
        <v>1073</v>
      </c>
      <c r="G573" t="s">
        <v>1073</v>
      </c>
    </row>
    <row r="574" spans="1:17" x14ac:dyDescent="0.3">
      <c r="A574" t="s">
        <v>1074</v>
      </c>
      <c r="D574" s="30" t="s">
        <v>1076</v>
      </c>
      <c r="G574" t="s">
        <v>1077</v>
      </c>
      <c r="J574" s="30" t="s">
        <v>1078</v>
      </c>
    </row>
    <row r="575" spans="1:17" x14ac:dyDescent="0.3">
      <c r="A575" t="s">
        <v>1075</v>
      </c>
      <c r="G575" t="s">
        <v>1075</v>
      </c>
    </row>
    <row r="577" spans="1:14" x14ac:dyDescent="0.3">
      <c r="A577" s="46" t="s">
        <v>1071</v>
      </c>
      <c r="B577" s="46"/>
      <c r="C577" s="46"/>
      <c r="D577" s="46"/>
      <c r="E577" s="46"/>
      <c r="F577" s="46"/>
    </row>
    <row r="578" spans="1:14" x14ac:dyDescent="0.3">
      <c r="A578" s="30" t="s">
        <v>1094</v>
      </c>
    </row>
    <row r="579" spans="1:14" x14ac:dyDescent="0.3">
      <c r="A579" s="30" t="s">
        <v>1265</v>
      </c>
    </row>
    <row r="580" spans="1:14" x14ac:dyDescent="0.3">
      <c r="A580" s="30"/>
    </row>
    <row r="581" spans="1:14" x14ac:dyDescent="0.3">
      <c r="A581" s="30"/>
    </row>
    <row r="582" spans="1:14" x14ac:dyDescent="0.3">
      <c r="A582" s="30" t="s">
        <v>1140</v>
      </c>
    </row>
    <row r="583" spans="1:14" x14ac:dyDescent="0.3">
      <c r="A583" s="30"/>
    </row>
    <row r="584" spans="1:14" x14ac:dyDescent="0.3">
      <c r="A584" s="30"/>
    </row>
    <row r="585" spans="1:14" x14ac:dyDescent="0.3">
      <c r="A585" s="30"/>
    </row>
    <row r="586" spans="1:14" x14ac:dyDescent="0.3">
      <c r="A586" s="30"/>
    </row>
    <row r="587" spans="1:14" x14ac:dyDescent="0.3">
      <c r="A587" s="30"/>
    </row>
    <row r="589" spans="1:14" x14ac:dyDescent="0.3">
      <c r="A589" s="2" t="s">
        <v>65</v>
      </c>
    </row>
    <row r="590" spans="1:14" x14ac:dyDescent="0.3">
      <c r="A590" s="3" t="s">
        <v>33</v>
      </c>
      <c r="B590" s="4" t="s">
        <v>61</v>
      </c>
      <c r="C590" s="4" t="s">
        <v>79</v>
      </c>
      <c r="D590" s="4" t="s">
        <v>80</v>
      </c>
      <c r="E590" s="4" t="s">
        <v>81</v>
      </c>
      <c r="F590" s="4" t="s">
        <v>83</v>
      </c>
      <c r="G590" s="4" t="s">
        <v>1212</v>
      </c>
      <c r="H590" s="4" t="s">
        <v>1213</v>
      </c>
      <c r="I590" s="5" t="s">
        <v>89</v>
      </c>
    </row>
    <row r="591" spans="1:14" x14ac:dyDescent="0.3">
      <c r="A591" s="6">
        <v>1</v>
      </c>
      <c r="B591" s="7" t="s">
        <v>49</v>
      </c>
      <c r="C591" s="7">
        <v>105.88235294117648</v>
      </c>
      <c r="D591" s="7">
        <v>26.47058823529412</v>
      </c>
      <c r="E591" s="7">
        <v>8</v>
      </c>
      <c r="F591" s="7">
        <v>211.76470588235296</v>
      </c>
      <c r="G591" s="7">
        <v>8470588.2352941185</v>
      </c>
      <c r="H591" s="7">
        <v>70.588235294117652</v>
      </c>
      <c r="I591" s="8">
        <v>3.7777777777777777</v>
      </c>
    </row>
    <row r="592" spans="1:14" x14ac:dyDescent="0.3">
      <c r="A592" s="6">
        <v>2</v>
      </c>
      <c r="B592" s="7" t="s">
        <v>51</v>
      </c>
      <c r="C592" s="7">
        <v>294.11764705882354</v>
      </c>
      <c r="D592" s="7">
        <v>73.529411764705884</v>
      </c>
      <c r="E592" s="7">
        <v>1.2</v>
      </c>
      <c r="F592" s="7">
        <v>88.235294117647058</v>
      </c>
      <c r="G592" s="7">
        <v>3529411.7647058824</v>
      </c>
      <c r="H592" s="7">
        <v>29.411764705882351</v>
      </c>
      <c r="I592" s="8">
        <v>1.3599999999999999</v>
      </c>
      <c r="L592" s="437"/>
      <c r="M592" s="437"/>
      <c r="N592" s="437"/>
    </row>
    <row r="593" spans="1:14" x14ac:dyDescent="0.3">
      <c r="A593" s="6">
        <v>3</v>
      </c>
      <c r="B593" s="7" t="s">
        <v>48</v>
      </c>
      <c r="C593" s="7">
        <v>400</v>
      </c>
      <c r="D593" s="7">
        <v>100</v>
      </c>
      <c r="E593" s="7">
        <v>3</v>
      </c>
      <c r="F593" s="7">
        <v>300</v>
      </c>
      <c r="G593" s="7">
        <v>12000000</v>
      </c>
      <c r="H593" s="7">
        <v>100</v>
      </c>
      <c r="I593" s="8">
        <v>1</v>
      </c>
    </row>
    <row r="594" spans="1:14" x14ac:dyDescent="0.3">
      <c r="A594" s="6">
        <v>4</v>
      </c>
      <c r="B594" s="7" t="s">
        <v>153</v>
      </c>
      <c r="C594" s="7">
        <v>400</v>
      </c>
      <c r="D594" s="7">
        <v>100</v>
      </c>
      <c r="E594" s="7">
        <v>3</v>
      </c>
      <c r="F594" s="7">
        <v>300</v>
      </c>
      <c r="G594" s="7">
        <v>12000000</v>
      </c>
      <c r="H594" s="7">
        <v>100</v>
      </c>
      <c r="I594" s="8">
        <v>1</v>
      </c>
    </row>
    <row r="595" spans="1:14" x14ac:dyDescent="0.3">
      <c r="A595" s="25">
        <v>5</v>
      </c>
      <c r="B595" s="26" t="s">
        <v>154</v>
      </c>
      <c r="C595" s="26">
        <v>400</v>
      </c>
      <c r="D595" s="26">
        <v>100</v>
      </c>
      <c r="E595" s="26">
        <v>3</v>
      </c>
      <c r="F595" s="26">
        <v>300</v>
      </c>
      <c r="G595" s="26">
        <v>12000000</v>
      </c>
      <c r="H595" s="26">
        <v>100</v>
      </c>
      <c r="I595" s="14">
        <v>1</v>
      </c>
    </row>
    <row r="597" spans="1:14" x14ac:dyDescent="0.3">
      <c r="A597" s="2" t="s">
        <v>65</v>
      </c>
    </row>
    <row r="598" spans="1:14" x14ac:dyDescent="0.3">
      <c r="A598" s="3" t="s">
        <v>33</v>
      </c>
      <c r="B598" s="4" t="s">
        <v>61</v>
      </c>
      <c r="C598" s="4" t="s">
        <v>79</v>
      </c>
      <c r="D598" s="4" t="s">
        <v>80</v>
      </c>
      <c r="E598" s="4" t="s">
        <v>157</v>
      </c>
      <c r="F598" s="4" t="s">
        <v>82</v>
      </c>
      <c r="G598" s="4" t="s">
        <v>1215</v>
      </c>
      <c r="H598" s="4" t="s">
        <v>84</v>
      </c>
      <c r="I598" s="4" t="s">
        <v>1216</v>
      </c>
      <c r="J598" s="4" t="s">
        <v>86</v>
      </c>
      <c r="K598" s="4" t="s">
        <v>1217</v>
      </c>
      <c r="L598" s="4" t="s">
        <v>1218</v>
      </c>
      <c r="M598" s="4" t="s">
        <v>1219</v>
      </c>
      <c r="N598" s="5" t="s">
        <v>89</v>
      </c>
    </row>
    <row r="599" spans="1:14" x14ac:dyDescent="0.3">
      <c r="A599" s="6">
        <v>1</v>
      </c>
      <c r="B599" s="7" t="s">
        <v>496</v>
      </c>
      <c r="C599" s="7">
        <v>105.88235294117599</v>
      </c>
      <c r="D599" s="7">
        <v>26.470588235294102</v>
      </c>
      <c r="E599" s="7">
        <v>8</v>
      </c>
      <c r="F599" s="465">
        <v>8</v>
      </c>
      <c r="G599" s="7">
        <v>211.76470588235301</v>
      </c>
      <c r="H599" s="467">
        <v>211.76470588235301</v>
      </c>
      <c r="I599" s="465">
        <v>8470588.2352941204</v>
      </c>
      <c r="J599" s="465">
        <v>84705.882352941204</v>
      </c>
      <c r="K599" s="7">
        <v>2723.3553250579898</v>
      </c>
      <c r="L599" s="7">
        <v>70.588235294117695</v>
      </c>
      <c r="M599" s="465">
        <v>70.588235294117695</v>
      </c>
      <c r="N599" s="8">
        <v>3.7777777777777799</v>
      </c>
    </row>
    <row r="600" spans="1:14" x14ac:dyDescent="0.3">
      <c r="A600" s="6">
        <v>2</v>
      </c>
      <c r="B600" s="7" t="s">
        <v>51</v>
      </c>
      <c r="C600" s="7">
        <v>294.11764705882399</v>
      </c>
      <c r="D600" s="7">
        <v>73.529411764705898</v>
      </c>
      <c r="E600" s="7">
        <v>1.2</v>
      </c>
      <c r="F600" s="465">
        <v>1.2</v>
      </c>
      <c r="G600" s="7">
        <v>88.235294117647101</v>
      </c>
      <c r="H600" s="467">
        <v>88.235294117647101</v>
      </c>
      <c r="I600" s="465">
        <v>3529411.7647058801</v>
      </c>
      <c r="J600" s="465">
        <v>35294.117647058803</v>
      </c>
      <c r="K600" s="7">
        <v>1134.7313854408301</v>
      </c>
      <c r="L600" s="7">
        <v>29.411764705882401</v>
      </c>
      <c r="M600" s="465">
        <v>29.411764705882401</v>
      </c>
      <c r="N600" s="8">
        <v>1.36</v>
      </c>
    </row>
    <row r="601" spans="1:14" x14ac:dyDescent="0.3">
      <c r="A601" s="6">
        <v>3</v>
      </c>
      <c r="B601" s="7" t="s">
        <v>1214</v>
      </c>
      <c r="C601" s="7">
        <v>400</v>
      </c>
      <c r="D601" s="7">
        <v>100</v>
      </c>
      <c r="E601" s="7">
        <v>3</v>
      </c>
      <c r="F601" s="465">
        <v>3</v>
      </c>
      <c r="G601" s="7">
        <v>300</v>
      </c>
      <c r="H601" s="467">
        <v>300</v>
      </c>
      <c r="I601" s="465">
        <v>12000000</v>
      </c>
      <c r="J601" s="465">
        <v>12120000</v>
      </c>
      <c r="K601" s="7">
        <v>389666.75776038098</v>
      </c>
      <c r="L601" s="7">
        <v>100</v>
      </c>
      <c r="M601" s="465">
        <v>100</v>
      </c>
      <c r="N601" s="8">
        <v>1</v>
      </c>
    </row>
    <row r="602" spans="1:14" x14ac:dyDescent="0.3">
      <c r="A602" s="6">
        <v>4</v>
      </c>
      <c r="B602" s="7" t="s">
        <v>153</v>
      </c>
      <c r="C602" s="7">
        <v>400</v>
      </c>
      <c r="D602" s="7">
        <v>100</v>
      </c>
      <c r="E602" s="7">
        <v>3</v>
      </c>
      <c r="F602" s="465">
        <v>3</v>
      </c>
      <c r="G602" s="7">
        <v>300</v>
      </c>
      <c r="H602" s="467">
        <v>300</v>
      </c>
      <c r="I602" s="465">
        <v>12000000</v>
      </c>
      <c r="J602" s="465">
        <v>120000</v>
      </c>
      <c r="K602" s="7">
        <v>3858.0867104988201</v>
      </c>
      <c r="L602" s="7">
        <v>100</v>
      </c>
      <c r="M602" s="465">
        <v>100</v>
      </c>
      <c r="N602" s="8">
        <v>1</v>
      </c>
    </row>
    <row r="603" spans="1:14" x14ac:dyDescent="0.3">
      <c r="A603" s="25">
        <v>5</v>
      </c>
      <c r="B603" s="26" t="s">
        <v>154</v>
      </c>
      <c r="C603" s="26">
        <v>400</v>
      </c>
      <c r="D603" s="26">
        <v>100</v>
      </c>
      <c r="E603" s="26">
        <v>3</v>
      </c>
      <c r="F603" s="466">
        <v>6</v>
      </c>
      <c r="G603" s="26">
        <v>300</v>
      </c>
      <c r="H603" s="468">
        <v>300</v>
      </c>
      <c r="I603" s="466">
        <v>12000000</v>
      </c>
      <c r="J603" s="466">
        <v>12120000</v>
      </c>
      <c r="K603" s="26">
        <v>389666.75776038098</v>
      </c>
      <c r="L603" s="26">
        <v>100</v>
      </c>
      <c r="M603" s="466">
        <v>100</v>
      </c>
      <c r="N603" s="14">
        <v>1</v>
      </c>
    </row>
    <row r="606" spans="1:14" x14ac:dyDescent="0.3">
      <c r="A606" t="s">
        <v>1220</v>
      </c>
    </row>
    <row r="607" spans="1:14" x14ac:dyDescent="0.3">
      <c r="A607" s="469">
        <v>500</v>
      </c>
      <c r="B607" s="470">
        <v>8</v>
      </c>
      <c r="C607" s="471">
        <v>45</v>
      </c>
      <c r="D607" t="s">
        <v>1221</v>
      </c>
    </row>
    <row r="608" spans="1:14" x14ac:dyDescent="0.3">
      <c r="A608" s="472" t="s">
        <v>167</v>
      </c>
      <c r="B608" s="470">
        <v>1.2</v>
      </c>
      <c r="C608" s="471">
        <v>0.6</v>
      </c>
      <c r="D608" t="s">
        <v>1222</v>
      </c>
    </row>
    <row r="609" spans="1:14" x14ac:dyDescent="0.3">
      <c r="A609" s="472" t="s">
        <v>166</v>
      </c>
      <c r="B609" s="470">
        <v>3</v>
      </c>
      <c r="C609" s="471">
        <v>2.5</v>
      </c>
      <c r="D609" t="s">
        <v>1223</v>
      </c>
    </row>
    <row r="610" spans="1:14" x14ac:dyDescent="0.3">
      <c r="B610" s="472" t="s">
        <v>159</v>
      </c>
      <c r="C610" s="472" t="s">
        <v>168</v>
      </c>
      <c r="D610" t="s">
        <v>1224</v>
      </c>
    </row>
    <row r="611" spans="1:14" x14ac:dyDescent="0.3">
      <c r="B611" s="472" t="s">
        <v>1159</v>
      </c>
      <c r="C611" s="472" t="s">
        <v>1276</v>
      </c>
      <c r="D611" t="s">
        <v>1225</v>
      </c>
    </row>
    <row r="614" spans="1:14" x14ac:dyDescent="0.3">
      <c r="A614" s="2" t="s">
        <v>65</v>
      </c>
    </row>
    <row r="615" spans="1:14" x14ac:dyDescent="0.3">
      <c r="A615" s="3" t="s">
        <v>33</v>
      </c>
      <c r="B615" s="4" t="s">
        <v>61</v>
      </c>
      <c r="C615" s="4" t="s">
        <v>79</v>
      </c>
      <c r="D615" s="4" t="s">
        <v>80</v>
      </c>
      <c r="E615" s="4" t="s">
        <v>177</v>
      </c>
      <c r="F615" s="4" t="s">
        <v>1226</v>
      </c>
      <c r="G615" s="4" t="s">
        <v>1227</v>
      </c>
      <c r="H615" s="4" t="s">
        <v>84</v>
      </c>
      <c r="I615" s="4" t="s">
        <v>1228</v>
      </c>
      <c r="J615" s="4" t="s">
        <v>86</v>
      </c>
      <c r="K615" s="4" t="s">
        <v>1217</v>
      </c>
      <c r="L615" s="4" t="s">
        <v>1229</v>
      </c>
      <c r="M615" s="4" t="s">
        <v>1219</v>
      </c>
      <c r="N615" s="5" t="s">
        <v>89</v>
      </c>
    </row>
    <row r="616" spans="1:14" x14ac:dyDescent="0.3">
      <c r="A616" s="6">
        <v>1</v>
      </c>
      <c r="B616" s="7" t="s">
        <v>509</v>
      </c>
      <c r="C616" s="7">
        <v>132.35294117647101</v>
      </c>
      <c r="D616" s="7">
        <v>26.470588235294102</v>
      </c>
      <c r="E616" s="7">
        <v>8</v>
      </c>
      <c r="F616" s="7">
        <v>45</v>
      </c>
      <c r="G616" s="7">
        <v>211.76470588235301</v>
      </c>
      <c r="H616" s="7">
        <v>1191.1764705882399</v>
      </c>
      <c r="I616" s="7">
        <v>10588235.2941176</v>
      </c>
      <c r="J616" s="7">
        <v>595588.23529411806</v>
      </c>
      <c r="K616" s="7">
        <v>19148.592129314002</v>
      </c>
      <c r="L616" s="7">
        <v>70.588235294117695</v>
      </c>
      <c r="M616" s="7">
        <v>96.428571428571402</v>
      </c>
      <c r="N616" s="8">
        <v>3.7777777777777799</v>
      </c>
    </row>
    <row r="617" spans="1:14" x14ac:dyDescent="0.3">
      <c r="A617" s="6">
        <v>2</v>
      </c>
      <c r="B617" s="7" t="s">
        <v>51</v>
      </c>
      <c r="C617" s="7">
        <v>367.64705882352899</v>
      </c>
      <c r="D617" s="7">
        <v>73.529411764705898</v>
      </c>
      <c r="E617" s="7">
        <v>1.2</v>
      </c>
      <c r="F617" s="7">
        <v>0.6</v>
      </c>
      <c r="G617" s="7">
        <v>88.235294117647101</v>
      </c>
      <c r="H617" s="7">
        <v>44.117647058823501</v>
      </c>
      <c r="I617" s="7">
        <v>4411764.70588235</v>
      </c>
      <c r="J617" s="7">
        <v>22058.823529411799</v>
      </c>
      <c r="K617" s="7">
        <v>709.20711590051803</v>
      </c>
      <c r="L617" s="7">
        <v>29.411764705882302</v>
      </c>
      <c r="M617" s="7">
        <v>3.5714285714285698</v>
      </c>
      <c r="N617" s="8">
        <v>1.36</v>
      </c>
    </row>
    <row r="618" spans="1:14" x14ac:dyDescent="0.3">
      <c r="A618" s="6">
        <v>3</v>
      </c>
      <c r="B618" s="7" t="s">
        <v>48</v>
      </c>
      <c r="C618" s="7">
        <v>500</v>
      </c>
      <c r="D618" s="7">
        <v>100</v>
      </c>
      <c r="E618" s="7">
        <v>3</v>
      </c>
      <c r="F618" s="7">
        <v>2.5</v>
      </c>
      <c r="G618" s="7">
        <v>300</v>
      </c>
      <c r="H618" s="7">
        <v>1235.2941176470599</v>
      </c>
      <c r="I618" s="7">
        <v>15000000</v>
      </c>
      <c r="J618" s="7">
        <v>15617647.0588235</v>
      </c>
      <c r="K618" s="7">
        <v>502118.638057567</v>
      </c>
      <c r="L618" s="7">
        <v>100</v>
      </c>
      <c r="M618" s="7">
        <v>100</v>
      </c>
      <c r="N618" s="8">
        <v>1</v>
      </c>
    </row>
    <row r="619" spans="1:14" x14ac:dyDescent="0.3">
      <c r="A619" s="6">
        <v>4</v>
      </c>
      <c r="B619" s="7" t="s">
        <v>153</v>
      </c>
      <c r="C619" s="7">
        <v>500</v>
      </c>
      <c r="D619" s="7">
        <v>100</v>
      </c>
      <c r="E619" s="7">
        <v>3</v>
      </c>
      <c r="F619" s="7">
        <v>2.5</v>
      </c>
      <c r="G619" s="7">
        <v>300</v>
      </c>
      <c r="H619" s="7">
        <v>250</v>
      </c>
      <c r="I619" s="7">
        <v>15000000</v>
      </c>
      <c r="J619" s="7">
        <v>125000</v>
      </c>
      <c r="K619" s="7">
        <v>4018.84032343627</v>
      </c>
      <c r="L619" s="7">
        <v>100</v>
      </c>
      <c r="M619" s="7">
        <v>100</v>
      </c>
      <c r="N619" s="8">
        <v>1</v>
      </c>
    </row>
    <row r="620" spans="1:14" x14ac:dyDescent="0.3">
      <c r="A620" s="25">
        <v>5</v>
      </c>
      <c r="B620" s="26" t="s">
        <v>154</v>
      </c>
      <c r="C620" s="26">
        <v>500</v>
      </c>
      <c r="D620" s="26">
        <v>100</v>
      </c>
      <c r="E620" s="26">
        <v>3</v>
      </c>
      <c r="F620" s="26">
        <v>15.352941176470599</v>
      </c>
      <c r="G620" s="26">
        <v>300</v>
      </c>
      <c r="H620" s="26">
        <v>1235.2941176470599</v>
      </c>
      <c r="I620" s="26">
        <v>15000000</v>
      </c>
      <c r="J620" s="26">
        <v>15617647.0588235</v>
      </c>
      <c r="K620" s="26">
        <v>502118.638057567</v>
      </c>
      <c r="L620" s="26">
        <v>100</v>
      </c>
      <c r="M620" s="26">
        <v>100</v>
      </c>
      <c r="N620" s="14">
        <v>1</v>
      </c>
    </row>
    <row r="622" spans="1:14" x14ac:dyDescent="0.3">
      <c r="A622" s="2" t="s">
        <v>65</v>
      </c>
    </row>
    <row r="623" spans="1:14" x14ac:dyDescent="0.3">
      <c r="A623" s="3" t="s">
        <v>33</v>
      </c>
      <c r="B623" s="4" t="s">
        <v>61</v>
      </c>
      <c r="C623" s="4" t="s">
        <v>79</v>
      </c>
      <c r="D623" s="4" t="s">
        <v>80</v>
      </c>
      <c r="E623" s="4" t="s">
        <v>177</v>
      </c>
      <c r="F623" s="4" t="s">
        <v>82</v>
      </c>
      <c r="G623" s="4" t="s">
        <v>1227</v>
      </c>
      <c r="H623" s="4" t="s">
        <v>84</v>
      </c>
      <c r="I623" s="4" t="s">
        <v>179</v>
      </c>
      <c r="J623" s="4" t="s">
        <v>1058</v>
      </c>
      <c r="K623" s="4" t="s">
        <v>1217</v>
      </c>
      <c r="L623" s="4" t="s">
        <v>1229</v>
      </c>
      <c r="M623" s="4" t="s">
        <v>1219</v>
      </c>
      <c r="N623" s="5" t="s">
        <v>89</v>
      </c>
    </row>
    <row r="624" spans="1:14" x14ac:dyDescent="0.3">
      <c r="A624" s="6">
        <v>1</v>
      </c>
      <c r="B624" s="7" t="s">
        <v>509</v>
      </c>
      <c r="C624" s="7">
        <v>132.35294117647101</v>
      </c>
      <c r="D624" s="7">
        <v>26.470588235294301</v>
      </c>
      <c r="E624" s="7">
        <v>8</v>
      </c>
      <c r="F624" s="7">
        <v>45</v>
      </c>
      <c r="G624" s="7">
        <v>211.76470588235401</v>
      </c>
      <c r="H624" s="7">
        <v>1191.1764705882399</v>
      </c>
      <c r="I624" s="7">
        <v>10.5882352941177</v>
      </c>
      <c r="J624" s="7">
        <v>0.59558823529412097</v>
      </c>
      <c r="K624" s="7">
        <v>1.9148592129314099E-8</v>
      </c>
      <c r="L624" s="7">
        <v>70.588235294117794</v>
      </c>
      <c r="M624" s="7">
        <v>29.752066115702601</v>
      </c>
      <c r="N624" s="8">
        <v>3.7777777777777599</v>
      </c>
    </row>
    <row r="625" spans="1:14" x14ac:dyDescent="0.3">
      <c r="A625" s="6">
        <v>2</v>
      </c>
      <c r="B625" s="7" t="s">
        <v>51</v>
      </c>
      <c r="C625" s="7">
        <v>367.64705882352899</v>
      </c>
      <c r="D625" s="7">
        <v>73.529411764705699</v>
      </c>
      <c r="E625" s="7">
        <v>1.2</v>
      </c>
      <c r="F625" s="7">
        <v>38.25</v>
      </c>
      <c r="G625" s="7">
        <v>88.235294117646902</v>
      </c>
      <c r="H625" s="7">
        <v>2812.49999999999</v>
      </c>
      <c r="I625" s="7">
        <v>4.4117647058823399</v>
      </c>
      <c r="J625" s="7">
        <v>1.40625</v>
      </c>
      <c r="K625" s="7">
        <v>4.5211953638657902E-8</v>
      </c>
      <c r="L625" s="7">
        <v>29.411764705882199</v>
      </c>
      <c r="M625" s="7">
        <v>70.247933884297396</v>
      </c>
      <c r="N625" s="8">
        <v>1.36</v>
      </c>
    </row>
    <row r="626" spans="1:14" x14ac:dyDescent="0.3">
      <c r="A626" s="6">
        <v>3</v>
      </c>
      <c r="B626" s="7" t="s">
        <v>1214</v>
      </c>
      <c r="C626" s="7">
        <v>500</v>
      </c>
      <c r="D626" s="7">
        <v>100</v>
      </c>
      <c r="E626" s="7">
        <v>3.0000000000000102</v>
      </c>
      <c r="F626" s="7">
        <v>16.875</v>
      </c>
      <c r="G626" s="7">
        <v>300.00000000000102</v>
      </c>
      <c r="H626" s="7">
        <v>4003.6764705882401</v>
      </c>
      <c r="I626" s="7">
        <v>15</v>
      </c>
      <c r="J626" s="7">
        <v>17.001838235294201</v>
      </c>
      <c r="K626" s="7">
        <v>5.4662138458032604E-7</v>
      </c>
      <c r="L626" s="7">
        <v>100</v>
      </c>
      <c r="M626" s="7">
        <v>100</v>
      </c>
      <c r="N626" s="8">
        <v>1</v>
      </c>
    </row>
    <row r="627" spans="1:14" x14ac:dyDescent="0.3">
      <c r="A627" s="6">
        <v>4</v>
      </c>
      <c r="B627" s="7" t="s">
        <v>153</v>
      </c>
      <c r="C627" s="7">
        <v>500</v>
      </c>
      <c r="D627" s="7">
        <v>100</v>
      </c>
      <c r="E627" s="7">
        <v>3.0000000000000102</v>
      </c>
      <c r="F627" s="7">
        <v>16.875</v>
      </c>
      <c r="G627" s="7">
        <v>300.00000000000102</v>
      </c>
      <c r="H627" s="7">
        <v>1687.5</v>
      </c>
      <c r="I627" s="7">
        <v>15.000000000000099</v>
      </c>
      <c r="J627" s="7">
        <v>0.84375</v>
      </c>
      <c r="K627" s="7">
        <v>2.7127172183194801E-8</v>
      </c>
      <c r="L627" s="7">
        <v>100</v>
      </c>
      <c r="M627" s="7">
        <v>100</v>
      </c>
      <c r="N627" s="8">
        <v>1</v>
      </c>
    </row>
    <row r="628" spans="1:14" x14ac:dyDescent="0.3">
      <c r="A628" s="25">
        <v>5</v>
      </c>
      <c r="B628" s="26" t="s">
        <v>154</v>
      </c>
      <c r="C628" s="26">
        <v>500</v>
      </c>
      <c r="D628" s="26">
        <v>100</v>
      </c>
      <c r="E628" s="26">
        <v>3.0000000000000102</v>
      </c>
      <c r="F628" s="26">
        <v>43.036764705882398</v>
      </c>
      <c r="G628" s="26">
        <v>300.00000000000102</v>
      </c>
      <c r="H628" s="26">
        <v>4003.6764705882401</v>
      </c>
      <c r="I628" s="26">
        <v>15</v>
      </c>
      <c r="J628" s="26">
        <v>17.001838235294201</v>
      </c>
      <c r="K628" s="26">
        <v>5.4662138458032604E-7</v>
      </c>
      <c r="L628" s="26">
        <v>100</v>
      </c>
      <c r="M628" s="26">
        <v>100</v>
      </c>
      <c r="N628" s="14">
        <v>1</v>
      </c>
    </row>
    <row r="630" spans="1:14" x14ac:dyDescent="0.3">
      <c r="A630" s="2" t="s">
        <v>65</v>
      </c>
    </row>
    <row r="631" spans="1:14" x14ac:dyDescent="0.3">
      <c r="A631" s="3" t="s">
        <v>33</v>
      </c>
      <c r="B631" s="4" t="s">
        <v>61</v>
      </c>
      <c r="C631" s="4" t="s">
        <v>79</v>
      </c>
      <c r="D631" s="4" t="s">
        <v>80</v>
      </c>
      <c r="E631" s="4" t="s">
        <v>81</v>
      </c>
      <c r="F631" s="4" t="s">
        <v>82</v>
      </c>
      <c r="G631" s="4" t="s">
        <v>83</v>
      </c>
      <c r="H631" s="4" t="s">
        <v>84</v>
      </c>
      <c r="I631" s="4" t="s">
        <v>85</v>
      </c>
      <c r="J631" s="4" t="s">
        <v>1058</v>
      </c>
      <c r="K631" s="4" t="s">
        <v>1217</v>
      </c>
      <c r="L631" s="4" t="s">
        <v>1213</v>
      </c>
      <c r="M631" s="4" t="s">
        <v>1219</v>
      </c>
      <c r="N631" s="5" t="s">
        <v>89</v>
      </c>
    </row>
    <row r="632" spans="1:14" x14ac:dyDescent="0.3">
      <c r="A632" s="6">
        <v>1</v>
      </c>
      <c r="B632" s="7" t="s">
        <v>49</v>
      </c>
      <c r="C632" s="7">
        <v>132.35294117647101</v>
      </c>
      <c r="D632" s="7">
        <v>26.470588235294102</v>
      </c>
      <c r="E632" s="7">
        <v>8</v>
      </c>
      <c r="F632" s="7">
        <v>45</v>
      </c>
      <c r="G632" s="7">
        <v>211.76470588235301</v>
      </c>
      <c r="H632" s="7">
        <v>1191.1764705882399</v>
      </c>
      <c r="I632" s="7">
        <v>10.588235294117601</v>
      </c>
      <c r="J632" s="7">
        <v>0.59558823529411797</v>
      </c>
      <c r="K632" s="7">
        <v>19148.592129314002</v>
      </c>
      <c r="L632" s="7">
        <v>70.588235294117695</v>
      </c>
      <c r="M632" s="7">
        <v>26.7326732673267</v>
      </c>
      <c r="N632" s="8">
        <v>3.7777777777777799</v>
      </c>
    </row>
    <row r="633" spans="1:14" x14ac:dyDescent="0.3">
      <c r="A633" s="6">
        <v>2</v>
      </c>
      <c r="B633" s="7" t="s">
        <v>51</v>
      </c>
      <c r="C633" s="7">
        <v>367.64705882352899</v>
      </c>
      <c r="D633" s="7">
        <v>73.529411764705898</v>
      </c>
      <c r="E633" s="7">
        <v>1.2</v>
      </c>
      <c r="F633" s="7">
        <v>44.4</v>
      </c>
      <c r="G633" s="7">
        <v>88.235294117647101</v>
      </c>
      <c r="H633" s="7">
        <v>3264.7058823529401</v>
      </c>
      <c r="I633" s="7">
        <v>4.4117647058823497</v>
      </c>
      <c r="J633" s="7">
        <v>1.6323529411764699</v>
      </c>
      <c r="K633" s="7">
        <v>52481.326576638297</v>
      </c>
      <c r="L633" s="7">
        <v>29.411764705882302</v>
      </c>
      <c r="M633" s="7">
        <v>73.267326732673297</v>
      </c>
      <c r="N633" s="8">
        <v>1.36</v>
      </c>
    </row>
    <row r="634" spans="1:14" x14ac:dyDescent="0.3">
      <c r="A634" s="6">
        <v>3</v>
      </c>
      <c r="B634" s="7" t="s">
        <v>48</v>
      </c>
      <c r="C634" s="7">
        <v>500</v>
      </c>
      <c r="D634" s="7">
        <v>100</v>
      </c>
      <c r="E634" s="7">
        <v>3</v>
      </c>
      <c r="F634" s="7">
        <v>12.352941176470599</v>
      </c>
      <c r="G634" s="7">
        <v>300</v>
      </c>
      <c r="H634" s="7">
        <v>4455.8823529411802</v>
      </c>
      <c r="I634" s="7">
        <v>15</v>
      </c>
      <c r="J634" s="7">
        <v>2.2279411764705901</v>
      </c>
      <c r="K634" s="7">
        <v>71629.918705952296</v>
      </c>
      <c r="L634" s="7">
        <v>100</v>
      </c>
      <c r="M634" s="7">
        <v>100</v>
      </c>
      <c r="N634" s="8">
        <v>1</v>
      </c>
    </row>
    <row r="635" spans="1:14" x14ac:dyDescent="0.3">
      <c r="A635" s="6">
        <v>4</v>
      </c>
      <c r="B635" s="7" t="s">
        <v>153</v>
      </c>
      <c r="C635" s="7">
        <v>500</v>
      </c>
      <c r="D635" s="7">
        <v>100</v>
      </c>
      <c r="E635" s="7">
        <v>3</v>
      </c>
      <c r="F635" s="7">
        <v>12.352941176470599</v>
      </c>
      <c r="G635" s="7">
        <v>300</v>
      </c>
      <c r="H635" s="7">
        <v>1235.2941176470599</v>
      </c>
      <c r="I635" s="7">
        <v>15</v>
      </c>
      <c r="J635" s="7">
        <v>0.61764705882352999</v>
      </c>
      <c r="K635" s="7">
        <v>19857.799245214501</v>
      </c>
      <c r="L635" s="7">
        <v>100</v>
      </c>
      <c r="M635" s="7">
        <v>100</v>
      </c>
      <c r="N635" s="8">
        <v>1</v>
      </c>
    </row>
    <row r="636" spans="1:14" x14ac:dyDescent="0.3">
      <c r="A636" s="25">
        <v>5</v>
      </c>
      <c r="B636" s="26" t="s">
        <v>154</v>
      </c>
      <c r="C636" s="26">
        <v>500</v>
      </c>
      <c r="D636" s="26">
        <v>100</v>
      </c>
      <c r="E636" s="26">
        <v>3</v>
      </c>
      <c r="F636" s="26">
        <v>47.558823529411796</v>
      </c>
      <c r="G636" s="26">
        <v>300</v>
      </c>
      <c r="H636" s="26">
        <v>4455.8823529411802</v>
      </c>
      <c r="I636" s="26">
        <v>15</v>
      </c>
      <c r="J636" s="26">
        <v>2.2279411764705901</v>
      </c>
      <c r="K636" s="26">
        <v>71629.918705952296</v>
      </c>
      <c r="L636" s="26">
        <v>100</v>
      </c>
      <c r="M636" s="26">
        <v>100</v>
      </c>
      <c r="N636" s="14">
        <v>1</v>
      </c>
    </row>
    <row r="638" spans="1:14" x14ac:dyDescent="0.3">
      <c r="A638" s="2" t="s">
        <v>94</v>
      </c>
    </row>
    <row r="639" spans="1:14" x14ac:dyDescent="0.3">
      <c r="A639" s="3" t="s">
        <v>33</v>
      </c>
      <c r="B639" s="4" t="s">
        <v>61</v>
      </c>
      <c r="C639" s="4" t="s">
        <v>79</v>
      </c>
      <c r="D639" s="4" t="s">
        <v>80</v>
      </c>
      <c r="E639" s="4" t="s">
        <v>81</v>
      </c>
      <c r="F639" s="4" t="s">
        <v>92</v>
      </c>
      <c r="G639" s="4" t="s">
        <v>83</v>
      </c>
      <c r="H639" s="4" t="s">
        <v>93</v>
      </c>
      <c r="I639" s="4" t="s">
        <v>85</v>
      </c>
      <c r="J639" s="4" t="s">
        <v>95</v>
      </c>
      <c r="K639" s="4" t="s">
        <v>1213</v>
      </c>
      <c r="L639" s="4" t="s">
        <v>1273</v>
      </c>
      <c r="M639" s="5" t="s">
        <v>89</v>
      </c>
    </row>
    <row r="640" spans="1:14" x14ac:dyDescent="0.3">
      <c r="A640" s="6">
        <v>1</v>
      </c>
      <c r="B640" s="7" t="s">
        <v>49</v>
      </c>
      <c r="C640" s="7">
        <v>15.475364330326199</v>
      </c>
      <c r="D640" s="7">
        <v>3.86884108258156</v>
      </c>
      <c r="E640" s="7">
        <v>59.999999999999901</v>
      </c>
      <c r="F640" s="7">
        <v>21.3284753363228</v>
      </c>
      <c r="G640" s="7">
        <v>232.130464954893</v>
      </c>
      <c r="H640" s="7">
        <v>82.516481609993093</v>
      </c>
      <c r="I640" s="7">
        <v>9.2852185981957192</v>
      </c>
      <c r="J640" s="7">
        <v>3.3006592643997199</v>
      </c>
      <c r="K640" s="7">
        <v>80.000000000000099</v>
      </c>
      <c r="L640" s="7">
        <v>10</v>
      </c>
      <c r="M640" s="8">
        <v>25.8475336322869</v>
      </c>
    </row>
    <row r="641" spans="1:18" x14ac:dyDescent="0.3">
      <c r="A641" s="6">
        <v>2</v>
      </c>
      <c r="B641" s="7" t="s">
        <v>50</v>
      </c>
      <c r="C641" s="7">
        <v>52.810548230395597</v>
      </c>
      <c r="D641" s="7">
        <v>13.202637057598899</v>
      </c>
      <c r="E641" s="7">
        <v>2.19776609724047</v>
      </c>
      <c r="F641" s="7">
        <v>50</v>
      </c>
      <c r="G641" s="7">
        <v>29.016308119361501</v>
      </c>
      <c r="H641" s="7">
        <v>660.13185287994497</v>
      </c>
      <c r="I641" s="7">
        <v>1.16065232477446</v>
      </c>
      <c r="J641" s="7">
        <v>26.405274115197798</v>
      </c>
      <c r="K641" s="7">
        <v>9.9999999999999698</v>
      </c>
      <c r="L641" s="7">
        <v>80</v>
      </c>
      <c r="M641" s="8">
        <v>7.5742444152430997</v>
      </c>
    </row>
    <row r="642" spans="1:18" x14ac:dyDescent="0.3">
      <c r="A642" s="6">
        <v>3</v>
      </c>
      <c r="B642" s="7" t="s">
        <v>51</v>
      </c>
      <c r="C642" s="7">
        <v>331.71408743927799</v>
      </c>
      <c r="D642" s="7">
        <v>82.928521859819597</v>
      </c>
      <c r="E642" s="7">
        <v>0.34989539748954002</v>
      </c>
      <c r="F642" s="7">
        <v>0.99503138075313902</v>
      </c>
      <c r="G642" s="7">
        <v>29.0163081193616</v>
      </c>
      <c r="H642" s="7">
        <v>82.516481609993093</v>
      </c>
      <c r="I642" s="7">
        <v>1.16065232477446</v>
      </c>
      <c r="J642" s="7">
        <v>3.3006592643997199</v>
      </c>
      <c r="K642" s="7">
        <v>9.9999999999999893</v>
      </c>
      <c r="L642" s="7">
        <v>10</v>
      </c>
      <c r="M642" s="8">
        <v>1.20585774058577</v>
      </c>
    </row>
    <row r="643" spans="1:18" x14ac:dyDescent="0.3">
      <c r="A643" s="6">
        <v>4</v>
      </c>
      <c r="B643" s="7" t="s">
        <v>48</v>
      </c>
      <c r="C643" s="7">
        <v>400</v>
      </c>
      <c r="D643" s="7">
        <v>100</v>
      </c>
      <c r="E643" s="7">
        <v>2.90163081193616</v>
      </c>
      <c r="F643" s="7">
        <v>8.2516481609993093</v>
      </c>
      <c r="G643" s="7">
        <v>290.16308119361599</v>
      </c>
      <c r="H643" s="7">
        <v>825.16481609993104</v>
      </c>
      <c r="I643" s="7">
        <v>11.606523247744599</v>
      </c>
      <c r="J643" s="7">
        <v>33.006592643997202</v>
      </c>
      <c r="K643" s="7">
        <v>100</v>
      </c>
      <c r="L643" s="7">
        <v>100</v>
      </c>
      <c r="M643" s="8">
        <v>1</v>
      </c>
    </row>
    <row r="644" spans="1:18" x14ac:dyDescent="0.3">
      <c r="A644" s="6">
        <v>5</v>
      </c>
      <c r="B644" s="7" t="s">
        <v>153</v>
      </c>
      <c r="C644" s="7">
        <v>400</v>
      </c>
      <c r="D644" s="7">
        <v>100</v>
      </c>
      <c r="E644" s="7">
        <v>2.90163081193616</v>
      </c>
      <c r="F644" s="7">
        <v>8.2516481609993093</v>
      </c>
      <c r="G644" s="7">
        <v>290.16308119361599</v>
      </c>
      <c r="H644" s="7">
        <v>825.16481609993104</v>
      </c>
      <c r="I644" s="7">
        <v>11.606523247744599</v>
      </c>
      <c r="J644" s="7">
        <v>33.006592643997202</v>
      </c>
      <c r="K644" s="7">
        <v>100</v>
      </c>
      <c r="L644" s="7">
        <v>100</v>
      </c>
      <c r="M644" s="8">
        <v>1</v>
      </c>
    </row>
    <row r="645" spans="1:18" x14ac:dyDescent="0.3">
      <c r="A645" s="25">
        <v>6</v>
      </c>
      <c r="B645" s="26" t="s">
        <v>154</v>
      </c>
      <c r="C645" s="26">
        <v>400</v>
      </c>
      <c r="D645" s="26">
        <v>100</v>
      </c>
      <c r="E645" s="26">
        <v>2.90163081193616</v>
      </c>
      <c r="F645" s="26">
        <v>11.1532789729355</v>
      </c>
      <c r="G645" s="26">
        <v>290.16308119361599</v>
      </c>
      <c r="H645" s="26">
        <v>825.16481609993104</v>
      </c>
      <c r="I645" s="26">
        <v>11.606523247744599</v>
      </c>
      <c r="J645" s="26">
        <v>33.006592643997202</v>
      </c>
      <c r="K645" s="26">
        <v>100</v>
      </c>
      <c r="L645" s="26">
        <v>100</v>
      </c>
      <c r="M645" s="14">
        <v>1</v>
      </c>
    </row>
    <row r="647" spans="1:18" x14ac:dyDescent="0.3">
      <c r="A647" s="2" t="s">
        <v>65</v>
      </c>
    </row>
    <row r="648" spans="1:18" x14ac:dyDescent="0.3">
      <c r="A648" s="3" t="s">
        <v>33</v>
      </c>
      <c r="B648" s="4" t="s">
        <v>61</v>
      </c>
      <c r="C648" s="4" t="s">
        <v>79</v>
      </c>
      <c r="D648" s="4" t="s">
        <v>80</v>
      </c>
      <c r="E648" s="4" t="s">
        <v>157</v>
      </c>
      <c r="F648" s="4" t="s">
        <v>82</v>
      </c>
      <c r="G648" s="4" t="s">
        <v>1215</v>
      </c>
      <c r="H648" s="4" t="s">
        <v>84</v>
      </c>
      <c r="I648" s="4" t="s">
        <v>178</v>
      </c>
      <c r="J648" s="4" t="s">
        <v>1058</v>
      </c>
      <c r="K648" s="4" t="s">
        <v>1217</v>
      </c>
      <c r="L648" s="4" t="s">
        <v>1218</v>
      </c>
      <c r="M648" s="4" t="s">
        <v>1219</v>
      </c>
      <c r="N648" s="5" t="s">
        <v>89</v>
      </c>
    </row>
    <row r="649" spans="1:18" x14ac:dyDescent="0.3">
      <c r="A649" s="6">
        <v>1</v>
      </c>
      <c r="B649" s="7" t="s">
        <v>496</v>
      </c>
      <c r="C649" s="7">
        <v>132.35294117647101</v>
      </c>
      <c r="D649" s="7">
        <v>26.470588235294102</v>
      </c>
      <c r="E649" s="7">
        <v>8</v>
      </c>
      <c r="F649" s="7">
        <v>45</v>
      </c>
      <c r="G649" s="7">
        <v>211.76470588235301</v>
      </c>
      <c r="H649" s="7">
        <v>1191.1764705882399</v>
      </c>
      <c r="I649" s="7">
        <v>10.588235294117601</v>
      </c>
      <c r="J649" s="7">
        <v>0.59558823529411797</v>
      </c>
      <c r="K649" s="7">
        <v>19148.592129314002</v>
      </c>
      <c r="L649" s="7">
        <v>70.588235294117695</v>
      </c>
      <c r="M649" s="7">
        <v>26.7326732673267</v>
      </c>
      <c r="N649" s="8">
        <v>3.7777777777777799</v>
      </c>
    </row>
    <row r="650" spans="1:18" x14ac:dyDescent="0.3">
      <c r="A650" s="6">
        <v>2</v>
      </c>
      <c r="B650" s="7" t="s">
        <v>51</v>
      </c>
      <c r="C650" s="7">
        <v>367.64705882352899</v>
      </c>
      <c r="D650" s="7">
        <v>73.529411764705898</v>
      </c>
      <c r="E650" s="7">
        <v>1.2</v>
      </c>
      <c r="F650" s="7">
        <v>44.4</v>
      </c>
      <c r="G650" s="7">
        <v>88.235294117647101</v>
      </c>
      <c r="H650" s="7">
        <v>3264.7058823529401</v>
      </c>
      <c r="I650" s="7">
        <v>4.4117647058823497</v>
      </c>
      <c r="J650" s="7">
        <v>1.6323529411764699</v>
      </c>
      <c r="K650" s="7">
        <v>52481.326576638297</v>
      </c>
      <c r="L650" s="7">
        <v>29.411764705882302</v>
      </c>
      <c r="M650" s="7">
        <v>73.267326732673297</v>
      </c>
      <c r="N650" s="8">
        <v>1.36</v>
      </c>
    </row>
    <row r="651" spans="1:18" x14ac:dyDescent="0.3">
      <c r="A651" s="6">
        <v>3</v>
      </c>
      <c r="B651" s="7" t="s">
        <v>48</v>
      </c>
      <c r="C651" s="7">
        <v>500</v>
      </c>
      <c r="D651" s="7">
        <v>100</v>
      </c>
      <c r="E651" s="7">
        <v>3</v>
      </c>
      <c r="F651" s="7">
        <v>12.352941176470599</v>
      </c>
      <c r="G651" s="7">
        <v>300</v>
      </c>
      <c r="H651" s="7">
        <v>4455.8823529411802</v>
      </c>
      <c r="I651" s="7">
        <v>15</v>
      </c>
      <c r="J651" s="7">
        <v>2.2279411764705901</v>
      </c>
      <c r="K651" s="7">
        <v>71629.918705952296</v>
      </c>
      <c r="L651" s="7">
        <v>100</v>
      </c>
      <c r="M651" s="7">
        <v>100</v>
      </c>
      <c r="N651" s="8">
        <v>1</v>
      </c>
    </row>
    <row r="652" spans="1:18" x14ac:dyDescent="0.3">
      <c r="A652" s="6">
        <v>4</v>
      </c>
      <c r="B652" s="7" t="s">
        <v>153</v>
      </c>
      <c r="C652" s="7">
        <v>500</v>
      </c>
      <c r="D652" s="7">
        <v>100</v>
      </c>
      <c r="E652" s="7">
        <v>3</v>
      </c>
      <c r="F652" s="7">
        <v>12.352941176470599</v>
      </c>
      <c r="G652" s="7">
        <v>300</v>
      </c>
      <c r="H652" s="7">
        <v>1235.2941176470599</v>
      </c>
      <c r="I652" s="7">
        <v>15</v>
      </c>
      <c r="J652" s="7">
        <v>0.61764705882352999</v>
      </c>
      <c r="K652" s="7">
        <v>19857.799245214501</v>
      </c>
      <c r="L652" s="7">
        <v>100</v>
      </c>
      <c r="M652" s="7">
        <v>100</v>
      </c>
      <c r="N652" s="8">
        <v>1</v>
      </c>
    </row>
    <row r="653" spans="1:18" x14ac:dyDescent="0.3">
      <c r="A653" s="25">
        <v>5</v>
      </c>
      <c r="B653" s="26" t="s">
        <v>154</v>
      </c>
      <c r="C653" s="26">
        <v>500</v>
      </c>
      <c r="D653" s="26">
        <v>100</v>
      </c>
      <c r="E653" s="26">
        <v>3</v>
      </c>
      <c r="F653" s="26">
        <v>47.558823529411796</v>
      </c>
      <c r="G653" s="26">
        <v>300</v>
      </c>
      <c r="H653" s="26">
        <v>4455.8823529411802</v>
      </c>
      <c r="I653" s="26">
        <v>15</v>
      </c>
      <c r="J653" s="26">
        <v>2.2279411764705901</v>
      </c>
      <c r="K653" s="26">
        <v>71629.918705952296</v>
      </c>
      <c r="L653" s="26">
        <v>100</v>
      </c>
      <c r="M653" s="26">
        <v>100</v>
      </c>
      <c r="N653" s="14">
        <v>1</v>
      </c>
    </row>
    <row r="655" spans="1:18" x14ac:dyDescent="0.3">
      <c r="A655" s="2" t="s">
        <v>94</v>
      </c>
    </row>
    <row r="656" spans="1:18" x14ac:dyDescent="0.3">
      <c r="A656" s="3" t="s">
        <v>33</v>
      </c>
      <c r="B656" s="4" t="s">
        <v>61</v>
      </c>
      <c r="C656" s="4" t="s">
        <v>79</v>
      </c>
      <c r="D656" s="4" t="s">
        <v>80</v>
      </c>
      <c r="E656" s="4" t="s">
        <v>157</v>
      </c>
      <c r="F656" s="4" t="s">
        <v>177</v>
      </c>
      <c r="G656" s="4" t="s">
        <v>82</v>
      </c>
      <c r="H656" s="4" t="s">
        <v>1215</v>
      </c>
      <c r="I656" s="4" t="s">
        <v>1227</v>
      </c>
      <c r="J656" s="4" t="s">
        <v>84</v>
      </c>
      <c r="K656" s="4" t="s">
        <v>178</v>
      </c>
      <c r="L656" s="4" t="s">
        <v>179</v>
      </c>
      <c r="M656" s="4" t="s">
        <v>1058</v>
      </c>
      <c r="N656" s="4" t="s">
        <v>1217</v>
      </c>
      <c r="O656" s="4" t="s">
        <v>1218</v>
      </c>
      <c r="P656" s="4" t="s">
        <v>1229</v>
      </c>
      <c r="Q656" s="4" t="s">
        <v>1219</v>
      </c>
      <c r="R656" s="5" t="s">
        <v>89</v>
      </c>
    </row>
    <row r="657" spans="1:18" x14ac:dyDescent="0.3">
      <c r="A657" s="6">
        <v>1</v>
      </c>
      <c r="B657" s="7" t="s">
        <v>496</v>
      </c>
      <c r="C657" s="7">
        <v>15.475364330326199</v>
      </c>
      <c r="D657" s="7">
        <v>3.8688410825815498</v>
      </c>
      <c r="E657" s="7">
        <v>59.999999999999901</v>
      </c>
      <c r="F657" s="7">
        <v>18.076233183856399</v>
      </c>
      <c r="G657" s="7">
        <v>26.335106102890801</v>
      </c>
      <c r="H657" s="7">
        <v>232.130464954893</v>
      </c>
      <c r="I657" s="7">
        <v>69.934073560027599</v>
      </c>
      <c r="J657" s="7">
        <v>101.886340405008</v>
      </c>
      <c r="K657" s="7">
        <v>9.2852185981957103</v>
      </c>
      <c r="L657" s="7">
        <v>2.7973629424011</v>
      </c>
      <c r="M657" s="7">
        <v>4.0754536162003203E-2</v>
      </c>
      <c r="N657" s="7">
        <v>1310.2877863264</v>
      </c>
      <c r="O657" s="7">
        <v>77.376821651630905</v>
      </c>
      <c r="P657" s="7">
        <v>8.7417591950034499</v>
      </c>
      <c r="Q657" s="7">
        <v>52.840819335474698</v>
      </c>
      <c r="R657" s="8">
        <v>25.8475336322869</v>
      </c>
    </row>
    <row r="658" spans="1:18" x14ac:dyDescent="0.3">
      <c r="A658" s="6">
        <v>2</v>
      </c>
      <c r="B658" s="7" t="s">
        <v>509</v>
      </c>
      <c r="C658" s="7">
        <v>52.810548230395597</v>
      </c>
      <c r="D658" s="7">
        <v>13.202637057598899</v>
      </c>
      <c r="E658" s="7">
        <v>2.5703022339027499</v>
      </c>
      <c r="F658" s="7">
        <v>50</v>
      </c>
      <c r="G658" s="7">
        <v>3.4436736787485902</v>
      </c>
      <c r="H658" s="7">
        <v>33.934767522553699</v>
      </c>
      <c r="I658" s="7">
        <v>660.13185287994497</v>
      </c>
      <c r="J658" s="7">
        <v>45.465573725323999</v>
      </c>
      <c r="K658" s="7">
        <v>1.35739070090215</v>
      </c>
      <c r="L658" s="7">
        <v>26.405274115197798</v>
      </c>
      <c r="M658" s="7">
        <v>1.8186229490129598E-2</v>
      </c>
      <c r="N658" s="7">
        <v>584.70041924959003</v>
      </c>
      <c r="O658" s="7">
        <v>11.311589174184601</v>
      </c>
      <c r="P658" s="7">
        <v>82.516481609993093</v>
      </c>
      <c r="Q658" s="7">
        <v>23.579590332262701</v>
      </c>
      <c r="R658" s="8">
        <v>7.5742444152430997</v>
      </c>
    </row>
    <row r="659" spans="1:18" x14ac:dyDescent="0.3">
      <c r="A659" s="6">
        <v>3</v>
      </c>
      <c r="B659" s="7" t="s">
        <v>51</v>
      </c>
      <c r="C659" s="7">
        <v>331.71408743927799</v>
      </c>
      <c r="D659" s="7">
        <v>82.928521859819597</v>
      </c>
      <c r="E659" s="7">
        <v>0.40920502092049998</v>
      </c>
      <c r="F659" s="7">
        <v>0.84330543933054203</v>
      </c>
      <c r="G659" s="7">
        <v>0.54825014006855199</v>
      </c>
      <c r="H659" s="7">
        <v>33.934767522553599</v>
      </c>
      <c r="I659" s="7">
        <v>69.934073560027599</v>
      </c>
      <c r="J659" s="7">
        <v>45.465573725323999</v>
      </c>
      <c r="K659" s="7">
        <v>1.35739070090214</v>
      </c>
      <c r="L659" s="7">
        <v>2.7973629424011</v>
      </c>
      <c r="M659" s="7">
        <v>1.8186229490129598E-2</v>
      </c>
      <c r="N659" s="7">
        <v>584.70041924959003</v>
      </c>
      <c r="O659" s="7">
        <v>11.311589174184499</v>
      </c>
      <c r="P659" s="7">
        <v>8.7417591950034499</v>
      </c>
      <c r="Q659" s="7">
        <v>23.579590332262701</v>
      </c>
      <c r="R659" s="8">
        <v>1.20585774058577</v>
      </c>
    </row>
    <row r="660" spans="1:18" x14ac:dyDescent="0.3">
      <c r="A660" s="6">
        <v>4</v>
      </c>
      <c r="B660" s="7" t="s">
        <v>1214</v>
      </c>
      <c r="C660" s="7">
        <v>400</v>
      </c>
      <c r="D660" s="7">
        <v>100</v>
      </c>
      <c r="E660" s="7">
        <v>3</v>
      </c>
      <c r="F660" s="7">
        <v>8</v>
      </c>
      <c r="G660" s="7">
        <v>1.12841533359368</v>
      </c>
      <c r="H660" s="7">
        <v>300</v>
      </c>
      <c r="I660" s="7">
        <v>800</v>
      </c>
      <c r="J660" s="7">
        <v>192.817487855656</v>
      </c>
      <c r="K660" s="7">
        <v>12</v>
      </c>
      <c r="L660" s="7">
        <v>32</v>
      </c>
      <c r="M660" s="7">
        <v>7.7126995142262497E-2</v>
      </c>
      <c r="N660" s="7">
        <v>2479.6886248255801</v>
      </c>
      <c r="O660" s="7">
        <v>100</v>
      </c>
      <c r="P660" s="7">
        <v>100</v>
      </c>
      <c r="Q660" s="7">
        <v>100</v>
      </c>
      <c r="R660" s="8">
        <v>1</v>
      </c>
    </row>
    <row r="661" spans="1:18" x14ac:dyDescent="0.3">
      <c r="A661" s="6">
        <v>5</v>
      </c>
      <c r="B661" s="7" t="s">
        <v>153</v>
      </c>
      <c r="C661" s="7">
        <v>400</v>
      </c>
      <c r="D661" s="7">
        <v>100</v>
      </c>
      <c r="E661" s="7">
        <v>3</v>
      </c>
      <c r="F661" s="7">
        <v>8</v>
      </c>
      <c r="G661" s="7">
        <v>1.12841533359368</v>
      </c>
      <c r="H661" s="7">
        <v>300</v>
      </c>
      <c r="I661" s="7">
        <v>800</v>
      </c>
      <c r="J661" s="7">
        <v>112.841533359368</v>
      </c>
      <c r="K661" s="7">
        <v>12</v>
      </c>
      <c r="L661" s="7">
        <v>32</v>
      </c>
      <c r="M661" s="7">
        <v>4.5136613343747203E-2</v>
      </c>
      <c r="N661" s="7">
        <v>1451.17473415362</v>
      </c>
      <c r="O661" s="7">
        <v>100</v>
      </c>
      <c r="P661" s="7">
        <v>100</v>
      </c>
      <c r="Q661" s="7">
        <v>100</v>
      </c>
      <c r="R661" s="8">
        <v>1</v>
      </c>
    </row>
    <row r="662" spans="1:18" x14ac:dyDescent="0.3">
      <c r="A662" s="25">
        <v>6</v>
      </c>
      <c r="B662" s="26" t="s">
        <v>154</v>
      </c>
      <c r="C662" s="26">
        <v>400</v>
      </c>
      <c r="D662" s="26">
        <v>100</v>
      </c>
      <c r="E662" s="26">
        <v>3</v>
      </c>
      <c r="F662" s="26">
        <v>11</v>
      </c>
      <c r="G662" s="26">
        <v>12.9281748785566</v>
      </c>
      <c r="H662" s="26">
        <v>300</v>
      </c>
      <c r="I662" s="26">
        <v>800</v>
      </c>
      <c r="J662" s="26">
        <v>192.817487855656</v>
      </c>
      <c r="K662" s="26">
        <v>12</v>
      </c>
      <c r="L662" s="26">
        <v>32</v>
      </c>
      <c r="M662" s="26">
        <v>7.7126995142262497E-2</v>
      </c>
      <c r="N662" s="26">
        <v>2479.6886248255801</v>
      </c>
      <c r="O662" s="26">
        <v>100</v>
      </c>
      <c r="P662" s="26">
        <v>100</v>
      </c>
      <c r="Q662" s="26">
        <v>100</v>
      </c>
      <c r="R662" s="14">
        <v>1</v>
      </c>
    </row>
    <row r="664" spans="1:18" x14ac:dyDescent="0.3">
      <c r="A664" s="2" t="s">
        <v>65</v>
      </c>
    </row>
    <row r="665" spans="1:18" x14ac:dyDescent="0.3">
      <c r="A665" s="3" t="s">
        <v>33</v>
      </c>
      <c r="B665" s="4" t="s">
        <v>61</v>
      </c>
      <c r="C665" s="4" t="s">
        <v>79</v>
      </c>
      <c r="D665" s="4" t="s">
        <v>80</v>
      </c>
      <c r="E665" s="4" t="s">
        <v>81</v>
      </c>
      <c r="F665" s="4" t="s">
        <v>83</v>
      </c>
      <c r="G665" s="4" t="s">
        <v>85</v>
      </c>
      <c r="H665" s="4" t="s">
        <v>1213</v>
      </c>
      <c r="I665" s="5" t="s">
        <v>89</v>
      </c>
    </row>
    <row r="666" spans="1:18" x14ac:dyDescent="0.3">
      <c r="A666" s="6">
        <v>1</v>
      </c>
      <c r="B666" s="7" t="s">
        <v>49</v>
      </c>
      <c r="C666" s="7">
        <v>132.35294117647101</v>
      </c>
      <c r="D666" s="7">
        <f>(C666/$C$668)*100</f>
        <v>26.470588235294201</v>
      </c>
      <c r="E666" s="7">
        <v>8</v>
      </c>
      <c r="F666" s="7">
        <f>(C666*E666*100)/C668</f>
        <v>211.76470588235361</v>
      </c>
      <c r="G666" s="7">
        <f>(C666*E666/100)</f>
        <v>10.58823529411768</v>
      </c>
      <c r="H666" s="7">
        <f>((C666*E666)/SUM(C666*E666,C667*E667))*100</f>
        <v>70.588235294117737</v>
      </c>
      <c r="I666" s="8">
        <f>C666/C668</f>
        <v>0.26470588235294201</v>
      </c>
    </row>
    <row r="667" spans="1:18" x14ac:dyDescent="0.3">
      <c r="A667" s="6">
        <v>2</v>
      </c>
      <c r="B667" s="7" t="s">
        <v>51</v>
      </c>
      <c r="C667" s="7">
        <v>367.64705882352899</v>
      </c>
      <c r="D667" s="7">
        <f>(C667/$C$668)*100</f>
        <v>73.529411764705799</v>
      </c>
      <c r="E667" s="7">
        <v>1.2</v>
      </c>
      <c r="F667" s="7">
        <f>(C667*E667*100)/C668</f>
        <v>88.235294117646959</v>
      </c>
      <c r="G667" s="7">
        <f>(C667*E667/100)</f>
        <v>4.4117647058823479</v>
      </c>
      <c r="H667" s="7">
        <f>((C667*E667)/SUM(C666*E666,C667*E667))*100</f>
        <v>29.411764705882266</v>
      </c>
      <c r="I667" s="8">
        <f>C667/C668</f>
        <v>0.73529411764705799</v>
      </c>
    </row>
    <row r="668" spans="1:18" x14ac:dyDescent="0.3">
      <c r="A668" s="6">
        <v>3</v>
      </c>
      <c r="B668" s="7" t="s">
        <v>48</v>
      </c>
      <c r="C668" s="7">
        <v>500</v>
      </c>
      <c r="D668" s="7">
        <f>SUM(D666:D667)</f>
        <v>100</v>
      </c>
      <c r="E668" s="7">
        <v>3</v>
      </c>
      <c r="F668" s="7">
        <f>SUM(F666:F667)</f>
        <v>300.00000000000057</v>
      </c>
      <c r="G668" s="7">
        <f>SUM(G666:G667)</f>
        <v>15.000000000000028</v>
      </c>
      <c r="H668" s="7">
        <f>SUM(H666:H667)</f>
        <v>100</v>
      </c>
      <c r="I668" s="8">
        <f>C668/C668</f>
        <v>1</v>
      </c>
    </row>
    <row r="669" spans="1:18" x14ac:dyDescent="0.3">
      <c r="A669" s="6">
        <v>4</v>
      </c>
      <c r="B669" s="7" t="s">
        <v>153</v>
      </c>
      <c r="C669" s="7">
        <f>SUM(C666:C667)</f>
        <v>500</v>
      </c>
      <c r="D669" s="7">
        <f>SUM(D666:D667)</f>
        <v>100</v>
      </c>
      <c r="E669" s="7">
        <f>E668</f>
        <v>3</v>
      </c>
      <c r="F669" s="7">
        <f>(E669*100)</f>
        <v>300</v>
      </c>
      <c r="G669" s="7">
        <f>(C669*E669/100)</f>
        <v>15</v>
      </c>
      <c r="H669" s="7">
        <f>(SUM(C666*E666,C667*E667)/(C668*E668))*100</f>
        <v>100.00000000000017</v>
      </c>
      <c r="I669" s="8">
        <f>C669/C668</f>
        <v>1</v>
      </c>
    </row>
    <row r="670" spans="1:18" x14ac:dyDescent="0.3">
      <c r="A670" s="25">
        <v>5</v>
      </c>
      <c r="B670" s="26" t="s">
        <v>154</v>
      </c>
      <c r="C670" s="26">
        <f>SUM(C666:C667)</f>
        <v>500</v>
      </c>
      <c r="D670" s="26">
        <f>SUM(D666:D667)</f>
        <v>100</v>
      </c>
      <c r="E670" s="26">
        <f>SUM((C666*E666),(C667*E667))/C668</f>
        <v>3.0000000000000053</v>
      </c>
      <c r="F670" s="26">
        <f>SUM(F666:F667)</f>
        <v>300.00000000000057</v>
      </c>
      <c r="G670" s="26">
        <f>SUM(G666:G667)</f>
        <v>15.000000000000028</v>
      </c>
      <c r="H670" s="26">
        <f>SUM(H666:H667)</f>
        <v>100</v>
      </c>
      <c r="I670" s="14">
        <f>C670/C668</f>
        <v>1</v>
      </c>
    </row>
    <row r="672" spans="1:18" x14ac:dyDescent="0.3">
      <c r="A672" s="2" t="s">
        <v>94</v>
      </c>
    </row>
    <row r="673" spans="1:17" x14ac:dyDescent="0.3">
      <c r="A673" s="3" t="s">
        <v>33</v>
      </c>
      <c r="B673" s="4" t="s">
        <v>61</v>
      </c>
      <c r="C673" s="4" t="s">
        <v>79</v>
      </c>
      <c r="D673" s="4" t="s">
        <v>80</v>
      </c>
      <c r="E673" s="4" t="s">
        <v>81</v>
      </c>
      <c r="F673" s="4" t="s">
        <v>92</v>
      </c>
      <c r="G673" s="4" t="s">
        <v>1269</v>
      </c>
      <c r="H673" s="4" t="s">
        <v>83</v>
      </c>
      <c r="I673" s="4" t="s">
        <v>93</v>
      </c>
      <c r="J673" s="4" t="s">
        <v>1270</v>
      </c>
      <c r="K673" s="4" t="s">
        <v>85</v>
      </c>
      <c r="L673" s="4" t="s">
        <v>95</v>
      </c>
      <c r="M673" s="4" t="s">
        <v>1271</v>
      </c>
      <c r="N673" s="4" t="s">
        <v>1213</v>
      </c>
      <c r="O673" s="4" t="s">
        <v>1273</v>
      </c>
      <c r="P673" s="4" t="s">
        <v>1272</v>
      </c>
      <c r="Q673" s="5" t="s">
        <v>89</v>
      </c>
    </row>
    <row r="674" spans="1:17" x14ac:dyDescent="0.3">
      <c r="A674" s="6">
        <v>1</v>
      </c>
      <c r="B674" s="7" t="s">
        <v>49</v>
      </c>
      <c r="C674" s="7">
        <v>15.475364330326199</v>
      </c>
      <c r="D674" s="7">
        <f>(C674/$C$677)*100</f>
        <v>3.8688410825815498</v>
      </c>
      <c r="E674" s="7">
        <v>59.999999999999901</v>
      </c>
      <c r="F674" s="7">
        <v>18.076233183856399</v>
      </c>
      <c r="G674" s="7">
        <v>26.335106102890801</v>
      </c>
      <c r="H674" s="7">
        <f>(C674*E674*100)/C677</f>
        <v>232.1304649548926</v>
      </c>
      <c r="I674" s="7">
        <f>(C674*F674*100)/C677</f>
        <v>69.934073560027528</v>
      </c>
      <c r="J674" s="7">
        <f>(C674*G674*100)/C677</f>
        <v>101.88634040500803</v>
      </c>
      <c r="K674" s="7">
        <f>(C674*E674/100)</f>
        <v>9.2852185981957049</v>
      </c>
      <c r="L674" s="7">
        <f>(C674*F674/100)</f>
        <v>2.7973629424011013</v>
      </c>
      <c r="M674" s="7">
        <f>(C674*G674)/(1000^2)</f>
        <v>4.0754536162003208E-4</v>
      </c>
      <c r="N674" s="7">
        <f>((C674*E674)/SUM(C674*E674,C675*E675,C676*E676))*100</f>
        <v>77.376821651630905</v>
      </c>
      <c r="O674" s="7">
        <f>((C674*F674)/SUM(C674*F674,C675*F675,C676*F676))*100</f>
        <v>8.741759195003441</v>
      </c>
      <c r="P674" s="7">
        <f>((C674*G674)/SUM(C674*G674,C675*G675,C676*G676))*100</f>
        <v>52.840819335474656</v>
      </c>
      <c r="Q674" s="8">
        <f>C674/C677</f>
        <v>3.8688410825815499E-2</v>
      </c>
    </row>
    <row r="675" spans="1:17" x14ac:dyDescent="0.3">
      <c r="A675" s="6">
        <v>2</v>
      </c>
      <c r="B675" s="7" t="s">
        <v>50</v>
      </c>
      <c r="C675" s="7">
        <v>52.810548230395597</v>
      </c>
      <c r="D675" s="7">
        <f>(C675/$C$677)*100</f>
        <v>13.202637057598899</v>
      </c>
      <c r="E675" s="7">
        <v>2.5703022339027499</v>
      </c>
      <c r="F675" s="7">
        <v>50</v>
      </c>
      <c r="G675" s="7">
        <v>3.4436736787485902</v>
      </c>
      <c r="H675" s="7">
        <f>(C675*E675*100)/C677</f>
        <v>33.934767522553678</v>
      </c>
      <c r="I675" s="7">
        <f>(C675*F675*100)/C677</f>
        <v>660.13185287994497</v>
      </c>
      <c r="J675" s="7">
        <f>(C675*G675*100)/C677</f>
        <v>45.465573725324063</v>
      </c>
      <c r="K675" s="7">
        <f>(C675*E675/100)</f>
        <v>1.3573907009021471</v>
      </c>
      <c r="L675" s="7">
        <f>(C675*F675/100)</f>
        <v>26.405274115197798</v>
      </c>
      <c r="M675" s="7">
        <f>(C675*G675)/(1000^2)</f>
        <v>1.8186229490129626E-4</v>
      </c>
      <c r="N675" s="7">
        <f>((C675*E675)/SUM(C674*E674,C675*E675,C676*E676))*100</f>
        <v>11.311589174184565</v>
      </c>
      <c r="O675" s="7">
        <f>((C675*F675)/SUM(C674*F674,C675*F675,C676*F676))*100</f>
        <v>82.516481609993122</v>
      </c>
      <c r="P675" s="7">
        <f>((C675*G675)/SUM(C674*G674,C675*G675,C676*G676))*100</f>
        <v>23.579590332262683</v>
      </c>
      <c r="Q675" s="8">
        <f>C675/C677</f>
        <v>0.13202637057598898</v>
      </c>
    </row>
    <row r="676" spans="1:17" x14ac:dyDescent="0.3">
      <c r="A676" s="6">
        <v>3</v>
      </c>
      <c r="B676" s="7" t="s">
        <v>51</v>
      </c>
      <c r="C676" s="7">
        <v>331.71408743927799</v>
      </c>
      <c r="D676" s="7">
        <f>(C676/$C$677)*100</f>
        <v>82.928521859819497</v>
      </c>
      <c r="E676" s="7">
        <v>0.40920502092049998</v>
      </c>
      <c r="F676" s="7">
        <v>0.84330543933054203</v>
      </c>
      <c r="G676" s="7">
        <v>0.54825014006855199</v>
      </c>
      <c r="H676" s="7">
        <f>(C676*E676*100)/C677</f>
        <v>33.934767522553578</v>
      </c>
      <c r="I676" s="7">
        <f>(C676*F676*100)/C677</f>
        <v>69.934073560027542</v>
      </c>
      <c r="J676" s="7">
        <f>(C676*G676*100)/C677</f>
        <v>45.465573725324013</v>
      </c>
      <c r="K676" s="7">
        <f>(C676*E676/100)</f>
        <v>1.3573907009021431</v>
      </c>
      <c r="L676" s="7">
        <f>(C676*F676/100)</f>
        <v>2.7973629424011017</v>
      </c>
      <c r="M676" s="7">
        <f>(C676*G676)/(1000^2)</f>
        <v>1.8186229490129607E-4</v>
      </c>
      <c r="N676" s="7">
        <f>((C676*E676)/SUM(C674*E674,C675*E675,C676*E676))*100</f>
        <v>11.311589174184533</v>
      </c>
      <c r="O676" s="7">
        <f>((C676*F676)/SUM(C674*F674,C675*F675,C676*F676))*100</f>
        <v>8.7417591950034428</v>
      </c>
      <c r="P676" s="7">
        <f>((C676*G676)/SUM(C674*G674,C675*G675,C676*G676))*100</f>
        <v>23.579590332262658</v>
      </c>
      <c r="Q676" s="8">
        <f>C676/C677</f>
        <v>0.82928521859819493</v>
      </c>
    </row>
    <row r="677" spans="1:17" x14ac:dyDescent="0.3">
      <c r="A677" s="6">
        <v>4</v>
      </c>
      <c r="B677" s="7" t="s">
        <v>48</v>
      </c>
      <c r="C677" s="7">
        <v>400</v>
      </c>
      <c r="D677" s="7">
        <f>SUM(D674:D676)</f>
        <v>99.999999999999943</v>
      </c>
      <c r="E677" s="7">
        <v>3</v>
      </c>
      <c r="F677" s="7">
        <v>8</v>
      </c>
      <c r="G677" s="7">
        <v>1.12841533359368</v>
      </c>
      <c r="H677" s="7">
        <f t="shared" ref="H677:P677" si="5">SUM(H674:H676)</f>
        <v>299.99999999999983</v>
      </c>
      <c r="I677" s="7">
        <f t="shared" si="5"/>
        <v>800</v>
      </c>
      <c r="J677" s="7">
        <f t="shared" si="5"/>
        <v>192.81748785565611</v>
      </c>
      <c r="K677" s="7">
        <f t="shared" si="5"/>
        <v>11.999999999999996</v>
      </c>
      <c r="L677" s="7">
        <f t="shared" si="5"/>
        <v>32</v>
      </c>
      <c r="M677" s="7">
        <f t="shared" si="5"/>
        <v>7.7126995142262438E-4</v>
      </c>
      <c r="N677" s="7">
        <f t="shared" si="5"/>
        <v>100</v>
      </c>
      <c r="O677" s="7">
        <f t="shared" si="5"/>
        <v>100</v>
      </c>
      <c r="P677" s="7">
        <f t="shared" si="5"/>
        <v>100</v>
      </c>
      <c r="Q677" s="8">
        <f>C677/C677</f>
        <v>1</v>
      </c>
    </row>
    <row r="678" spans="1:17" x14ac:dyDescent="0.3">
      <c r="A678" s="6">
        <v>5</v>
      </c>
      <c r="B678" s="7" t="s">
        <v>153</v>
      </c>
      <c r="C678" s="7">
        <f>SUM(C674:C676)</f>
        <v>399.99999999999977</v>
      </c>
      <c r="D678" s="7">
        <f>SUM(D674:D676)</f>
        <v>99.999999999999943</v>
      </c>
      <c r="E678" s="7">
        <f>E677</f>
        <v>3</v>
      </c>
      <c r="F678" s="7">
        <f>F677</f>
        <v>8</v>
      </c>
      <c r="G678" s="7">
        <f>G677</f>
        <v>1.12841533359368</v>
      </c>
      <c r="H678" s="7">
        <f>(E678*100)</f>
        <v>300</v>
      </c>
      <c r="I678" s="7">
        <f>(F678*100)</f>
        <v>800</v>
      </c>
      <c r="J678" s="7">
        <f>(G678*100)</f>
        <v>112.841533359368</v>
      </c>
      <c r="K678" s="7">
        <f>(C678*E678/100)</f>
        <v>11.999999999999993</v>
      </c>
      <c r="L678" s="7">
        <f>(C678*F678/100)</f>
        <v>31.999999999999982</v>
      </c>
      <c r="M678" s="7">
        <f>(C678*G678)/(1000^2)</f>
        <v>4.5136613343747171E-4</v>
      </c>
      <c r="N678" s="7">
        <f>(SUM(C674*E674,C675*E675,C676*E676)/(C677*E677))*100</f>
        <v>99.999999999999943</v>
      </c>
      <c r="O678" s="7">
        <f>(SUM(C674*F674,C675*F675,C676*F676)/(C677*F677))*100</f>
        <v>100</v>
      </c>
      <c r="P678" s="7">
        <f>(SUM(C674*G674,C675*G675,C676*G676)/(C677*G677))*100</f>
        <v>170.87457261112144</v>
      </c>
      <c r="Q678" s="8">
        <f>C678/C677</f>
        <v>0.99999999999999944</v>
      </c>
    </row>
    <row r="679" spans="1:17" x14ac:dyDescent="0.3">
      <c r="A679" s="25">
        <v>6</v>
      </c>
      <c r="B679" s="26" t="s">
        <v>154</v>
      </c>
      <c r="C679" s="26">
        <f>SUM(C674:C676)</f>
        <v>399.99999999999977</v>
      </c>
      <c r="D679" s="26">
        <f>SUM(D674:D676)</f>
        <v>99.999999999999943</v>
      </c>
      <c r="E679" s="26">
        <f>SUM((C674*E674),(C675*E675),(C676*E676))/C677</f>
        <v>2.9999999999999982</v>
      </c>
      <c r="F679" s="26">
        <f>SUM((C674*F674),(C675*F675),(C676*F676))/C677</f>
        <v>8</v>
      </c>
      <c r="G679" s="26">
        <f>SUM((C674*G674),(C675*G675),(C676*G676))/C677</f>
        <v>1.9281748785565611</v>
      </c>
      <c r="H679" s="26">
        <f t="shared" ref="H679:P679" si="6">SUM(H674:H676)</f>
        <v>299.99999999999983</v>
      </c>
      <c r="I679" s="26">
        <f t="shared" si="6"/>
        <v>800</v>
      </c>
      <c r="J679" s="26">
        <f t="shared" si="6"/>
        <v>192.81748785565611</v>
      </c>
      <c r="K679" s="26">
        <f t="shared" si="6"/>
        <v>11.999999999999996</v>
      </c>
      <c r="L679" s="26">
        <f t="shared" si="6"/>
        <v>32</v>
      </c>
      <c r="M679" s="26">
        <f t="shared" si="6"/>
        <v>7.7126995142262438E-4</v>
      </c>
      <c r="N679" s="26">
        <f t="shared" si="6"/>
        <v>100</v>
      </c>
      <c r="O679" s="26">
        <f t="shared" si="6"/>
        <v>100</v>
      </c>
      <c r="P679" s="26">
        <f t="shared" si="6"/>
        <v>100</v>
      </c>
      <c r="Q679" s="14">
        <f>C679/C677</f>
        <v>0.99999999999999944</v>
      </c>
    </row>
    <row r="681" spans="1:17" x14ac:dyDescent="0.3">
      <c r="A681" s="2" t="s">
        <v>94</v>
      </c>
    </row>
    <row r="682" spans="1:17" x14ac:dyDescent="0.3">
      <c r="A682" s="3" t="s">
        <v>33</v>
      </c>
      <c r="B682" s="4" t="s">
        <v>61</v>
      </c>
      <c r="C682" s="4" t="s">
        <v>79</v>
      </c>
      <c r="D682" s="4" t="s">
        <v>80</v>
      </c>
      <c r="E682" s="4" t="s">
        <v>81</v>
      </c>
      <c r="F682" s="4" t="s">
        <v>92</v>
      </c>
      <c r="G682" s="4" t="s">
        <v>1269</v>
      </c>
      <c r="H682" s="4" t="s">
        <v>83</v>
      </c>
      <c r="I682" s="4" t="s">
        <v>93</v>
      </c>
      <c r="J682" s="4" t="s">
        <v>1270</v>
      </c>
      <c r="K682" s="4" t="s">
        <v>85</v>
      </c>
      <c r="L682" s="4" t="s">
        <v>95</v>
      </c>
      <c r="M682" s="4" t="s">
        <v>1271</v>
      </c>
      <c r="N682" s="4" t="s">
        <v>1213</v>
      </c>
      <c r="O682" s="4" t="s">
        <v>1273</v>
      </c>
      <c r="P682" s="4" t="s">
        <v>1272</v>
      </c>
      <c r="Q682" s="5" t="s">
        <v>89</v>
      </c>
    </row>
    <row r="683" spans="1:17" x14ac:dyDescent="0.3">
      <c r="A683" s="6">
        <v>1</v>
      </c>
      <c r="B683" s="7" t="s">
        <v>49</v>
      </c>
      <c r="C683" s="7">
        <v>15.475364330326199</v>
      </c>
      <c r="D683" s="7">
        <f>(C683/$C$686)*100</f>
        <v>3.8688410825815498</v>
      </c>
      <c r="E683" s="7">
        <v>59.999999999999901</v>
      </c>
      <c r="F683" s="7">
        <v>18.076233183856399</v>
      </c>
      <c r="G683" s="7">
        <v>26.335106102890801</v>
      </c>
      <c r="H683" s="7">
        <f>(C683*E683*100)/C686</f>
        <v>232.1304649548926</v>
      </c>
      <c r="I683" s="7">
        <f>(C683*F683*100)/C686</f>
        <v>69.934073560027528</v>
      </c>
      <c r="J683" s="7">
        <f>(C683*G683*100)/C686</f>
        <v>101.88634040500803</v>
      </c>
      <c r="K683" s="7">
        <f>(C683*E683/100)</f>
        <v>9.2852185981957049</v>
      </c>
      <c r="L683" s="7">
        <f>(C683*F683/100)</f>
        <v>2.7973629424011013</v>
      </c>
      <c r="M683" s="7">
        <f>(C683*G683)/(1000^2)</f>
        <v>4.0754536162003208E-4</v>
      </c>
      <c r="N683" s="7">
        <f>((C683*E683)/SUM(C683*E683,C684*E684,C685*E685))*100</f>
        <v>77.376821651630905</v>
      </c>
      <c r="O683" s="7">
        <f>((C683*F683)/SUM(C683*F683,C684*F684,C685*F685))*100</f>
        <v>8.741759195003441</v>
      </c>
      <c r="P683" s="7">
        <f>((C683*G683)/SUM(C683*G683,C684*G684,C685*G685))*100</f>
        <v>52.840819335474656</v>
      </c>
      <c r="Q683" s="8">
        <f>C686/C683</f>
        <v>25.847533632286932</v>
      </c>
    </row>
    <row r="684" spans="1:17" x14ac:dyDescent="0.3">
      <c r="A684" s="6">
        <v>2</v>
      </c>
      <c r="B684" s="7" t="s">
        <v>50</v>
      </c>
      <c r="C684" s="7">
        <v>52.810548230395597</v>
      </c>
      <c r="D684" s="7">
        <f>(C684/$C$686)*100</f>
        <v>13.202637057598899</v>
      </c>
      <c r="E684" s="7">
        <v>2.5703022339027499</v>
      </c>
      <c r="F684" s="7">
        <v>50</v>
      </c>
      <c r="G684" s="7">
        <v>3.4436736787485902</v>
      </c>
      <c r="H684" s="7">
        <f>(C684*E684*100)/C686</f>
        <v>33.934767522553678</v>
      </c>
      <c r="I684" s="7">
        <f>(C684*F684*100)/C686</f>
        <v>660.13185287994497</v>
      </c>
      <c r="J684" s="7">
        <f>(C684*G684*100)/C686</f>
        <v>45.465573725324063</v>
      </c>
      <c r="K684" s="7">
        <f>(C684*E684/100)</f>
        <v>1.3573907009021471</v>
      </c>
      <c r="L684" s="7">
        <f>(C684*F684/100)</f>
        <v>26.405274115197798</v>
      </c>
      <c r="M684" s="7">
        <f>(C684*G684)/(1000^2)</f>
        <v>1.8186229490129626E-4</v>
      </c>
      <c r="N684" s="7">
        <f>((C684*E684)/SUM(C683*E683,C684*E684,C685*E685))*100</f>
        <v>11.311589174184565</v>
      </c>
      <c r="O684" s="7">
        <f>((C684*F684)/SUM(C683*F683,C684*F684,C685*F685))*100</f>
        <v>82.516481609993122</v>
      </c>
      <c r="P684" s="7">
        <f>((C684*G684)/SUM(C683*G683,C684*G684,C685*G685))*100</f>
        <v>23.579590332262683</v>
      </c>
      <c r="Q684" s="8">
        <f>C686/C684</f>
        <v>7.5742444152430961</v>
      </c>
    </row>
    <row r="685" spans="1:17" x14ac:dyDescent="0.3">
      <c r="A685" s="6">
        <v>3</v>
      </c>
      <c r="B685" s="7" t="s">
        <v>51</v>
      </c>
      <c r="C685" s="7">
        <v>331.71408743927799</v>
      </c>
      <c r="D685" s="7">
        <f>(C685/$C$686)*100</f>
        <v>82.928521859819497</v>
      </c>
      <c r="E685" s="7">
        <v>0.40920502092049998</v>
      </c>
      <c r="F685" s="7">
        <v>0.84330543933054203</v>
      </c>
      <c r="G685" s="7">
        <v>0.54825014006855199</v>
      </c>
      <c r="H685" s="7">
        <f>(C685*E685*100)/C686</f>
        <v>33.934767522553578</v>
      </c>
      <c r="I685" s="7">
        <f>(C685*F685*100)/C686</f>
        <v>69.934073560027542</v>
      </c>
      <c r="J685" s="7">
        <f>(C685*G685*100)/C686</f>
        <v>45.465573725324013</v>
      </c>
      <c r="K685" s="7">
        <f>(C685*E685/100)</f>
        <v>1.3573907009021431</v>
      </c>
      <c r="L685" s="7">
        <f>(C685*F685/100)</f>
        <v>2.7973629424011017</v>
      </c>
      <c r="M685" s="7">
        <f>(C685*G685)/(1000^2)</f>
        <v>1.8186229490129607E-4</v>
      </c>
      <c r="N685" s="7">
        <f>((C685*E685)/SUM(C683*E683,C684*E684,C685*E685))*100</f>
        <v>11.311589174184533</v>
      </c>
      <c r="O685" s="7">
        <f>((C685*F685)/SUM(C683*F683,C684*F684,C685*F685))*100</f>
        <v>8.7417591950034428</v>
      </c>
      <c r="P685" s="7">
        <f>((C685*G685)/SUM(C683*G683,C684*G684,C685*G685))*100</f>
        <v>23.579590332262658</v>
      </c>
      <c r="Q685" s="8">
        <f>C686/C685</f>
        <v>1.2058577405857751</v>
      </c>
    </row>
    <row r="686" spans="1:17" x14ac:dyDescent="0.3">
      <c r="A686" s="6">
        <v>4</v>
      </c>
      <c r="B686" s="7" t="s">
        <v>48</v>
      </c>
      <c r="C686" s="7">
        <v>400</v>
      </c>
      <c r="D686" s="7">
        <f>SUM(D683:D685)</f>
        <v>99.999999999999943</v>
      </c>
      <c r="E686" s="7">
        <v>3</v>
      </c>
      <c r="F686" s="7">
        <v>8</v>
      </c>
      <c r="G686" s="7">
        <v>1.12841533359368</v>
      </c>
      <c r="H686" s="7">
        <f t="shared" ref="H686:P686" si="7">SUM(H683:H685)</f>
        <v>299.99999999999983</v>
      </c>
      <c r="I686" s="7">
        <f t="shared" si="7"/>
        <v>800</v>
      </c>
      <c r="J686" s="7">
        <f t="shared" si="7"/>
        <v>192.81748785565611</v>
      </c>
      <c r="K686" s="7">
        <f t="shared" si="7"/>
        <v>11.999999999999996</v>
      </c>
      <c r="L686" s="7">
        <f t="shared" si="7"/>
        <v>32</v>
      </c>
      <c r="M686" s="7">
        <f t="shared" si="7"/>
        <v>7.7126995142262438E-4</v>
      </c>
      <c r="N686" s="7">
        <f t="shared" si="7"/>
        <v>100</v>
      </c>
      <c r="O686" s="7">
        <f t="shared" si="7"/>
        <v>100</v>
      </c>
      <c r="P686" s="7">
        <f t="shared" si="7"/>
        <v>100</v>
      </c>
      <c r="Q686" s="8">
        <f>C686/C686</f>
        <v>1</v>
      </c>
    </row>
    <row r="687" spans="1:17" x14ac:dyDescent="0.3">
      <c r="A687" s="6">
        <v>5</v>
      </c>
      <c r="B687" s="7" t="s">
        <v>153</v>
      </c>
      <c r="C687" s="7">
        <f>SUM(C683:C685)</f>
        <v>399.99999999999977</v>
      </c>
      <c r="D687" s="7">
        <f>SUM(D683:D685)</f>
        <v>99.999999999999943</v>
      </c>
      <c r="E687" s="7">
        <f>E686</f>
        <v>3</v>
      </c>
      <c r="F687" s="7">
        <f>F686</f>
        <v>8</v>
      </c>
      <c r="G687" s="7">
        <f>G686</f>
        <v>1.12841533359368</v>
      </c>
      <c r="H687" s="7">
        <f>(E687*100)</f>
        <v>300</v>
      </c>
      <c r="I687" s="7">
        <f>(F687*100)</f>
        <v>800</v>
      </c>
      <c r="J687" s="7">
        <f>(G687*100)</f>
        <v>112.841533359368</v>
      </c>
      <c r="K687" s="7">
        <f>(C687*E687/100)</f>
        <v>11.999999999999993</v>
      </c>
      <c r="L687" s="7">
        <f>(C687*F687/100)</f>
        <v>31.999999999999982</v>
      </c>
      <c r="M687" s="7">
        <f>(C687*G687)/(1000^2)</f>
        <v>4.5136613343747171E-4</v>
      </c>
      <c r="N687" s="7">
        <f>(SUM(C683*E683,C684*E684,C685*E685)/(C686*E686))*100</f>
        <v>99.999999999999943</v>
      </c>
      <c r="O687" s="7">
        <f>(SUM(C683*F683,C684*F684,C685*F685)/(C686*F686))*100</f>
        <v>100</v>
      </c>
      <c r="P687" s="7">
        <f>(SUM(C683*G683,C684*G684,C685*G685)/(C686*G686))*100</f>
        <v>170.87457261112144</v>
      </c>
      <c r="Q687" s="8">
        <f>C687/C686</f>
        <v>0.99999999999999944</v>
      </c>
    </row>
    <row r="688" spans="1:17" x14ac:dyDescent="0.3">
      <c r="A688" s="25">
        <v>6</v>
      </c>
      <c r="B688" s="26" t="s">
        <v>154</v>
      </c>
      <c r="C688" s="26">
        <f>SUM(C683:C685)</f>
        <v>399.99999999999977</v>
      </c>
      <c r="D688" s="26">
        <f>SUM(D683:D685)</f>
        <v>99.999999999999943</v>
      </c>
      <c r="E688" s="26">
        <f>SUM((C683*E683),(C684*E684),(C685*E685))/C686</f>
        <v>2.9999999999999982</v>
      </c>
      <c r="F688" s="26">
        <f>SUM((C683*F683),(C684*F684),(C685*F685))/C686</f>
        <v>8</v>
      </c>
      <c r="G688" s="26">
        <f>SUM((C683*G683),(C684*G684),(C685*G685))/C686</f>
        <v>1.9281748785565611</v>
      </c>
      <c r="H688" s="26">
        <f t="shared" ref="H688:P688" si="8">SUM(H683:H685)</f>
        <v>299.99999999999983</v>
      </c>
      <c r="I688" s="26">
        <f t="shared" si="8"/>
        <v>800</v>
      </c>
      <c r="J688" s="26">
        <f t="shared" si="8"/>
        <v>192.81748785565611</v>
      </c>
      <c r="K688" s="26">
        <f t="shared" si="8"/>
        <v>11.999999999999996</v>
      </c>
      <c r="L688" s="26">
        <f t="shared" si="8"/>
        <v>32</v>
      </c>
      <c r="M688" s="26">
        <f t="shared" si="8"/>
        <v>7.7126995142262438E-4</v>
      </c>
      <c r="N688" s="26">
        <f t="shared" si="8"/>
        <v>100</v>
      </c>
      <c r="O688" s="26">
        <f t="shared" si="8"/>
        <v>100</v>
      </c>
      <c r="P688" s="26">
        <f t="shared" si="8"/>
        <v>100</v>
      </c>
      <c r="Q688" s="14">
        <f>C688/C686</f>
        <v>0.99999999999999944</v>
      </c>
    </row>
    <row r="690" spans="1:17" x14ac:dyDescent="0.3">
      <c r="A690" s="2" t="s">
        <v>94</v>
      </c>
    </row>
    <row r="691" spans="1:17" x14ac:dyDescent="0.3">
      <c r="A691" s="3" t="s">
        <v>33</v>
      </c>
      <c r="B691" s="4" t="s">
        <v>61</v>
      </c>
      <c r="C691" s="4" t="s">
        <v>79</v>
      </c>
      <c r="D691" s="4" t="s">
        <v>80</v>
      </c>
      <c r="E691" s="4" t="s">
        <v>81</v>
      </c>
      <c r="F691" s="4" t="s">
        <v>92</v>
      </c>
      <c r="G691" s="4" t="s">
        <v>1269</v>
      </c>
      <c r="H691" s="4" t="s">
        <v>83</v>
      </c>
      <c r="I691" s="4" t="s">
        <v>93</v>
      </c>
      <c r="J691" s="4" t="s">
        <v>1270</v>
      </c>
      <c r="K691" s="4" t="s">
        <v>85</v>
      </c>
      <c r="L691" s="4" t="s">
        <v>95</v>
      </c>
      <c r="M691" s="4" t="s">
        <v>1271</v>
      </c>
      <c r="N691" s="4" t="s">
        <v>1213</v>
      </c>
      <c r="O691" s="4" t="s">
        <v>1273</v>
      </c>
      <c r="P691" s="4" t="s">
        <v>1272</v>
      </c>
      <c r="Q691" s="5" t="s">
        <v>89</v>
      </c>
    </row>
    <row r="692" spans="1:17" x14ac:dyDescent="0.3">
      <c r="A692" s="6">
        <v>1</v>
      </c>
      <c r="B692" s="7" t="s">
        <v>49</v>
      </c>
      <c r="C692" s="478">
        <v>15.475364330326206</v>
      </c>
      <c r="D692" s="7">
        <f>(C692/$C$695)*100</f>
        <v>3.8688410825815511</v>
      </c>
      <c r="E692" s="7">
        <v>59.999999999999901</v>
      </c>
      <c r="F692" s="7">
        <v>18.076233183856399</v>
      </c>
      <c r="G692" s="7">
        <v>26.335106102890801</v>
      </c>
      <c r="H692" s="7">
        <f>(C692*E692*100)/C695</f>
        <v>232.13046495489272</v>
      </c>
      <c r="I692" s="7">
        <f>(C692*F692*100)/C695</f>
        <v>69.934073560027556</v>
      </c>
      <c r="J692" s="7">
        <f>(C692*G692*100)/C695</f>
        <v>101.88634040500807</v>
      </c>
      <c r="K692" s="7">
        <f>(C692*E692/100)</f>
        <v>9.2852185981957085</v>
      </c>
      <c r="L692" s="7">
        <f>(C692*F692/100)</f>
        <v>2.7973629424011022</v>
      </c>
      <c r="M692" s="7">
        <f>(C692*G692)/(1000^2)</f>
        <v>4.075453616200323E-4</v>
      </c>
      <c r="N692" s="7">
        <f>((C692*E692)/SUM(C692*E692,C693*E693,C694*E694))*100</f>
        <v>77.376821651630905</v>
      </c>
      <c r="O692" s="7">
        <f>((C692*F692)/SUM(C692*F692,C693*F693,C694*F694))*100</f>
        <v>8.7417591950034463</v>
      </c>
      <c r="P692" s="7">
        <f>((C692*G692)/SUM(C692*G692,C693*G693,C694*G694))*100</f>
        <v>52.840819335474663</v>
      </c>
      <c r="Q692" s="8">
        <f>C695/C692</f>
        <v>25.847533632286922</v>
      </c>
    </row>
    <row r="693" spans="1:17" x14ac:dyDescent="0.3">
      <c r="A693" s="6">
        <v>2</v>
      </c>
      <c r="B693" s="7" t="s">
        <v>50</v>
      </c>
      <c r="C693" s="478">
        <v>52.810548230395582</v>
      </c>
      <c r="D693" s="7">
        <f>(C693/$C$695)*100</f>
        <v>13.202637057598896</v>
      </c>
      <c r="E693" s="7">
        <v>2.5703022339027499</v>
      </c>
      <c r="F693" s="7">
        <v>50</v>
      </c>
      <c r="G693" s="7">
        <v>3.4436736787485902</v>
      </c>
      <c r="H693" s="7">
        <f>(C693*E693*100)/C695</f>
        <v>33.93476752255367</v>
      </c>
      <c r="I693" s="7">
        <f>(C693*F693*100)/C695</f>
        <v>660.13185287994474</v>
      </c>
      <c r="J693" s="7">
        <f>(C693*G693*100)/C695</f>
        <v>45.465573725324049</v>
      </c>
      <c r="K693" s="7">
        <f>(C693*E693/100)</f>
        <v>1.3573907009021469</v>
      </c>
      <c r="L693" s="7">
        <f>(C693*F693/100)</f>
        <v>26.405274115197791</v>
      </c>
      <c r="M693" s="7">
        <f>(C693*G693)/(1000^2)</f>
        <v>1.818622949012962E-4</v>
      </c>
      <c r="N693" s="7">
        <f>((C693*E693)/SUM(C692*E692,C693*E693,C694*E694))*100</f>
        <v>11.311589174184556</v>
      </c>
      <c r="O693" s="7">
        <f>((C693*F693)/SUM(C692*F692,C693*F693,C694*F694))*100</f>
        <v>82.516481609993107</v>
      </c>
      <c r="P693" s="7">
        <f>((C693*G693)/SUM(C692*G692,C693*G693,C694*G694))*100</f>
        <v>23.579590332262672</v>
      </c>
      <c r="Q693" s="8">
        <f>C695/C693</f>
        <v>7.5742444152430979</v>
      </c>
    </row>
    <row r="694" spans="1:17" x14ac:dyDescent="0.3">
      <c r="A694" s="6">
        <v>3</v>
      </c>
      <c r="B694" s="7" t="s">
        <v>51</v>
      </c>
      <c r="C694" s="478">
        <v>331.71408743927822</v>
      </c>
      <c r="D694" s="7">
        <f>(C694/$C$695)*100</f>
        <v>82.928521859819554</v>
      </c>
      <c r="E694" s="7">
        <v>0.40920502092049998</v>
      </c>
      <c r="F694" s="7">
        <v>0.84330543933054203</v>
      </c>
      <c r="G694" s="7">
        <v>0.54825014006855199</v>
      </c>
      <c r="H694" s="7">
        <f>(C694*E694*100)/C695</f>
        <v>33.934767522553599</v>
      </c>
      <c r="I694" s="7">
        <f>(C694*F694*100)/C695</f>
        <v>69.934073560027585</v>
      </c>
      <c r="J694" s="7">
        <f>(C694*G694*100)/C695</f>
        <v>45.465573725324049</v>
      </c>
      <c r="K694" s="7">
        <f>(C694*E694/100)</f>
        <v>1.357390700902144</v>
      </c>
      <c r="L694" s="7">
        <f>(C694*F694/100)</f>
        <v>2.7973629424011035</v>
      </c>
      <c r="M694" s="7">
        <f>(C694*G694)/(1000^2)</f>
        <v>1.818622949012962E-4</v>
      </c>
      <c r="N694" s="7">
        <f>((C694*E694)/SUM(C692*E692,C693*E693,C694*E694))*100</f>
        <v>11.311589174184533</v>
      </c>
      <c r="O694" s="7">
        <f>((C694*F694)/SUM(C692*F692,C693*F693,C694*F694))*100</f>
        <v>8.7417591950034499</v>
      </c>
      <c r="P694" s="7">
        <f>((C694*G694)/SUM(C692*G692,C693*G693,C694*G694))*100</f>
        <v>23.579590332262672</v>
      </c>
      <c r="Q694" s="8">
        <f>C695/C694</f>
        <v>1.2058577405857742</v>
      </c>
    </row>
    <row r="695" spans="1:17" x14ac:dyDescent="0.3">
      <c r="A695" s="6">
        <v>4</v>
      </c>
      <c r="B695" s="7" t="s">
        <v>48</v>
      </c>
      <c r="C695" s="7">
        <v>400</v>
      </c>
      <c r="D695" s="7">
        <f>SUM(D692:D694)</f>
        <v>100</v>
      </c>
      <c r="E695" s="7">
        <v>3</v>
      </c>
      <c r="F695" s="7">
        <v>8</v>
      </c>
      <c r="G695" s="7">
        <v>1.12841533359368</v>
      </c>
      <c r="H695" s="7">
        <f t="shared" ref="H695:P695" si="9">SUM(H692:H694)</f>
        <v>300</v>
      </c>
      <c r="I695" s="7">
        <f t="shared" si="9"/>
        <v>799.99999999999989</v>
      </c>
      <c r="J695" s="7">
        <f t="shared" si="9"/>
        <v>192.81748785565617</v>
      </c>
      <c r="K695" s="7">
        <f t="shared" si="9"/>
        <v>12</v>
      </c>
      <c r="L695" s="7">
        <f t="shared" si="9"/>
        <v>31.999999999999996</v>
      </c>
      <c r="M695" s="7">
        <f t="shared" si="9"/>
        <v>7.712699514226247E-4</v>
      </c>
      <c r="N695" s="7">
        <f t="shared" si="9"/>
        <v>100</v>
      </c>
      <c r="O695" s="7">
        <f t="shared" si="9"/>
        <v>100</v>
      </c>
      <c r="P695" s="7">
        <f t="shared" si="9"/>
        <v>100</v>
      </c>
      <c r="Q695" s="8">
        <f>C695/C695</f>
        <v>1</v>
      </c>
    </row>
    <row r="696" spans="1:17" x14ac:dyDescent="0.3">
      <c r="A696" s="6">
        <v>5</v>
      </c>
      <c r="B696" s="7" t="s">
        <v>153</v>
      </c>
      <c r="C696" s="7">
        <f>SUM(C692:C694)</f>
        <v>400</v>
      </c>
      <c r="D696" s="7">
        <f>SUM(D692:D694)</f>
        <v>100</v>
      </c>
      <c r="E696" s="7">
        <f>E695</f>
        <v>3</v>
      </c>
      <c r="F696" s="7">
        <f>F695</f>
        <v>8</v>
      </c>
      <c r="G696" s="7">
        <f>G695</f>
        <v>1.12841533359368</v>
      </c>
      <c r="H696" s="7">
        <f>(E696*100)</f>
        <v>300</v>
      </c>
      <c r="I696" s="7">
        <f>(F696*100)</f>
        <v>800</v>
      </c>
      <c r="J696" s="7">
        <f>(G696*100)</f>
        <v>112.841533359368</v>
      </c>
      <c r="K696" s="7">
        <f>(C696*E696/100)</f>
        <v>12</v>
      </c>
      <c r="L696" s="7">
        <f>(C696*F696/100)</f>
        <v>32</v>
      </c>
      <c r="M696" s="7">
        <f>(C696*G696)/(1000^2)</f>
        <v>4.5136613343747198E-4</v>
      </c>
      <c r="N696" s="7">
        <f>(SUM(C692*E692,C693*E693,C694*E694)/(C695*E695))*100</f>
        <v>100</v>
      </c>
      <c r="O696" s="7">
        <f>(SUM(C692*F692,C693*F693,C694*F694)/(C695*F695))*100</f>
        <v>99.999999999999986</v>
      </c>
      <c r="P696" s="7">
        <f>(SUM(C692*G692,C693*G693,C694*G694)/(C695*G695))*100</f>
        <v>170.87457261112152</v>
      </c>
      <c r="Q696" s="8">
        <f>C696/C695</f>
        <v>1</v>
      </c>
    </row>
    <row r="697" spans="1:17" x14ac:dyDescent="0.3">
      <c r="A697" s="25">
        <v>6</v>
      </c>
      <c r="B697" s="26" t="s">
        <v>154</v>
      </c>
      <c r="C697" s="26">
        <f>SUM(C692:C694)</f>
        <v>400</v>
      </c>
      <c r="D697" s="26">
        <f>SUM(D692:D694)</f>
        <v>100</v>
      </c>
      <c r="E697" s="26">
        <f>SUM((C692*E692),(C693*E693),(C694*E694))/C695</f>
        <v>3</v>
      </c>
      <c r="F697" s="26">
        <f>SUM((C692*F692),(C693*F693),(C694*F694))/C695</f>
        <v>7.9999999999999991</v>
      </c>
      <c r="G697" s="26">
        <f>SUM((C692*G692),(C693*G693),(C694*G694))/C695</f>
        <v>1.9281748785565618</v>
      </c>
      <c r="H697" s="26">
        <f t="shared" ref="H697:P697" si="10">SUM(H692:H694)</f>
        <v>300</v>
      </c>
      <c r="I697" s="26">
        <f t="shared" si="10"/>
        <v>799.99999999999989</v>
      </c>
      <c r="J697" s="26">
        <f t="shared" si="10"/>
        <v>192.81748785565617</v>
      </c>
      <c r="K697" s="26">
        <f t="shared" si="10"/>
        <v>12</v>
      </c>
      <c r="L697" s="26">
        <f t="shared" si="10"/>
        <v>31.999999999999996</v>
      </c>
      <c r="M697" s="26">
        <f t="shared" si="10"/>
        <v>7.712699514226247E-4</v>
      </c>
      <c r="N697" s="26">
        <f t="shared" si="10"/>
        <v>100</v>
      </c>
      <c r="O697" s="26">
        <f t="shared" si="10"/>
        <v>100</v>
      </c>
      <c r="P697" s="26">
        <f t="shared" si="10"/>
        <v>100</v>
      </c>
      <c r="Q697" s="14">
        <f>C697/C695</f>
        <v>1</v>
      </c>
    </row>
    <row r="699" spans="1:17" x14ac:dyDescent="0.3">
      <c r="A699" s="2" t="s">
        <v>94</v>
      </c>
    </row>
    <row r="700" spans="1:17" x14ac:dyDescent="0.3">
      <c r="A700" s="3" t="s">
        <v>33</v>
      </c>
      <c r="B700" s="4" t="s">
        <v>61</v>
      </c>
      <c r="C700" s="4" t="s">
        <v>79</v>
      </c>
      <c r="D700" s="4" t="s">
        <v>81</v>
      </c>
      <c r="E700" s="4" t="s">
        <v>92</v>
      </c>
      <c r="F700" s="4" t="s">
        <v>1269</v>
      </c>
      <c r="G700" s="4" t="s">
        <v>1213</v>
      </c>
      <c r="H700" s="4" t="s">
        <v>1273</v>
      </c>
      <c r="I700" s="5" t="s">
        <v>1272</v>
      </c>
    </row>
    <row r="701" spans="1:17" x14ac:dyDescent="0.3">
      <c r="A701" s="6">
        <v>1</v>
      </c>
      <c r="B701" s="7" t="s">
        <v>49</v>
      </c>
      <c r="C701" s="7">
        <v>15.475364330326206</v>
      </c>
      <c r="D701" s="7">
        <v>59.999999999999901</v>
      </c>
      <c r="E701" s="7">
        <v>18.076233183856399</v>
      </c>
      <c r="F701" s="7">
        <v>26.335106102890801</v>
      </c>
      <c r="G701" s="7">
        <f>((C701*D701)/SUM(C701*D701,C702*D702,C703*D703))*100</f>
        <v>77.376821651630905</v>
      </c>
      <c r="H701" s="7">
        <f>((C701*E701)/SUM(C701*E701,C702*E702,C703*E703))*100</f>
        <v>8.7417591950034463</v>
      </c>
      <c r="I701" s="8">
        <f>((C701*F701)/SUM(C701*F701,C702*F702,C703*F703))*100</f>
        <v>52.840819335474663</v>
      </c>
    </row>
    <row r="702" spans="1:17" x14ac:dyDescent="0.3">
      <c r="A702" s="6">
        <v>2</v>
      </c>
      <c r="B702" s="7" t="s">
        <v>50</v>
      </c>
      <c r="C702" s="7">
        <v>52.810548230395582</v>
      </c>
      <c r="D702" s="7">
        <v>2.5703022339027499</v>
      </c>
      <c r="E702" s="7">
        <v>50</v>
      </c>
      <c r="F702" s="7">
        <v>3.4436736787485902</v>
      </c>
      <c r="G702" s="7">
        <f>((C702*D702)/SUM(C701*D701,C702*D702,C703*D703))*100</f>
        <v>11.311589174184556</v>
      </c>
      <c r="H702" s="7">
        <f>((C702*E702)/SUM(C701*E701,C702*E702,C703*E703))*100</f>
        <v>82.516481609993107</v>
      </c>
      <c r="I702" s="8">
        <f>((C702*F702)/SUM(C701*F701,C702*F702,C703*F703))*100</f>
        <v>23.579590332262672</v>
      </c>
    </row>
    <row r="703" spans="1:17" x14ac:dyDescent="0.3">
      <c r="A703" s="6">
        <v>3</v>
      </c>
      <c r="B703" s="7" t="s">
        <v>51</v>
      </c>
      <c r="C703" s="7">
        <v>331.71408743927822</v>
      </c>
      <c r="D703" s="7">
        <v>0.40920502092049998</v>
      </c>
      <c r="E703" s="7">
        <v>0.84330543933054203</v>
      </c>
      <c r="F703" s="7">
        <v>0.54825014006855199</v>
      </c>
      <c r="G703" s="7">
        <f>((C703*D703)/SUM(C701*D701,C702*D702,C703*D703))*100</f>
        <v>11.311589174184533</v>
      </c>
      <c r="H703" s="7">
        <f>((C703*E703)/SUM(C701*E701,C702*E702,C703*E703))*100</f>
        <v>8.7417591950034499</v>
      </c>
      <c r="I703" s="8">
        <f>((C703*F703)/SUM(C701*F701,C702*F702,C703*F703))*100</f>
        <v>23.579590332262672</v>
      </c>
    </row>
    <row r="704" spans="1:17" x14ac:dyDescent="0.3">
      <c r="A704" s="6">
        <v>4</v>
      </c>
      <c r="B704" s="7" t="s">
        <v>48</v>
      </c>
      <c r="C704" s="7">
        <v>400</v>
      </c>
      <c r="D704" s="7">
        <v>3</v>
      </c>
      <c r="E704" s="7">
        <v>8</v>
      </c>
      <c r="F704" s="7">
        <v>1.12841533359368</v>
      </c>
      <c r="G704" s="7">
        <f>SUM(G701:G703)</f>
        <v>100</v>
      </c>
      <c r="H704" s="7">
        <f>SUM(H701:H703)</f>
        <v>100</v>
      </c>
      <c r="I704" s="8">
        <f>SUM(I701:I703)</f>
        <v>100</v>
      </c>
    </row>
    <row r="705" spans="1:18" x14ac:dyDescent="0.3">
      <c r="A705" s="6">
        <v>5</v>
      </c>
      <c r="B705" s="7" t="s">
        <v>153</v>
      </c>
      <c r="C705" s="7">
        <f>SUM(C701:C703)</f>
        <v>400</v>
      </c>
      <c r="D705" s="7">
        <f>D704</f>
        <v>3</v>
      </c>
      <c r="E705" s="7">
        <f>E704</f>
        <v>8</v>
      </c>
      <c r="F705" s="7">
        <f>F704</f>
        <v>1.12841533359368</v>
      </c>
      <c r="G705" s="7">
        <f>(SUM(C701*D701,C702*D702,C703*D703)/(C704*D704))*100</f>
        <v>100</v>
      </c>
      <c r="H705" s="7">
        <f>(SUM(C701*E701,C702*E702,C703*E703)/(C704*E704))*100</f>
        <v>99.999999999999986</v>
      </c>
      <c r="I705" s="8">
        <f>(SUM(C701*F701,C702*F702,C703*F703)/(C704*F704))*100</f>
        <v>170.87457261112152</v>
      </c>
    </row>
    <row r="706" spans="1:18" x14ac:dyDescent="0.3">
      <c r="A706" s="25">
        <v>6</v>
      </c>
      <c r="B706" s="26" t="s">
        <v>154</v>
      </c>
      <c r="C706" s="26">
        <f>SUM(C701:C703)</f>
        <v>400</v>
      </c>
      <c r="D706" s="26">
        <f>SUM((C701*D701),(C702*D702),(C703*D703))/C704</f>
        <v>3</v>
      </c>
      <c r="E706" s="26">
        <f>SUM((C701*E701),(C702*E702),(C703*E703))/C704</f>
        <v>7.9999999999999991</v>
      </c>
      <c r="F706" s="26">
        <f>SUM((C701*F701),(C702*F702),(C703*F703))/C704</f>
        <v>1.9281748785565618</v>
      </c>
      <c r="G706" s="26">
        <f>SUM(G701:G703)</f>
        <v>100</v>
      </c>
      <c r="H706" s="26">
        <f>SUM(H701:H703)</f>
        <v>100</v>
      </c>
      <c r="I706" s="14">
        <f>SUM(I701:I703)</f>
        <v>100</v>
      </c>
    </row>
    <row r="708" spans="1:18" x14ac:dyDescent="0.3">
      <c r="A708" s="2" t="s">
        <v>94</v>
      </c>
    </row>
    <row r="709" spans="1:18" x14ac:dyDescent="0.3">
      <c r="A709" s="3" t="s">
        <v>33</v>
      </c>
      <c r="B709" s="4" t="s">
        <v>61</v>
      </c>
      <c r="C709" s="4" t="s">
        <v>79</v>
      </c>
      <c r="D709" s="4" t="s">
        <v>80</v>
      </c>
      <c r="E709" s="4" t="s">
        <v>177</v>
      </c>
      <c r="F709" s="4" t="s">
        <v>157</v>
      </c>
      <c r="G709" s="4" t="s">
        <v>82</v>
      </c>
      <c r="H709" s="4" t="s">
        <v>1227</v>
      </c>
      <c r="I709" s="4" t="s">
        <v>1215</v>
      </c>
      <c r="J709" s="4" t="s">
        <v>84</v>
      </c>
      <c r="K709" s="4" t="s">
        <v>179</v>
      </c>
      <c r="L709" s="4" t="s">
        <v>178</v>
      </c>
      <c r="M709" s="4" t="s">
        <v>1058</v>
      </c>
      <c r="N709" s="4" t="s">
        <v>1217</v>
      </c>
      <c r="O709" s="4" t="s">
        <v>1229</v>
      </c>
      <c r="P709" s="4" t="s">
        <v>1218</v>
      </c>
      <c r="Q709" s="4" t="s">
        <v>1219</v>
      </c>
      <c r="R709" s="5" t="s">
        <v>89</v>
      </c>
    </row>
    <row r="710" spans="1:18" x14ac:dyDescent="0.3">
      <c r="A710" s="6">
        <v>1</v>
      </c>
      <c r="B710" s="7" t="s">
        <v>509</v>
      </c>
      <c r="C710" s="7">
        <v>15.475364330326199</v>
      </c>
      <c r="D710" s="7">
        <v>3.86884108258154</v>
      </c>
      <c r="E710" s="7">
        <v>60</v>
      </c>
      <c r="F710" s="7">
        <v>4</v>
      </c>
      <c r="G710" s="7">
        <v>45</v>
      </c>
      <c r="H710" s="7">
        <v>232.13046495489201</v>
      </c>
      <c r="I710" s="7">
        <v>15.475364330326199</v>
      </c>
      <c r="J710" s="7">
        <v>174.09784871616901</v>
      </c>
      <c r="K710" s="7">
        <v>9.2852185981956996</v>
      </c>
      <c r="L710" s="7">
        <v>0.61901457321304698</v>
      </c>
      <c r="M710" s="7">
        <v>6.9639139486467702E-2</v>
      </c>
      <c r="N710" s="7">
        <v>2238.9486548609598</v>
      </c>
      <c r="O710" s="7">
        <v>77.376821651630806</v>
      </c>
      <c r="P710" s="7">
        <v>1.93442054129077</v>
      </c>
      <c r="Q710" s="7">
        <v>52.840819335474698</v>
      </c>
      <c r="R710" s="8">
        <v>25.847533632287</v>
      </c>
    </row>
    <row r="711" spans="1:18" x14ac:dyDescent="0.3">
      <c r="A711" s="6">
        <v>2</v>
      </c>
      <c r="B711" s="7" t="s">
        <v>496</v>
      </c>
      <c r="C711" s="7">
        <v>52.810548230395597</v>
      </c>
      <c r="D711" s="7">
        <v>13.202637057598899</v>
      </c>
      <c r="E711" s="7">
        <v>2</v>
      </c>
      <c r="F711" s="7">
        <v>50</v>
      </c>
      <c r="G711" s="7">
        <v>8</v>
      </c>
      <c r="H711" s="7">
        <v>26.405274115197798</v>
      </c>
      <c r="I711" s="7">
        <v>660.13185287994497</v>
      </c>
      <c r="J711" s="7">
        <v>105.62109646079099</v>
      </c>
      <c r="K711" s="7">
        <v>1.0562109646079101</v>
      </c>
      <c r="L711" s="7">
        <v>26.405274115197798</v>
      </c>
      <c r="M711" s="7">
        <v>4.22484385843164E-2</v>
      </c>
      <c r="N711" s="7">
        <v>1358.31782867897</v>
      </c>
      <c r="O711" s="7">
        <v>8.8017580383992602</v>
      </c>
      <c r="P711" s="7">
        <v>82.516481609993093</v>
      </c>
      <c r="Q711" s="7">
        <v>32.057290295403099</v>
      </c>
      <c r="R711" s="8">
        <v>7.5742444152430997</v>
      </c>
    </row>
    <row r="712" spans="1:18" x14ac:dyDescent="0.3">
      <c r="A712" s="6">
        <v>3</v>
      </c>
      <c r="B712" s="7" t="s">
        <v>51</v>
      </c>
      <c r="C712" s="7">
        <v>331.71408743927799</v>
      </c>
      <c r="D712" s="7">
        <v>82.928521859819597</v>
      </c>
      <c r="E712" s="7">
        <v>0.5</v>
      </c>
      <c r="F712" s="7">
        <v>1.5</v>
      </c>
      <c r="G712" s="7">
        <v>0.6</v>
      </c>
      <c r="H712" s="7">
        <v>41.464260929909798</v>
      </c>
      <c r="I712" s="7">
        <v>124.392782789729</v>
      </c>
      <c r="J712" s="7">
        <v>49.757113115891698</v>
      </c>
      <c r="K712" s="7">
        <v>1.6585704371963901</v>
      </c>
      <c r="L712" s="7">
        <v>4.97571131158917</v>
      </c>
      <c r="M712" s="7">
        <v>1.9902845246356701E-2</v>
      </c>
      <c r="N712" s="7">
        <v>639.89085621736103</v>
      </c>
      <c r="O712" s="7">
        <v>13.8214203099699</v>
      </c>
      <c r="P712" s="7">
        <v>15.549097848716199</v>
      </c>
      <c r="Q712" s="7">
        <v>15.1018903691222</v>
      </c>
      <c r="R712" s="8">
        <v>1.20585774058577</v>
      </c>
    </row>
    <row r="713" spans="1:18" x14ac:dyDescent="0.3">
      <c r="A713" s="6">
        <v>4</v>
      </c>
      <c r="B713" s="7" t="s">
        <v>48</v>
      </c>
      <c r="C713" s="7">
        <v>400</v>
      </c>
      <c r="D713" s="7">
        <v>100</v>
      </c>
      <c r="E713" s="7">
        <v>3</v>
      </c>
      <c r="F713" s="7">
        <v>8</v>
      </c>
      <c r="G713" s="7">
        <v>2.5</v>
      </c>
      <c r="H713" s="7">
        <v>300</v>
      </c>
      <c r="I713" s="7">
        <v>800</v>
      </c>
      <c r="J713" s="7">
        <v>329.47605829285197</v>
      </c>
      <c r="K713" s="7">
        <v>12</v>
      </c>
      <c r="L713" s="7">
        <v>32</v>
      </c>
      <c r="M713" s="7">
        <v>0.131790423317141</v>
      </c>
      <c r="N713" s="7">
        <v>4237.1573397572902</v>
      </c>
      <c r="O713" s="7">
        <v>100</v>
      </c>
      <c r="P713" s="7">
        <v>100</v>
      </c>
      <c r="Q713" s="7">
        <v>100</v>
      </c>
      <c r="R713" s="8">
        <v>1</v>
      </c>
    </row>
    <row r="714" spans="1:18" x14ac:dyDescent="0.3">
      <c r="A714" s="6">
        <v>5</v>
      </c>
      <c r="B714" s="7" t="s">
        <v>153</v>
      </c>
      <c r="C714" s="7">
        <v>400</v>
      </c>
      <c r="D714" s="7">
        <v>100</v>
      </c>
      <c r="E714" s="7">
        <v>3</v>
      </c>
      <c r="F714" s="7">
        <v>8</v>
      </c>
      <c r="G714" s="7">
        <v>2.5</v>
      </c>
      <c r="H714" s="7">
        <v>300</v>
      </c>
      <c r="I714" s="7">
        <v>800</v>
      </c>
      <c r="J714" s="7">
        <v>250</v>
      </c>
      <c r="K714" s="7">
        <v>12</v>
      </c>
      <c r="L714" s="7">
        <v>32</v>
      </c>
      <c r="M714" s="7">
        <v>0.1</v>
      </c>
      <c r="N714" s="7">
        <v>3215.07225874902</v>
      </c>
      <c r="O714" s="7">
        <v>100</v>
      </c>
      <c r="P714" s="7">
        <v>100</v>
      </c>
      <c r="Q714" s="7">
        <v>100</v>
      </c>
      <c r="R714" s="8">
        <v>1</v>
      </c>
    </row>
    <row r="715" spans="1:18" x14ac:dyDescent="0.3">
      <c r="A715" s="25">
        <v>6</v>
      </c>
      <c r="B715" s="26" t="s">
        <v>154</v>
      </c>
      <c r="C715" s="26">
        <v>400</v>
      </c>
      <c r="D715" s="26">
        <v>100</v>
      </c>
      <c r="E715" s="26">
        <v>3</v>
      </c>
      <c r="F715" s="26">
        <v>11</v>
      </c>
      <c r="G715" s="26">
        <v>14.2947605829285</v>
      </c>
      <c r="H715" s="26">
        <v>300</v>
      </c>
      <c r="I715" s="26">
        <v>800</v>
      </c>
      <c r="J715" s="26">
        <v>329.47605829285197</v>
      </c>
      <c r="K715" s="26">
        <v>12</v>
      </c>
      <c r="L715" s="26">
        <v>32</v>
      </c>
      <c r="M715" s="26">
        <v>0.131790423317141</v>
      </c>
      <c r="N715" s="26">
        <v>4237.1573397572902</v>
      </c>
      <c r="O715" s="26">
        <v>100</v>
      </c>
      <c r="P715" s="26">
        <v>100</v>
      </c>
      <c r="Q715" s="26">
        <v>100</v>
      </c>
      <c r="R715" s="14">
        <v>1</v>
      </c>
    </row>
    <row r="717" spans="1:18" x14ac:dyDescent="0.3">
      <c r="A717" s="2" t="s">
        <v>94</v>
      </c>
    </row>
    <row r="718" spans="1:18" x14ac:dyDescent="0.3">
      <c r="A718" s="3" t="s">
        <v>33</v>
      </c>
      <c r="B718" s="4" t="s">
        <v>61</v>
      </c>
      <c r="C718" s="4" t="s">
        <v>79</v>
      </c>
      <c r="D718" s="4" t="s">
        <v>80</v>
      </c>
      <c r="E718" s="4" t="s">
        <v>1054</v>
      </c>
      <c r="F718" s="4" t="s">
        <v>1055</v>
      </c>
      <c r="G718" s="4" t="s">
        <v>1277</v>
      </c>
      <c r="H718" s="4" t="s">
        <v>1278</v>
      </c>
      <c r="I718" s="4" t="s">
        <v>878</v>
      </c>
      <c r="J718" s="4" t="s">
        <v>83</v>
      </c>
      <c r="K718" s="4" t="s">
        <v>879</v>
      </c>
      <c r="L718" s="4" t="s">
        <v>85</v>
      </c>
      <c r="M718" s="4" t="s">
        <v>1279</v>
      </c>
      <c r="N718" s="4" t="s">
        <v>1213</v>
      </c>
      <c r="O718" s="4" t="s">
        <v>1280</v>
      </c>
      <c r="P718" s="5" t="s">
        <v>1281</v>
      </c>
    </row>
    <row r="719" spans="1:18" x14ac:dyDescent="0.3">
      <c r="A719" s="6">
        <v>1</v>
      </c>
      <c r="B719" s="7" t="s">
        <v>512</v>
      </c>
      <c r="C719" s="7">
        <v>3.86884108258154</v>
      </c>
      <c r="D719" s="7">
        <v>3.86884108258154</v>
      </c>
      <c r="E719" s="7">
        <v>44008.067314364998</v>
      </c>
      <c r="F719" s="7">
        <v>3.86884108258154</v>
      </c>
      <c r="G719" s="7">
        <v>60</v>
      </c>
      <c r="H719" s="7">
        <v>4</v>
      </c>
      <c r="I719" s="7">
        <v>232.13046495489201</v>
      </c>
      <c r="J719" s="7">
        <v>15.475364330326199</v>
      </c>
      <c r="K719" s="7">
        <v>2.32130464954892</v>
      </c>
      <c r="L719" s="7">
        <v>0.17603226925745999</v>
      </c>
      <c r="M719" s="7">
        <v>77.376821651630806</v>
      </c>
      <c r="N719" s="7">
        <v>1.93442054129077</v>
      </c>
      <c r="O719" s="7">
        <v>25.847533632287</v>
      </c>
      <c r="P719" s="8">
        <v>25.847533632287</v>
      </c>
    </row>
    <row r="720" spans="1:18" x14ac:dyDescent="0.3">
      <c r="A720" s="6">
        <v>2</v>
      </c>
      <c r="B720" s="7" t="s">
        <v>49</v>
      </c>
      <c r="C720" s="7">
        <v>13.202637057598899</v>
      </c>
      <c r="D720" s="7">
        <v>13.202637057598899</v>
      </c>
      <c r="E720" s="7">
        <v>150179.996530187</v>
      </c>
      <c r="F720" s="7">
        <v>13.202637057598899</v>
      </c>
      <c r="G720" s="7">
        <v>2</v>
      </c>
      <c r="H720" s="7">
        <v>50</v>
      </c>
      <c r="I720" s="7">
        <v>26.405274115197798</v>
      </c>
      <c r="J720" s="7">
        <v>660.13185287994497</v>
      </c>
      <c r="K720" s="7">
        <v>0.26405274115197802</v>
      </c>
      <c r="L720" s="7">
        <v>7.5089998265093696</v>
      </c>
      <c r="M720" s="7">
        <v>8.8017580383992602</v>
      </c>
      <c r="N720" s="7">
        <v>82.516481609993093</v>
      </c>
      <c r="O720" s="7">
        <v>7.5742444152430997</v>
      </c>
      <c r="P720" s="8">
        <v>7.5742444152430997</v>
      </c>
    </row>
    <row r="721" spans="1:16" x14ac:dyDescent="0.3">
      <c r="A721" s="6">
        <v>3</v>
      </c>
      <c r="B721" s="7" t="s">
        <v>51</v>
      </c>
      <c r="C721" s="7">
        <v>82.928521859819597</v>
      </c>
      <c r="D721" s="7">
        <v>82.928521859819597</v>
      </c>
      <c r="E721" s="7">
        <v>943311.93615544797</v>
      </c>
      <c r="F721" s="7">
        <v>82.928521859819597</v>
      </c>
      <c r="G721" s="7">
        <v>0.5</v>
      </c>
      <c r="H721" s="7">
        <v>1.5</v>
      </c>
      <c r="I721" s="7">
        <v>41.464260929909798</v>
      </c>
      <c r="J721" s="7">
        <v>124.392782789729</v>
      </c>
      <c r="K721" s="7">
        <v>0.41464260929909802</v>
      </c>
      <c r="L721" s="7">
        <v>1.41496790423317</v>
      </c>
      <c r="M721" s="7">
        <v>13.8214203099699</v>
      </c>
      <c r="N721" s="7">
        <v>15.549097848716199</v>
      </c>
      <c r="O721" s="7">
        <v>1.20585774058577</v>
      </c>
      <c r="P721" s="8">
        <v>1.20585774058577</v>
      </c>
    </row>
    <row r="722" spans="1:16" x14ac:dyDescent="0.3">
      <c r="A722" s="6">
        <v>4</v>
      </c>
      <c r="B722" s="7" t="s">
        <v>48</v>
      </c>
      <c r="C722" s="7">
        <v>100</v>
      </c>
      <c r="D722" s="7">
        <v>100</v>
      </c>
      <c r="E722" s="7">
        <v>1137500</v>
      </c>
      <c r="F722" s="7">
        <v>100</v>
      </c>
      <c r="G722" s="7">
        <v>3</v>
      </c>
      <c r="H722" s="7">
        <v>8</v>
      </c>
      <c r="I722" s="7">
        <v>300</v>
      </c>
      <c r="J722" s="7">
        <v>800</v>
      </c>
      <c r="K722" s="7">
        <v>3</v>
      </c>
      <c r="L722" s="7">
        <v>9.1</v>
      </c>
      <c r="M722" s="7">
        <v>100</v>
      </c>
      <c r="N722" s="7">
        <v>100</v>
      </c>
      <c r="O722" s="7">
        <v>1</v>
      </c>
      <c r="P722" s="8">
        <v>1</v>
      </c>
    </row>
    <row r="723" spans="1:16" x14ac:dyDescent="0.3">
      <c r="A723" s="6">
        <v>5</v>
      </c>
      <c r="B723" s="7" t="s">
        <v>153</v>
      </c>
      <c r="C723" s="7">
        <v>100</v>
      </c>
      <c r="D723" s="7">
        <v>100</v>
      </c>
      <c r="E723" s="7">
        <v>1137500</v>
      </c>
      <c r="F723" s="7">
        <v>100</v>
      </c>
      <c r="G723" s="7">
        <v>3</v>
      </c>
      <c r="H723" s="7">
        <v>8</v>
      </c>
      <c r="I723" s="7">
        <v>300</v>
      </c>
      <c r="J723" s="7">
        <v>800</v>
      </c>
      <c r="K723" s="7">
        <v>3</v>
      </c>
      <c r="L723" s="7">
        <v>9.1</v>
      </c>
      <c r="M723" s="7">
        <v>100</v>
      </c>
      <c r="N723" s="7">
        <v>100</v>
      </c>
      <c r="O723" s="7">
        <v>1</v>
      </c>
      <c r="P723" s="8">
        <v>1</v>
      </c>
    </row>
    <row r="724" spans="1:16" x14ac:dyDescent="0.3">
      <c r="A724" s="25">
        <v>6</v>
      </c>
      <c r="B724" s="26" t="s">
        <v>154</v>
      </c>
      <c r="C724" s="26">
        <v>100</v>
      </c>
      <c r="D724" s="26">
        <v>100</v>
      </c>
      <c r="E724" s="26">
        <v>1137500</v>
      </c>
      <c r="F724" s="26">
        <v>100</v>
      </c>
      <c r="G724" s="26">
        <v>3</v>
      </c>
      <c r="H724" s="26">
        <v>11</v>
      </c>
      <c r="I724" s="26">
        <v>300</v>
      </c>
      <c r="J724" s="26">
        <v>800</v>
      </c>
      <c r="K724" s="26">
        <v>3</v>
      </c>
      <c r="L724" s="26">
        <v>9.1</v>
      </c>
      <c r="M724" s="26">
        <v>100</v>
      </c>
      <c r="N724" s="26">
        <v>100</v>
      </c>
      <c r="O724" s="26">
        <v>1</v>
      </c>
      <c r="P724" s="14">
        <v>1</v>
      </c>
    </row>
    <row r="726" spans="1:16" x14ac:dyDescent="0.3">
      <c r="A726" s="2" t="s">
        <v>94</v>
      </c>
    </row>
    <row r="727" spans="1:16" x14ac:dyDescent="0.3">
      <c r="A727" s="3" t="s">
        <v>33</v>
      </c>
      <c r="B727" s="4" t="s">
        <v>61</v>
      </c>
      <c r="C727" s="4" t="s">
        <v>79</v>
      </c>
      <c r="D727" s="4" t="s">
        <v>80</v>
      </c>
      <c r="E727" s="4" t="s">
        <v>1054</v>
      </c>
      <c r="F727" s="4" t="s">
        <v>1055</v>
      </c>
      <c r="G727" s="4" t="s">
        <v>1277</v>
      </c>
      <c r="H727" s="4" t="s">
        <v>1278</v>
      </c>
      <c r="I727" s="4" t="s">
        <v>878</v>
      </c>
      <c r="J727" s="4" t="s">
        <v>83</v>
      </c>
      <c r="K727" s="4" t="s">
        <v>879</v>
      </c>
      <c r="L727" s="4" t="s">
        <v>85</v>
      </c>
      <c r="M727" s="4" t="s">
        <v>1279</v>
      </c>
      <c r="N727" s="4" t="s">
        <v>1213</v>
      </c>
      <c r="O727" s="4" t="s">
        <v>1280</v>
      </c>
      <c r="P727" s="5" t="s">
        <v>1281</v>
      </c>
    </row>
    <row r="728" spans="1:16" x14ac:dyDescent="0.3">
      <c r="A728" s="6">
        <v>1</v>
      </c>
      <c r="B728" s="7" t="s">
        <v>512</v>
      </c>
      <c r="C728" s="7">
        <v>3.86884108258154</v>
      </c>
      <c r="D728" s="7">
        <f>(C728/$C$731)*100</f>
        <v>3.86884108258154</v>
      </c>
      <c r="E728" s="7">
        <v>44008.067314364998</v>
      </c>
      <c r="F728" s="7">
        <f>(E728/$E731)*100</f>
        <v>3.8688410825815382</v>
      </c>
      <c r="G728" s="7">
        <v>60</v>
      </c>
      <c r="H728" s="7">
        <v>4</v>
      </c>
      <c r="I728" s="7">
        <f>(C728*G728*100)/C731</f>
        <v>232.1304649548924</v>
      </c>
      <c r="J728" s="7">
        <f>(E728*H728*100)/E731</f>
        <v>15.475364330326151</v>
      </c>
      <c r="K728" s="7">
        <f>(C728*G728/100)</f>
        <v>2.321304649548924</v>
      </c>
      <c r="L728" s="7">
        <f>(E728*H728)/(1000^2)</f>
        <v>0.17603226925745999</v>
      </c>
      <c r="M728" s="7">
        <f>((C728*G728)/SUM(C728*G728,C729*G729,C730*G730))*100</f>
        <v>77.376821651630806</v>
      </c>
      <c r="N728" s="7">
        <f>((E728*H728)/SUM(E728*H728,E729*H729,E730*H730))*100</f>
        <v>1.9344205412907731</v>
      </c>
      <c r="O728" s="7">
        <f>C731/C728</f>
        <v>25.847533632287</v>
      </c>
      <c r="P728" s="8">
        <f>E731/E728</f>
        <v>25.847533632287011</v>
      </c>
    </row>
    <row r="729" spans="1:16" x14ac:dyDescent="0.3">
      <c r="A729" s="6">
        <v>2</v>
      </c>
      <c r="B729" s="7" t="s">
        <v>49</v>
      </c>
      <c r="C729" s="7">
        <v>13.202637057598899</v>
      </c>
      <c r="D729" s="7">
        <f>(C729/$C$731)*100</f>
        <v>13.202637057598899</v>
      </c>
      <c r="E729" s="7">
        <v>150179.996530187</v>
      </c>
      <c r="F729" s="7">
        <f>(E729/$E732)*100</f>
        <v>13.202637057598857</v>
      </c>
      <c r="G729" s="7">
        <v>2</v>
      </c>
      <c r="H729" s="7">
        <v>50</v>
      </c>
      <c r="I729" s="7">
        <f>(C729*G729*100)/C731</f>
        <v>26.405274115197798</v>
      </c>
      <c r="J729" s="7">
        <f>(E729*H729*100)/E731</f>
        <v>660.13185287994293</v>
      </c>
      <c r="K729" s="7">
        <f>(C729*G729/100)</f>
        <v>0.26405274115197797</v>
      </c>
      <c r="L729" s="7">
        <f>(E729*H729)/(1000^2)</f>
        <v>7.5089998265093501</v>
      </c>
      <c r="M729" s="7">
        <f>((C729*G729)/SUM(C728*G728,C729*G729,C730*G730))*100</f>
        <v>8.8017580383992655</v>
      </c>
      <c r="N729" s="7">
        <f>((E729*H729)/SUM(E728*H728,E729*H729,E730*H730))*100</f>
        <v>82.516481609993036</v>
      </c>
      <c r="O729" s="7">
        <f>C731/C729</f>
        <v>7.5742444152430961</v>
      </c>
      <c r="P729" s="8">
        <f>E731/E729</f>
        <v>7.5742444152431201</v>
      </c>
    </row>
    <row r="730" spans="1:16" x14ac:dyDescent="0.3">
      <c r="A730" s="6">
        <v>3</v>
      </c>
      <c r="B730" s="7" t="s">
        <v>51</v>
      </c>
      <c r="C730" s="7">
        <v>82.928521859819597</v>
      </c>
      <c r="D730" s="7">
        <f>(C730/$C$731)*100</f>
        <v>82.928521859819597</v>
      </c>
      <c r="E730" s="7">
        <v>943311.93615544797</v>
      </c>
      <c r="F730" s="7">
        <f>(E730/$E733)*100</f>
        <v>82.928521859819597</v>
      </c>
      <c r="G730" s="7">
        <v>0.5</v>
      </c>
      <c r="H730" s="7">
        <v>1.5</v>
      </c>
      <c r="I730" s="7">
        <f>(C730*G730*100)/C731</f>
        <v>41.464260929909798</v>
      </c>
      <c r="J730" s="7">
        <f>(E730*H730*100)/E731</f>
        <v>124.3927827897294</v>
      </c>
      <c r="K730" s="7">
        <f>(C730*G730/100)</f>
        <v>0.41464260929909796</v>
      </c>
      <c r="L730" s="7">
        <f>(E730*H730)/(1000^2)</f>
        <v>1.414967904233172</v>
      </c>
      <c r="M730" s="7">
        <f>((C730*G730)/SUM(C728*G728,C729*G729,C730*G730))*100</f>
        <v>13.821420309969934</v>
      </c>
      <c r="N730" s="7">
        <f>((E730*H730)/SUM(E728*H728,E729*H729,E730*H730))*100</f>
        <v>15.549097848716208</v>
      </c>
      <c r="O730" s="7">
        <f>C731/C730</f>
        <v>1.2058577405857738</v>
      </c>
      <c r="P730" s="8">
        <f>E731/E730</f>
        <v>1.2058577405857736</v>
      </c>
    </row>
    <row r="731" spans="1:16" x14ac:dyDescent="0.3">
      <c r="A731" s="6">
        <v>4</v>
      </c>
      <c r="B731" s="7" t="s">
        <v>48</v>
      </c>
      <c r="C731" s="7">
        <v>100</v>
      </c>
      <c r="D731" s="7">
        <f>SUM(D728:D730)</f>
        <v>100.00000000000003</v>
      </c>
      <c r="E731" s="7">
        <v>1137500</v>
      </c>
      <c r="F731" s="7">
        <f>(E731/$E$731)*100</f>
        <v>100</v>
      </c>
      <c r="G731" s="7">
        <v>3</v>
      </c>
      <c r="H731" s="7">
        <v>8</v>
      </c>
      <c r="I731" s="7">
        <f t="shared" ref="I731:N731" si="11">SUM(I728:I730)</f>
        <v>300</v>
      </c>
      <c r="J731" s="7">
        <f t="shared" si="11"/>
        <v>799.99999999999841</v>
      </c>
      <c r="K731" s="7">
        <f t="shared" si="11"/>
        <v>3</v>
      </c>
      <c r="L731" s="7">
        <f t="shared" si="11"/>
        <v>9.0999999999999819</v>
      </c>
      <c r="M731" s="7">
        <f t="shared" si="11"/>
        <v>100.00000000000001</v>
      </c>
      <c r="N731" s="7">
        <f t="shared" si="11"/>
        <v>100.00000000000003</v>
      </c>
      <c r="O731" s="7">
        <f>C731/C731</f>
        <v>1</v>
      </c>
      <c r="P731" s="8">
        <f>E731/E731</f>
        <v>1</v>
      </c>
    </row>
    <row r="732" spans="1:16" x14ac:dyDescent="0.3">
      <c r="A732" s="6">
        <v>5</v>
      </c>
      <c r="B732" s="7" t="s">
        <v>153</v>
      </c>
      <c r="C732" s="7">
        <f>SUM(C728:C730)</f>
        <v>100.00000000000003</v>
      </c>
      <c r="D732" s="7">
        <f>SUM(D728:D730)</f>
        <v>100.00000000000003</v>
      </c>
      <c r="E732" s="7">
        <f>SUM(E728:E730)</f>
        <v>1137500</v>
      </c>
      <c r="F732" s="7">
        <f>(E732/$E$731)*100</f>
        <v>100</v>
      </c>
      <c r="G732" s="7">
        <f>G731</f>
        <v>3</v>
      </c>
      <c r="H732" s="7">
        <f>H731</f>
        <v>8</v>
      </c>
      <c r="I732" s="7">
        <f>(G732*100)</f>
        <v>300</v>
      </c>
      <c r="J732" s="7">
        <f>(H732*100)</f>
        <v>800</v>
      </c>
      <c r="K732" s="7">
        <f>(C732*G732/100)</f>
        <v>3.0000000000000013</v>
      </c>
      <c r="L732" s="7">
        <f>(E732*H732)/(1000^2)</f>
        <v>9.1</v>
      </c>
      <c r="M732" s="7">
        <f>(SUM(C728*G728,C729*G729,C730*G730)/(C731*G731))*100</f>
        <v>100</v>
      </c>
      <c r="N732" s="7">
        <f>(SUM(E728*H728,E729*H729,E730*H730)/(E731*H731))*100</f>
        <v>99.999999999999801</v>
      </c>
      <c r="O732" s="7">
        <f>C732/C731</f>
        <v>1.0000000000000002</v>
      </c>
      <c r="P732" s="8">
        <f>E732/E731</f>
        <v>1</v>
      </c>
    </row>
    <row r="733" spans="1:16" x14ac:dyDescent="0.3">
      <c r="A733" s="25">
        <v>6</v>
      </c>
      <c r="B733" s="26" t="s">
        <v>154</v>
      </c>
      <c r="C733" s="26">
        <f>SUM(C728:C730)</f>
        <v>100.00000000000003</v>
      </c>
      <c r="D733" s="26">
        <f>SUM(D728:D730)</f>
        <v>100.00000000000003</v>
      </c>
      <c r="E733" s="26">
        <f>SUM(E728:E730)</f>
        <v>1137500</v>
      </c>
      <c r="F733" s="7">
        <f>(E733/$E$731)*100</f>
        <v>100</v>
      </c>
      <c r="G733" s="26">
        <f>SUM((C728*G728),(C729*G729),(C730*G730))/C731</f>
        <v>3</v>
      </c>
      <c r="H733" s="26">
        <f>SUM((E728*H728),(E729*H729),(E730*H730))/E731</f>
        <v>7.999999999999984</v>
      </c>
      <c r="I733" s="26">
        <f t="shared" ref="I733:N733" si="12">SUM(I728:I730)</f>
        <v>300</v>
      </c>
      <c r="J733" s="26">
        <f t="shared" si="12"/>
        <v>799.99999999999841</v>
      </c>
      <c r="K733" s="26">
        <f t="shared" si="12"/>
        <v>3</v>
      </c>
      <c r="L733" s="26">
        <f t="shared" si="12"/>
        <v>9.0999999999999819</v>
      </c>
      <c r="M733" s="26">
        <f t="shared" si="12"/>
        <v>100.00000000000001</v>
      </c>
      <c r="N733" s="26">
        <f t="shared" si="12"/>
        <v>100.00000000000003</v>
      </c>
      <c r="O733" s="26">
        <f>C733/C731</f>
        <v>1.0000000000000002</v>
      </c>
      <c r="P733" s="14">
        <f>E733/E731</f>
        <v>1</v>
      </c>
    </row>
    <row r="735" spans="1:16" x14ac:dyDescent="0.3">
      <c r="A735" s="2" t="s">
        <v>94</v>
      </c>
    </row>
    <row r="736" spans="1:16" x14ac:dyDescent="0.3">
      <c r="A736" s="3" t="s">
        <v>33</v>
      </c>
      <c r="B736" s="4" t="s">
        <v>61</v>
      </c>
      <c r="C736" s="4" t="s">
        <v>79</v>
      </c>
      <c r="D736" s="4" t="s">
        <v>80</v>
      </c>
      <c r="E736" s="4" t="s">
        <v>1054</v>
      </c>
      <c r="F736" s="4" t="s">
        <v>1055</v>
      </c>
      <c r="G736" s="4" t="s">
        <v>81</v>
      </c>
      <c r="H736" s="4" t="s">
        <v>1284</v>
      </c>
      <c r="I736" s="4" t="s">
        <v>83</v>
      </c>
      <c r="J736" s="4" t="s">
        <v>93</v>
      </c>
      <c r="K736" s="4" t="s">
        <v>85</v>
      </c>
      <c r="L736" s="4" t="s">
        <v>95</v>
      </c>
      <c r="M736" s="4" t="s">
        <v>1213</v>
      </c>
      <c r="N736" s="4" t="s">
        <v>1273</v>
      </c>
      <c r="O736" s="4" t="s">
        <v>1280</v>
      </c>
      <c r="P736" s="5" t="s">
        <v>1281</v>
      </c>
    </row>
    <row r="737" spans="1:16" x14ac:dyDescent="0.3">
      <c r="A737" s="6">
        <v>1</v>
      </c>
      <c r="B737" s="7" t="s">
        <v>49</v>
      </c>
      <c r="C737" s="7">
        <v>3.8688410825815405</v>
      </c>
      <c r="D737" s="7">
        <f>(C737/$C$740)*100</f>
        <v>3.86884108258154</v>
      </c>
      <c r="E737" s="7">
        <v>44008.067314364998</v>
      </c>
      <c r="F737" s="7">
        <f>(E737/$E$740)*100</f>
        <v>3.8688410825815382</v>
      </c>
      <c r="G737" s="7">
        <v>60</v>
      </c>
      <c r="H737" s="7">
        <v>4</v>
      </c>
      <c r="I737" s="7">
        <f>(C737*G737*100)/C740</f>
        <v>232.13046495489246</v>
      </c>
      <c r="J737" s="7">
        <f>(E737*H737*100)/E740</f>
        <v>15.475364330326151</v>
      </c>
      <c r="K737" s="7">
        <f>(C737*G737/100)</f>
        <v>2.3213046495489245</v>
      </c>
      <c r="L737" s="7">
        <f>(E737*H737)/(1000^2)</f>
        <v>0.17603226925745999</v>
      </c>
      <c r="M737" s="7">
        <f>((C737*G737)/SUM(C737*G737,C738*G738,C739*G739))*100</f>
        <v>77.37682165163082</v>
      </c>
      <c r="N737" s="7">
        <f>((E737*H737)/SUM(E737*H737,E738*H738,E739*H739))*100</f>
        <v>1.9344205412907731</v>
      </c>
      <c r="O737" s="7">
        <f>C740/C737</f>
        <v>25.847533632286996</v>
      </c>
      <c r="P737" s="8">
        <f>E740/E737</f>
        <v>25.847533632287011</v>
      </c>
    </row>
    <row r="738" spans="1:16" x14ac:dyDescent="0.3">
      <c r="A738" s="6">
        <v>2</v>
      </c>
      <c r="B738" s="7" t="s">
        <v>50</v>
      </c>
      <c r="C738" s="7">
        <v>13.20263705759889</v>
      </c>
      <c r="D738" s="7">
        <f>(C738/$C$740)*100</f>
        <v>13.20263705759889</v>
      </c>
      <c r="E738" s="7">
        <v>150179.996530187</v>
      </c>
      <c r="F738" s="7">
        <f>(E738/$E$740)*100</f>
        <v>13.202637057598857</v>
      </c>
      <c r="G738" s="7">
        <v>2</v>
      </c>
      <c r="H738" s="7">
        <v>50</v>
      </c>
      <c r="I738" s="7">
        <f>(C738*G738*100)/C740</f>
        <v>26.405274115197781</v>
      </c>
      <c r="J738" s="7">
        <f>(E738*H738*100)/E740</f>
        <v>660.13185287994293</v>
      </c>
      <c r="K738" s="7">
        <f>(C738*G738/100)</f>
        <v>0.2640527411519778</v>
      </c>
      <c r="L738" s="7">
        <f>(E738*H738)/(1000^2)</f>
        <v>7.5089998265093501</v>
      </c>
      <c r="M738" s="7">
        <f>((C738*G738)/SUM(C737*G737,C738*G738,C739*G739))*100</f>
        <v>8.801758038399262</v>
      </c>
      <c r="N738" s="7">
        <f>((E738*H738)/SUM(E737*H737,E738*H738,E739*H739))*100</f>
        <v>82.516481609993036</v>
      </c>
      <c r="O738" s="7">
        <f>C740/C738</f>
        <v>7.5742444152431005</v>
      </c>
      <c r="P738" s="8">
        <f>E740/E738</f>
        <v>7.5742444152431201</v>
      </c>
    </row>
    <row r="739" spans="1:16" x14ac:dyDescent="0.3">
      <c r="A739" s="6">
        <v>3</v>
      </c>
      <c r="B739" s="7" t="s">
        <v>51</v>
      </c>
      <c r="C739" s="7">
        <v>82.928521859819554</v>
      </c>
      <c r="D739" s="7">
        <f>(C739/$C$740)*100</f>
        <v>82.928521859819554</v>
      </c>
      <c r="E739" s="7">
        <v>943311.93615544797</v>
      </c>
      <c r="F739" s="7">
        <f>(E739/$E$740)*100</f>
        <v>82.928521859819597</v>
      </c>
      <c r="G739" s="7">
        <v>0.5</v>
      </c>
      <c r="H739" s="7">
        <v>1.5</v>
      </c>
      <c r="I739" s="7">
        <f>(C739*G739*100)/C740</f>
        <v>41.464260929909777</v>
      </c>
      <c r="J739" s="7">
        <f>(E739*H739*100)/E740</f>
        <v>124.3927827897294</v>
      </c>
      <c r="K739" s="7">
        <f>(C739*G739/100)</f>
        <v>0.4146426092990978</v>
      </c>
      <c r="L739" s="7">
        <f>(E739*H739)/(1000^2)</f>
        <v>1.414967904233172</v>
      </c>
      <c r="M739" s="7">
        <f>((C739*G739)/SUM(C737*G737,C738*G738,C739*G739))*100</f>
        <v>13.821420309969929</v>
      </c>
      <c r="N739" s="7">
        <f>((E739*H739)/SUM(E737*H737,E738*H738,E739*H739))*100</f>
        <v>15.549097848716208</v>
      </c>
      <c r="O739" s="7">
        <f>C740/C739</f>
        <v>1.2058577405857742</v>
      </c>
      <c r="P739" s="8">
        <f>E740/E739</f>
        <v>1.2058577405857736</v>
      </c>
    </row>
    <row r="740" spans="1:16" x14ac:dyDescent="0.3">
      <c r="A740" s="6">
        <v>4</v>
      </c>
      <c r="B740" s="7" t="s">
        <v>48</v>
      </c>
      <c r="C740" s="7">
        <v>100</v>
      </c>
      <c r="D740" s="7">
        <f>SUM(D737:D739)</f>
        <v>99.999999999999986</v>
      </c>
      <c r="E740" s="7">
        <v>1137500</v>
      </c>
      <c r="F740" s="7">
        <f>SUM(F737:F739)</f>
        <v>100</v>
      </c>
      <c r="G740" s="7">
        <v>3</v>
      </c>
      <c r="H740" s="7">
        <v>8</v>
      </c>
      <c r="I740" s="7">
        <f t="shared" ref="I740:N740" si="13">SUM(I737:I739)</f>
        <v>300</v>
      </c>
      <c r="J740" s="7">
        <f t="shared" si="13"/>
        <v>799.99999999999841</v>
      </c>
      <c r="K740" s="7">
        <f t="shared" si="13"/>
        <v>3</v>
      </c>
      <c r="L740" s="7">
        <f t="shared" si="13"/>
        <v>9.0999999999999819</v>
      </c>
      <c r="M740" s="7">
        <f t="shared" si="13"/>
        <v>100</v>
      </c>
      <c r="N740" s="7">
        <f t="shared" si="13"/>
        <v>100.00000000000003</v>
      </c>
      <c r="O740" s="7">
        <f>C740/C740</f>
        <v>1</v>
      </c>
      <c r="P740" s="8">
        <f>E740/E740</f>
        <v>1</v>
      </c>
    </row>
    <row r="741" spans="1:16" x14ac:dyDescent="0.3">
      <c r="A741" s="6">
        <v>5</v>
      </c>
      <c r="B741" s="7" t="s">
        <v>153</v>
      </c>
      <c r="C741" s="7">
        <f>SUM(C737:C739)</f>
        <v>99.999999999999986</v>
      </c>
      <c r="D741" s="7">
        <f>SUM(D737:D739)</f>
        <v>99.999999999999986</v>
      </c>
      <c r="E741" s="7">
        <f>SUM(E737:E739)</f>
        <v>1137500</v>
      </c>
      <c r="F741" s="7">
        <f>SUM(F737:F739)</f>
        <v>100</v>
      </c>
      <c r="G741" s="7">
        <f>G740</f>
        <v>3</v>
      </c>
      <c r="H741" s="7">
        <f>H740</f>
        <v>8</v>
      </c>
      <c r="I741" s="7">
        <f>(G741*100)</f>
        <v>300</v>
      </c>
      <c r="J741" s="7">
        <f>(H741*100)</f>
        <v>800</v>
      </c>
      <c r="K741" s="7">
        <f>(C741*G741/100)</f>
        <v>2.9999999999999996</v>
      </c>
      <c r="L741" s="7">
        <f>(E741*H741)/(1000^2)</f>
        <v>9.1</v>
      </c>
      <c r="M741" s="7">
        <f>(SUM(C737*G737,C738*G738,C739*G739)/(C740*G740))*100</f>
        <v>99.999999999999972</v>
      </c>
      <c r="N741" s="7">
        <f>(SUM(E737*H737,E738*H738,E739*H739)/(E740*H740))*100</f>
        <v>99.999999999999801</v>
      </c>
      <c r="O741" s="7">
        <f>C741/C740</f>
        <v>0.99999999999999989</v>
      </c>
      <c r="P741" s="8">
        <f>E741/E740</f>
        <v>1</v>
      </c>
    </row>
    <row r="742" spans="1:16" x14ac:dyDescent="0.3">
      <c r="A742" s="25">
        <v>6</v>
      </c>
      <c r="B742" s="26" t="s">
        <v>154</v>
      </c>
      <c r="C742" s="26">
        <f>SUM(C737:C739)</f>
        <v>99.999999999999986</v>
      </c>
      <c r="D742" s="26">
        <f>SUM(D737:D739)</f>
        <v>99.999999999999986</v>
      </c>
      <c r="E742" s="26">
        <f>SUM(E737:E739)</f>
        <v>1137500</v>
      </c>
      <c r="F742" s="26">
        <f>SUM(F737:F739)</f>
        <v>100</v>
      </c>
      <c r="G742" s="26">
        <f>SUM((C737*G737),(C738*G738),(C739*G739))/C740</f>
        <v>2.9999999999999996</v>
      </c>
      <c r="H742" s="26">
        <f>SUM((E737*H737),(E738*H738),(E739*H739))/E740</f>
        <v>7.999999999999984</v>
      </c>
      <c r="I742" s="26">
        <f t="shared" ref="I742:N742" si="14">SUM(I737:I739)</f>
        <v>300</v>
      </c>
      <c r="J742" s="26">
        <f t="shared" si="14"/>
        <v>799.99999999999841</v>
      </c>
      <c r="K742" s="26">
        <f t="shared" si="14"/>
        <v>3</v>
      </c>
      <c r="L742" s="26">
        <f t="shared" si="14"/>
        <v>9.0999999999999819</v>
      </c>
      <c r="M742" s="26">
        <f t="shared" si="14"/>
        <v>100</v>
      </c>
      <c r="N742" s="26">
        <f t="shared" si="14"/>
        <v>100.00000000000003</v>
      </c>
      <c r="O742" s="26">
        <f>C742/C740</f>
        <v>0.99999999999999989</v>
      </c>
      <c r="P742" s="14">
        <f>E742/E740</f>
        <v>1</v>
      </c>
    </row>
    <row r="744" spans="1:16" x14ac:dyDescent="0.3">
      <c r="A744" s="2" t="s">
        <v>94</v>
      </c>
    </row>
    <row r="745" spans="1:16" x14ac:dyDescent="0.3">
      <c r="A745" s="3" t="s">
        <v>33</v>
      </c>
      <c r="B745" s="4" t="s">
        <v>61</v>
      </c>
      <c r="C745" s="4" t="s">
        <v>79</v>
      </c>
      <c r="D745" s="4" t="s">
        <v>80</v>
      </c>
      <c r="E745" s="4" t="s">
        <v>1054</v>
      </c>
      <c r="F745" s="4" t="s">
        <v>1055</v>
      </c>
      <c r="G745" s="4" t="s">
        <v>81</v>
      </c>
      <c r="H745" s="4" t="s">
        <v>1284</v>
      </c>
      <c r="I745" s="4" t="s">
        <v>83</v>
      </c>
      <c r="J745" s="4" t="s">
        <v>93</v>
      </c>
      <c r="K745" s="4" t="s">
        <v>85</v>
      </c>
      <c r="L745" s="4" t="s">
        <v>95</v>
      </c>
      <c r="M745" s="4" t="s">
        <v>1213</v>
      </c>
      <c r="N745" s="4" t="s">
        <v>1273</v>
      </c>
      <c r="O745" s="4" t="s">
        <v>1280</v>
      </c>
      <c r="P745" s="5" t="s">
        <v>1281</v>
      </c>
    </row>
    <row r="746" spans="1:16" x14ac:dyDescent="0.3">
      <c r="A746" s="6">
        <v>1</v>
      </c>
      <c r="B746" s="7" t="s">
        <v>49</v>
      </c>
      <c r="C746" s="7">
        <v>3.86884108258154</v>
      </c>
      <c r="D746" s="7">
        <v>3.86884108258154</v>
      </c>
      <c r="E746" s="7">
        <v>44008.067314364998</v>
      </c>
      <c r="F746" s="7">
        <v>3.86884108258154</v>
      </c>
      <c r="G746" s="7">
        <v>60</v>
      </c>
      <c r="H746" s="7">
        <v>4</v>
      </c>
      <c r="I746" s="7">
        <v>232.13046495489201</v>
      </c>
      <c r="J746" s="7">
        <v>15.475364330326199</v>
      </c>
      <c r="K746" s="7">
        <v>2.32130464954892</v>
      </c>
      <c r="L746" s="7">
        <v>0.17603226925745999</v>
      </c>
      <c r="M746" s="7">
        <v>77.376821651630806</v>
      </c>
      <c r="N746" s="7">
        <v>1.93442054129077</v>
      </c>
      <c r="O746" s="7">
        <v>25.847533632287</v>
      </c>
      <c r="P746" s="8">
        <v>25.847533632287</v>
      </c>
    </row>
    <row r="747" spans="1:16" x14ac:dyDescent="0.3">
      <c r="A747" s="6">
        <v>2</v>
      </c>
      <c r="B747" s="7" t="s">
        <v>50</v>
      </c>
      <c r="C747" s="7">
        <v>13.202637057598899</v>
      </c>
      <c r="D747" s="7">
        <v>13.202637057598899</v>
      </c>
      <c r="E747" s="7">
        <v>150179.996530187</v>
      </c>
      <c r="F747" s="7">
        <v>13.202637057598899</v>
      </c>
      <c r="G747" s="7">
        <v>2</v>
      </c>
      <c r="H747" s="7">
        <v>50</v>
      </c>
      <c r="I747" s="7">
        <v>26.405274115197798</v>
      </c>
      <c r="J747" s="7">
        <v>660.13185287994497</v>
      </c>
      <c r="K747" s="7">
        <v>0.26405274115197802</v>
      </c>
      <c r="L747" s="7">
        <v>7.5089998265093696</v>
      </c>
      <c r="M747" s="7">
        <v>8.8017580383992602</v>
      </c>
      <c r="N747" s="7">
        <v>82.516481609993093</v>
      </c>
      <c r="O747" s="7">
        <v>7.5742444152430997</v>
      </c>
      <c r="P747" s="8">
        <v>7.5742444152430997</v>
      </c>
    </row>
    <row r="748" spans="1:16" x14ac:dyDescent="0.3">
      <c r="A748" s="6">
        <v>3</v>
      </c>
      <c r="B748" s="7" t="s">
        <v>51</v>
      </c>
      <c r="C748" s="7">
        <v>82.928521859819597</v>
      </c>
      <c r="D748" s="7">
        <v>82.928521859819597</v>
      </c>
      <c r="E748" s="7">
        <v>943311.93615544797</v>
      </c>
      <c r="F748" s="7">
        <v>82.928521859819597</v>
      </c>
      <c r="G748" s="7">
        <v>0.5</v>
      </c>
      <c r="H748" s="7">
        <v>1.5</v>
      </c>
      <c r="I748" s="7">
        <v>41.464260929909798</v>
      </c>
      <c r="J748" s="7">
        <v>124.392782789729</v>
      </c>
      <c r="K748" s="7">
        <v>0.41464260929909802</v>
      </c>
      <c r="L748" s="7">
        <v>1.41496790423317</v>
      </c>
      <c r="M748" s="7">
        <v>13.8214203099699</v>
      </c>
      <c r="N748" s="7">
        <v>15.549097848716199</v>
      </c>
      <c r="O748" s="7">
        <v>1.20585774058577</v>
      </c>
      <c r="P748" s="8">
        <v>1.20585774058577</v>
      </c>
    </row>
    <row r="749" spans="1:16" x14ac:dyDescent="0.3">
      <c r="A749" s="6">
        <v>4</v>
      </c>
      <c r="B749" s="7" t="s">
        <v>48</v>
      </c>
      <c r="C749" s="7">
        <v>100</v>
      </c>
      <c r="D749" s="7">
        <v>100</v>
      </c>
      <c r="E749" s="7">
        <v>1137500</v>
      </c>
      <c r="F749" s="7">
        <v>100</v>
      </c>
      <c r="G749" s="7">
        <v>3</v>
      </c>
      <c r="H749" s="7">
        <v>8</v>
      </c>
      <c r="I749" s="7">
        <v>300</v>
      </c>
      <c r="J749" s="7">
        <v>800</v>
      </c>
      <c r="K749" s="7">
        <v>3</v>
      </c>
      <c r="L749" s="7">
        <v>9.1</v>
      </c>
      <c r="M749" s="7">
        <v>100</v>
      </c>
      <c r="N749" s="7">
        <v>100</v>
      </c>
      <c r="O749" s="7">
        <v>1</v>
      </c>
      <c r="P749" s="8">
        <v>1</v>
      </c>
    </row>
    <row r="750" spans="1:16" x14ac:dyDescent="0.3">
      <c r="A750" s="6">
        <v>5</v>
      </c>
      <c r="B750" s="7" t="s">
        <v>153</v>
      </c>
      <c r="C750" s="7">
        <v>100</v>
      </c>
      <c r="D750" s="7">
        <v>100</v>
      </c>
      <c r="E750" s="7">
        <v>1137500</v>
      </c>
      <c r="F750" s="7">
        <v>100</v>
      </c>
      <c r="G750" s="7">
        <v>3</v>
      </c>
      <c r="H750" s="7">
        <v>8</v>
      </c>
      <c r="I750" s="7">
        <v>300</v>
      </c>
      <c r="J750" s="7">
        <v>800</v>
      </c>
      <c r="K750" s="7">
        <v>3</v>
      </c>
      <c r="L750" s="7">
        <v>9.1</v>
      </c>
      <c r="M750" s="7">
        <v>100</v>
      </c>
      <c r="N750" s="7">
        <v>100</v>
      </c>
      <c r="O750" s="7">
        <v>1</v>
      </c>
      <c r="P750" s="8">
        <v>1</v>
      </c>
    </row>
    <row r="751" spans="1:16" x14ac:dyDescent="0.3">
      <c r="A751" s="25">
        <v>6</v>
      </c>
      <c r="B751" s="26" t="s">
        <v>154</v>
      </c>
      <c r="C751" s="26">
        <v>100</v>
      </c>
      <c r="D751" s="26">
        <v>100</v>
      </c>
      <c r="E751" s="26">
        <v>1137500</v>
      </c>
      <c r="F751" s="26">
        <v>100</v>
      </c>
      <c r="G751" s="26">
        <v>3</v>
      </c>
      <c r="H751" s="26">
        <v>11</v>
      </c>
      <c r="I751" s="26">
        <v>300</v>
      </c>
      <c r="J751" s="26">
        <v>800</v>
      </c>
      <c r="K751" s="26">
        <v>3</v>
      </c>
      <c r="L751" s="26">
        <v>9.1</v>
      </c>
      <c r="M751" s="26">
        <v>100</v>
      </c>
      <c r="N751" s="26">
        <v>100</v>
      </c>
      <c r="O751" s="26">
        <v>1</v>
      </c>
      <c r="P751" s="14">
        <v>1</v>
      </c>
    </row>
    <row r="753" spans="1:9" x14ac:dyDescent="0.3">
      <c r="A753" s="2" t="s">
        <v>65</v>
      </c>
    </row>
    <row r="754" spans="1:9" x14ac:dyDescent="0.3">
      <c r="A754" s="3" t="s">
        <v>33</v>
      </c>
      <c r="B754" s="4" t="s">
        <v>61</v>
      </c>
      <c r="C754" s="4" t="s">
        <v>79</v>
      </c>
      <c r="D754" s="4" t="s">
        <v>80</v>
      </c>
      <c r="E754" s="4" t="s">
        <v>81</v>
      </c>
      <c r="F754" s="4" t="s">
        <v>83</v>
      </c>
      <c r="G754" s="4" t="s">
        <v>85</v>
      </c>
      <c r="H754" s="4" t="s">
        <v>1213</v>
      </c>
      <c r="I754" s="5" t="s">
        <v>89</v>
      </c>
    </row>
    <row r="755" spans="1:9" x14ac:dyDescent="0.3">
      <c r="A755" s="6">
        <v>1</v>
      </c>
      <c r="B755" s="7" t="s">
        <v>49</v>
      </c>
      <c r="C755" s="7">
        <v>3.8688410825815298</v>
      </c>
      <c r="D755" s="7">
        <v>29.309402140769201</v>
      </c>
      <c r="E755" s="7">
        <v>60</v>
      </c>
      <c r="F755" s="7">
        <v>1758.5641284461501</v>
      </c>
      <c r="G755" s="7">
        <v>2.32130464954892</v>
      </c>
      <c r="H755" s="7">
        <v>79.999999999999901</v>
      </c>
      <c r="I755" s="8">
        <v>3.4118744394618901</v>
      </c>
    </row>
    <row r="756" spans="1:9" x14ac:dyDescent="0.3">
      <c r="A756" s="6">
        <v>2</v>
      </c>
      <c r="B756" s="7" t="s">
        <v>51</v>
      </c>
      <c r="C756" s="7">
        <v>9.3311589174184704</v>
      </c>
      <c r="D756" s="7">
        <v>70.690597859230806</v>
      </c>
      <c r="E756" s="7">
        <v>6.2192292246136498</v>
      </c>
      <c r="F756" s="7">
        <v>439.641032111539</v>
      </c>
      <c r="G756" s="7">
        <v>0.580326162387232</v>
      </c>
      <c r="H756" s="7">
        <v>20.000000000000099</v>
      </c>
      <c r="I756" s="8">
        <v>1.4146152816409101</v>
      </c>
    </row>
    <row r="757" spans="1:9" x14ac:dyDescent="0.3">
      <c r="A757" s="6">
        <v>3</v>
      </c>
      <c r="B757" s="7" t="s">
        <v>48</v>
      </c>
      <c r="C757" s="7">
        <v>13.2</v>
      </c>
      <c r="D757" s="7">
        <v>100</v>
      </c>
      <c r="E757" s="7">
        <v>21.982051605576899</v>
      </c>
      <c r="F757" s="7">
        <v>2198.2051605576899</v>
      </c>
      <c r="G757" s="7">
        <v>2.9016308119361498</v>
      </c>
      <c r="H757" s="7">
        <v>100</v>
      </c>
      <c r="I757" s="8">
        <v>1</v>
      </c>
    </row>
    <row r="758" spans="1:9" x14ac:dyDescent="0.3">
      <c r="A758" s="6">
        <v>4</v>
      </c>
      <c r="B758" s="7" t="s">
        <v>153</v>
      </c>
      <c r="C758" s="7">
        <v>13.2</v>
      </c>
      <c r="D758" s="7">
        <v>100</v>
      </c>
      <c r="E758" s="7">
        <v>21.982051605576899</v>
      </c>
      <c r="F758" s="7">
        <v>2198.2051605576899</v>
      </c>
      <c r="G758" s="7">
        <v>2.9016308119361498</v>
      </c>
      <c r="H758" s="7">
        <v>100</v>
      </c>
      <c r="I758" s="8">
        <v>1</v>
      </c>
    </row>
    <row r="759" spans="1:9" x14ac:dyDescent="0.3">
      <c r="A759" s="25">
        <v>5</v>
      </c>
      <c r="B759" s="26" t="s">
        <v>154</v>
      </c>
      <c r="C759" s="26">
        <v>13.2</v>
      </c>
      <c r="D759" s="26">
        <v>100</v>
      </c>
      <c r="E759" s="26">
        <v>21.982051605576899</v>
      </c>
      <c r="F759" s="26">
        <v>2198.2051605576899</v>
      </c>
      <c r="G759" s="26">
        <v>2.9016308119361498</v>
      </c>
      <c r="H759" s="26">
        <v>100</v>
      </c>
      <c r="I759" s="14">
        <v>1</v>
      </c>
    </row>
    <row r="762" spans="1:9" x14ac:dyDescent="0.3">
      <c r="A762" s="2" t="s">
        <v>65</v>
      </c>
    </row>
    <row r="763" spans="1:9" x14ac:dyDescent="0.3">
      <c r="A763" s="3" t="s">
        <v>33</v>
      </c>
      <c r="B763" s="4" t="s">
        <v>61</v>
      </c>
      <c r="C763" s="4" t="s">
        <v>79</v>
      </c>
      <c r="D763" s="4" t="s">
        <v>80</v>
      </c>
      <c r="E763" s="4" t="s">
        <v>81</v>
      </c>
      <c r="F763" s="4" t="s">
        <v>83</v>
      </c>
      <c r="G763" s="4" t="s">
        <v>85</v>
      </c>
      <c r="H763" s="4" t="s">
        <v>1213</v>
      </c>
      <c r="I763" s="5" t="s">
        <v>89</v>
      </c>
    </row>
    <row r="764" spans="1:9" x14ac:dyDescent="0.3">
      <c r="A764" s="6">
        <v>1</v>
      </c>
      <c r="B764" s="7" t="s">
        <v>49</v>
      </c>
      <c r="C764" s="7">
        <v>3.8688410825815298</v>
      </c>
      <c r="D764" s="7">
        <v>29.309402140769201</v>
      </c>
      <c r="E764" s="7">
        <v>60</v>
      </c>
      <c r="F764" s="7">
        <v>1758.5641284461501</v>
      </c>
      <c r="G764" s="7">
        <v>2.32130464954892</v>
      </c>
      <c r="H764" s="7">
        <v>79.999999999999901</v>
      </c>
      <c r="I764" s="8">
        <v>3.4118744394618901</v>
      </c>
    </row>
    <row r="765" spans="1:9" x14ac:dyDescent="0.3">
      <c r="A765" s="6">
        <v>2</v>
      </c>
      <c r="B765" s="7" t="s">
        <v>51</v>
      </c>
      <c r="C765" s="7">
        <v>9.3311589174184704</v>
      </c>
      <c r="D765" s="7">
        <v>70.690597859230806</v>
      </c>
      <c r="E765" s="7">
        <v>6.2192292246136498</v>
      </c>
      <c r="F765" s="7">
        <v>439.641032111539</v>
      </c>
      <c r="G765" s="7">
        <v>0.580326162387232</v>
      </c>
      <c r="H765" s="7">
        <v>20.000000000000099</v>
      </c>
      <c r="I765" s="8">
        <v>1.4146152816409101</v>
      </c>
    </row>
    <row r="766" spans="1:9" x14ac:dyDescent="0.3">
      <c r="A766" s="6">
        <v>3</v>
      </c>
      <c r="B766" s="7" t="s">
        <v>48</v>
      </c>
      <c r="C766" s="7">
        <v>13.2</v>
      </c>
      <c r="D766" s="7">
        <v>100</v>
      </c>
      <c r="E766" s="7">
        <v>21.982051605576899</v>
      </c>
      <c r="F766" s="7">
        <v>2198.2051605576899</v>
      </c>
      <c r="G766" s="7">
        <v>2.9016308119361498</v>
      </c>
      <c r="H766" s="7">
        <v>100</v>
      </c>
      <c r="I766" s="8">
        <v>1</v>
      </c>
    </row>
    <row r="767" spans="1:9" x14ac:dyDescent="0.3">
      <c r="A767" s="6">
        <v>4</v>
      </c>
      <c r="B767" s="7" t="s">
        <v>153</v>
      </c>
      <c r="C767" s="7">
        <v>13.2</v>
      </c>
      <c r="D767" s="7">
        <v>100</v>
      </c>
      <c r="E767" s="7">
        <v>21.982051605576899</v>
      </c>
      <c r="F767" s="7">
        <v>2198.2051605576899</v>
      </c>
      <c r="G767" s="7">
        <v>2.9016308119361498</v>
      </c>
      <c r="H767" s="7">
        <v>100</v>
      </c>
      <c r="I767" s="8">
        <v>1</v>
      </c>
    </row>
    <row r="768" spans="1:9" x14ac:dyDescent="0.3">
      <c r="A768" s="25">
        <v>5</v>
      </c>
      <c r="B768" s="26" t="s">
        <v>154</v>
      </c>
      <c r="C768" s="26">
        <v>13.2</v>
      </c>
      <c r="D768" s="26">
        <v>100</v>
      </c>
      <c r="E768" s="26">
        <v>21.982051605576899</v>
      </c>
      <c r="F768" s="26">
        <v>2198.2051605576899</v>
      </c>
      <c r="G768" s="26">
        <v>2.9016308119361498</v>
      </c>
      <c r="H768" s="26">
        <v>100</v>
      </c>
      <c r="I768" s="14">
        <v>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E8196-DF4D-4452-81D9-2E89D8F9E3AD}">
  <sheetPr codeName="Hoja2"/>
  <dimension ref="A1:O327"/>
  <sheetViews>
    <sheetView topLeftCell="A303" workbookViewId="0">
      <selection activeCell="A400" sqref="A400:R401"/>
    </sheetView>
  </sheetViews>
  <sheetFormatPr baseColWidth="10" defaultRowHeight="14.4" x14ac:dyDescent="0.3"/>
  <cols>
    <col min="1" max="1" width="18.5546875" customWidth="1"/>
    <col min="2" max="2" width="16" customWidth="1"/>
    <col min="3" max="3" width="22.33203125" customWidth="1"/>
    <col min="4" max="4" width="22.77734375" customWidth="1"/>
    <col min="5" max="6" width="20.44140625" customWidth="1"/>
    <col min="7" max="7" width="20.109375" customWidth="1"/>
    <col min="8" max="8" width="23.5546875" customWidth="1"/>
    <col min="9" max="9" width="20.109375" customWidth="1"/>
    <col min="10" max="10" width="23.5546875" customWidth="1"/>
    <col min="11" max="11" width="23" bestFit="1" customWidth="1"/>
    <col min="12" max="12" width="15" bestFit="1" customWidth="1"/>
    <col min="13" max="13" width="19.44140625" bestFit="1" customWidth="1"/>
    <col min="14" max="14" width="21.6640625" bestFit="1" customWidth="1"/>
    <col min="15" max="15" width="14.88671875" bestFit="1" customWidth="1"/>
  </cols>
  <sheetData>
    <row r="1" spans="1:11" ht="18" x14ac:dyDescent="0.35">
      <c r="A1" s="41" t="s">
        <v>216</v>
      </c>
      <c r="J1" t="s">
        <v>217</v>
      </c>
    </row>
    <row r="2" spans="1:11" x14ac:dyDescent="0.3">
      <c r="A2" s="16" t="s">
        <v>218</v>
      </c>
      <c r="B2" s="16" t="s">
        <v>219</v>
      </c>
      <c r="C2" s="16" t="s">
        <v>220</v>
      </c>
      <c r="D2" s="16" t="s">
        <v>221</v>
      </c>
      <c r="E2" s="16" t="s">
        <v>222</v>
      </c>
      <c r="F2" s="16" t="s">
        <v>223</v>
      </c>
      <c r="G2" s="16" t="s">
        <v>224</v>
      </c>
      <c r="H2" s="16" t="s">
        <v>225</v>
      </c>
      <c r="J2" s="42" t="s">
        <v>226</v>
      </c>
      <c r="K2" s="42" t="s">
        <v>227</v>
      </c>
    </row>
    <row r="3" spans="1:11" x14ac:dyDescent="0.3">
      <c r="A3">
        <v>0</v>
      </c>
      <c r="B3" s="17">
        <v>-1000</v>
      </c>
      <c r="C3" s="17"/>
      <c r="D3" s="17"/>
      <c r="E3" s="17"/>
      <c r="F3" s="17"/>
      <c r="G3" s="17"/>
      <c r="H3" s="17">
        <v>-1000</v>
      </c>
      <c r="J3">
        <v>-3</v>
      </c>
      <c r="K3" s="17">
        <v>1.2</v>
      </c>
    </row>
    <row r="4" spans="1:11" x14ac:dyDescent="0.3">
      <c r="A4">
        <f>A3+1</f>
        <v>1</v>
      </c>
      <c r="B4" s="17"/>
      <c r="C4" s="17">
        <v>1.5500000000000003</v>
      </c>
      <c r="D4" s="17">
        <f>C4*100</f>
        <v>155.00000000000003</v>
      </c>
      <c r="E4" s="17">
        <f>SUM(D4:D4)*2%</f>
        <v>3.1000000000000005</v>
      </c>
      <c r="F4" s="17">
        <f>SUM(D4:D4)-E4</f>
        <v>151.90000000000003</v>
      </c>
      <c r="G4" s="17">
        <v>150</v>
      </c>
      <c r="H4" s="17">
        <f>SUM(F4:G4)</f>
        <v>301.90000000000003</v>
      </c>
      <c r="J4">
        <v>-2</v>
      </c>
      <c r="K4" s="17">
        <v>1.5</v>
      </c>
    </row>
    <row r="5" spans="1:11" x14ac:dyDescent="0.3">
      <c r="A5">
        <f>A4+1</f>
        <v>2</v>
      </c>
      <c r="B5" s="17"/>
      <c r="C5" s="17">
        <v>1.6200000000000003</v>
      </c>
      <c r="D5" s="17">
        <f>C5*100</f>
        <v>162.00000000000003</v>
      </c>
      <c r="E5" s="17">
        <f>SUM(D5:D5)*2%</f>
        <v>3.2400000000000007</v>
      </c>
      <c r="F5" s="17">
        <f>SUM(D5:D5)-E5</f>
        <v>158.76000000000002</v>
      </c>
      <c r="G5" s="17">
        <v>150</v>
      </c>
      <c r="H5" s="17">
        <f>SUM(F5:G5)</f>
        <v>308.76</v>
      </c>
      <c r="J5">
        <v>-1</v>
      </c>
      <c r="K5" s="17">
        <v>1.3</v>
      </c>
    </row>
    <row r="6" spans="1:11" x14ac:dyDescent="0.3">
      <c r="A6">
        <f>A5+1</f>
        <v>3</v>
      </c>
      <c r="B6" s="17"/>
      <c r="C6" s="17">
        <v>1.6900000000000006</v>
      </c>
      <c r="D6" s="17">
        <f>C6*100</f>
        <v>169.00000000000006</v>
      </c>
      <c r="E6" s="17">
        <f>SUM(D6:D6)*2%</f>
        <v>3.3800000000000012</v>
      </c>
      <c r="F6" s="17">
        <f>SUM(D6:D6)-E6</f>
        <v>165.62000000000006</v>
      </c>
      <c r="G6" s="17">
        <v>150</v>
      </c>
      <c r="H6" s="17">
        <f>SUM(F6:G6)</f>
        <v>315.62000000000006</v>
      </c>
      <c r="J6">
        <v>0</v>
      </c>
      <c r="K6" s="17">
        <v>1.5</v>
      </c>
    </row>
    <row r="7" spans="1:11" x14ac:dyDescent="0.3">
      <c r="A7">
        <f>A6+1</f>
        <v>4</v>
      </c>
      <c r="B7" s="17"/>
      <c r="C7" s="17">
        <v>1.7600000000000007</v>
      </c>
      <c r="D7" s="17">
        <f>C7*100</f>
        <v>176.00000000000006</v>
      </c>
      <c r="E7" s="17">
        <f>SUM(D7:D7)*2%</f>
        <v>3.5200000000000014</v>
      </c>
      <c r="F7" s="17">
        <f>SUM(D7:D7)-E7</f>
        <v>172.48000000000005</v>
      </c>
      <c r="G7" s="17">
        <v>150</v>
      </c>
      <c r="H7" s="17">
        <f>SUM(F7:G7)</f>
        <v>322.48</v>
      </c>
    </row>
    <row r="8" spans="1:11" x14ac:dyDescent="0.3">
      <c r="A8">
        <f>A7+1</f>
        <v>5</v>
      </c>
      <c r="B8" s="17"/>
      <c r="C8" s="17">
        <v>1.8300000000000007</v>
      </c>
      <c r="D8" s="17">
        <f>C8*100</f>
        <v>183.00000000000009</v>
      </c>
      <c r="E8" s="17">
        <f>SUM(D8:D8)*2%</f>
        <v>3.6600000000000019</v>
      </c>
      <c r="F8" s="17">
        <f>SUM(D8:D8)-E8</f>
        <v>179.34000000000009</v>
      </c>
      <c r="G8" s="17">
        <v>150</v>
      </c>
      <c r="H8" s="17">
        <f>SUM(F8:G8)</f>
        <v>329.34000000000009</v>
      </c>
    </row>
    <row r="9" spans="1:11" ht="15" thickBot="1" x14ac:dyDescent="0.35">
      <c r="A9" s="43"/>
      <c r="B9" s="44"/>
      <c r="C9" s="44"/>
      <c r="D9" s="44">
        <f>SUM(D3:D8)</f>
        <v>845.00000000000034</v>
      </c>
      <c r="E9" s="44">
        <f>SUM(E3:E8)</f>
        <v>16.900000000000006</v>
      </c>
      <c r="F9" s="44">
        <f>SUM(F3:F8)</f>
        <v>828.10000000000036</v>
      </c>
      <c r="G9" s="44">
        <f>SUM(G3:G8)</f>
        <v>750</v>
      </c>
      <c r="H9" s="44">
        <f>SUM(H3:H8)</f>
        <v>578.10000000000025</v>
      </c>
    </row>
    <row r="10" spans="1:11" ht="15" thickTop="1" x14ac:dyDescent="0.3"/>
    <row r="11" spans="1:11" x14ac:dyDescent="0.3">
      <c r="A11" t="str">
        <f>+IF(H9&gt;0,_xlfn.CONCAT("Existe Utilidad: BOB ",ROUND(H9,2),". Proyecto Rentable."),IF(H9&lt;0,_xlfn.CONCAT("Proyecto inviable: ","BOB ",ROUND(H9,2)), "Proyecto en ceros."))</f>
        <v>Existe Utilidad: BOB 578,1. Proyecto Rentable.</v>
      </c>
      <c r="I11" s="2"/>
    </row>
    <row r="12" spans="1:11" x14ac:dyDescent="0.3">
      <c r="A12" t="s">
        <v>228</v>
      </c>
      <c r="B12" s="17">
        <f>+IFERROR($H$3+NPV(51%,H4:H8),"¡Indeterminable!")</f>
        <v>-468.99803767311857</v>
      </c>
    </row>
    <row r="13" spans="1:11" x14ac:dyDescent="0.3">
      <c r="A13" t="s">
        <v>229</v>
      </c>
      <c r="B13" s="45">
        <f>+IFERROR(IRR($H$3:$H$8),"¡Indeterminable!")</f>
        <v>0.17126644613353226</v>
      </c>
      <c r="J13" s="17"/>
    </row>
    <row r="14" spans="1:11" x14ac:dyDescent="0.3">
      <c r="J14" s="45"/>
    </row>
    <row r="35" spans="1:13" ht="18" x14ac:dyDescent="0.35">
      <c r="A35" s="41" t="s">
        <v>216</v>
      </c>
      <c r="L35" s="2" t="s">
        <v>253</v>
      </c>
    </row>
    <row r="36" spans="1:13" x14ac:dyDescent="0.3">
      <c r="A36" s="16" t="s">
        <v>218</v>
      </c>
      <c r="B36" s="16" t="s">
        <v>219</v>
      </c>
      <c r="C36" s="16" t="s">
        <v>220</v>
      </c>
      <c r="D36" s="16" t="s">
        <v>220</v>
      </c>
      <c r="E36" s="16" t="s">
        <v>221</v>
      </c>
      <c r="F36" s="16" t="s">
        <v>221</v>
      </c>
      <c r="G36" s="16" t="s">
        <v>222</v>
      </c>
      <c r="H36" s="16" t="s">
        <v>223</v>
      </c>
      <c r="I36" s="16" t="s">
        <v>224</v>
      </c>
      <c r="J36" s="16" t="s">
        <v>225</v>
      </c>
      <c r="L36" s="47" t="s">
        <v>251</v>
      </c>
      <c r="M36" s="47" t="s">
        <v>252</v>
      </c>
    </row>
    <row r="37" spans="1:13" x14ac:dyDescent="0.3">
      <c r="A37">
        <v>0</v>
      </c>
      <c r="B37" s="17">
        <v>-1000</v>
      </c>
      <c r="C37" s="17"/>
      <c r="D37" s="17"/>
      <c r="E37" s="17"/>
      <c r="F37" s="17"/>
      <c r="G37" s="17"/>
      <c r="H37" s="17"/>
      <c r="I37" s="17"/>
      <c r="J37" s="17">
        <v>-1000</v>
      </c>
      <c r="L37" t="s">
        <v>250</v>
      </c>
      <c r="M37" t="str">
        <f>+IF(Q35&gt;0,_xlfn.CONCAT("Existe Utilidad: BOB ",ROUND(Q35,2),". Proyecto Rentable."),IF(Q35&lt;0,_xlfn.CONCAT("Proyecto inviable: ","BOB ",ROUND(Q35,2)), "Proyecto en ceros."))</f>
        <v>Proyecto en ceros.</v>
      </c>
    </row>
    <row r="38" spans="1:13" x14ac:dyDescent="0.3">
      <c r="A38">
        <f>A37+1</f>
        <v>1</v>
      </c>
      <c r="B38" s="17"/>
      <c r="C38" s="17">
        <v>1.5500000000000003</v>
      </c>
      <c r="D38" s="17">
        <v>1.5500000000000003</v>
      </c>
      <c r="E38" s="17">
        <f t="shared" ref="E38:F42" si="0">C38*100</f>
        <v>155.00000000000003</v>
      </c>
      <c r="F38" s="17">
        <f t="shared" si="0"/>
        <v>155.00000000000003</v>
      </c>
      <c r="G38" s="17">
        <f>SUM(E38:E38)*2%</f>
        <v>3.1000000000000005</v>
      </c>
      <c r="H38" s="17">
        <f>SUM(E38:E38)-G38</f>
        <v>151.90000000000003</v>
      </c>
      <c r="I38" s="17">
        <v>150</v>
      </c>
      <c r="J38" s="17">
        <f>SUM(H38:I38)</f>
        <v>301.90000000000003</v>
      </c>
      <c r="L38" t="s">
        <v>228</v>
      </c>
      <c r="M38" s="17">
        <f>+IFERROR(NPV(0.51,J37:J42),"¡Indeterminable!")</f>
        <v>-310.59472693584013</v>
      </c>
    </row>
    <row r="39" spans="1:13" x14ac:dyDescent="0.3">
      <c r="A39">
        <f>A38+1</f>
        <v>2</v>
      </c>
      <c r="B39" s="17"/>
      <c r="C39" s="17">
        <v>1.6200000000000003</v>
      </c>
      <c r="D39" s="17">
        <v>1.6200000000000003</v>
      </c>
      <c r="E39" s="17">
        <f t="shared" si="0"/>
        <v>162.00000000000003</v>
      </c>
      <c r="F39" s="17">
        <f t="shared" si="0"/>
        <v>162.00000000000003</v>
      </c>
      <c r="G39" s="17">
        <f>SUM(E39:E39)*2%</f>
        <v>3.2400000000000007</v>
      </c>
      <c r="H39" s="17">
        <f>SUM(E39:E39)-G39</f>
        <v>158.76000000000002</v>
      </c>
      <c r="I39" s="17">
        <v>150</v>
      </c>
      <c r="J39" s="17">
        <f>SUM(H39:I39)</f>
        <v>308.76</v>
      </c>
      <c r="L39" t="s">
        <v>229</v>
      </c>
      <c r="M39" s="45">
        <f>+IFERROR(IRR(J37:J42,0.51),"¡Indeterminable!")</f>
        <v>0.17126644613353581</v>
      </c>
    </row>
    <row r="40" spans="1:13" x14ac:dyDescent="0.3">
      <c r="A40">
        <f>A39+1</f>
        <v>3</v>
      </c>
      <c r="B40" s="17"/>
      <c r="C40" s="17">
        <v>1.6900000000000006</v>
      </c>
      <c r="D40" s="17">
        <v>1.6900000000000006</v>
      </c>
      <c r="E40" s="17">
        <f t="shared" si="0"/>
        <v>169.00000000000006</v>
      </c>
      <c r="F40" s="17">
        <f t="shared" si="0"/>
        <v>169.00000000000006</v>
      </c>
      <c r="G40" s="17">
        <f>SUM(E40:E40)*2%</f>
        <v>3.3800000000000012</v>
      </c>
      <c r="H40" s="17">
        <f>SUM(E40:E40)-G40</f>
        <v>165.62000000000006</v>
      </c>
      <c r="I40" s="17">
        <v>150</v>
      </c>
      <c r="J40" s="17">
        <f>SUM(H40:I40)</f>
        <v>315.62000000000006</v>
      </c>
    </row>
    <row r="41" spans="1:13" x14ac:dyDescent="0.3">
      <c r="A41">
        <f>A40+1</f>
        <v>4</v>
      </c>
      <c r="B41" s="17"/>
      <c r="C41" s="17">
        <v>1.7600000000000007</v>
      </c>
      <c r="D41" s="17">
        <v>1.7600000000000007</v>
      </c>
      <c r="E41" s="17">
        <f t="shared" si="0"/>
        <v>176.00000000000006</v>
      </c>
      <c r="F41" s="17">
        <f t="shared" si="0"/>
        <v>176.00000000000006</v>
      </c>
      <c r="G41" s="17">
        <f>SUM(E41:E41)*2%</f>
        <v>3.5200000000000014</v>
      </c>
      <c r="H41" s="17">
        <f>SUM(E41:E41)-G41</f>
        <v>172.48000000000005</v>
      </c>
      <c r="I41" s="17">
        <v>150</v>
      </c>
      <c r="J41" s="17">
        <f>SUM(H41:I41)</f>
        <v>322.48</v>
      </c>
    </row>
    <row r="42" spans="1:13" x14ac:dyDescent="0.3">
      <c r="A42">
        <f>A41+1</f>
        <v>5</v>
      </c>
      <c r="B42" s="17"/>
      <c r="C42" s="17">
        <v>1.8300000000000007</v>
      </c>
      <c r="D42" s="17">
        <v>1.8300000000000007</v>
      </c>
      <c r="E42" s="17">
        <f t="shared" si="0"/>
        <v>183.00000000000009</v>
      </c>
      <c r="F42" s="17">
        <f t="shared" si="0"/>
        <v>183.00000000000009</v>
      </c>
      <c r="G42" s="17">
        <f>SUM(E42:E42)*2%</f>
        <v>3.6600000000000019</v>
      </c>
      <c r="H42" s="17">
        <f>SUM(E42:E42)-G42</f>
        <v>179.34000000000009</v>
      </c>
      <c r="I42" s="17">
        <v>150</v>
      </c>
      <c r="J42" s="17">
        <f>SUM(H42:I42)</f>
        <v>329.34000000000009</v>
      </c>
    </row>
    <row r="43" spans="1:13" ht="15" thickBot="1" x14ac:dyDescent="0.35">
      <c r="A43" s="43"/>
      <c r="B43" s="44"/>
      <c r="C43" s="44"/>
      <c r="D43" s="44"/>
      <c r="E43" s="44">
        <f t="shared" ref="E43:J43" si="1">SUM(E37:E42)</f>
        <v>845.00000000000034</v>
      </c>
      <c r="F43" s="44">
        <f t="shared" si="1"/>
        <v>845.00000000000034</v>
      </c>
      <c r="G43" s="44">
        <f t="shared" si="1"/>
        <v>16.900000000000006</v>
      </c>
      <c r="H43" s="44">
        <f t="shared" si="1"/>
        <v>828.10000000000036</v>
      </c>
      <c r="I43" s="44">
        <f t="shared" si="1"/>
        <v>750</v>
      </c>
      <c r="J43" s="44">
        <f t="shared" si="1"/>
        <v>578.10000000000025</v>
      </c>
    </row>
    <row r="44" spans="1:13" ht="15" thickTop="1" x14ac:dyDescent="0.3"/>
    <row r="55" spans="1:15" x14ac:dyDescent="0.3">
      <c r="E55" s="2" t="s">
        <v>261</v>
      </c>
      <c r="N55" s="2" t="s">
        <v>253</v>
      </c>
    </row>
    <row r="56" spans="1:15" x14ac:dyDescent="0.3">
      <c r="E56" s="3" t="s">
        <v>218</v>
      </c>
      <c r="F56" s="4" t="s">
        <v>255</v>
      </c>
      <c r="G56" s="4" t="s">
        <v>256</v>
      </c>
      <c r="H56" s="4" t="s">
        <v>257</v>
      </c>
      <c r="I56" s="4" t="s">
        <v>222</v>
      </c>
      <c r="J56" s="4" t="s">
        <v>258</v>
      </c>
      <c r="K56" s="5" t="s">
        <v>259</v>
      </c>
      <c r="N56" s="37" t="s">
        <v>251</v>
      </c>
      <c r="O56" s="38" t="s">
        <v>252</v>
      </c>
    </row>
    <row r="57" spans="1:15" x14ac:dyDescent="0.3">
      <c r="E57" s="6">
        <v>0</v>
      </c>
      <c r="F57" s="7">
        <v>-1000</v>
      </c>
      <c r="G57" s="7" t="s">
        <v>260</v>
      </c>
      <c r="H57" s="7" t="s">
        <v>260</v>
      </c>
      <c r="I57" s="7" t="s">
        <v>260</v>
      </c>
      <c r="J57" s="7" t="s">
        <v>260</v>
      </c>
      <c r="K57" s="8" t="s">
        <v>260</v>
      </c>
      <c r="N57" s="48" t="s">
        <v>262</v>
      </c>
      <c r="O57" s="49" t="s">
        <v>263</v>
      </c>
    </row>
    <row r="58" spans="1:15" ht="15" thickBot="1" x14ac:dyDescent="0.35">
      <c r="E58" s="6">
        <v>1</v>
      </c>
      <c r="F58" s="7" t="s">
        <v>260</v>
      </c>
      <c r="G58" s="7">
        <v>3</v>
      </c>
      <c r="H58" s="7">
        <v>455.70000000000005</v>
      </c>
      <c r="I58" s="7">
        <v>911.40000000000009</v>
      </c>
      <c r="J58" s="7">
        <v>1822.8000000000002</v>
      </c>
      <c r="K58" s="8">
        <v>150</v>
      </c>
      <c r="N58" s="48" t="s">
        <v>264</v>
      </c>
      <c r="O58" s="49">
        <v>202.97355379150048</v>
      </c>
    </row>
    <row r="59" spans="1:15" ht="15" thickTop="1" x14ac:dyDescent="0.3">
      <c r="E59" s="9" t="s">
        <v>13</v>
      </c>
      <c r="F59" s="10"/>
      <c r="G59" s="10"/>
      <c r="H59" s="10"/>
      <c r="I59" s="10"/>
      <c r="J59" s="10"/>
      <c r="K59" s="11">
        <f>SUBTOTAL(103,ProjecTests!$K$57:$K$58)</f>
        <v>2</v>
      </c>
      <c r="N59" s="50" t="s">
        <v>265</v>
      </c>
      <c r="O59" s="51">
        <v>0.97280000000000011</v>
      </c>
    </row>
    <row r="62" spans="1:15" x14ac:dyDescent="0.3">
      <c r="A62" s="2" t="s">
        <v>261</v>
      </c>
      <c r="K62" s="2" t="s">
        <v>253</v>
      </c>
    </row>
    <row r="63" spans="1:15" x14ac:dyDescent="0.3">
      <c r="A63" s="3" t="s">
        <v>266</v>
      </c>
      <c r="B63" s="4" t="s">
        <v>267</v>
      </c>
      <c r="C63" s="4" t="s">
        <v>268</v>
      </c>
      <c r="D63" s="4" t="s">
        <v>269</v>
      </c>
      <c r="E63" s="4" t="s">
        <v>270</v>
      </c>
      <c r="F63" s="4" t="s">
        <v>271</v>
      </c>
      <c r="G63" s="4" t="s">
        <v>272</v>
      </c>
      <c r="H63" s="5" t="s">
        <v>273</v>
      </c>
      <c r="K63" s="37" t="s">
        <v>251</v>
      </c>
      <c r="L63" s="38" t="s">
        <v>252</v>
      </c>
    </row>
    <row r="64" spans="1:15" x14ac:dyDescent="0.3">
      <c r="A64" s="6">
        <v>0</v>
      </c>
      <c r="B64" s="7">
        <v>-1000</v>
      </c>
      <c r="C64" s="7" t="s">
        <v>260</v>
      </c>
      <c r="D64" s="7" t="s">
        <v>260</v>
      </c>
      <c r="E64" s="7" t="s">
        <v>260</v>
      </c>
      <c r="F64" s="7" t="s">
        <v>260</v>
      </c>
      <c r="G64" s="7" t="s">
        <v>260</v>
      </c>
      <c r="H64" s="8">
        <v>-1000</v>
      </c>
      <c r="K64" s="48" t="s">
        <v>274</v>
      </c>
      <c r="L64" s="49" t="s">
        <v>263</v>
      </c>
    </row>
    <row r="65" spans="1:12" x14ac:dyDescent="0.3">
      <c r="A65" s="6">
        <v>1</v>
      </c>
      <c r="B65" s="7" t="s">
        <v>260</v>
      </c>
      <c r="C65" s="7">
        <v>3</v>
      </c>
      <c r="D65" s="7">
        <v>465</v>
      </c>
      <c r="E65" s="7">
        <v>1395</v>
      </c>
      <c r="F65" s="7">
        <v>4185</v>
      </c>
      <c r="G65" s="7">
        <v>150</v>
      </c>
      <c r="H65" s="8">
        <v>4335</v>
      </c>
      <c r="K65" s="48" t="s">
        <v>275</v>
      </c>
      <c r="L65" s="49">
        <v>5028.0906962028312</v>
      </c>
    </row>
    <row r="66" spans="1:12" x14ac:dyDescent="0.3">
      <c r="A66" s="6">
        <v>2</v>
      </c>
      <c r="B66" s="7" t="s">
        <v>260</v>
      </c>
      <c r="C66" s="7">
        <v>3.4000000000000004</v>
      </c>
      <c r="D66" s="7">
        <v>527</v>
      </c>
      <c r="E66" s="7">
        <v>1581</v>
      </c>
      <c r="F66" s="7">
        <v>4743</v>
      </c>
      <c r="G66" s="7">
        <v>150</v>
      </c>
      <c r="H66" s="8">
        <v>4893</v>
      </c>
      <c r="K66" s="50" t="s">
        <v>265</v>
      </c>
      <c r="L66" s="51">
        <v>4.4586539220195558</v>
      </c>
    </row>
    <row r="67" spans="1:12" x14ac:dyDescent="0.3">
      <c r="A67" s="6">
        <v>3</v>
      </c>
      <c r="B67" s="7" t="s">
        <v>260</v>
      </c>
      <c r="C67" s="7">
        <v>3.8000000000000003</v>
      </c>
      <c r="D67" s="7">
        <v>589</v>
      </c>
      <c r="E67" s="7">
        <v>1767</v>
      </c>
      <c r="F67" s="7">
        <v>5301</v>
      </c>
      <c r="G67" s="7">
        <v>150</v>
      </c>
      <c r="H67" s="8">
        <v>5451</v>
      </c>
    </row>
    <row r="68" spans="1:12" x14ac:dyDescent="0.3">
      <c r="A68" s="6">
        <v>4</v>
      </c>
      <c r="B68" s="7" t="s">
        <v>260</v>
      </c>
      <c r="C68" s="7">
        <v>4.2</v>
      </c>
      <c r="D68" s="7">
        <v>651</v>
      </c>
      <c r="E68" s="7">
        <v>1953</v>
      </c>
      <c r="F68" s="7">
        <v>5859</v>
      </c>
      <c r="G68" s="7">
        <v>150</v>
      </c>
      <c r="H68" s="8">
        <v>6009</v>
      </c>
    </row>
    <row r="69" spans="1:12" ht="15" thickBot="1" x14ac:dyDescent="0.35">
      <c r="A69" s="6">
        <v>5</v>
      </c>
      <c r="B69" s="7" t="s">
        <v>260</v>
      </c>
      <c r="C69" s="7">
        <v>4.6000000000000005</v>
      </c>
      <c r="D69" s="7">
        <v>713.00000000000011</v>
      </c>
      <c r="E69" s="7">
        <v>2139.0000000000005</v>
      </c>
      <c r="F69" s="7">
        <v>6417.0000000000018</v>
      </c>
      <c r="G69" s="7">
        <v>150</v>
      </c>
      <c r="H69" s="8">
        <v>6567.0000000000018</v>
      </c>
    </row>
    <row r="70" spans="1:12" ht="15" thickTop="1" x14ac:dyDescent="0.3">
      <c r="A70" s="9" t="s">
        <v>13</v>
      </c>
      <c r="B70" s="10"/>
      <c r="C70" s="10"/>
      <c r="D70" s="10"/>
      <c r="E70" s="10"/>
      <c r="F70" s="10"/>
      <c r="G70" s="10"/>
      <c r="H70" s="11">
        <f>SUBTOTAL(109,ProjecTests!$H$64:$H$69)</f>
        <v>26255</v>
      </c>
    </row>
    <row r="72" spans="1:12" x14ac:dyDescent="0.3">
      <c r="A72" s="2" t="s">
        <v>261</v>
      </c>
      <c r="J72" s="2" t="s">
        <v>253</v>
      </c>
    </row>
    <row r="73" spans="1:12" x14ac:dyDescent="0.3">
      <c r="A73" s="3" t="s">
        <v>218</v>
      </c>
      <c r="B73" s="4" t="s">
        <v>267</v>
      </c>
      <c r="C73" s="4" t="s">
        <v>268</v>
      </c>
      <c r="D73" s="4" t="s">
        <v>269</v>
      </c>
      <c r="E73" s="4" t="s">
        <v>222</v>
      </c>
      <c r="F73" s="4" t="s">
        <v>271</v>
      </c>
      <c r="G73" s="4" t="s">
        <v>272</v>
      </c>
      <c r="H73" s="5" t="s">
        <v>273</v>
      </c>
      <c r="J73" s="37" t="s">
        <v>251</v>
      </c>
      <c r="K73" s="38" t="s">
        <v>252</v>
      </c>
    </row>
    <row r="74" spans="1:12" x14ac:dyDescent="0.3">
      <c r="A74" s="6">
        <v>0</v>
      </c>
      <c r="B74" s="7">
        <v>-1000</v>
      </c>
      <c r="C74" s="7" t="s">
        <v>260</v>
      </c>
      <c r="D74" s="7" t="s">
        <v>260</v>
      </c>
      <c r="E74" s="7" t="s">
        <v>260</v>
      </c>
      <c r="F74" s="7" t="s">
        <v>260</v>
      </c>
      <c r="G74" s="7" t="s">
        <v>260</v>
      </c>
      <c r="H74" s="8">
        <v>-1000</v>
      </c>
      <c r="J74" s="48" t="s">
        <v>262</v>
      </c>
      <c r="K74" s="49" t="s">
        <v>263</v>
      </c>
    </row>
    <row r="75" spans="1:12" ht="15" thickBot="1" x14ac:dyDescent="0.35">
      <c r="A75" s="6">
        <v>1</v>
      </c>
      <c r="B75" s="7" t="s">
        <v>260</v>
      </c>
      <c r="C75" s="7">
        <v>4.3333333333333339</v>
      </c>
      <c r="D75" s="7">
        <v>2015.0000000000002</v>
      </c>
      <c r="E75" s="7">
        <v>4030.0000000000005</v>
      </c>
      <c r="F75" s="7">
        <v>8060.0000000000009</v>
      </c>
      <c r="G75" s="7">
        <v>150</v>
      </c>
      <c r="H75" s="8">
        <v>8210</v>
      </c>
      <c r="J75" s="48" t="s">
        <v>275</v>
      </c>
      <c r="K75" s="49">
        <v>2895.6024930747922</v>
      </c>
    </row>
    <row r="76" spans="1:12" ht="15" thickTop="1" x14ac:dyDescent="0.3">
      <c r="A76" s="9" t="s">
        <v>13</v>
      </c>
      <c r="B76" s="10"/>
      <c r="C76" s="10"/>
      <c r="D76" s="10"/>
      <c r="E76" s="10"/>
      <c r="F76" s="10"/>
      <c r="G76" s="10"/>
      <c r="H76" s="11">
        <f>SUBTOTAL(109,ProjecTests!$H$74:$H$75)</f>
        <v>7210</v>
      </c>
      <c r="J76" s="50" t="s">
        <v>265</v>
      </c>
      <c r="K76" s="51">
        <v>7.2099999999999973</v>
      </c>
    </row>
    <row r="79" spans="1:12" x14ac:dyDescent="0.3">
      <c r="A79" s="2" t="s">
        <v>261</v>
      </c>
      <c r="J79" s="2" t="s">
        <v>253</v>
      </c>
    </row>
    <row r="80" spans="1:12" x14ac:dyDescent="0.3">
      <c r="A80" s="3" t="s">
        <v>218</v>
      </c>
      <c r="B80" s="4" t="s">
        <v>267</v>
      </c>
      <c r="C80" s="4" t="s">
        <v>268</v>
      </c>
      <c r="D80" s="4" t="s">
        <v>269</v>
      </c>
      <c r="E80" s="4" t="s">
        <v>270</v>
      </c>
      <c r="F80" s="4" t="s">
        <v>271</v>
      </c>
      <c r="G80" s="4" t="s">
        <v>272</v>
      </c>
      <c r="H80" s="5" t="s">
        <v>273</v>
      </c>
      <c r="J80" s="37" t="s">
        <v>251</v>
      </c>
      <c r="K80" s="38" t="s">
        <v>252</v>
      </c>
    </row>
    <row r="81" spans="1:11" x14ac:dyDescent="0.3">
      <c r="A81" s="6">
        <v>0</v>
      </c>
      <c r="B81" s="7">
        <v>-1000</v>
      </c>
      <c r="C81" s="7" t="s">
        <v>260</v>
      </c>
      <c r="D81" s="7" t="s">
        <v>260</v>
      </c>
      <c r="E81" s="7" t="s">
        <v>260</v>
      </c>
      <c r="F81" s="7" t="s">
        <v>260</v>
      </c>
      <c r="G81" s="7" t="s">
        <v>260</v>
      </c>
      <c r="H81" s="8">
        <v>-1000</v>
      </c>
      <c r="J81" s="48" t="s">
        <v>262</v>
      </c>
      <c r="K81" s="49" t="s">
        <v>263</v>
      </c>
    </row>
    <row r="82" spans="1:11" x14ac:dyDescent="0.3">
      <c r="A82" s="6">
        <v>1</v>
      </c>
      <c r="B82" s="7" t="s">
        <v>260</v>
      </c>
      <c r="C82" s="7">
        <v>4</v>
      </c>
      <c r="D82" s="7">
        <v>1860</v>
      </c>
      <c r="E82" s="7">
        <v>5580</v>
      </c>
      <c r="F82" s="7">
        <v>16740</v>
      </c>
      <c r="G82" s="7">
        <v>150</v>
      </c>
      <c r="H82" s="8">
        <v>16890</v>
      </c>
      <c r="J82" s="48" t="s">
        <v>275</v>
      </c>
      <c r="K82" s="49">
        <v>17989.533445101275</v>
      </c>
    </row>
    <row r="83" spans="1:11" x14ac:dyDescent="0.3">
      <c r="A83" s="6">
        <v>2</v>
      </c>
      <c r="B83" s="7" t="s">
        <v>260</v>
      </c>
      <c r="C83" s="7">
        <v>4.2</v>
      </c>
      <c r="D83" s="7">
        <v>1953</v>
      </c>
      <c r="E83" s="7">
        <v>5859</v>
      </c>
      <c r="F83" s="7">
        <v>17577</v>
      </c>
      <c r="G83" s="7">
        <v>150</v>
      </c>
      <c r="H83" s="8">
        <v>17727</v>
      </c>
      <c r="J83" s="50" t="s">
        <v>265</v>
      </c>
      <c r="K83" s="51">
        <v>16.93940006151718</v>
      </c>
    </row>
    <row r="84" spans="1:11" x14ac:dyDescent="0.3">
      <c r="A84" s="6">
        <v>3</v>
      </c>
      <c r="B84" s="7" t="s">
        <v>260</v>
      </c>
      <c r="C84" s="7">
        <v>4.3999999999999995</v>
      </c>
      <c r="D84" s="7">
        <v>2045.9999999999998</v>
      </c>
      <c r="E84" s="7">
        <v>6137.9999999999991</v>
      </c>
      <c r="F84" s="7">
        <v>18413.999999999996</v>
      </c>
      <c r="G84" s="7">
        <v>150</v>
      </c>
      <c r="H84" s="8">
        <v>18563.999999999996</v>
      </c>
    </row>
    <row r="85" spans="1:11" x14ac:dyDescent="0.3">
      <c r="A85" s="6">
        <v>4</v>
      </c>
      <c r="B85" s="7" t="s">
        <v>260</v>
      </c>
      <c r="C85" s="7">
        <v>4.5999999999999996</v>
      </c>
      <c r="D85" s="7">
        <v>2139</v>
      </c>
      <c r="E85" s="7">
        <v>6417</v>
      </c>
      <c r="F85" s="7">
        <v>19251</v>
      </c>
      <c r="G85" s="7">
        <v>150</v>
      </c>
      <c r="H85" s="8">
        <v>19401</v>
      </c>
    </row>
    <row r="86" spans="1:11" ht="15" thickBot="1" x14ac:dyDescent="0.35">
      <c r="A86" s="6">
        <v>5</v>
      </c>
      <c r="B86" s="7" t="s">
        <v>260</v>
      </c>
      <c r="C86" s="7">
        <v>4.8</v>
      </c>
      <c r="D86" s="7">
        <v>2232</v>
      </c>
      <c r="E86" s="7">
        <v>6696</v>
      </c>
      <c r="F86" s="7">
        <v>20088</v>
      </c>
      <c r="G86" s="7">
        <v>150</v>
      </c>
      <c r="H86" s="8">
        <v>20238</v>
      </c>
    </row>
    <row r="87" spans="1:11" ht="15" thickTop="1" x14ac:dyDescent="0.3">
      <c r="A87" s="9" t="s">
        <v>13</v>
      </c>
      <c r="B87" s="10">
        <f>SUBTOTAL(109,ProjecTests!$B$81:$B$86)</f>
        <v>-1000</v>
      </c>
      <c r="C87" s="10">
        <f>SUBTOTAL(109,ProjecTests!$C$81:$C$86)</f>
        <v>21.999999999999996</v>
      </c>
      <c r="D87" s="10">
        <f>SUBTOTAL(109,ProjecTests!$D$81:$D$86)</f>
        <v>10230</v>
      </c>
      <c r="E87" s="10">
        <f>SUBTOTAL(109,ProjecTests!$E$81:$E$86)</f>
        <v>30690</v>
      </c>
      <c r="F87" s="10">
        <f>SUBTOTAL(109,ProjecTests!$F$81:$F$86)</f>
        <v>92070</v>
      </c>
      <c r="G87" s="10">
        <f>SUBTOTAL(109,ProjecTests!$G$81:$G$86)</f>
        <v>750</v>
      </c>
      <c r="H87" s="11">
        <f>SUBTOTAL(109,ProjecTests!$H$81:$H$86)</f>
        <v>91820</v>
      </c>
    </row>
    <row r="90" spans="1:11" x14ac:dyDescent="0.3">
      <c r="A90" s="2" t="s">
        <v>261</v>
      </c>
      <c r="J90" s="2" t="s">
        <v>253</v>
      </c>
    </row>
    <row r="91" spans="1:11" x14ac:dyDescent="0.3">
      <c r="A91" s="3" t="s">
        <v>218</v>
      </c>
      <c r="B91" s="4" t="s">
        <v>267</v>
      </c>
      <c r="C91" s="4" t="s">
        <v>268</v>
      </c>
      <c r="D91" s="4" t="s">
        <v>269</v>
      </c>
      <c r="E91" s="4" t="s">
        <v>270</v>
      </c>
      <c r="F91" s="4" t="s">
        <v>271</v>
      </c>
      <c r="G91" s="4" t="s">
        <v>272</v>
      </c>
      <c r="H91" s="5" t="s">
        <v>273</v>
      </c>
      <c r="J91" s="37" t="s">
        <v>251</v>
      </c>
      <c r="K91" s="38" t="s">
        <v>252</v>
      </c>
    </row>
    <row r="92" spans="1:11" x14ac:dyDescent="0.3">
      <c r="A92" s="6">
        <v>0</v>
      </c>
      <c r="B92" s="7">
        <v>-1000</v>
      </c>
      <c r="C92" s="7" t="s">
        <v>260</v>
      </c>
      <c r="D92" s="7" t="s">
        <v>260</v>
      </c>
      <c r="E92" s="7" t="s">
        <v>260</v>
      </c>
      <c r="F92" s="7" t="s">
        <v>260</v>
      </c>
      <c r="G92" s="7" t="s">
        <v>260</v>
      </c>
      <c r="H92" s="8">
        <v>-1000</v>
      </c>
      <c r="J92" s="48" t="s">
        <v>262</v>
      </c>
      <c r="K92" s="49" t="s">
        <v>263</v>
      </c>
    </row>
    <row r="93" spans="1:11" x14ac:dyDescent="0.3">
      <c r="A93" s="6">
        <v>1</v>
      </c>
      <c r="B93" s="7" t="s">
        <v>260</v>
      </c>
      <c r="C93" s="7">
        <v>4.6999999999999993</v>
      </c>
      <c r="D93" s="7">
        <v>8741.9999999999982</v>
      </c>
      <c r="E93" s="7">
        <v>26225.999999999993</v>
      </c>
      <c r="F93" s="7">
        <v>78677.999999999971</v>
      </c>
      <c r="G93" s="7">
        <v>150</v>
      </c>
      <c r="H93" s="8">
        <v>78827.999999999971</v>
      </c>
      <c r="J93" s="48" t="s">
        <v>275</v>
      </c>
      <c r="K93" s="49">
        <v>83560.059906050097</v>
      </c>
    </row>
    <row r="94" spans="1:11" x14ac:dyDescent="0.3">
      <c r="A94" s="6">
        <v>2</v>
      </c>
      <c r="B94" s="7" t="s">
        <v>260</v>
      </c>
      <c r="C94" s="7">
        <v>4.8</v>
      </c>
      <c r="D94" s="7">
        <v>8928</v>
      </c>
      <c r="E94" s="7">
        <v>26784</v>
      </c>
      <c r="F94" s="7">
        <v>80352</v>
      </c>
      <c r="G94" s="7">
        <v>150</v>
      </c>
      <c r="H94" s="8">
        <v>80502</v>
      </c>
      <c r="J94" s="50" t="s">
        <v>265</v>
      </c>
      <c r="K94" s="51">
        <v>78.849230362338531</v>
      </c>
    </row>
    <row r="95" spans="1:11" x14ac:dyDescent="0.3">
      <c r="A95" s="6">
        <v>3</v>
      </c>
      <c r="B95" s="7" t="s">
        <v>260</v>
      </c>
      <c r="C95" s="7">
        <v>4.8999999999999995</v>
      </c>
      <c r="D95" s="7">
        <v>9113.9999999999982</v>
      </c>
      <c r="E95" s="7">
        <v>27341.999999999993</v>
      </c>
      <c r="F95" s="7">
        <v>82025.999999999971</v>
      </c>
      <c r="G95" s="7">
        <v>150</v>
      </c>
      <c r="H95" s="8">
        <v>82175.999999999971</v>
      </c>
    </row>
    <row r="96" spans="1:11" x14ac:dyDescent="0.3">
      <c r="A96" s="6">
        <v>4</v>
      </c>
      <c r="B96" s="7" t="s">
        <v>260</v>
      </c>
      <c r="C96" s="7">
        <v>5</v>
      </c>
      <c r="D96" s="7">
        <v>9300</v>
      </c>
      <c r="E96" s="7">
        <v>27900</v>
      </c>
      <c r="F96" s="7">
        <v>83700</v>
      </c>
      <c r="G96" s="7">
        <v>150</v>
      </c>
      <c r="H96" s="8">
        <v>83850</v>
      </c>
    </row>
    <row r="97" spans="1:11" ht="15" thickBot="1" x14ac:dyDescent="0.35">
      <c r="A97" s="6">
        <v>5</v>
      </c>
      <c r="B97" s="7" t="s">
        <v>260</v>
      </c>
      <c r="C97" s="7">
        <v>5.0999999999999996</v>
      </c>
      <c r="D97" s="7">
        <v>9486</v>
      </c>
      <c r="E97" s="7">
        <v>28458</v>
      </c>
      <c r="F97" s="7">
        <v>85374</v>
      </c>
      <c r="G97" s="7">
        <v>150</v>
      </c>
      <c r="H97" s="8">
        <v>85524</v>
      </c>
    </row>
    <row r="98" spans="1:11" ht="15" thickTop="1" x14ac:dyDescent="0.3">
      <c r="A98" s="9" t="s">
        <v>13</v>
      </c>
      <c r="B98" s="10"/>
      <c r="C98" s="10"/>
      <c r="D98" s="10"/>
      <c r="E98" s="10"/>
      <c r="F98" s="10"/>
      <c r="G98" s="10"/>
      <c r="H98" s="11">
        <f>SUBTOTAL(109,ProjecTests!$H$92:$H$97)</f>
        <v>409879.99999999994</v>
      </c>
    </row>
    <row r="100" spans="1:11" x14ac:dyDescent="0.3">
      <c r="A100" s="2" t="s">
        <v>261</v>
      </c>
      <c r="J100" s="2" t="s">
        <v>253</v>
      </c>
    </row>
    <row r="101" spans="1:11" x14ac:dyDescent="0.3">
      <c r="A101" s="3" t="s">
        <v>218</v>
      </c>
      <c r="B101" s="4" t="s">
        <v>267</v>
      </c>
      <c r="C101" s="4" t="s">
        <v>268</v>
      </c>
      <c r="D101" s="4" t="s">
        <v>269</v>
      </c>
      <c r="E101" s="4" t="s">
        <v>276</v>
      </c>
      <c r="F101" s="4" t="s">
        <v>271</v>
      </c>
      <c r="G101" s="4" t="s">
        <v>272</v>
      </c>
      <c r="H101" s="5" t="s">
        <v>273</v>
      </c>
      <c r="J101" s="37" t="s">
        <v>251</v>
      </c>
      <c r="K101" s="38" t="s">
        <v>252</v>
      </c>
    </row>
    <row r="102" spans="1:11" x14ac:dyDescent="0.3">
      <c r="A102" s="6">
        <v>0</v>
      </c>
      <c r="B102" s="7">
        <v>-1000</v>
      </c>
      <c r="C102" s="7" t="s">
        <v>260</v>
      </c>
      <c r="D102" s="7" t="s">
        <v>260</v>
      </c>
      <c r="E102" s="7" t="s">
        <v>260</v>
      </c>
      <c r="F102" s="7" t="s">
        <v>260</v>
      </c>
      <c r="G102" s="7" t="s">
        <v>260</v>
      </c>
      <c r="H102" s="8">
        <v>-1000</v>
      </c>
      <c r="J102" s="48" t="s">
        <v>262</v>
      </c>
      <c r="K102" s="49" t="s">
        <v>263</v>
      </c>
    </row>
    <row r="103" spans="1:11" x14ac:dyDescent="0.3">
      <c r="A103" s="6">
        <v>1</v>
      </c>
      <c r="B103" s="7" t="s">
        <v>260</v>
      </c>
      <c r="C103" s="7">
        <v>5.6000000000000005</v>
      </c>
      <c r="D103" s="7">
        <v>48955.200000000004</v>
      </c>
      <c r="E103" s="7">
        <v>195820.80000000002</v>
      </c>
      <c r="F103" s="7">
        <v>783283.20000000007</v>
      </c>
      <c r="G103" s="7">
        <v>150</v>
      </c>
      <c r="H103" s="8">
        <v>783433.20000000007</v>
      </c>
      <c r="J103" s="48" t="s">
        <v>275</v>
      </c>
      <c r="K103" s="49">
        <v>946568.98765432101</v>
      </c>
    </row>
    <row r="104" spans="1:11" x14ac:dyDescent="0.3">
      <c r="A104" s="6">
        <v>2</v>
      </c>
      <c r="B104" s="7" t="s">
        <v>260</v>
      </c>
      <c r="C104" s="7">
        <v>5.8000000000000007</v>
      </c>
      <c r="D104" s="7">
        <v>50703.600000000006</v>
      </c>
      <c r="E104" s="7">
        <v>202814.40000000002</v>
      </c>
      <c r="F104" s="7">
        <v>811257.60000000009</v>
      </c>
      <c r="G104" s="7">
        <v>150</v>
      </c>
      <c r="H104" s="8">
        <v>811407.60000000009</v>
      </c>
      <c r="J104" s="50" t="s">
        <v>265</v>
      </c>
      <c r="K104" s="51">
        <v>783.46890582035132</v>
      </c>
    </row>
    <row r="105" spans="1:11" x14ac:dyDescent="0.3">
      <c r="A105" s="6">
        <v>3</v>
      </c>
      <c r="B105" s="7" t="s">
        <v>260</v>
      </c>
      <c r="C105" s="7">
        <v>6</v>
      </c>
      <c r="D105" s="7">
        <v>52452</v>
      </c>
      <c r="E105" s="7">
        <v>209808</v>
      </c>
      <c r="F105" s="7">
        <v>839232</v>
      </c>
      <c r="G105" s="7">
        <v>150</v>
      </c>
      <c r="H105" s="8">
        <v>839382</v>
      </c>
    </row>
    <row r="106" spans="1:11" x14ac:dyDescent="0.3">
      <c r="A106" s="6">
        <v>4</v>
      </c>
      <c r="B106" s="7" t="s">
        <v>260</v>
      </c>
      <c r="C106" s="7">
        <v>6.2</v>
      </c>
      <c r="D106" s="7">
        <v>54200.4</v>
      </c>
      <c r="E106" s="7">
        <v>216801.6</v>
      </c>
      <c r="F106" s="7">
        <v>867206.4</v>
      </c>
      <c r="G106" s="7">
        <v>150</v>
      </c>
      <c r="H106" s="8">
        <v>867356.4</v>
      </c>
    </row>
    <row r="107" spans="1:11" ht="15" thickBot="1" x14ac:dyDescent="0.35">
      <c r="A107" s="6">
        <v>5</v>
      </c>
      <c r="B107" s="7" t="s">
        <v>260</v>
      </c>
      <c r="C107" s="7">
        <v>6.4</v>
      </c>
      <c r="D107" s="7">
        <v>55948.800000000003</v>
      </c>
      <c r="E107" s="7">
        <v>223795.20000000001</v>
      </c>
      <c r="F107" s="7">
        <v>895180.80000000005</v>
      </c>
      <c r="G107" s="7">
        <v>150</v>
      </c>
      <c r="H107" s="8">
        <v>895330.8</v>
      </c>
    </row>
    <row r="108" spans="1:11" ht="15" thickTop="1" x14ac:dyDescent="0.3">
      <c r="A108" s="9" t="s">
        <v>13</v>
      </c>
      <c r="B108" s="10"/>
      <c r="C108" s="10"/>
      <c r="D108" s="10"/>
      <c r="E108" s="10"/>
      <c r="F108" s="10"/>
      <c r="G108" s="10"/>
      <c r="H108" s="11">
        <f>SUBTOTAL(109,ProjecTests!$H$102:$H$107)</f>
        <v>4195910</v>
      </c>
    </row>
    <row r="110" spans="1:11" x14ac:dyDescent="0.3">
      <c r="A110" s="2" t="s">
        <v>261</v>
      </c>
      <c r="J110" s="2" t="s">
        <v>253</v>
      </c>
    </row>
    <row r="111" spans="1:11" x14ac:dyDescent="0.3">
      <c r="A111" s="3" t="s">
        <v>218</v>
      </c>
      <c r="B111" s="4" t="s">
        <v>267</v>
      </c>
      <c r="C111" s="4" t="s">
        <v>268</v>
      </c>
      <c r="D111" s="4" t="s">
        <v>269</v>
      </c>
      <c r="E111" s="4" t="s">
        <v>276</v>
      </c>
      <c r="F111" s="4" t="s">
        <v>271</v>
      </c>
      <c r="G111" s="4" t="s">
        <v>272</v>
      </c>
      <c r="H111" s="5" t="s">
        <v>273</v>
      </c>
      <c r="J111" s="37" t="s">
        <v>251</v>
      </c>
      <c r="K111" s="38" t="s">
        <v>252</v>
      </c>
    </row>
    <row r="112" spans="1:11" x14ac:dyDescent="0.3">
      <c r="A112" s="6">
        <v>0</v>
      </c>
      <c r="B112" s="7">
        <v>-1000</v>
      </c>
      <c r="C112" s="7" t="s">
        <v>260</v>
      </c>
      <c r="D112" s="7" t="s">
        <v>260</v>
      </c>
      <c r="E112" s="7" t="s">
        <v>260</v>
      </c>
      <c r="F112" s="7" t="s">
        <v>260</v>
      </c>
      <c r="G112" s="7" t="s">
        <v>260</v>
      </c>
      <c r="H112" s="8">
        <v>-1000</v>
      </c>
      <c r="J112" s="48" t="s">
        <v>262</v>
      </c>
      <c r="K112" s="49" t="s">
        <v>263</v>
      </c>
    </row>
    <row r="113" spans="1:11" x14ac:dyDescent="0.3">
      <c r="A113" s="6">
        <v>1</v>
      </c>
      <c r="B113" s="7" t="s">
        <v>260</v>
      </c>
      <c r="C113" s="7">
        <v>6.8999999999999995</v>
      </c>
      <c r="D113" s="7">
        <v>337790.87999999995</v>
      </c>
      <c r="E113" s="7">
        <v>1351163.5199999998</v>
      </c>
      <c r="F113" s="7">
        <v>5404654.0799999991</v>
      </c>
      <c r="G113" s="7">
        <v>150</v>
      </c>
      <c r="H113" s="8">
        <v>5404804.0799999991</v>
      </c>
      <c r="J113" s="48" t="s">
        <v>275</v>
      </c>
      <c r="K113" s="49">
        <v>6594558.1366255134</v>
      </c>
    </row>
    <row r="114" spans="1:11" x14ac:dyDescent="0.3">
      <c r="A114" s="6">
        <v>2</v>
      </c>
      <c r="B114" s="7" t="s">
        <v>260</v>
      </c>
      <c r="C114" s="7">
        <v>7.1999999999999993</v>
      </c>
      <c r="D114" s="7">
        <v>352477.43999999994</v>
      </c>
      <c r="E114" s="7">
        <v>1409909.7599999998</v>
      </c>
      <c r="F114" s="7">
        <v>5639639.0399999991</v>
      </c>
      <c r="G114" s="7">
        <v>150</v>
      </c>
      <c r="H114" s="8">
        <v>5639789.0399999991</v>
      </c>
      <c r="J114" s="50" t="s">
        <v>265</v>
      </c>
      <c r="K114" s="51">
        <v>5404.8475567041796</v>
      </c>
    </row>
    <row r="115" spans="1:11" x14ac:dyDescent="0.3">
      <c r="A115" s="6">
        <v>3</v>
      </c>
      <c r="B115" s="7" t="s">
        <v>260</v>
      </c>
      <c r="C115" s="7">
        <v>7.5</v>
      </c>
      <c r="D115" s="7">
        <v>367164</v>
      </c>
      <c r="E115" s="7">
        <v>1468656</v>
      </c>
      <c r="F115" s="7">
        <v>5874624</v>
      </c>
      <c r="G115" s="7">
        <v>150</v>
      </c>
      <c r="H115" s="8">
        <v>5874774</v>
      </c>
    </row>
    <row r="116" spans="1:11" x14ac:dyDescent="0.3">
      <c r="A116" s="6">
        <v>4</v>
      </c>
      <c r="B116" s="7" t="s">
        <v>260</v>
      </c>
      <c r="C116" s="7">
        <v>7.8</v>
      </c>
      <c r="D116" s="7">
        <v>381850.56</v>
      </c>
      <c r="E116" s="7">
        <v>1527402.24</v>
      </c>
      <c r="F116" s="7">
        <v>6109608.96</v>
      </c>
      <c r="G116" s="7">
        <v>150</v>
      </c>
      <c r="H116" s="8">
        <v>6109758.96</v>
      </c>
    </row>
    <row r="117" spans="1:11" ht="15" thickBot="1" x14ac:dyDescent="0.35">
      <c r="A117" s="6">
        <v>5</v>
      </c>
      <c r="B117" s="7" t="s">
        <v>260</v>
      </c>
      <c r="C117" s="7">
        <v>8.1</v>
      </c>
      <c r="D117" s="7">
        <v>396537.11999999994</v>
      </c>
      <c r="E117" s="7">
        <v>1586148.4799999997</v>
      </c>
      <c r="F117" s="7">
        <v>6344593.919999999</v>
      </c>
      <c r="G117" s="7">
        <v>150</v>
      </c>
      <c r="H117" s="8">
        <v>6344743.919999999</v>
      </c>
    </row>
    <row r="118" spans="1:11" ht="15" thickTop="1" x14ac:dyDescent="0.3">
      <c r="A118" s="9" t="s">
        <v>13</v>
      </c>
      <c r="B118" s="10"/>
      <c r="C118" s="10"/>
      <c r="D118" s="10">
        <f>SUBTOTAL(109,ProjecTests!$D$112:$D$117)</f>
        <v>1835819.9999999998</v>
      </c>
      <c r="E118" s="10">
        <f>SUBTOTAL(109,ProjecTests!$E$112:$E$117)</f>
        <v>7343279.9999999991</v>
      </c>
      <c r="F118" s="10">
        <f>SUBTOTAL(109,ProjecTests!$F$112:$F$117)</f>
        <v>29373119.999999996</v>
      </c>
      <c r="G118" s="10">
        <f>SUBTOTAL(109,ProjecTests!$G$112:$G$117)</f>
        <v>750</v>
      </c>
      <c r="H118" s="11">
        <f>SUBTOTAL(109,ProjecTests!$H$112:$H$117)</f>
        <v>29372869.999999996</v>
      </c>
    </row>
    <row r="120" spans="1:11" x14ac:dyDescent="0.3">
      <c r="A120" s="2" t="s">
        <v>261</v>
      </c>
      <c r="J120" s="2" t="s">
        <v>253</v>
      </c>
    </row>
    <row r="121" spans="1:11" x14ac:dyDescent="0.3">
      <c r="A121" s="3" t="s">
        <v>218</v>
      </c>
      <c r="B121" s="4" t="s">
        <v>267</v>
      </c>
      <c r="C121" s="4" t="s">
        <v>268</v>
      </c>
      <c r="D121" s="4" t="s">
        <v>269</v>
      </c>
      <c r="E121" s="4" t="s">
        <v>222</v>
      </c>
      <c r="F121" s="4" t="s">
        <v>271</v>
      </c>
      <c r="G121" s="4" t="s">
        <v>272</v>
      </c>
      <c r="H121" s="5" t="s">
        <v>273</v>
      </c>
      <c r="J121" s="37" t="s">
        <v>251</v>
      </c>
      <c r="K121" s="38" t="s">
        <v>252</v>
      </c>
    </row>
    <row r="122" spans="1:11" x14ac:dyDescent="0.3">
      <c r="A122" s="6">
        <v>0</v>
      </c>
      <c r="B122" s="7">
        <v>-1000</v>
      </c>
      <c r="C122" s="7" t="s">
        <v>260</v>
      </c>
      <c r="D122" s="7" t="s">
        <v>260</v>
      </c>
      <c r="E122" s="7" t="s">
        <v>260</v>
      </c>
      <c r="F122" s="7" t="s">
        <v>260</v>
      </c>
      <c r="G122" s="7" t="s">
        <v>260</v>
      </c>
      <c r="H122" s="8">
        <v>-1000</v>
      </c>
      <c r="J122" s="48" t="s">
        <v>262</v>
      </c>
      <c r="K122" s="49">
        <v>0</v>
      </c>
    </row>
    <row r="123" spans="1:11" x14ac:dyDescent="0.3">
      <c r="A123" s="6">
        <v>1</v>
      </c>
      <c r="B123" s="7" t="s">
        <v>260</v>
      </c>
      <c r="C123" s="7">
        <v>-23.666666666665844</v>
      </c>
      <c r="D123" s="7">
        <f>337790.88*$C$123</f>
        <v>-7994384.1599997217</v>
      </c>
      <c r="E123" s="7">
        <f>SUM($D$123)*2/100</f>
        <v>-159887.68319999444</v>
      </c>
      <c r="F123" s="7">
        <f>SUM($D$123)-$E$123</f>
        <v>-7834496.4767997274</v>
      </c>
      <c r="G123" s="7">
        <v>150</v>
      </c>
      <c r="H123" s="8">
        <f>SUM($F$124:$G$124)</f>
        <v>-6730896.2687997706</v>
      </c>
      <c r="J123" s="48" t="s">
        <v>275</v>
      </c>
      <c r="K123" s="49" t="str">
        <f ca="1">+IFERROR(VNA(50%,$H$122:$H$127),"¡Indeterminable!")</f>
        <v>¡Indeterminable!</v>
      </c>
    </row>
    <row r="124" spans="1:11" x14ac:dyDescent="0.3">
      <c r="A124" s="6">
        <v>2</v>
      </c>
      <c r="B124" s="7" t="s">
        <v>260</v>
      </c>
      <c r="C124" s="7">
        <v>-20.333333333332639</v>
      </c>
      <c r="D124" s="7">
        <f>337790.88*$C$124</f>
        <v>-6868414.5599997658</v>
      </c>
      <c r="E124" s="7">
        <f>SUM($D$124)*2/100</f>
        <v>-137368.29119999532</v>
      </c>
      <c r="F124" s="7">
        <f>SUM($D$124)-$E$124</f>
        <v>-6731046.2687997706</v>
      </c>
      <c r="G124" s="7">
        <v>150</v>
      </c>
      <c r="H124" s="8">
        <f>SUM($F$125:$G$125)</f>
        <v>-5627446.060799812</v>
      </c>
      <c r="J124" s="50" t="s">
        <v>265</v>
      </c>
      <c r="K124" s="51" t="str">
        <f>+IFERROR(IRR($H$122:$H$127,50%),"¡Indeterminable!")</f>
        <v>¡Indeterminable!</v>
      </c>
    </row>
    <row r="125" spans="1:11" x14ac:dyDescent="0.3">
      <c r="A125" s="6">
        <v>3</v>
      </c>
      <c r="B125" s="7" t="s">
        <v>260</v>
      </c>
      <c r="C125" s="7">
        <v>-16.999999999999432</v>
      </c>
      <c r="D125" s="7">
        <f>337790.88*$C$125</f>
        <v>-5742444.9599998081</v>
      </c>
      <c r="E125" s="7">
        <f>SUM($D$125)*2/100</f>
        <v>-114848.89919999616</v>
      </c>
      <c r="F125" s="7">
        <f>SUM($D$125)-$E$125</f>
        <v>-5627596.060799812</v>
      </c>
      <c r="G125" s="7">
        <v>150</v>
      </c>
      <c r="H125" s="8">
        <f>SUM($F$126:$G$126)</f>
        <v>-4523995.8527998533</v>
      </c>
    </row>
    <row r="126" spans="1:11" x14ac:dyDescent="0.3">
      <c r="A126" s="6">
        <v>4</v>
      </c>
      <c r="B126" s="7" t="s">
        <v>260</v>
      </c>
      <c r="C126" s="7">
        <v>-13.666666666666224</v>
      </c>
      <c r="D126" s="7">
        <f>337790.88*$C$126</f>
        <v>-4616475.3599998504</v>
      </c>
      <c r="E126" s="7">
        <f>SUM($D$126)*2/100</f>
        <v>-92329.50719999701</v>
      </c>
      <c r="F126" s="7">
        <f>SUM($D$126)-$E$126</f>
        <v>-4524145.8527998533</v>
      </c>
      <c r="G126" s="7">
        <v>150</v>
      </c>
      <c r="H126" s="8">
        <f>SUM($F$127:$G$127)</f>
        <v>-3420545.6447998947</v>
      </c>
    </row>
    <row r="127" spans="1:11" ht="15" thickBot="1" x14ac:dyDescent="0.35">
      <c r="A127" s="6">
        <v>5</v>
      </c>
      <c r="B127" s="7" t="s">
        <v>260</v>
      </c>
      <c r="C127" s="7">
        <v>-10.333333333333016</v>
      </c>
      <c r="D127" s="7">
        <f>337790.88*$C$127</f>
        <v>-3490505.7599998927</v>
      </c>
      <c r="E127" s="7">
        <f>SUM($D$127)*2/100</f>
        <v>-69810.115199997847</v>
      </c>
      <c r="F127" s="7">
        <f>SUM($D$127)-$E$127</f>
        <v>-3420695.6447998947</v>
      </c>
      <c r="G127" s="7">
        <v>150</v>
      </c>
      <c r="H127" s="8">
        <f>SUM($F$129:$G$129)</f>
        <v>0</v>
      </c>
    </row>
    <row r="128" spans="1:11" ht="15" thickTop="1" x14ac:dyDescent="0.3">
      <c r="A128" s="9" t="s">
        <v>13</v>
      </c>
      <c r="B128" s="10"/>
      <c r="C128" s="10"/>
      <c r="D128" s="10">
        <f>SUBTOTAL(109,ProjecTests!$D$122:$D$127)</f>
        <v>-28712224.79999904</v>
      </c>
      <c r="E128" s="10">
        <f>SUBTOTAL(109,ProjecTests!$E$122:$E$127)</f>
        <v>-574244.49599998072</v>
      </c>
      <c r="F128" s="10">
        <f>SUBTOTAL(109,ProjecTests!$F$122:$F$127)</f>
        <v>-28137980.303999059</v>
      </c>
      <c r="G128" s="10">
        <f>SUBTOTAL(109,ProjecTests!$G$122:$G$127)</f>
        <v>750</v>
      </c>
      <c r="H128" s="11">
        <f>SUBTOTAL(109,ProjecTests!$H$122:$H$127)</f>
        <v>-20303883.827199332</v>
      </c>
    </row>
    <row r="130" spans="1:11" x14ac:dyDescent="0.3">
      <c r="A130" s="2" t="s">
        <v>261</v>
      </c>
      <c r="J130" s="2" t="s">
        <v>253</v>
      </c>
    </row>
    <row r="131" spans="1:11" x14ac:dyDescent="0.3">
      <c r="A131" s="3" t="s">
        <v>218</v>
      </c>
      <c r="B131" s="4" t="s">
        <v>267</v>
      </c>
      <c r="C131" s="4" t="s">
        <v>268</v>
      </c>
      <c r="D131" s="4" t="s">
        <v>269</v>
      </c>
      <c r="E131" s="4" t="s">
        <v>222</v>
      </c>
      <c r="F131" s="4" t="s">
        <v>271</v>
      </c>
      <c r="G131" s="4" t="s">
        <v>272</v>
      </c>
      <c r="H131" s="5" t="s">
        <v>273</v>
      </c>
      <c r="J131" s="37" t="s">
        <v>251</v>
      </c>
      <c r="K131" s="38" t="s">
        <v>252</v>
      </c>
    </row>
    <row r="132" spans="1:11" x14ac:dyDescent="0.3">
      <c r="A132" s="6">
        <v>0</v>
      </c>
      <c r="B132" s="7">
        <v>-1000</v>
      </c>
      <c r="C132" s="7" t="s">
        <v>260</v>
      </c>
      <c r="D132" s="7" t="s">
        <v>260</v>
      </c>
      <c r="E132" s="7" t="s">
        <v>260</v>
      </c>
      <c r="F132" s="7" t="s">
        <v>260</v>
      </c>
      <c r="G132" s="7" t="s">
        <v>260</v>
      </c>
      <c r="H132" s="8">
        <v>-1000</v>
      </c>
      <c r="J132" s="48" t="s">
        <v>262</v>
      </c>
      <c r="K132" s="49">
        <v>0</v>
      </c>
    </row>
    <row r="133" spans="1:11" x14ac:dyDescent="0.3">
      <c r="A133" s="6">
        <v>1</v>
      </c>
      <c r="B133" s="7" t="s">
        <v>260</v>
      </c>
      <c r="C133" s="7">
        <v>-11.857142857142122</v>
      </c>
      <c r="D133" s="7">
        <f>100*$C$133</f>
        <v>-1185.7142857142121</v>
      </c>
      <c r="E133" s="7">
        <f>SUM($D$133)*2/100</f>
        <v>-23.714285714284241</v>
      </c>
      <c r="F133" s="7">
        <f>SUM($D$133)-$E$133</f>
        <v>-1161.9999999999279</v>
      </c>
      <c r="G133" s="7">
        <v>150</v>
      </c>
      <c r="H133" s="8">
        <f>SUM($F$134:$G$134)</f>
        <v>387.99999999996646</v>
      </c>
      <c r="J133" s="48" t="s">
        <v>275</v>
      </c>
      <c r="K133" s="49" t="str">
        <f ca="1">+IFERROR(VNA(50%,$H$132:$H$137),"¡Indeterminable!")</f>
        <v>¡Indeterminable!</v>
      </c>
    </row>
    <row r="134" spans="1:11" x14ac:dyDescent="0.3">
      <c r="A134" s="6">
        <v>2</v>
      </c>
      <c r="B134" s="7" t="s">
        <v>260</v>
      </c>
      <c r="C134" s="7">
        <v>2.428571428571086</v>
      </c>
      <c r="D134" s="7">
        <f>100*$C$134</f>
        <v>242.85714285710861</v>
      </c>
      <c r="E134" s="7">
        <f>SUM($D$134)*2/100</f>
        <v>4.857142857142172</v>
      </c>
      <c r="F134" s="7">
        <f>SUM($D$134)-$E$134</f>
        <v>237.99999999996643</v>
      </c>
      <c r="G134" s="7">
        <v>150</v>
      </c>
      <c r="H134" s="8">
        <f>SUM($F$135:$G$135)</f>
        <v>1787.9999999998608</v>
      </c>
      <c r="J134" s="50" t="s">
        <v>265</v>
      </c>
      <c r="K134" s="51">
        <f>+IFERROR(IRR($H$132:$H$137,50%),"¡Indeterminable!")</f>
        <v>1.2358715506150499</v>
      </c>
    </row>
    <row r="135" spans="1:11" x14ac:dyDescent="0.3">
      <c r="A135" s="6">
        <v>3</v>
      </c>
      <c r="B135" s="7" t="s">
        <v>260</v>
      </c>
      <c r="C135" s="7">
        <v>16.714285714284294</v>
      </c>
      <c r="D135" s="7">
        <f>100*$C$135</f>
        <v>1671.4285714284294</v>
      </c>
      <c r="E135" s="7">
        <f>SUM($D$135)*2/100</f>
        <v>33.428571428568588</v>
      </c>
      <c r="F135" s="7">
        <f>SUM($D$135)-$E$135</f>
        <v>1637.9999999998608</v>
      </c>
      <c r="G135" s="7">
        <v>150</v>
      </c>
      <c r="H135" s="8">
        <f>SUM($F$136:$G$136)</f>
        <v>3187.9999999997553</v>
      </c>
    </row>
    <row r="136" spans="1:11" x14ac:dyDescent="0.3">
      <c r="A136" s="6">
        <v>4</v>
      </c>
      <c r="B136" s="7" t="s">
        <v>260</v>
      </c>
      <c r="C136" s="7">
        <v>30.999999999997502</v>
      </c>
      <c r="D136" s="7">
        <f>100*$C$136</f>
        <v>3099.9999999997503</v>
      </c>
      <c r="E136" s="7">
        <f>SUM($D$136)*2/100</f>
        <v>61.999999999995005</v>
      </c>
      <c r="F136" s="7">
        <f>SUM($D$136)-$E$136</f>
        <v>3037.9999999997553</v>
      </c>
      <c r="G136" s="7">
        <v>150</v>
      </c>
      <c r="H136" s="8">
        <f>SUM($F$137:$G$137)</f>
        <v>4587.9999999996498</v>
      </c>
    </row>
    <row r="137" spans="1:11" ht="15" thickBot="1" x14ac:dyDescent="0.35">
      <c r="A137" s="6">
        <v>5</v>
      </c>
      <c r="B137" s="7" t="s">
        <v>260</v>
      </c>
      <c r="C137" s="7">
        <v>45.285714285710711</v>
      </c>
      <c r="D137" s="7">
        <f>100*$C$137</f>
        <v>4528.571428571071</v>
      </c>
      <c r="E137" s="7">
        <f>SUM($D$137)*2/100</f>
        <v>90.571428571421421</v>
      </c>
      <c r="F137" s="7">
        <f>SUM($D$137)-$E$137</f>
        <v>4437.9999999996498</v>
      </c>
      <c r="G137" s="7">
        <v>150</v>
      </c>
      <c r="H137" s="8">
        <f>SUM($F$139:$G$139)</f>
        <v>0</v>
      </c>
    </row>
    <row r="138" spans="1:11" ht="15" thickTop="1" x14ac:dyDescent="0.3">
      <c r="A138" s="9" t="s">
        <v>13</v>
      </c>
      <c r="B138" s="10"/>
      <c r="C138" s="10"/>
      <c r="D138" s="10">
        <f>SUBTOTAL(109,ProjecTests!$D$132:$D$137)</f>
        <v>8357.1428571421475</v>
      </c>
      <c r="E138" s="10">
        <f>SUBTOTAL(109,ProjecTests!$E$132:$E$137)</f>
        <v>167.14285714284296</v>
      </c>
      <c r="F138" s="10">
        <f>SUBTOTAL(109,ProjecTests!$F$132:$F$137)</f>
        <v>8189.9999999993051</v>
      </c>
      <c r="G138" s="10">
        <f>SUBTOTAL(109,ProjecTests!$G$132:$G$137)</f>
        <v>750</v>
      </c>
      <c r="H138" s="11">
        <f>SUBTOTAL(109,ProjecTests!$H$132:$H$137)</f>
        <v>8951.9999999992324</v>
      </c>
    </row>
    <row r="140" spans="1:11" x14ac:dyDescent="0.3">
      <c r="A140" s="2" t="s">
        <v>261</v>
      </c>
      <c r="J140" s="2" t="s">
        <v>253</v>
      </c>
    </row>
    <row r="141" spans="1:11" x14ac:dyDescent="0.3">
      <c r="A141" s="3" t="s">
        <v>218</v>
      </c>
      <c r="B141" s="4" t="s">
        <v>267</v>
      </c>
      <c r="C141" s="4" t="s">
        <v>268</v>
      </c>
      <c r="D141" s="4" t="s">
        <v>269</v>
      </c>
      <c r="E141" s="4" t="s">
        <v>222</v>
      </c>
      <c r="F141" s="4" t="s">
        <v>271</v>
      </c>
      <c r="G141" s="4" t="s">
        <v>272</v>
      </c>
      <c r="H141" s="5" t="s">
        <v>273</v>
      </c>
      <c r="J141" s="37" t="s">
        <v>251</v>
      </c>
      <c r="K141" s="38" t="s">
        <v>252</v>
      </c>
    </row>
    <row r="142" spans="1:11" x14ac:dyDescent="0.3">
      <c r="A142" s="6">
        <v>0</v>
      </c>
      <c r="B142" s="7">
        <v>-1000</v>
      </c>
      <c r="C142" s="7" t="s">
        <v>260</v>
      </c>
      <c r="D142" s="7" t="s">
        <v>260</v>
      </c>
      <c r="E142" s="7" t="s">
        <v>260</v>
      </c>
      <c r="F142" s="7" t="s">
        <v>260</v>
      </c>
      <c r="G142" s="7" t="s">
        <v>260</v>
      </c>
      <c r="H142" s="8">
        <v>-1000</v>
      </c>
      <c r="J142" s="48" t="s">
        <v>262</v>
      </c>
      <c r="K142" s="49">
        <v>0</v>
      </c>
    </row>
    <row r="143" spans="1:11" x14ac:dyDescent="0.3">
      <c r="A143" s="6">
        <v>1</v>
      </c>
      <c r="B143" s="7" t="s">
        <v>260</v>
      </c>
      <c r="C143" s="7">
        <v>-3.44444444444445</v>
      </c>
      <c r="D143" s="7">
        <f>100*$C$143</f>
        <v>-344.44444444444503</v>
      </c>
      <c r="E143" s="7">
        <f>SUM($D$143)*2/100</f>
        <v>-6.8888888888889008</v>
      </c>
      <c r="F143" s="7">
        <f>SUM($D$143)-$E$143</f>
        <v>-337.55555555555611</v>
      </c>
      <c r="G143" s="7">
        <v>150</v>
      </c>
      <c r="H143" s="8">
        <f>SUM($F$144:$G$144)</f>
        <v>320.59259259259363</v>
      </c>
      <c r="J143" s="48" t="s">
        <v>275</v>
      </c>
      <c r="K143" s="49" t="str">
        <f ca="1">+IFERROR(VNA(50%,$H$142:$H$147),"¡Indeterminable!")</f>
        <v>¡Indeterminable!</v>
      </c>
    </row>
    <row r="144" spans="1:11" x14ac:dyDescent="0.3">
      <c r="A144" s="6">
        <v>2</v>
      </c>
      <c r="B144" s="7" t="s">
        <v>260</v>
      </c>
      <c r="C144" s="7">
        <v>1.7407407407407511</v>
      </c>
      <c r="D144" s="7">
        <f>100*$C$144</f>
        <v>174.0740740740751</v>
      </c>
      <c r="E144" s="7">
        <f>SUM($D$144)*2/100</f>
        <v>3.4814814814815018</v>
      </c>
      <c r="F144" s="7">
        <f>SUM($D$144)-$E$144</f>
        <v>170.5925925925936</v>
      </c>
      <c r="G144" s="7">
        <v>150</v>
      </c>
      <c r="H144" s="8">
        <f>SUM($F$145:$G$145)</f>
        <v>828.74074074074338</v>
      </c>
      <c r="J144" s="50" t="s">
        <v>265</v>
      </c>
      <c r="K144" s="51">
        <f>+IFERROR(IRR($H$142:$H$147,50%),"¡Indeterminable!")</f>
        <v>0.67869866139577439</v>
      </c>
    </row>
    <row r="145" spans="1:11" x14ac:dyDescent="0.3">
      <c r="A145" s="6">
        <v>3</v>
      </c>
      <c r="B145" s="7" t="s">
        <v>260</v>
      </c>
      <c r="C145" s="7">
        <v>6.9259259259259522</v>
      </c>
      <c r="D145" s="7">
        <f>100*$C$145</f>
        <v>692.59259259259522</v>
      </c>
      <c r="E145" s="7">
        <f>SUM($D$145)*2/100</f>
        <v>13.851851851851904</v>
      </c>
      <c r="F145" s="7">
        <f>SUM($D$145)-$E$145</f>
        <v>678.74074074074338</v>
      </c>
      <c r="G145" s="7">
        <v>150</v>
      </c>
      <c r="H145" s="8">
        <f>SUM($F$146:$G$146)</f>
        <v>1336.888888888893</v>
      </c>
    </row>
    <row r="146" spans="1:11" x14ac:dyDescent="0.3">
      <c r="A146" s="6">
        <v>4</v>
      </c>
      <c r="B146" s="7" t="s">
        <v>260</v>
      </c>
      <c r="C146" s="7">
        <v>12.111111111111153</v>
      </c>
      <c r="D146" s="7">
        <f>100*$C$146</f>
        <v>1211.1111111111154</v>
      </c>
      <c r="E146" s="7">
        <f>SUM($D$146)*2/100</f>
        <v>24.222222222222307</v>
      </c>
      <c r="F146" s="7">
        <f>SUM($D$146)-$E$146</f>
        <v>1186.888888888893</v>
      </c>
      <c r="G146" s="7">
        <v>150</v>
      </c>
      <c r="H146" s="8">
        <f>SUM($F$147:$G$147)</f>
        <v>1845.0370370370429</v>
      </c>
    </row>
    <row r="147" spans="1:11" ht="15" thickBot="1" x14ac:dyDescent="0.35">
      <c r="A147" s="6">
        <v>5</v>
      </c>
      <c r="B147" s="7" t="s">
        <v>260</v>
      </c>
      <c r="C147" s="7">
        <v>17.296296296296354</v>
      </c>
      <c r="D147" s="7">
        <f>100*$C$147</f>
        <v>1729.6296296296355</v>
      </c>
      <c r="E147" s="7">
        <f>SUM($D$147)*2/100</f>
        <v>34.592592592592709</v>
      </c>
      <c r="F147" s="7">
        <f>SUM($D$147)-$E$147</f>
        <v>1695.0370370370429</v>
      </c>
      <c r="G147" s="7">
        <v>150</v>
      </c>
      <c r="H147" s="8">
        <f>SUM($F$149:$G$149)</f>
        <v>0</v>
      </c>
    </row>
    <row r="148" spans="1:11" ht="15" thickTop="1" x14ac:dyDescent="0.3">
      <c r="A148" s="9" t="s">
        <v>13</v>
      </c>
      <c r="B148" s="10"/>
      <c r="C148" s="10"/>
      <c r="D148" s="10">
        <f>SUBTOTAL(109,ProjecTests!$D$142:$D$147)</f>
        <v>3462.9629629629762</v>
      </c>
      <c r="E148" s="10">
        <f>SUBTOTAL(109,ProjecTests!$E$142:$E$147)</f>
        <v>69.259259259259522</v>
      </c>
      <c r="F148" s="10">
        <f>SUBTOTAL(109,ProjecTests!$F$142:$F$147)</f>
        <v>3393.7037037037167</v>
      </c>
      <c r="G148" s="10">
        <f>SUBTOTAL(109,ProjecTests!$G$142:$G$147)</f>
        <v>750</v>
      </c>
      <c r="H148" s="11">
        <f>SUBTOTAL(109,ProjecTests!$H$142:$H$147)</f>
        <v>3331.2592592592728</v>
      </c>
    </row>
    <row r="150" spans="1:11" x14ac:dyDescent="0.3">
      <c r="A150" s="2" t="s">
        <v>261</v>
      </c>
      <c r="J150" s="2" t="s">
        <v>253</v>
      </c>
    </row>
    <row r="151" spans="1:11" x14ac:dyDescent="0.3">
      <c r="A151" s="3" t="s">
        <v>218</v>
      </c>
      <c r="B151" s="4" t="s">
        <v>267</v>
      </c>
      <c r="C151" s="4" t="s">
        <v>268</v>
      </c>
      <c r="D151" s="4" t="s">
        <v>269</v>
      </c>
      <c r="E151" s="4" t="s">
        <v>222</v>
      </c>
      <c r="F151" s="4" t="s">
        <v>271</v>
      </c>
      <c r="G151" s="4" t="s">
        <v>272</v>
      </c>
      <c r="H151" s="5" t="s">
        <v>273</v>
      </c>
      <c r="J151" s="37" t="s">
        <v>251</v>
      </c>
      <c r="K151" s="38" t="s">
        <v>252</v>
      </c>
    </row>
    <row r="152" spans="1:11" x14ac:dyDescent="0.3">
      <c r="A152" s="6">
        <v>0</v>
      </c>
      <c r="B152" s="7">
        <v>-1000</v>
      </c>
      <c r="C152" s="7" t="s">
        <v>260</v>
      </c>
      <c r="D152" s="7" t="s">
        <v>260</v>
      </c>
      <c r="E152" s="7" t="s">
        <v>260</v>
      </c>
      <c r="F152" s="7" t="s">
        <v>260</v>
      </c>
      <c r="G152" s="7" t="s">
        <v>260</v>
      </c>
      <c r="H152" s="8">
        <v>-1000</v>
      </c>
      <c r="J152" s="48" t="s">
        <v>262</v>
      </c>
      <c r="K152" s="49" t="s">
        <v>277</v>
      </c>
    </row>
    <row r="153" spans="1:11" x14ac:dyDescent="0.3">
      <c r="A153" s="6">
        <v>1</v>
      </c>
      <c r="B153" s="7" t="s">
        <v>260</v>
      </c>
      <c r="C153" s="7">
        <v>0</v>
      </c>
      <c r="D153" s="7">
        <v>0</v>
      </c>
      <c r="E153" s="7">
        <v>0</v>
      </c>
      <c r="F153" s="7">
        <v>0</v>
      </c>
      <c r="G153" s="7">
        <v>150</v>
      </c>
      <c r="H153" s="8">
        <v>150</v>
      </c>
      <c r="J153" s="48" t="s">
        <v>275</v>
      </c>
      <c r="K153" s="49">
        <v>-549.35747599451304</v>
      </c>
    </row>
    <row r="154" spans="1:11" x14ac:dyDescent="0.3">
      <c r="A154" s="6">
        <v>2</v>
      </c>
      <c r="B154" s="7" t="s">
        <v>260</v>
      </c>
      <c r="C154" s="7">
        <v>-0.4</v>
      </c>
      <c r="D154" s="7">
        <v>-40</v>
      </c>
      <c r="E154" s="7">
        <v>-0.8</v>
      </c>
      <c r="F154" s="7">
        <v>-39.200000000000003</v>
      </c>
      <c r="G154" s="7">
        <v>150</v>
      </c>
      <c r="H154" s="8">
        <v>110.8</v>
      </c>
      <c r="J154" s="50" t="s">
        <v>265</v>
      </c>
      <c r="K154" s="51">
        <v>-0.38665370752018668</v>
      </c>
    </row>
    <row r="155" spans="1:11" x14ac:dyDescent="0.3">
      <c r="A155" s="6">
        <v>3</v>
      </c>
      <c r="B155" s="7" t="s">
        <v>260</v>
      </c>
      <c r="C155" s="7">
        <v>-0.8</v>
      </c>
      <c r="D155" s="7">
        <v>-80</v>
      </c>
      <c r="E155" s="7">
        <v>-1.6</v>
      </c>
      <c r="F155" s="7">
        <v>-78.400000000000006</v>
      </c>
      <c r="G155" s="7">
        <v>150</v>
      </c>
      <c r="H155" s="8">
        <v>71.599999999999994</v>
      </c>
    </row>
    <row r="156" spans="1:11" x14ac:dyDescent="0.3">
      <c r="A156" s="6">
        <v>4</v>
      </c>
      <c r="B156" s="7" t="s">
        <v>260</v>
      </c>
      <c r="C156" s="7">
        <v>-1.2000000000000002</v>
      </c>
      <c r="D156" s="7">
        <v>-120.00000000000001</v>
      </c>
      <c r="E156" s="7">
        <v>-2.4000000000000004</v>
      </c>
      <c r="F156" s="7">
        <v>-117.60000000000001</v>
      </c>
      <c r="G156" s="7">
        <v>150</v>
      </c>
      <c r="H156" s="8">
        <v>32.399999999999991</v>
      </c>
    </row>
    <row r="157" spans="1:11" ht="15" thickBot="1" x14ac:dyDescent="0.35">
      <c r="A157" s="6">
        <v>5</v>
      </c>
      <c r="B157" s="7" t="s">
        <v>260</v>
      </c>
      <c r="C157" s="7">
        <v>-1.6</v>
      </c>
      <c r="D157" s="7">
        <v>-160</v>
      </c>
      <c r="E157" s="7">
        <v>-3.2</v>
      </c>
      <c r="F157" s="7">
        <v>-156.80000000000001</v>
      </c>
      <c r="G157" s="7">
        <v>150</v>
      </c>
      <c r="H157" s="8">
        <v>-6.8000000000000114</v>
      </c>
    </row>
    <row r="158" spans="1:11" ht="15" thickTop="1" x14ac:dyDescent="0.3">
      <c r="A158" s="9" t="s">
        <v>13</v>
      </c>
      <c r="B158" s="10"/>
      <c r="C158" s="10"/>
      <c r="D158" s="10">
        <f>SUBTOTAL(109,ProjecTests!$D$152:$D$157)</f>
        <v>-400</v>
      </c>
      <c r="E158" s="10">
        <f>SUBTOTAL(109,ProjecTests!$E$152:$E$157)</f>
        <v>-8</v>
      </c>
      <c r="F158" s="10">
        <f>SUBTOTAL(109,ProjecTests!$F$152:$F$157)</f>
        <v>-392</v>
      </c>
      <c r="G158" s="10">
        <f>SUBTOTAL(109,ProjecTests!$G$152:$G$157)</f>
        <v>750</v>
      </c>
      <c r="H158" s="11">
        <f>SUBTOTAL(109,ProjecTests!$H$152:$H$157)</f>
        <v>-642</v>
      </c>
    </row>
    <row r="160" spans="1:11" x14ac:dyDescent="0.3">
      <c r="A160" s="2" t="s">
        <v>261</v>
      </c>
      <c r="J160" s="2" t="s">
        <v>253</v>
      </c>
    </row>
    <row r="161" spans="1:11" x14ac:dyDescent="0.3">
      <c r="A161" s="3" t="s">
        <v>218</v>
      </c>
      <c r="B161" s="4" t="s">
        <v>267</v>
      </c>
      <c r="C161" s="4" t="s">
        <v>268</v>
      </c>
      <c r="D161" s="4" t="s">
        <v>269</v>
      </c>
      <c r="E161" s="4" t="s">
        <v>222</v>
      </c>
      <c r="F161" s="4" t="s">
        <v>271</v>
      </c>
      <c r="G161" s="4" t="s">
        <v>272</v>
      </c>
      <c r="H161" s="5" t="s">
        <v>273</v>
      </c>
      <c r="J161" s="37" t="s">
        <v>251</v>
      </c>
      <c r="K161" s="38" t="s">
        <v>252</v>
      </c>
    </row>
    <row r="162" spans="1:11" x14ac:dyDescent="0.3">
      <c r="A162" s="6">
        <v>0</v>
      </c>
      <c r="B162" s="7">
        <v>-1000</v>
      </c>
      <c r="C162" s="7" t="s">
        <v>260</v>
      </c>
      <c r="D162" s="7" t="s">
        <v>260</v>
      </c>
      <c r="E162" s="7" t="s">
        <v>260</v>
      </c>
      <c r="F162" s="7" t="s">
        <v>260</v>
      </c>
      <c r="G162" s="7" t="s">
        <v>260</v>
      </c>
      <c r="H162" s="8">
        <v>-1000</v>
      </c>
      <c r="J162" s="48" t="s">
        <v>262</v>
      </c>
      <c r="K162" s="49" t="s">
        <v>284</v>
      </c>
    </row>
    <row r="163" spans="1:11" x14ac:dyDescent="0.3">
      <c r="A163" s="6">
        <v>1</v>
      </c>
      <c r="B163" s="7" t="s">
        <v>260</v>
      </c>
      <c r="C163" s="7">
        <v>1.5500000000000003</v>
      </c>
      <c r="D163" s="7">
        <v>155.00000000000003</v>
      </c>
      <c r="E163" s="7">
        <v>3.1000000000000005</v>
      </c>
      <c r="F163" s="7">
        <v>151.90000000000003</v>
      </c>
      <c r="G163" s="7">
        <v>150</v>
      </c>
      <c r="H163" s="8">
        <v>301.90000000000003</v>
      </c>
      <c r="J163" s="48" t="s">
        <v>275</v>
      </c>
      <c r="K163" s="49">
        <v>-307.27999999999992</v>
      </c>
    </row>
    <row r="164" spans="1:11" x14ac:dyDescent="0.3">
      <c r="A164" s="6">
        <v>2</v>
      </c>
      <c r="B164" s="7" t="s">
        <v>260</v>
      </c>
      <c r="C164" s="7">
        <v>1.6200000000000003</v>
      </c>
      <c r="D164" s="7">
        <v>162.00000000000003</v>
      </c>
      <c r="E164" s="7">
        <v>3.2400000000000007</v>
      </c>
      <c r="F164" s="7">
        <v>158.76000000000002</v>
      </c>
      <c r="G164" s="7">
        <v>150</v>
      </c>
      <c r="H164" s="8">
        <v>308.76</v>
      </c>
      <c r="J164" s="50" t="s">
        <v>265</v>
      </c>
      <c r="K164" s="51">
        <v>0.17126644614166864</v>
      </c>
    </row>
    <row r="165" spans="1:11" x14ac:dyDescent="0.3">
      <c r="A165" s="6">
        <v>3</v>
      </c>
      <c r="B165" s="7" t="s">
        <v>260</v>
      </c>
      <c r="C165" s="7">
        <v>1.6900000000000006</v>
      </c>
      <c r="D165" s="7">
        <v>169.00000000000006</v>
      </c>
      <c r="E165" s="7">
        <v>3.3800000000000012</v>
      </c>
      <c r="F165" s="7">
        <v>165.62000000000006</v>
      </c>
      <c r="G165" s="7">
        <v>150</v>
      </c>
      <c r="H165" s="8">
        <v>315.62000000000006</v>
      </c>
    </row>
    <row r="166" spans="1:11" x14ac:dyDescent="0.3">
      <c r="A166" s="6">
        <v>4</v>
      </c>
      <c r="B166" s="7" t="s">
        <v>260</v>
      </c>
      <c r="C166" s="7">
        <v>1.7600000000000007</v>
      </c>
      <c r="D166" s="7">
        <v>176.00000000000006</v>
      </c>
      <c r="E166" s="7">
        <v>3.5200000000000014</v>
      </c>
      <c r="F166" s="7">
        <v>172.48000000000005</v>
      </c>
      <c r="G166" s="7">
        <v>150</v>
      </c>
      <c r="H166" s="8">
        <v>322.48</v>
      </c>
    </row>
    <row r="167" spans="1:11" ht="15" thickBot="1" x14ac:dyDescent="0.35">
      <c r="A167" s="6">
        <v>5</v>
      </c>
      <c r="B167" s="7" t="s">
        <v>260</v>
      </c>
      <c r="C167" s="7">
        <v>1.8300000000000007</v>
      </c>
      <c r="D167" s="7">
        <v>183.00000000000009</v>
      </c>
      <c r="E167" s="7">
        <v>3.6600000000000019</v>
      </c>
      <c r="F167" s="7">
        <v>179.34000000000009</v>
      </c>
      <c r="G167" s="7">
        <v>150</v>
      </c>
      <c r="H167" s="8">
        <v>329.34000000000009</v>
      </c>
    </row>
    <row r="168" spans="1:11" ht="15" thickTop="1" x14ac:dyDescent="0.3">
      <c r="A168" s="9" t="s">
        <v>13</v>
      </c>
      <c r="B168" s="10"/>
      <c r="C168" s="10"/>
      <c r="D168" s="10">
        <f>SUBTOTAL(109,ProjecTests!$D$162:$D$167)</f>
        <v>845.00000000000034</v>
      </c>
      <c r="E168" s="10">
        <f>SUBTOTAL(109,ProjecTests!$E$162:$E$167)</f>
        <v>16.900000000000006</v>
      </c>
      <c r="F168" s="10">
        <f>SUBTOTAL(109,ProjecTests!$F$162:$F$167)</f>
        <v>828.10000000000036</v>
      </c>
      <c r="G168" s="10">
        <f>SUBTOTAL(109,ProjecTests!$G$162:$G$167)</f>
        <v>750</v>
      </c>
      <c r="H168" s="11">
        <f>SUBTOTAL(109,ProjecTests!$H$162:$H$167)</f>
        <v>578.10000000000025</v>
      </c>
    </row>
    <row r="170" spans="1:11" x14ac:dyDescent="0.3">
      <c r="A170" s="2" t="s">
        <v>261</v>
      </c>
      <c r="J170" s="2" t="s">
        <v>253</v>
      </c>
    </row>
    <row r="171" spans="1:11" x14ac:dyDescent="0.3">
      <c r="A171" s="3" t="s">
        <v>218</v>
      </c>
      <c r="B171" s="4" t="s">
        <v>267</v>
      </c>
      <c r="C171" s="4" t="s">
        <v>268</v>
      </c>
      <c r="D171" s="4" t="s">
        <v>269</v>
      </c>
      <c r="E171" s="4" t="s">
        <v>222</v>
      </c>
      <c r="F171" s="4" t="s">
        <v>271</v>
      </c>
      <c r="G171" s="4" t="s">
        <v>272</v>
      </c>
      <c r="H171" s="5" t="s">
        <v>273</v>
      </c>
      <c r="J171" s="37" t="s">
        <v>251</v>
      </c>
      <c r="K171" s="38" t="s">
        <v>252</v>
      </c>
    </row>
    <row r="172" spans="1:11" x14ac:dyDescent="0.3">
      <c r="A172" s="6">
        <v>0</v>
      </c>
      <c r="B172" s="7">
        <v>-1000</v>
      </c>
      <c r="C172" s="7" t="s">
        <v>260</v>
      </c>
      <c r="D172" s="7" t="s">
        <v>260</v>
      </c>
      <c r="E172" s="7" t="s">
        <v>260</v>
      </c>
      <c r="F172" s="7" t="s">
        <v>260</v>
      </c>
      <c r="G172" s="7" t="s">
        <v>260</v>
      </c>
      <c r="H172" s="8">
        <v>-1000</v>
      </c>
      <c r="J172" s="48" t="s">
        <v>262</v>
      </c>
      <c r="K172" s="49">
        <v>0</v>
      </c>
    </row>
    <row r="173" spans="1:11" x14ac:dyDescent="0.3">
      <c r="A173" s="6">
        <v>1</v>
      </c>
      <c r="B173" s="7" t="s">
        <v>260</v>
      </c>
      <c r="C173" s="7">
        <v>1.5500000000000003</v>
      </c>
      <c r="D173" s="7">
        <f>100*$C$173</f>
        <v>155.00000000000003</v>
      </c>
      <c r="E173" s="7">
        <f>SUM($D$173)*2/100</f>
        <v>3.1000000000000005</v>
      </c>
      <c r="F173" s="7">
        <f>SUM($D$173)-$E$173</f>
        <v>151.90000000000003</v>
      </c>
      <c r="G173" s="7">
        <v>150</v>
      </c>
      <c r="H173" s="8">
        <f>SUM($F$173:$G$173)</f>
        <v>301.90000000000003</v>
      </c>
      <c r="J173" s="48" t="s">
        <v>275</v>
      </c>
      <c r="K173" s="49">
        <f>+IFERROR(NPV(50%,$H$172:$H$177),"¡Indeterminable!")</f>
        <v>-307.27999999999992</v>
      </c>
    </row>
    <row r="174" spans="1:11" x14ac:dyDescent="0.3">
      <c r="A174" s="6">
        <v>2</v>
      </c>
      <c r="B174" s="7" t="s">
        <v>260</v>
      </c>
      <c r="C174" s="7">
        <v>1.6200000000000003</v>
      </c>
      <c r="D174" s="7">
        <f>100*$C$174</f>
        <v>162.00000000000003</v>
      </c>
      <c r="E174" s="7">
        <f>SUM($D$174)*2/100</f>
        <v>3.2400000000000007</v>
      </c>
      <c r="F174" s="7">
        <f>SUM($D$174)-$E$174</f>
        <v>158.76000000000002</v>
      </c>
      <c r="G174" s="7">
        <v>150</v>
      </c>
      <c r="H174" s="8">
        <f>SUM($F$174:$G$174)</f>
        <v>308.76</v>
      </c>
      <c r="J174" s="50" t="s">
        <v>265</v>
      </c>
      <c r="K174" s="51">
        <f>+IFERROR(IRR($H$172:$H$177,50%),"¡Indeterminable!")</f>
        <v>0.17126644614166864</v>
      </c>
    </row>
    <row r="175" spans="1:11" x14ac:dyDescent="0.3">
      <c r="A175" s="6">
        <v>3</v>
      </c>
      <c r="B175" s="7" t="s">
        <v>260</v>
      </c>
      <c r="C175" s="7">
        <v>1.6900000000000006</v>
      </c>
      <c r="D175" s="7">
        <f>100*$C$175</f>
        <v>169.00000000000006</v>
      </c>
      <c r="E175" s="7">
        <f>SUM($D$175)*2/100</f>
        <v>3.3800000000000012</v>
      </c>
      <c r="F175" s="7">
        <f>SUM($D$175)-$E$175</f>
        <v>165.62000000000006</v>
      </c>
      <c r="G175" s="7">
        <v>150</v>
      </c>
      <c r="H175" s="8">
        <f>SUM($F$175:$G$175)</f>
        <v>315.62000000000006</v>
      </c>
    </row>
    <row r="176" spans="1:11" x14ac:dyDescent="0.3">
      <c r="A176" s="6">
        <v>4</v>
      </c>
      <c r="B176" s="7" t="s">
        <v>260</v>
      </c>
      <c r="C176" s="7">
        <v>1.7600000000000007</v>
      </c>
      <c r="D176" s="7">
        <f>100*$C$176</f>
        <v>176.00000000000006</v>
      </c>
      <c r="E176" s="7">
        <f>SUM($D$176)*2/100</f>
        <v>3.5200000000000014</v>
      </c>
      <c r="F176" s="7">
        <f>SUM($D$176)-$E$176</f>
        <v>172.48000000000005</v>
      </c>
      <c r="G176" s="7">
        <v>150</v>
      </c>
      <c r="H176" s="8">
        <f>SUM($F$176:$G$176)</f>
        <v>322.48</v>
      </c>
    </row>
    <row r="177" spans="1:11" ht="15" thickBot="1" x14ac:dyDescent="0.35">
      <c r="A177" s="6">
        <v>5</v>
      </c>
      <c r="B177" s="7" t="s">
        <v>260</v>
      </c>
      <c r="C177" s="7">
        <v>1.8300000000000007</v>
      </c>
      <c r="D177" s="7">
        <f>100*$C$177</f>
        <v>183.00000000000009</v>
      </c>
      <c r="E177" s="7">
        <f>SUM($D$177)*2/100</f>
        <v>3.6600000000000019</v>
      </c>
      <c r="F177" s="7">
        <f>SUM($D$177)-$E$177</f>
        <v>179.34000000000009</v>
      </c>
      <c r="G177" s="7">
        <v>150</v>
      </c>
      <c r="H177" s="8">
        <f>SUM($F$177:$G$177)</f>
        <v>329.34000000000009</v>
      </c>
    </row>
    <row r="178" spans="1:11" ht="15" thickTop="1" x14ac:dyDescent="0.3">
      <c r="A178" s="9" t="s">
        <v>13</v>
      </c>
      <c r="B178" s="10"/>
      <c r="C178" s="10"/>
      <c r="D178" s="10">
        <f>SUBTOTAL(109,ProjecTests!$D$172:$D$177)</f>
        <v>845.00000000000034</v>
      </c>
      <c r="E178" s="10">
        <f>SUBTOTAL(109,ProjecTests!$E$172:$E$177)</f>
        <v>16.900000000000006</v>
      </c>
      <c r="F178" s="10">
        <f>SUBTOTAL(109,ProjecTests!$F$172:$F$177)</f>
        <v>828.10000000000036</v>
      </c>
      <c r="G178" s="10">
        <f>SUBTOTAL(109,ProjecTests!$G$172:$G$177)</f>
        <v>750</v>
      </c>
      <c r="H178" s="11">
        <f>SUBTOTAL(109,ProjecTests!$H$172:$H$177)</f>
        <v>578.10000000000025</v>
      </c>
    </row>
    <row r="180" spans="1:11" x14ac:dyDescent="0.3">
      <c r="A180" s="2" t="s">
        <v>261</v>
      </c>
      <c r="J180" s="2" t="s">
        <v>253</v>
      </c>
    </row>
    <row r="181" spans="1:11" x14ac:dyDescent="0.3">
      <c r="A181" s="3" t="s">
        <v>218</v>
      </c>
      <c r="B181" s="4" t="s">
        <v>267</v>
      </c>
      <c r="C181" s="4" t="s">
        <v>268</v>
      </c>
      <c r="D181" s="4" t="s">
        <v>269</v>
      </c>
      <c r="E181" s="4" t="s">
        <v>222</v>
      </c>
      <c r="F181" s="4" t="s">
        <v>271</v>
      </c>
      <c r="G181" s="4" t="s">
        <v>272</v>
      </c>
      <c r="H181" s="5" t="s">
        <v>273</v>
      </c>
      <c r="J181" s="37" t="s">
        <v>251</v>
      </c>
      <c r="K181" s="38" t="s">
        <v>252</v>
      </c>
    </row>
    <row r="182" spans="1:11" x14ac:dyDescent="0.3">
      <c r="A182" s="60">
        <v>0</v>
      </c>
      <c r="B182" s="61">
        <v>-1000</v>
      </c>
      <c r="C182" s="61" t="s">
        <v>260</v>
      </c>
      <c r="D182" s="61" t="s">
        <v>260</v>
      </c>
      <c r="E182" s="61" t="s">
        <v>260</v>
      </c>
      <c r="F182" s="61" t="s">
        <v>260</v>
      </c>
      <c r="G182" s="61" t="s">
        <v>260</v>
      </c>
      <c r="H182" s="62">
        <v>-1000</v>
      </c>
      <c r="J182" s="12" t="s">
        <v>262</v>
      </c>
      <c r="K182" s="8" t="s">
        <v>284</v>
      </c>
    </row>
    <row r="183" spans="1:11" x14ac:dyDescent="0.3">
      <c r="A183" s="60">
        <v>1</v>
      </c>
      <c r="B183" s="61" t="s">
        <v>260</v>
      </c>
      <c r="C183" s="61">
        <v>1.5500000000000003</v>
      </c>
      <c r="D183" s="61">
        <v>155.00000000000003</v>
      </c>
      <c r="E183" s="61">
        <v>3.1000000000000005</v>
      </c>
      <c r="F183" s="61">
        <v>151.90000000000003</v>
      </c>
      <c r="G183" s="61">
        <v>150</v>
      </c>
      <c r="H183" s="62">
        <v>301.90000000000003</v>
      </c>
      <c r="J183" s="12" t="s">
        <v>275</v>
      </c>
      <c r="K183" s="8">
        <v>-307.27999999999992</v>
      </c>
    </row>
    <row r="184" spans="1:11" x14ac:dyDescent="0.3">
      <c r="A184" s="60">
        <v>2</v>
      </c>
      <c r="B184" s="61" t="s">
        <v>260</v>
      </c>
      <c r="C184" s="61">
        <v>1.6200000000000003</v>
      </c>
      <c r="D184" s="61">
        <v>162.00000000000003</v>
      </c>
      <c r="E184" s="61">
        <v>3.2400000000000007</v>
      </c>
      <c r="F184" s="61">
        <v>158.76000000000002</v>
      </c>
      <c r="G184" s="61">
        <v>150</v>
      </c>
      <c r="H184" s="62">
        <v>308.76</v>
      </c>
      <c r="J184" s="13" t="s">
        <v>265</v>
      </c>
      <c r="K184" s="14">
        <v>0.17126644614166864</v>
      </c>
    </row>
    <row r="185" spans="1:11" x14ac:dyDescent="0.3">
      <c r="A185" s="60">
        <v>3</v>
      </c>
      <c r="B185" s="61" t="s">
        <v>260</v>
      </c>
      <c r="C185" s="61">
        <v>1.6900000000000006</v>
      </c>
      <c r="D185" s="61">
        <v>169.00000000000006</v>
      </c>
      <c r="E185" s="61">
        <v>3.3800000000000012</v>
      </c>
      <c r="F185" s="61">
        <v>165.62000000000006</v>
      </c>
      <c r="G185" s="61">
        <v>150</v>
      </c>
      <c r="H185" s="62">
        <v>315.62000000000006</v>
      </c>
    </row>
    <row r="186" spans="1:11" x14ac:dyDescent="0.3">
      <c r="A186" s="60">
        <v>4</v>
      </c>
      <c r="B186" s="61" t="s">
        <v>260</v>
      </c>
      <c r="C186" s="61">
        <v>1.7600000000000007</v>
      </c>
      <c r="D186" s="61">
        <v>176.00000000000006</v>
      </c>
      <c r="E186" s="61">
        <v>3.5200000000000014</v>
      </c>
      <c r="F186" s="61">
        <v>172.48000000000005</v>
      </c>
      <c r="G186" s="61">
        <v>150</v>
      </c>
      <c r="H186" s="62">
        <v>322.48</v>
      </c>
    </row>
    <row r="187" spans="1:11" ht="15" thickBot="1" x14ac:dyDescent="0.35">
      <c r="A187" s="60">
        <v>5</v>
      </c>
      <c r="B187" s="61" t="s">
        <v>260</v>
      </c>
      <c r="C187" s="61">
        <v>1.8300000000000007</v>
      </c>
      <c r="D187" s="61">
        <v>183.00000000000009</v>
      </c>
      <c r="E187" s="61">
        <v>3.6600000000000019</v>
      </c>
      <c r="F187" s="61">
        <v>179.34000000000009</v>
      </c>
      <c r="G187" s="61">
        <v>150</v>
      </c>
      <c r="H187" s="62">
        <v>329.34000000000009</v>
      </c>
    </row>
    <row r="188" spans="1:11" ht="15" thickTop="1" x14ac:dyDescent="0.3">
      <c r="A188" s="9" t="s">
        <v>13</v>
      </c>
      <c r="B188" s="10"/>
      <c r="C188" s="10"/>
      <c r="D188" s="10">
        <f>SUBTOTAL(109,ProjecTests!$D$182:$D$187)</f>
        <v>845.00000000000034</v>
      </c>
      <c r="E188" s="10">
        <f>SUBTOTAL(109,ProjecTests!$E$182:$E$187)</f>
        <v>16.900000000000006</v>
      </c>
      <c r="F188" s="10">
        <f>SUBTOTAL(109,ProjecTests!$F$182:$F$187)</f>
        <v>828.10000000000036</v>
      </c>
      <c r="G188" s="10">
        <f>SUBTOTAL(109,ProjecTests!$G$182:$G$187)</f>
        <v>750</v>
      </c>
      <c r="H188" s="11">
        <f>SUBTOTAL(109,ProjecTests!$H$182:$H$187)</f>
        <v>578.10000000000025</v>
      </c>
    </row>
    <row r="190" spans="1:11" x14ac:dyDescent="0.3">
      <c r="A190" s="2" t="s">
        <v>261</v>
      </c>
      <c r="J190" s="2" t="s">
        <v>253</v>
      </c>
    </row>
    <row r="191" spans="1:11" x14ac:dyDescent="0.3">
      <c r="A191" s="3" t="s">
        <v>218</v>
      </c>
      <c r="B191" s="4" t="s">
        <v>267</v>
      </c>
      <c r="C191" s="4" t="s">
        <v>268</v>
      </c>
      <c r="D191" s="4" t="s">
        <v>269</v>
      </c>
      <c r="E191" s="4" t="s">
        <v>222</v>
      </c>
      <c r="F191" s="4" t="s">
        <v>271</v>
      </c>
      <c r="G191" s="4" t="s">
        <v>272</v>
      </c>
      <c r="H191" s="5" t="s">
        <v>273</v>
      </c>
      <c r="J191" s="37" t="s">
        <v>251</v>
      </c>
      <c r="K191" s="38" t="s">
        <v>252</v>
      </c>
    </row>
    <row r="192" spans="1:11" x14ac:dyDescent="0.3">
      <c r="A192" s="60">
        <v>0</v>
      </c>
      <c r="B192" s="61">
        <v>-1000</v>
      </c>
      <c r="C192" s="61" t="s">
        <v>260</v>
      </c>
      <c r="D192" s="61" t="s">
        <v>260</v>
      </c>
      <c r="E192" s="61" t="s">
        <v>260</v>
      </c>
      <c r="F192" s="61" t="s">
        <v>260</v>
      </c>
      <c r="G192" s="61" t="s">
        <v>260</v>
      </c>
      <c r="H192" s="62">
        <v>-1000</v>
      </c>
      <c r="J192" s="12" t="s">
        <v>262</v>
      </c>
      <c r="K192" s="8" t="s">
        <v>284</v>
      </c>
    </row>
    <row r="193" spans="1:11" x14ac:dyDescent="0.3">
      <c r="A193" s="60">
        <v>1</v>
      </c>
      <c r="B193" s="61" t="s">
        <v>260</v>
      </c>
      <c r="C193" s="61">
        <v>1.5500000000000003</v>
      </c>
      <c r="D193" s="61">
        <v>155.00000000000003</v>
      </c>
      <c r="E193" s="61">
        <v>3.1000000000000005</v>
      </c>
      <c r="F193" s="61">
        <v>151.90000000000003</v>
      </c>
      <c r="G193" s="61">
        <v>150</v>
      </c>
      <c r="H193" s="62">
        <v>301.90000000000003</v>
      </c>
      <c r="J193" s="12" t="s">
        <v>275</v>
      </c>
      <c r="K193" s="8">
        <v>-307.27999999999992</v>
      </c>
    </row>
    <row r="194" spans="1:11" x14ac:dyDescent="0.3">
      <c r="A194" s="60">
        <v>2</v>
      </c>
      <c r="B194" s="61" t="s">
        <v>260</v>
      </c>
      <c r="C194" s="61">
        <v>1.6200000000000003</v>
      </c>
      <c r="D194" s="61">
        <v>162.00000000000003</v>
      </c>
      <c r="E194" s="61">
        <v>3.2400000000000007</v>
      </c>
      <c r="F194" s="61">
        <v>158.76000000000002</v>
      </c>
      <c r="G194" s="61">
        <v>150</v>
      </c>
      <c r="H194" s="62">
        <v>308.76</v>
      </c>
      <c r="J194" s="13" t="s">
        <v>265</v>
      </c>
      <c r="K194" s="14">
        <v>0.17126644614166864</v>
      </c>
    </row>
    <row r="195" spans="1:11" x14ac:dyDescent="0.3">
      <c r="A195" s="60">
        <v>3</v>
      </c>
      <c r="B195" s="61" t="s">
        <v>260</v>
      </c>
      <c r="C195" s="61">
        <v>1.6900000000000006</v>
      </c>
      <c r="D195" s="61">
        <v>169.00000000000006</v>
      </c>
      <c r="E195" s="61">
        <v>3.3800000000000012</v>
      </c>
      <c r="F195" s="61">
        <v>165.62000000000006</v>
      </c>
      <c r="G195" s="61">
        <v>150</v>
      </c>
      <c r="H195" s="62">
        <v>315.62000000000006</v>
      </c>
    </row>
    <row r="196" spans="1:11" x14ac:dyDescent="0.3">
      <c r="A196" s="60">
        <v>4</v>
      </c>
      <c r="B196" s="61" t="s">
        <v>260</v>
      </c>
      <c r="C196" s="61">
        <v>1.7600000000000007</v>
      </c>
      <c r="D196" s="61">
        <v>176.00000000000006</v>
      </c>
      <c r="E196" s="61">
        <v>3.5200000000000014</v>
      </c>
      <c r="F196" s="61">
        <v>172.48000000000005</v>
      </c>
      <c r="G196" s="61">
        <v>150</v>
      </c>
      <c r="H196" s="62">
        <v>322.48</v>
      </c>
    </row>
    <row r="197" spans="1:11" ht="15" thickBot="1" x14ac:dyDescent="0.35">
      <c r="A197" s="60">
        <v>5</v>
      </c>
      <c r="B197" s="61" t="s">
        <v>260</v>
      </c>
      <c r="C197" s="61">
        <v>1.8300000000000007</v>
      </c>
      <c r="D197" s="61">
        <v>183.00000000000009</v>
      </c>
      <c r="E197" s="61">
        <v>3.6600000000000019</v>
      </c>
      <c r="F197" s="61">
        <v>179.34000000000009</v>
      </c>
      <c r="G197" s="61">
        <v>150</v>
      </c>
      <c r="H197" s="62">
        <v>329.34000000000009</v>
      </c>
    </row>
    <row r="198" spans="1:11" ht="15" thickTop="1" x14ac:dyDescent="0.3">
      <c r="A198" s="9" t="s">
        <v>13</v>
      </c>
      <c r="B198" s="10"/>
      <c r="C198" s="10"/>
      <c r="D198" s="10">
        <f>SUBTOTAL(109,ProjecTests!$D$192:$D$197)</f>
        <v>845.00000000000034</v>
      </c>
      <c r="E198" s="10">
        <f>SUBTOTAL(109,ProjecTests!$E$192:$E$197)</f>
        <v>16.900000000000006</v>
      </c>
      <c r="F198" s="10">
        <f>SUBTOTAL(109,ProjecTests!$F$192:$F$197)</f>
        <v>828.10000000000036</v>
      </c>
      <c r="G198" s="10">
        <f>SUBTOTAL(109,ProjecTests!$G$192:$G$197)</f>
        <v>750</v>
      </c>
      <c r="H198" s="11">
        <f>SUBTOTAL(109,ProjecTests!$H$192:$H$197)</f>
        <v>578.10000000000025</v>
      </c>
    </row>
    <row r="200" spans="1:11" x14ac:dyDescent="0.3">
      <c r="A200" s="2" t="s">
        <v>261</v>
      </c>
      <c r="J200" s="2" t="s">
        <v>253</v>
      </c>
    </row>
    <row r="201" spans="1:11" x14ac:dyDescent="0.3">
      <c r="A201" s="3" t="s">
        <v>266</v>
      </c>
      <c r="B201" s="4" t="s">
        <v>255</v>
      </c>
      <c r="C201" s="4" t="s">
        <v>256</v>
      </c>
      <c r="D201" s="4" t="s">
        <v>257</v>
      </c>
      <c r="E201" s="4" t="s">
        <v>222</v>
      </c>
      <c r="F201" s="4" t="s">
        <v>258</v>
      </c>
      <c r="G201" s="4" t="s">
        <v>259</v>
      </c>
      <c r="H201" s="5" t="s">
        <v>285</v>
      </c>
      <c r="J201" s="37" t="s">
        <v>251</v>
      </c>
      <c r="K201" s="38" t="s">
        <v>252</v>
      </c>
    </row>
    <row r="202" spans="1:11" x14ac:dyDescent="0.3">
      <c r="A202" s="60">
        <v>0</v>
      </c>
      <c r="B202" s="61">
        <v>-1000</v>
      </c>
      <c r="C202" s="61" t="s">
        <v>260</v>
      </c>
      <c r="D202" s="61" t="s">
        <v>260</v>
      </c>
      <c r="E202" s="61" t="s">
        <v>260</v>
      </c>
      <c r="F202" s="61" t="s">
        <v>260</v>
      </c>
      <c r="G202" s="61" t="s">
        <v>260</v>
      </c>
      <c r="H202" s="62">
        <v>-1000</v>
      </c>
      <c r="J202" s="12" t="s">
        <v>274</v>
      </c>
      <c r="K202" s="8" t="s">
        <v>286</v>
      </c>
    </row>
    <row r="203" spans="1:11" x14ac:dyDescent="0.3">
      <c r="A203" s="60">
        <v>1</v>
      </c>
      <c r="B203" s="61" t="s">
        <v>260</v>
      </c>
      <c r="C203" s="61">
        <v>1.8999999999999986</v>
      </c>
      <c r="D203" s="61">
        <v>189.99999999999986</v>
      </c>
      <c r="E203" s="61">
        <v>3.7999999999999972</v>
      </c>
      <c r="F203" s="61">
        <v>186.19999999999987</v>
      </c>
      <c r="G203" s="61">
        <v>150</v>
      </c>
      <c r="H203" s="62">
        <v>336.19999999999987</v>
      </c>
      <c r="J203" s="12" t="s">
        <v>264</v>
      </c>
      <c r="K203" s="8">
        <v>-267.56916323731161</v>
      </c>
    </row>
    <row r="204" spans="1:11" x14ac:dyDescent="0.3">
      <c r="A204" s="60">
        <v>2</v>
      </c>
      <c r="B204" s="61" t="s">
        <v>260</v>
      </c>
      <c r="C204" s="61">
        <v>1.9699999999999982</v>
      </c>
      <c r="D204" s="61">
        <v>196.99999999999983</v>
      </c>
      <c r="E204" s="61">
        <v>3.9399999999999964</v>
      </c>
      <c r="F204" s="61">
        <v>193.05999999999983</v>
      </c>
      <c r="G204" s="61">
        <v>150</v>
      </c>
      <c r="H204" s="62">
        <v>343.05999999999983</v>
      </c>
      <c r="J204" s="13" t="s">
        <v>265</v>
      </c>
      <c r="K204" s="14">
        <v>0.21739884476021931</v>
      </c>
    </row>
    <row r="205" spans="1:11" x14ac:dyDescent="0.3">
      <c r="A205" s="60">
        <v>3</v>
      </c>
      <c r="B205" s="61" t="s">
        <v>260</v>
      </c>
      <c r="C205" s="61">
        <v>2.0399999999999978</v>
      </c>
      <c r="D205" s="61">
        <v>203.99999999999977</v>
      </c>
      <c r="E205" s="61">
        <v>4.0799999999999956</v>
      </c>
      <c r="F205" s="61">
        <v>199.91999999999979</v>
      </c>
      <c r="G205" s="61">
        <v>150</v>
      </c>
      <c r="H205" s="62">
        <v>349.91999999999979</v>
      </c>
    </row>
    <row r="206" spans="1:11" x14ac:dyDescent="0.3">
      <c r="A206" s="60">
        <v>4</v>
      </c>
      <c r="B206" s="61" t="s">
        <v>260</v>
      </c>
      <c r="C206" s="61">
        <v>2.1099999999999972</v>
      </c>
      <c r="D206" s="61">
        <v>210.99999999999972</v>
      </c>
      <c r="E206" s="61">
        <v>4.2199999999999944</v>
      </c>
      <c r="F206" s="61">
        <v>206.77999999999972</v>
      </c>
      <c r="G206" s="61">
        <v>150</v>
      </c>
      <c r="H206" s="62">
        <v>356.77999999999975</v>
      </c>
    </row>
    <row r="207" spans="1:11" ht="15" thickBot="1" x14ac:dyDescent="0.35">
      <c r="A207" s="60">
        <v>5</v>
      </c>
      <c r="B207" s="61" t="s">
        <v>260</v>
      </c>
      <c r="C207" s="61">
        <v>2.1799999999999971</v>
      </c>
      <c r="D207" s="61">
        <v>217.99999999999972</v>
      </c>
      <c r="E207" s="61">
        <v>4.3599999999999941</v>
      </c>
      <c r="F207" s="61">
        <v>213.63999999999973</v>
      </c>
      <c r="G207" s="61">
        <v>150</v>
      </c>
      <c r="H207" s="62">
        <v>363.63999999999976</v>
      </c>
    </row>
    <row r="208" spans="1:11" ht="15" thickTop="1" x14ac:dyDescent="0.3">
      <c r="A208" s="9" t="s">
        <v>13</v>
      </c>
      <c r="B208" s="10"/>
      <c r="C208" s="10"/>
      <c r="D208" s="10">
        <f>SUBTOTAL(109,ProjecTests!$D$202:$D$207)</f>
        <v>1019.9999999999989</v>
      </c>
      <c r="E208" s="10">
        <f>SUBTOTAL(109,ProjecTests!$E$202:$E$207)</f>
        <v>20.399999999999977</v>
      </c>
      <c r="F208" s="10">
        <f>SUBTOTAL(109,ProjecTests!$F$202:$F$207)</f>
        <v>999.599999999999</v>
      </c>
      <c r="G208" s="10">
        <f>SUBTOTAL(109,ProjecTests!$G$202:$G$207)</f>
        <v>750</v>
      </c>
      <c r="H208" s="11">
        <f>SUBTOTAL(109,ProjecTests!$H$202:$H$207)</f>
        <v>749.599999999999</v>
      </c>
    </row>
    <row r="210" spans="1:11" x14ac:dyDescent="0.3">
      <c r="A210" s="2" t="s">
        <v>261</v>
      </c>
      <c r="J210" s="2" t="s">
        <v>253</v>
      </c>
    </row>
    <row r="211" spans="1:11" x14ac:dyDescent="0.3">
      <c r="A211" s="3" t="s">
        <v>218</v>
      </c>
      <c r="B211" s="4" t="s">
        <v>267</v>
      </c>
      <c r="C211" s="4" t="s">
        <v>268</v>
      </c>
      <c r="D211" s="4" t="s">
        <v>269</v>
      </c>
      <c r="E211" s="4" t="s">
        <v>222</v>
      </c>
      <c r="F211" s="4" t="s">
        <v>271</v>
      </c>
      <c r="G211" s="4" t="s">
        <v>272</v>
      </c>
      <c r="H211" s="5" t="s">
        <v>273</v>
      </c>
      <c r="J211" s="37" t="s">
        <v>251</v>
      </c>
      <c r="K211" s="38" t="s">
        <v>252</v>
      </c>
    </row>
    <row r="212" spans="1:11" x14ac:dyDescent="0.3">
      <c r="A212" s="60">
        <v>0</v>
      </c>
      <c r="B212" s="61">
        <v>-1000</v>
      </c>
      <c r="C212" s="61" t="s">
        <v>260</v>
      </c>
      <c r="D212" s="61" t="s">
        <v>260</v>
      </c>
      <c r="E212" s="61" t="s">
        <v>260</v>
      </c>
      <c r="F212" s="61" t="s">
        <v>260</v>
      </c>
      <c r="G212" s="61" t="s">
        <v>260</v>
      </c>
      <c r="H212" s="62">
        <v>-1000</v>
      </c>
      <c r="J212" s="12" t="s">
        <v>262</v>
      </c>
      <c r="K212" s="8" t="s">
        <v>284</v>
      </c>
    </row>
    <row r="213" spans="1:11" x14ac:dyDescent="0.3">
      <c r="A213" s="60">
        <v>1</v>
      </c>
      <c r="B213" s="61" t="s">
        <v>260</v>
      </c>
      <c r="C213" s="61">
        <v>1.5500000000000003</v>
      </c>
      <c r="D213" s="61">
        <v>155.00000000000003</v>
      </c>
      <c r="E213" s="61">
        <v>3.1000000000000005</v>
      </c>
      <c r="F213" s="61">
        <v>151.90000000000003</v>
      </c>
      <c r="G213" s="61">
        <v>150</v>
      </c>
      <c r="H213" s="62">
        <v>301.90000000000003</v>
      </c>
      <c r="J213" s="12" t="s">
        <v>275</v>
      </c>
      <c r="K213" s="8">
        <v>-307.27999999999992</v>
      </c>
    </row>
    <row r="214" spans="1:11" x14ac:dyDescent="0.3">
      <c r="A214" s="60">
        <v>2</v>
      </c>
      <c r="B214" s="61" t="s">
        <v>260</v>
      </c>
      <c r="C214" s="61">
        <v>1.6200000000000003</v>
      </c>
      <c r="D214" s="61">
        <v>162.00000000000003</v>
      </c>
      <c r="E214" s="61">
        <v>3.2400000000000007</v>
      </c>
      <c r="F214" s="61">
        <v>158.76000000000002</v>
      </c>
      <c r="G214" s="61">
        <v>150</v>
      </c>
      <c r="H214" s="62">
        <v>308.76</v>
      </c>
      <c r="J214" s="13" t="s">
        <v>265</v>
      </c>
      <c r="K214" s="14">
        <v>0.17126644614166864</v>
      </c>
    </row>
    <row r="215" spans="1:11" x14ac:dyDescent="0.3">
      <c r="A215" s="60">
        <v>3</v>
      </c>
      <c r="B215" s="61" t="s">
        <v>260</v>
      </c>
      <c r="C215" s="61">
        <v>1.6900000000000006</v>
      </c>
      <c r="D215" s="61">
        <v>169.00000000000006</v>
      </c>
      <c r="E215" s="61">
        <v>3.3800000000000012</v>
      </c>
      <c r="F215" s="61">
        <v>165.62000000000006</v>
      </c>
      <c r="G215" s="61">
        <v>150</v>
      </c>
      <c r="H215" s="62">
        <v>315.62000000000006</v>
      </c>
    </row>
    <row r="216" spans="1:11" x14ac:dyDescent="0.3">
      <c r="A216" s="60">
        <v>4</v>
      </c>
      <c r="B216" s="61" t="s">
        <v>260</v>
      </c>
      <c r="C216" s="61">
        <v>1.7600000000000007</v>
      </c>
      <c r="D216" s="61">
        <v>176.00000000000006</v>
      </c>
      <c r="E216" s="61">
        <v>3.5200000000000014</v>
      </c>
      <c r="F216" s="61">
        <v>172.48000000000005</v>
      </c>
      <c r="G216" s="61">
        <v>150</v>
      </c>
      <c r="H216" s="62">
        <v>322.48</v>
      </c>
    </row>
    <row r="217" spans="1:11" ht="15" thickBot="1" x14ac:dyDescent="0.35">
      <c r="A217" s="60">
        <v>5</v>
      </c>
      <c r="B217" s="61" t="s">
        <v>260</v>
      </c>
      <c r="C217" s="61">
        <v>1.8300000000000007</v>
      </c>
      <c r="D217" s="61">
        <v>183.00000000000009</v>
      </c>
      <c r="E217" s="61">
        <v>3.6600000000000019</v>
      </c>
      <c r="F217" s="61">
        <v>179.34000000000009</v>
      </c>
      <c r="G217" s="61">
        <v>150</v>
      </c>
      <c r="H217" s="62">
        <v>329.34000000000009</v>
      </c>
    </row>
    <row r="218" spans="1:11" ht="15" thickTop="1" x14ac:dyDescent="0.3">
      <c r="A218" s="9" t="s">
        <v>13</v>
      </c>
      <c r="B218" s="10"/>
      <c r="C218" s="10"/>
      <c r="D218" s="10">
        <f>SUBTOTAL(109,ProjecTests!$D$212:$D$217)</f>
        <v>845.00000000000034</v>
      </c>
      <c r="E218" s="10">
        <f>SUBTOTAL(109,ProjecTests!$E$212:$E$217)</f>
        <v>16.900000000000006</v>
      </c>
      <c r="F218" s="10">
        <f>SUBTOTAL(109,ProjecTests!$F$212:$F$217)</f>
        <v>828.10000000000036</v>
      </c>
      <c r="G218" s="10">
        <f>SUBTOTAL(109,ProjecTests!$G$212:$G$217)</f>
        <v>750</v>
      </c>
      <c r="H218" s="11">
        <f>SUBTOTAL(109,ProjecTests!$H$212:$H$217)</f>
        <v>578.10000000000025</v>
      </c>
    </row>
    <row r="220" spans="1:11" x14ac:dyDescent="0.3">
      <c r="A220" s="2" t="s">
        <v>261</v>
      </c>
      <c r="J220" s="2" t="s">
        <v>253</v>
      </c>
    </row>
    <row r="221" spans="1:11" x14ac:dyDescent="0.3">
      <c r="A221" s="3" t="s">
        <v>218</v>
      </c>
      <c r="B221" s="4" t="s">
        <v>267</v>
      </c>
      <c r="C221" s="4" t="s">
        <v>268</v>
      </c>
      <c r="D221" s="4" t="s">
        <v>269</v>
      </c>
      <c r="E221" s="4" t="s">
        <v>222</v>
      </c>
      <c r="F221" s="4" t="s">
        <v>271</v>
      </c>
      <c r="G221" s="4" t="s">
        <v>272</v>
      </c>
      <c r="H221" s="5" t="s">
        <v>273</v>
      </c>
      <c r="J221" s="37" t="s">
        <v>251</v>
      </c>
      <c r="K221" s="38" t="s">
        <v>252</v>
      </c>
    </row>
    <row r="222" spans="1:11" x14ac:dyDescent="0.3">
      <c r="A222" s="60">
        <v>0</v>
      </c>
      <c r="B222" s="61">
        <v>-1000</v>
      </c>
      <c r="C222" s="61" t="s">
        <v>260</v>
      </c>
      <c r="D222" s="61" t="s">
        <v>260</v>
      </c>
      <c r="E222" s="61" t="s">
        <v>260</v>
      </c>
      <c r="F222" s="61" t="s">
        <v>260</v>
      </c>
      <c r="G222" s="61" t="s">
        <v>260</v>
      </c>
      <c r="H222" s="62">
        <v>-1000</v>
      </c>
      <c r="J222" s="12" t="s">
        <v>262</v>
      </c>
      <c r="K222" s="8" t="s">
        <v>284</v>
      </c>
    </row>
    <row r="223" spans="1:11" x14ac:dyDescent="0.3">
      <c r="A223" s="60">
        <v>1</v>
      </c>
      <c r="B223" s="61" t="s">
        <v>260</v>
      </c>
      <c r="C223" s="61">
        <v>1.5500000000000003</v>
      </c>
      <c r="D223" s="61">
        <v>155.00000000000003</v>
      </c>
      <c r="E223" s="61">
        <v>3.1000000000000005</v>
      </c>
      <c r="F223" s="61">
        <v>151.90000000000003</v>
      </c>
      <c r="G223" s="61">
        <v>150</v>
      </c>
      <c r="H223" s="62">
        <v>301.90000000000003</v>
      </c>
      <c r="J223" s="12" t="s">
        <v>275</v>
      </c>
      <c r="K223" s="8">
        <v>-307.27999999999992</v>
      </c>
    </row>
    <row r="224" spans="1:11" x14ac:dyDescent="0.3">
      <c r="A224" s="60">
        <v>2</v>
      </c>
      <c r="B224" s="61" t="s">
        <v>260</v>
      </c>
      <c r="C224" s="61">
        <v>1.6200000000000003</v>
      </c>
      <c r="D224" s="61">
        <v>162.00000000000003</v>
      </c>
      <c r="E224" s="61">
        <v>3.2400000000000007</v>
      </c>
      <c r="F224" s="61">
        <v>158.76000000000002</v>
      </c>
      <c r="G224" s="61">
        <v>150</v>
      </c>
      <c r="H224" s="62">
        <v>308.76</v>
      </c>
      <c r="J224" s="13" t="s">
        <v>265</v>
      </c>
      <c r="K224" s="14">
        <v>0.17126644614166864</v>
      </c>
    </row>
    <row r="225" spans="1:11" x14ac:dyDescent="0.3">
      <c r="A225" s="60">
        <v>3</v>
      </c>
      <c r="B225" s="61" t="s">
        <v>260</v>
      </c>
      <c r="C225" s="61">
        <v>1.6900000000000006</v>
      </c>
      <c r="D225" s="61">
        <v>169.00000000000006</v>
      </c>
      <c r="E225" s="61">
        <v>3.3800000000000012</v>
      </c>
      <c r="F225" s="61">
        <v>165.62000000000006</v>
      </c>
      <c r="G225" s="61">
        <v>150</v>
      </c>
      <c r="H225" s="62">
        <v>315.62000000000006</v>
      </c>
    </row>
    <row r="226" spans="1:11" x14ac:dyDescent="0.3">
      <c r="A226" s="60">
        <v>4</v>
      </c>
      <c r="B226" s="61" t="s">
        <v>260</v>
      </c>
      <c r="C226" s="61">
        <v>1.7600000000000007</v>
      </c>
      <c r="D226" s="61">
        <v>176.00000000000006</v>
      </c>
      <c r="E226" s="61">
        <v>3.5200000000000014</v>
      </c>
      <c r="F226" s="61">
        <v>172.48000000000005</v>
      </c>
      <c r="G226" s="61">
        <v>150</v>
      </c>
      <c r="H226" s="62">
        <v>322.48</v>
      </c>
    </row>
    <row r="227" spans="1:11" ht="15" thickBot="1" x14ac:dyDescent="0.35">
      <c r="A227" s="60">
        <v>5</v>
      </c>
      <c r="B227" s="61" t="s">
        <v>260</v>
      </c>
      <c r="C227" s="61">
        <v>1.8300000000000007</v>
      </c>
      <c r="D227" s="61">
        <v>183.00000000000009</v>
      </c>
      <c r="E227" s="61">
        <v>3.6600000000000019</v>
      </c>
      <c r="F227" s="61">
        <v>179.34000000000009</v>
      </c>
      <c r="G227" s="61">
        <v>150</v>
      </c>
      <c r="H227" s="62">
        <v>329.34000000000009</v>
      </c>
    </row>
    <row r="228" spans="1:11" ht="15" thickTop="1" x14ac:dyDescent="0.3">
      <c r="A228" s="9" t="s">
        <v>13</v>
      </c>
      <c r="B228" s="10"/>
      <c r="C228" s="10"/>
      <c r="D228" s="10">
        <f>SUBTOTAL(109,ProjecTests!$D$222:$D$227)</f>
        <v>845.00000000000034</v>
      </c>
      <c r="E228" s="10">
        <f>SUBTOTAL(109,ProjecTests!$E$222:$E$227)</f>
        <v>16.900000000000006</v>
      </c>
      <c r="F228" s="10">
        <f>SUBTOTAL(109,ProjecTests!$F$222:$F$227)</f>
        <v>828.10000000000036</v>
      </c>
      <c r="G228" s="10">
        <f>SUBTOTAL(109,ProjecTests!$G$222:$G$227)</f>
        <v>750</v>
      </c>
      <c r="H228" s="11">
        <f>SUBTOTAL(109,ProjecTests!$H$222:$H$227)</f>
        <v>578.10000000000025</v>
      </c>
    </row>
    <row r="230" spans="1:11" x14ac:dyDescent="0.3">
      <c r="A230" s="2" t="s">
        <v>261</v>
      </c>
      <c r="J230" s="2" t="s">
        <v>253</v>
      </c>
    </row>
    <row r="231" spans="1:11" x14ac:dyDescent="0.3">
      <c r="A231" s="3" t="s">
        <v>266</v>
      </c>
      <c r="B231" s="4" t="s">
        <v>255</v>
      </c>
      <c r="C231" s="4" t="s">
        <v>256</v>
      </c>
      <c r="D231" s="4" t="s">
        <v>257</v>
      </c>
      <c r="E231" s="4" t="s">
        <v>287</v>
      </c>
      <c r="F231" s="4" t="s">
        <v>258</v>
      </c>
      <c r="G231" s="4" t="s">
        <v>259</v>
      </c>
      <c r="H231" s="5" t="s">
        <v>285</v>
      </c>
      <c r="J231" s="37" t="s">
        <v>251</v>
      </c>
      <c r="K231" s="38" t="s">
        <v>252</v>
      </c>
    </row>
    <row r="232" spans="1:11" x14ac:dyDescent="0.3">
      <c r="A232" s="60">
        <v>0</v>
      </c>
      <c r="B232" s="61">
        <v>-1000</v>
      </c>
      <c r="C232" s="61" t="s">
        <v>260</v>
      </c>
      <c r="D232" s="61" t="s">
        <v>260</v>
      </c>
      <c r="E232" s="61" t="s">
        <v>260</v>
      </c>
      <c r="F232" s="61" t="s">
        <v>260</v>
      </c>
      <c r="G232" s="61" t="s">
        <v>260</v>
      </c>
      <c r="H232" s="62">
        <v>-1000</v>
      </c>
      <c r="J232" s="12" t="s">
        <v>274</v>
      </c>
      <c r="K232" s="8" t="s">
        <v>277</v>
      </c>
    </row>
    <row r="233" spans="1:11" ht="15" thickBot="1" x14ac:dyDescent="0.35">
      <c r="A233" s="60">
        <v>1</v>
      </c>
      <c r="B233" s="61" t="s">
        <v>260</v>
      </c>
      <c r="C233" s="61">
        <v>1.8999999999999986</v>
      </c>
      <c r="D233" s="61">
        <v>189.99999999999986</v>
      </c>
      <c r="E233" s="61">
        <v>0</v>
      </c>
      <c r="F233" s="61">
        <v>189.99999999999986</v>
      </c>
      <c r="G233" s="61">
        <v>150</v>
      </c>
      <c r="H233" s="62">
        <v>339.99999999999989</v>
      </c>
      <c r="J233" s="12" t="s">
        <v>264</v>
      </c>
      <c r="K233" s="8">
        <v>-515.55555555555554</v>
      </c>
    </row>
    <row r="234" spans="1:11" ht="15" thickTop="1" x14ac:dyDescent="0.3">
      <c r="A234" s="9" t="s">
        <v>13</v>
      </c>
      <c r="B234" s="10"/>
      <c r="C234" s="10"/>
      <c r="D234" s="10">
        <f>SUBTOTAL(109,ProjecTests!$D$232:$D$233)</f>
        <v>189.99999999999986</v>
      </c>
      <c r="E234" s="10">
        <f>SUBTOTAL(109,ProjecTests!$E$232:$E$233)</f>
        <v>0</v>
      </c>
      <c r="F234" s="10">
        <f>SUBTOTAL(109,ProjecTests!$F$232:$F$233)</f>
        <v>189.99999999999986</v>
      </c>
      <c r="G234" s="10">
        <f>SUBTOTAL(109,ProjecTests!$G$232:$G$233)</f>
        <v>150</v>
      </c>
      <c r="H234" s="11">
        <f>SUBTOTAL(109,ProjecTests!$H$232:$H$233)</f>
        <v>-660.00000000000011</v>
      </c>
      <c r="J234" s="13" t="s">
        <v>265</v>
      </c>
      <c r="K234" s="14">
        <v>-0.66000000000000014</v>
      </c>
    </row>
    <row r="236" spans="1:11" x14ac:dyDescent="0.3">
      <c r="A236" s="2" t="s">
        <v>261</v>
      </c>
      <c r="J236" s="2" t="s">
        <v>253</v>
      </c>
    </row>
    <row r="237" spans="1:11" x14ac:dyDescent="0.3">
      <c r="A237" s="3" t="s">
        <v>218</v>
      </c>
      <c r="B237" s="4" t="s">
        <v>267</v>
      </c>
      <c r="C237" s="4" t="s">
        <v>268</v>
      </c>
      <c r="D237" s="4" t="s">
        <v>269</v>
      </c>
      <c r="E237" s="4" t="s">
        <v>222</v>
      </c>
      <c r="F237" s="4" t="s">
        <v>271</v>
      </c>
      <c r="G237" s="4" t="s">
        <v>272</v>
      </c>
      <c r="H237" s="5" t="s">
        <v>273</v>
      </c>
      <c r="J237" s="37" t="s">
        <v>251</v>
      </c>
      <c r="K237" s="38" t="s">
        <v>252</v>
      </c>
    </row>
    <row r="238" spans="1:11" x14ac:dyDescent="0.3">
      <c r="A238" s="60">
        <v>0</v>
      </c>
      <c r="B238" s="61">
        <v>-1000</v>
      </c>
      <c r="C238" s="61" t="s">
        <v>260</v>
      </c>
      <c r="D238" s="61" t="s">
        <v>260</v>
      </c>
      <c r="E238" s="61" t="s">
        <v>260</v>
      </c>
      <c r="F238" s="61" t="s">
        <v>260</v>
      </c>
      <c r="G238" s="61" t="s">
        <v>260</v>
      </c>
      <c r="H238" s="62">
        <v>-1000</v>
      </c>
      <c r="J238" s="12" t="s">
        <v>262</v>
      </c>
      <c r="K238" s="8" t="s">
        <v>284</v>
      </c>
    </row>
    <row r="239" spans="1:11" x14ac:dyDescent="0.3">
      <c r="A239" s="60">
        <v>1</v>
      </c>
      <c r="B239" s="61" t="s">
        <v>260</v>
      </c>
      <c r="C239" s="61">
        <v>1.5500000000000003</v>
      </c>
      <c r="D239" s="61">
        <v>155.00000000000003</v>
      </c>
      <c r="E239" s="61">
        <v>3.1000000000000005</v>
      </c>
      <c r="F239" s="61">
        <v>151.90000000000003</v>
      </c>
      <c r="G239" s="61">
        <v>150</v>
      </c>
      <c r="H239" s="62">
        <v>301.90000000000003</v>
      </c>
      <c r="J239" s="12" t="s">
        <v>275</v>
      </c>
      <c r="K239" s="8">
        <v>-307.27999999999992</v>
      </c>
    </row>
    <row r="240" spans="1:11" x14ac:dyDescent="0.3">
      <c r="A240" s="60">
        <v>2</v>
      </c>
      <c r="B240" s="61" t="s">
        <v>260</v>
      </c>
      <c r="C240" s="61">
        <v>1.6200000000000003</v>
      </c>
      <c r="D240" s="61">
        <v>162.00000000000003</v>
      </c>
      <c r="E240" s="61">
        <v>3.2400000000000007</v>
      </c>
      <c r="F240" s="61">
        <v>158.76000000000002</v>
      </c>
      <c r="G240" s="61">
        <v>150</v>
      </c>
      <c r="H240" s="62">
        <v>308.76</v>
      </c>
      <c r="J240" s="13" t="s">
        <v>265</v>
      </c>
      <c r="K240" s="14">
        <v>0.17126644614166864</v>
      </c>
    </row>
    <row r="241" spans="1:13" x14ac:dyDescent="0.3">
      <c r="A241" s="60">
        <v>3</v>
      </c>
      <c r="B241" s="61" t="s">
        <v>260</v>
      </c>
      <c r="C241" s="61">
        <v>1.6900000000000006</v>
      </c>
      <c r="D241" s="61">
        <v>169.00000000000006</v>
      </c>
      <c r="E241" s="61">
        <v>3.3800000000000012</v>
      </c>
      <c r="F241" s="61">
        <v>165.62000000000006</v>
      </c>
      <c r="G241" s="61">
        <v>150</v>
      </c>
      <c r="H241" s="62">
        <v>315.62000000000006</v>
      </c>
    </row>
    <row r="242" spans="1:13" x14ac:dyDescent="0.3">
      <c r="A242" s="60">
        <v>4</v>
      </c>
      <c r="B242" s="61" t="s">
        <v>260</v>
      </c>
      <c r="C242" s="61">
        <v>1.7600000000000007</v>
      </c>
      <c r="D242" s="61">
        <v>176.00000000000006</v>
      </c>
      <c r="E242" s="61">
        <v>3.5200000000000014</v>
      </c>
      <c r="F242" s="61">
        <v>172.48000000000005</v>
      </c>
      <c r="G242" s="61">
        <v>150</v>
      </c>
      <c r="H242" s="62">
        <v>322.48</v>
      </c>
    </row>
    <row r="243" spans="1:13" ht="15" thickBot="1" x14ac:dyDescent="0.35">
      <c r="A243" s="60">
        <v>5</v>
      </c>
      <c r="B243" s="61" t="s">
        <v>260</v>
      </c>
      <c r="C243" s="61">
        <v>1.8300000000000007</v>
      </c>
      <c r="D243" s="61">
        <v>183.00000000000009</v>
      </c>
      <c r="E243" s="61">
        <v>3.6600000000000019</v>
      </c>
      <c r="F243" s="61">
        <v>179.34000000000009</v>
      </c>
      <c r="G243" s="61">
        <v>150</v>
      </c>
      <c r="H243" s="62">
        <v>329.34000000000009</v>
      </c>
    </row>
    <row r="244" spans="1:13" ht="15" thickTop="1" x14ac:dyDescent="0.3">
      <c r="A244" s="9" t="s">
        <v>13</v>
      </c>
      <c r="B244" s="10"/>
      <c r="C244" s="10"/>
      <c r="D244" s="10">
        <f>SUBTOTAL(109,ProjecTests!$D$238:$D$243)</f>
        <v>845.00000000000034</v>
      </c>
      <c r="E244" s="10">
        <f>SUBTOTAL(109,ProjecTests!$E$238:$E$243)</f>
        <v>16.900000000000006</v>
      </c>
      <c r="F244" s="10">
        <f>SUBTOTAL(109,ProjecTests!$F$238:$F$243)</f>
        <v>828.10000000000036</v>
      </c>
      <c r="G244" s="10">
        <f>SUBTOTAL(109,ProjecTests!$G$238:$G$243)</f>
        <v>750</v>
      </c>
      <c r="H244" s="11">
        <f>SUBTOTAL(109,ProjecTests!$H$238:$H$243)</f>
        <v>578.10000000000025</v>
      </c>
    </row>
    <row r="246" spans="1:13" x14ac:dyDescent="0.3">
      <c r="A246" s="2" t="s">
        <v>261</v>
      </c>
      <c r="L246" s="2" t="s">
        <v>253</v>
      </c>
    </row>
    <row r="247" spans="1:13" x14ac:dyDescent="0.3">
      <c r="A247" s="3" t="s">
        <v>218</v>
      </c>
      <c r="B247" s="4" t="s">
        <v>267</v>
      </c>
      <c r="C247" s="4" t="s">
        <v>268</v>
      </c>
      <c r="D247" s="4" t="s">
        <v>288</v>
      </c>
      <c r="E247" s="4" t="s">
        <v>269</v>
      </c>
      <c r="F247" s="4" t="s">
        <v>289</v>
      </c>
      <c r="G247" s="4" t="s">
        <v>222</v>
      </c>
      <c r="H247" s="4" t="s">
        <v>271</v>
      </c>
      <c r="I247" s="4" t="s">
        <v>272</v>
      </c>
      <c r="J247" s="5" t="s">
        <v>273</v>
      </c>
      <c r="L247" s="37" t="s">
        <v>251</v>
      </c>
      <c r="M247" s="38" t="s">
        <v>252</v>
      </c>
    </row>
    <row r="248" spans="1:13" x14ac:dyDescent="0.3">
      <c r="A248" s="60">
        <v>0</v>
      </c>
      <c r="B248" s="61">
        <v>-1000</v>
      </c>
      <c r="C248" s="61" t="s">
        <v>260</v>
      </c>
      <c r="D248" s="61" t="s">
        <v>260</v>
      </c>
      <c r="E248" s="61" t="s">
        <v>260</v>
      </c>
      <c r="F248" s="61" t="s">
        <v>260</v>
      </c>
      <c r="G248" s="61" t="s">
        <v>260</v>
      </c>
      <c r="H248" s="61" t="s">
        <v>260</v>
      </c>
      <c r="I248" s="61" t="s">
        <v>260</v>
      </c>
      <c r="J248" s="62">
        <v>-1000</v>
      </c>
      <c r="L248" s="12" t="s">
        <v>262</v>
      </c>
      <c r="M248" s="8" t="s">
        <v>290</v>
      </c>
    </row>
    <row r="249" spans="1:13" x14ac:dyDescent="0.3">
      <c r="A249" s="60">
        <v>1</v>
      </c>
      <c r="B249" s="61" t="s">
        <v>260</v>
      </c>
      <c r="C249" s="61">
        <v>1.8999999999999986</v>
      </c>
      <c r="D249" s="61">
        <v>1.5500000000000003</v>
      </c>
      <c r="E249" s="61">
        <v>294.49999999999977</v>
      </c>
      <c r="F249" s="61">
        <v>240.25000000000003</v>
      </c>
      <c r="G249" s="61">
        <v>10.694999999999995</v>
      </c>
      <c r="H249" s="61">
        <v>524.05499999999972</v>
      </c>
      <c r="I249" s="61">
        <v>150</v>
      </c>
      <c r="J249" s="62">
        <v>674.05499999999972</v>
      </c>
      <c r="L249" s="12" t="s">
        <v>275</v>
      </c>
      <c r="M249" s="8">
        <v>131.19428823927359</v>
      </c>
    </row>
    <row r="250" spans="1:13" x14ac:dyDescent="0.3">
      <c r="A250" s="60">
        <v>2</v>
      </c>
      <c r="B250" s="61" t="s">
        <v>260</v>
      </c>
      <c r="C250" s="61">
        <v>1.9699999999999982</v>
      </c>
      <c r="D250" s="61">
        <v>1.6200000000000003</v>
      </c>
      <c r="E250" s="61">
        <v>305.34999999999974</v>
      </c>
      <c r="F250" s="61">
        <v>251.10000000000005</v>
      </c>
      <c r="G250" s="61">
        <v>11.128999999999996</v>
      </c>
      <c r="H250" s="61">
        <v>545.3209999999998</v>
      </c>
      <c r="I250" s="61">
        <v>150</v>
      </c>
      <c r="J250" s="62">
        <v>695.3209999999998</v>
      </c>
      <c r="L250" s="13" t="s">
        <v>265</v>
      </c>
      <c r="M250" s="14">
        <v>0.63845210781922024</v>
      </c>
    </row>
    <row r="251" spans="1:13" x14ac:dyDescent="0.3">
      <c r="A251" s="60">
        <v>3</v>
      </c>
      <c r="B251" s="61" t="s">
        <v>260</v>
      </c>
      <c r="C251" s="61">
        <v>2.0399999999999978</v>
      </c>
      <c r="D251" s="61">
        <v>1.6900000000000006</v>
      </c>
      <c r="E251" s="61">
        <v>316.19999999999965</v>
      </c>
      <c r="F251" s="61">
        <v>261.9500000000001</v>
      </c>
      <c r="G251" s="61">
        <v>11.562999999999995</v>
      </c>
      <c r="H251" s="61">
        <v>566.58699999999976</v>
      </c>
      <c r="I251" s="61">
        <v>150</v>
      </c>
      <c r="J251" s="62">
        <v>716.58699999999976</v>
      </c>
    </row>
    <row r="252" spans="1:13" x14ac:dyDescent="0.3">
      <c r="A252" s="60">
        <v>4</v>
      </c>
      <c r="B252" s="61" t="s">
        <v>260</v>
      </c>
      <c r="C252" s="61">
        <v>2.1099999999999972</v>
      </c>
      <c r="D252" s="61">
        <v>1.7600000000000007</v>
      </c>
      <c r="E252" s="61">
        <v>327.04999999999956</v>
      </c>
      <c r="F252" s="61">
        <v>272.80000000000013</v>
      </c>
      <c r="G252" s="61">
        <v>11.996999999999993</v>
      </c>
      <c r="H252" s="61">
        <v>587.85299999999972</v>
      </c>
      <c r="I252" s="61">
        <v>150</v>
      </c>
      <c r="J252" s="62">
        <v>737.85299999999972</v>
      </c>
    </row>
    <row r="253" spans="1:13" ht="15" thickBot="1" x14ac:dyDescent="0.35">
      <c r="A253" s="60">
        <v>5</v>
      </c>
      <c r="B253" s="61" t="s">
        <v>260</v>
      </c>
      <c r="C253" s="61">
        <v>2.1799999999999971</v>
      </c>
      <c r="D253" s="61">
        <v>1.8300000000000007</v>
      </c>
      <c r="E253" s="61">
        <v>337.89999999999952</v>
      </c>
      <c r="F253" s="61">
        <v>283.65000000000009</v>
      </c>
      <c r="G253" s="61">
        <v>12.430999999999992</v>
      </c>
      <c r="H253" s="61">
        <v>609.11899999999957</v>
      </c>
      <c r="I253" s="61">
        <v>150</v>
      </c>
      <c r="J253" s="62">
        <v>759.11899999999957</v>
      </c>
    </row>
    <row r="254" spans="1:13" ht="15" thickTop="1" x14ac:dyDescent="0.3">
      <c r="A254" s="9" t="s">
        <v>13</v>
      </c>
      <c r="B254" s="10"/>
      <c r="C254" s="10"/>
      <c r="D254" s="10"/>
      <c r="E254" s="10">
        <f>SUBTOTAL(109,ProjecTests!$E$248:$E$253)</f>
        <v>1580.9999999999982</v>
      </c>
      <c r="F254" s="10">
        <f>SUBTOTAL(109,ProjecTests!$F$248:$F$253)</f>
        <v>1309.7500000000005</v>
      </c>
      <c r="G254" s="10">
        <f>SUBTOTAL(109,ProjecTests!$G$248:$G$253)</f>
        <v>57.814999999999969</v>
      </c>
      <c r="H254" s="10">
        <f>SUBTOTAL(109,ProjecTests!$H$248:$H$253)</f>
        <v>2832.9349999999986</v>
      </c>
      <c r="I254" s="10">
        <f>SUBTOTAL(109,ProjecTests!$I$248:$I$253)</f>
        <v>750</v>
      </c>
      <c r="J254" s="11">
        <f>SUBTOTAL(109,ProjecTests!$J$248:$J$253)</f>
        <v>2582.9349999999986</v>
      </c>
    </row>
    <row r="262" spans="1:13" x14ac:dyDescent="0.3">
      <c r="A262" s="2" t="s">
        <v>261</v>
      </c>
      <c r="L262" s="2" t="s">
        <v>253</v>
      </c>
    </row>
    <row r="263" spans="1:13" x14ac:dyDescent="0.3">
      <c r="A263" s="3" t="s">
        <v>218</v>
      </c>
      <c r="B263" s="4" t="s">
        <v>267</v>
      </c>
      <c r="C263" s="4" t="s">
        <v>291</v>
      </c>
      <c r="D263" s="4" t="s">
        <v>292</v>
      </c>
      <c r="E263" s="4" t="s">
        <v>269</v>
      </c>
      <c r="F263" s="4" t="s">
        <v>289</v>
      </c>
      <c r="G263" s="4" t="s">
        <v>222</v>
      </c>
      <c r="H263" s="4" t="s">
        <v>271</v>
      </c>
      <c r="I263" s="4" t="s">
        <v>272</v>
      </c>
      <c r="J263" s="5" t="s">
        <v>273</v>
      </c>
      <c r="L263" s="37" t="s">
        <v>251</v>
      </c>
      <c r="M263" s="38" t="s">
        <v>252</v>
      </c>
    </row>
    <row r="264" spans="1:13" x14ac:dyDescent="0.3">
      <c r="A264" s="60">
        <v>0</v>
      </c>
      <c r="B264" s="61">
        <v>-1000</v>
      </c>
      <c r="C264" s="61" t="s">
        <v>260</v>
      </c>
      <c r="D264" s="61" t="s">
        <v>260</v>
      </c>
      <c r="E264" s="61" t="s">
        <v>260</v>
      </c>
      <c r="F264" s="61" t="s">
        <v>260</v>
      </c>
      <c r="G264" s="61" t="s">
        <v>260</v>
      </c>
      <c r="H264" s="61" t="s">
        <v>260</v>
      </c>
      <c r="I264" s="61" t="s">
        <v>260</v>
      </c>
      <c r="J264" s="62">
        <v>-1000</v>
      </c>
      <c r="L264" s="12" t="s">
        <v>262</v>
      </c>
      <c r="M264" s="8" t="s">
        <v>263</v>
      </c>
    </row>
    <row r="265" spans="1:13" x14ac:dyDescent="0.3">
      <c r="A265" s="60">
        <v>1</v>
      </c>
      <c r="B265" s="61" t="s">
        <v>260</v>
      </c>
      <c r="C265" s="61">
        <v>2.2499999999999996</v>
      </c>
      <c r="D265" s="61">
        <v>1.8999999999999986</v>
      </c>
      <c r="E265" s="61">
        <v>662.62499999999989</v>
      </c>
      <c r="F265" s="61">
        <v>559.54999999999961</v>
      </c>
      <c r="G265" s="61">
        <v>24.44349999999999</v>
      </c>
      <c r="H265" s="61">
        <v>1197.7314999999994</v>
      </c>
      <c r="I265" s="61">
        <v>150</v>
      </c>
      <c r="J265" s="62">
        <v>1347.7314999999994</v>
      </c>
      <c r="L265" s="12" t="s">
        <v>275</v>
      </c>
      <c r="M265" s="8">
        <v>921.24528728970188</v>
      </c>
    </row>
    <row r="266" spans="1:13" x14ac:dyDescent="0.3">
      <c r="A266" s="60">
        <v>2</v>
      </c>
      <c r="B266" s="61" t="s">
        <v>260</v>
      </c>
      <c r="C266" s="61">
        <v>2.3199999999999994</v>
      </c>
      <c r="D266" s="61">
        <v>1.9699999999999982</v>
      </c>
      <c r="E266" s="61">
        <v>683.23999999999978</v>
      </c>
      <c r="F266" s="61">
        <v>580.16499999999951</v>
      </c>
      <c r="G266" s="61">
        <v>25.268099999999986</v>
      </c>
      <c r="H266" s="61">
        <v>1238.1368999999993</v>
      </c>
      <c r="I266" s="61">
        <v>150</v>
      </c>
      <c r="J266" s="62">
        <v>1388.1368999999993</v>
      </c>
      <c r="L266" s="13" t="s">
        <v>265</v>
      </c>
      <c r="M266" s="14">
        <v>1.3557632015407628</v>
      </c>
    </row>
    <row r="267" spans="1:13" x14ac:dyDescent="0.3">
      <c r="A267" s="60">
        <v>3</v>
      </c>
      <c r="B267" s="61" t="s">
        <v>260</v>
      </c>
      <c r="C267" s="61">
        <v>2.3899999999999997</v>
      </c>
      <c r="D267" s="61">
        <v>2.0399999999999978</v>
      </c>
      <c r="E267" s="61">
        <v>703.8549999999999</v>
      </c>
      <c r="F267" s="61">
        <v>600.7799999999994</v>
      </c>
      <c r="G267" s="61">
        <v>26.092699999999986</v>
      </c>
      <c r="H267" s="61">
        <v>1278.5422999999994</v>
      </c>
      <c r="I267" s="61">
        <v>150</v>
      </c>
      <c r="J267" s="62">
        <v>1428.5422999999994</v>
      </c>
    </row>
    <row r="268" spans="1:13" x14ac:dyDescent="0.3">
      <c r="A268" s="60">
        <v>4</v>
      </c>
      <c r="B268" s="61" t="s">
        <v>260</v>
      </c>
      <c r="C268" s="61">
        <v>2.4599999999999995</v>
      </c>
      <c r="D268" s="61">
        <v>2.1099999999999972</v>
      </c>
      <c r="E268" s="61">
        <v>724.46999999999991</v>
      </c>
      <c r="F268" s="61">
        <v>621.39499999999919</v>
      </c>
      <c r="G268" s="61">
        <v>26.917299999999983</v>
      </c>
      <c r="H268" s="61">
        <v>1318.947699999999</v>
      </c>
      <c r="I268" s="61">
        <v>150</v>
      </c>
      <c r="J268" s="62">
        <v>1468.947699999999</v>
      </c>
    </row>
    <row r="269" spans="1:13" ht="15" thickBot="1" x14ac:dyDescent="0.35">
      <c r="A269" s="60">
        <v>5</v>
      </c>
      <c r="B269" s="61" t="s">
        <v>260</v>
      </c>
      <c r="C269" s="61">
        <v>2.5299999999999994</v>
      </c>
      <c r="D269" s="61">
        <v>2.1799999999999971</v>
      </c>
      <c r="E269" s="61">
        <v>745.08499999999981</v>
      </c>
      <c r="F269" s="61">
        <v>642.00999999999908</v>
      </c>
      <c r="G269" s="61">
        <v>27.741899999999976</v>
      </c>
      <c r="H269" s="61">
        <v>1359.3530999999989</v>
      </c>
      <c r="I269" s="61">
        <v>150</v>
      </c>
      <c r="J269" s="62">
        <v>1509.3530999999989</v>
      </c>
    </row>
    <row r="270" spans="1:13" ht="15" thickTop="1" x14ac:dyDescent="0.3">
      <c r="A270" s="9" t="s">
        <v>13</v>
      </c>
      <c r="B270" s="10"/>
      <c r="C270" s="10"/>
      <c r="D270" s="10"/>
      <c r="E270" s="10">
        <f>SUBTOTAL(109,ProjecTests!$E$264:$E$269)</f>
        <v>3519.2749999999996</v>
      </c>
      <c r="F270" s="10">
        <f>SUBTOTAL(109,ProjecTests!$F$264:$F$269)</f>
        <v>3003.8999999999969</v>
      </c>
      <c r="G270" s="10">
        <f>SUBTOTAL(109,ProjecTests!$G$264:$G$269)</f>
        <v>130.46349999999993</v>
      </c>
      <c r="H270" s="10">
        <f>SUBTOTAL(109,ProjecTests!$H$264:$H$269)</f>
        <v>6392.7114999999958</v>
      </c>
      <c r="I270" s="10">
        <f>SUBTOTAL(109,ProjecTests!$I$264:$I$269)</f>
        <v>750</v>
      </c>
      <c r="J270" s="11">
        <f>SUBTOTAL(109,ProjecTests!$J$264:$J$269)</f>
        <v>6142.7114999999958</v>
      </c>
    </row>
    <row r="272" spans="1:13" x14ac:dyDescent="0.3">
      <c r="A272" s="2" t="s">
        <v>261</v>
      </c>
      <c r="L272" s="2" t="s">
        <v>253</v>
      </c>
    </row>
    <row r="273" spans="1:13" x14ac:dyDescent="0.3">
      <c r="A273" s="3" t="s">
        <v>218</v>
      </c>
      <c r="B273" s="4" t="s">
        <v>255</v>
      </c>
      <c r="C273" s="4" t="s">
        <v>293</v>
      </c>
      <c r="D273" s="4" t="s">
        <v>294</v>
      </c>
      <c r="E273" s="4" t="s">
        <v>257</v>
      </c>
      <c r="F273" s="4" t="s">
        <v>295</v>
      </c>
      <c r="G273" s="4" t="s">
        <v>222</v>
      </c>
      <c r="H273" s="4" t="s">
        <v>258</v>
      </c>
      <c r="I273" s="4" t="s">
        <v>259</v>
      </c>
      <c r="J273" s="5" t="s">
        <v>285</v>
      </c>
      <c r="L273" s="37" t="s">
        <v>251</v>
      </c>
      <c r="M273" s="38" t="s">
        <v>252</v>
      </c>
    </row>
    <row r="274" spans="1:13" x14ac:dyDescent="0.3">
      <c r="A274" s="60">
        <v>0</v>
      </c>
      <c r="B274" s="61">
        <v>-1000</v>
      </c>
      <c r="C274" s="61" t="s">
        <v>260</v>
      </c>
      <c r="D274" s="61" t="s">
        <v>260</v>
      </c>
      <c r="E274" s="61" t="s">
        <v>260</v>
      </c>
      <c r="F274" s="61" t="s">
        <v>260</v>
      </c>
      <c r="G274" s="61" t="s">
        <v>260</v>
      </c>
      <c r="H274" s="61" t="s">
        <v>260</v>
      </c>
      <c r="I274" s="61" t="s">
        <v>260</v>
      </c>
      <c r="J274" s="62">
        <v>-1000</v>
      </c>
      <c r="L274" s="12" t="s">
        <v>262</v>
      </c>
      <c r="M274" s="8" t="s">
        <v>296</v>
      </c>
    </row>
    <row r="275" spans="1:13" x14ac:dyDescent="0.3">
      <c r="A275" s="60">
        <v>1</v>
      </c>
      <c r="B275" s="61" t="s">
        <v>260</v>
      </c>
      <c r="C275" s="61">
        <v>2.600000000000001</v>
      </c>
      <c r="D275" s="61">
        <v>2.2499999999999996</v>
      </c>
      <c r="E275" s="61">
        <v>1454.8300000000004</v>
      </c>
      <c r="F275" s="61">
        <v>1258.9874999999997</v>
      </c>
      <c r="G275" s="61">
        <v>54.276350000000001</v>
      </c>
      <c r="H275" s="61">
        <v>2659.54115</v>
      </c>
      <c r="I275" s="61">
        <v>150</v>
      </c>
      <c r="J275" s="62">
        <v>2809.54115</v>
      </c>
      <c r="L275" s="12" t="s">
        <v>264</v>
      </c>
      <c r="M275" s="8">
        <v>2696.4443937997262</v>
      </c>
    </row>
    <row r="276" spans="1:13" x14ac:dyDescent="0.3">
      <c r="A276" s="60">
        <v>2</v>
      </c>
      <c r="B276" s="61" t="s">
        <v>260</v>
      </c>
      <c r="C276" s="61">
        <v>2.6700000000000013</v>
      </c>
      <c r="D276" s="61">
        <v>2.3199999999999994</v>
      </c>
      <c r="E276" s="61">
        <v>1493.9985000000006</v>
      </c>
      <c r="F276" s="61">
        <v>1298.1559999999995</v>
      </c>
      <c r="G276" s="61">
        <v>55.843090000000004</v>
      </c>
      <c r="H276" s="61">
        <v>2736.3114100000003</v>
      </c>
      <c r="I276" s="61">
        <v>150</v>
      </c>
      <c r="J276" s="62">
        <v>2886.3114100000003</v>
      </c>
      <c r="L276" s="13" t="s">
        <v>265</v>
      </c>
      <c r="M276" s="14">
        <v>2.8327483559066402</v>
      </c>
    </row>
    <row r="277" spans="1:13" x14ac:dyDescent="0.3">
      <c r="A277" s="60">
        <v>3</v>
      </c>
      <c r="B277" s="61" t="s">
        <v>260</v>
      </c>
      <c r="C277" s="61">
        <v>2.7400000000000015</v>
      </c>
      <c r="D277" s="61">
        <v>2.3899999999999997</v>
      </c>
      <c r="E277" s="61">
        <v>1533.1670000000008</v>
      </c>
      <c r="F277" s="61">
        <v>1337.3244999999997</v>
      </c>
      <c r="G277" s="61">
        <v>57.409830000000014</v>
      </c>
      <c r="H277" s="61">
        <v>2813.0816700000005</v>
      </c>
      <c r="I277" s="61">
        <v>150</v>
      </c>
      <c r="J277" s="62">
        <v>2963.0816700000005</v>
      </c>
    </row>
    <row r="278" spans="1:13" x14ac:dyDescent="0.3">
      <c r="A278" s="60">
        <v>4</v>
      </c>
      <c r="B278" s="61" t="s">
        <v>260</v>
      </c>
      <c r="C278" s="61">
        <v>2.8100000000000018</v>
      </c>
      <c r="D278" s="61">
        <v>2.4599999999999995</v>
      </c>
      <c r="E278" s="61">
        <v>1572.3355000000008</v>
      </c>
      <c r="F278" s="61">
        <v>1376.4929999999997</v>
      </c>
      <c r="G278" s="61">
        <v>58.976570000000009</v>
      </c>
      <c r="H278" s="61">
        <v>2889.8519300000007</v>
      </c>
      <c r="I278" s="61">
        <v>150</v>
      </c>
      <c r="J278" s="62">
        <v>3039.8519300000007</v>
      </c>
    </row>
    <row r="279" spans="1:13" ht="15" thickBot="1" x14ac:dyDescent="0.35">
      <c r="A279" s="60">
        <v>5</v>
      </c>
      <c r="B279" s="61" t="s">
        <v>260</v>
      </c>
      <c r="C279" s="61">
        <v>2.8800000000000021</v>
      </c>
      <c r="D279" s="61">
        <v>2.5299999999999994</v>
      </c>
      <c r="E279" s="61">
        <v>1611.504000000001</v>
      </c>
      <c r="F279" s="61">
        <v>1415.6614999999995</v>
      </c>
      <c r="G279" s="61">
        <v>60.543310000000012</v>
      </c>
      <c r="H279" s="61">
        <v>2966.6221900000005</v>
      </c>
      <c r="I279" s="61">
        <v>150</v>
      </c>
      <c r="J279" s="62">
        <v>3116.6221900000005</v>
      </c>
    </row>
    <row r="280" spans="1:13" ht="15" thickTop="1" x14ac:dyDescent="0.3">
      <c r="A280" s="9" t="s">
        <v>13</v>
      </c>
      <c r="B280" s="10"/>
      <c r="C280" s="10"/>
      <c r="D280" s="10"/>
      <c r="E280" s="10">
        <f>SUBTOTAL(109,ProjecTests!$E$274:$E$279)</f>
        <v>7665.8350000000037</v>
      </c>
      <c r="F280" s="10">
        <f>SUBTOTAL(109,ProjecTests!$F$274:$F$279)</f>
        <v>6686.6224999999977</v>
      </c>
      <c r="G280" s="10">
        <f>SUBTOTAL(109,ProjecTests!$G$274:$G$279)</f>
        <v>287.04915</v>
      </c>
      <c r="H280" s="10">
        <f>SUBTOTAL(109,ProjecTests!$H$274:$H$279)</f>
        <v>14065.408350000002</v>
      </c>
      <c r="I280" s="10">
        <f>SUBTOTAL(109,ProjecTests!$I$274:$I$279)</f>
        <v>750</v>
      </c>
      <c r="J280" s="11">
        <f>SUBTOTAL(109,ProjecTests!$J$274:$J$279)</f>
        <v>13815.408350000002</v>
      </c>
    </row>
    <row r="282" spans="1:13" x14ac:dyDescent="0.3">
      <c r="A282" s="2" t="s">
        <v>261</v>
      </c>
      <c r="L282" s="2" t="s">
        <v>253</v>
      </c>
    </row>
    <row r="283" spans="1:13" x14ac:dyDescent="0.3">
      <c r="A283" s="3" t="s">
        <v>218</v>
      </c>
      <c r="B283" s="4" t="s">
        <v>255</v>
      </c>
      <c r="C283" s="4" t="s">
        <v>293</v>
      </c>
      <c r="D283" s="4" t="s">
        <v>297</v>
      </c>
      <c r="E283" s="4" t="s">
        <v>257</v>
      </c>
      <c r="F283" s="4" t="s">
        <v>298</v>
      </c>
      <c r="G283" s="4" t="s">
        <v>222</v>
      </c>
      <c r="H283" s="4" t="s">
        <v>258</v>
      </c>
      <c r="I283" s="4" t="s">
        <v>259</v>
      </c>
      <c r="J283" s="5" t="s">
        <v>285</v>
      </c>
      <c r="L283" s="37" t="s">
        <v>251</v>
      </c>
      <c r="M283" s="38" t="s">
        <v>252</v>
      </c>
    </row>
    <row r="284" spans="1:13" x14ac:dyDescent="0.3">
      <c r="A284" s="60">
        <v>0</v>
      </c>
      <c r="B284" s="61">
        <v>-1000</v>
      </c>
      <c r="C284" s="61" t="s">
        <v>260</v>
      </c>
      <c r="D284" s="61" t="s">
        <v>260</v>
      </c>
      <c r="E284" s="61" t="s">
        <v>260</v>
      </c>
      <c r="F284" s="61" t="s">
        <v>260</v>
      </c>
      <c r="G284" s="61" t="s">
        <v>260</v>
      </c>
      <c r="H284" s="61" t="s">
        <v>260</v>
      </c>
      <c r="I284" s="61" t="s">
        <v>260</v>
      </c>
      <c r="J284" s="62">
        <v>-1000</v>
      </c>
      <c r="L284" s="12" t="s">
        <v>250</v>
      </c>
      <c r="M284" s="8" t="s">
        <v>296</v>
      </c>
    </row>
    <row r="285" spans="1:13" x14ac:dyDescent="0.3">
      <c r="A285" s="60">
        <v>1</v>
      </c>
      <c r="B285" s="61" t="s">
        <v>260</v>
      </c>
      <c r="C285" s="61">
        <v>2.600000000000001</v>
      </c>
      <c r="D285" s="61">
        <v>2.2499999999999996</v>
      </c>
      <c r="E285" s="61">
        <f>559.55*$C$285</f>
        <v>1454.8300000000004</v>
      </c>
      <c r="F285" s="61">
        <f>559.55*$D$285</f>
        <v>1258.9874999999997</v>
      </c>
      <c r="G285" s="61">
        <f>SUM($E$285:$F$285)*2/100</f>
        <v>54.276350000000001</v>
      </c>
      <c r="H285" s="61">
        <f>SUM($E$285:$F$285)-$G$285</f>
        <v>2659.54115</v>
      </c>
      <c r="I285" s="61">
        <v>150</v>
      </c>
      <c r="J285" s="62">
        <f>SUM($H$285:$I$285)</f>
        <v>2809.54115</v>
      </c>
      <c r="L285" s="12" t="s">
        <v>264</v>
      </c>
      <c r="M285" s="8" t="str">
        <f ca="1">+IFERROR(VNA(50%,$J$284:$J$289),"¡Indeterminable!")</f>
        <v>¡Indeterminable!</v>
      </c>
    </row>
    <row r="286" spans="1:13" x14ac:dyDescent="0.3">
      <c r="A286" s="60">
        <v>2</v>
      </c>
      <c r="B286" s="61" t="s">
        <v>260</v>
      </c>
      <c r="C286" s="61">
        <v>2.6700000000000013</v>
      </c>
      <c r="D286" s="61">
        <v>2.3199999999999994</v>
      </c>
      <c r="E286" s="61">
        <f>559.55*$C$286</f>
        <v>1493.9985000000006</v>
      </c>
      <c r="F286" s="61">
        <f>559.55*$D$286</f>
        <v>1298.1559999999995</v>
      </c>
      <c r="G286" s="61">
        <f>SUM($E$286:$F$286)*2/100</f>
        <v>55.843090000000004</v>
      </c>
      <c r="H286" s="61">
        <f>SUM($E$286:$F$286)-$G$286</f>
        <v>2736.3114100000003</v>
      </c>
      <c r="I286" s="61">
        <v>150</v>
      </c>
      <c r="J286" s="62">
        <f>SUM($H$286:$I$286)</f>
        <v>2886.3114100000003</v>
      </c>
      <c r="L286" s="13" t="s">
        <v>265</v>
      </c>
      <c r="M286" s="14">
        <f>+IFERROR(IRR($J$284:$J$289,50%),"¡Indeterminable!")</f>
        <v>2.8327483559066402</v>
      </c>
    </row>
    <row r="287" spans="1:13" x14ac:dyDescent="0.3">
      <c r="A287" s="60">
        <v>3</v>
      </c>
      <c r="B287" s="61" t="s">
        <v>260</v>
      </c>
      <c r="C287" s="61">
        <v>2.7400000000000015</v>
      </c>
      <c r="D287" s="61">
        <v>2.3899999999999997</v>
      </c>
      <c r="E287" s="61">
        <f>559.55*$C$287</f>
        <v>1533.1670000000008</v>
      </c>
      <c r="F287" s="61">
        <f>559.55*$D$287</f>
        <v>1337.3244999999997</v>
      </c>
      <c r="G287" s="61">
        <f>SUM($E$287:$F$287)*2/100</f>
        <v>57.409830000000014</v>
      </c>
      <c r="H287" s="61">
        <f>SUM($E$287:$F$287)-$G$287</f>
        <v>2813.0816700000005</v>
      </c>
      <c r="I287" s="61">
        <v>150</v>
      </c>
      <c r="J287" s="62">
        <f>SUM($H$287:$I$287)</f>
        <v>2963.0816700000005</v>
      </c>
    </row>
    <row r="288" spans="1:13" x14ac:dyDescent="0.3">
      <c r="A288" s="60">
        <v>4</v>
      </c>
      <c r="B288" s="61" t="s">
        <v>260</v>
      </c>
      <c r="C288" s="61">
        <v>2.8100000000000018</v>
      </c>
      <c r="D288" s="61">
        <v>2.4599999999999995</v>
      </c>
      <c r="E288" s="61">
        <f>559.55*$C$288</f>
        <v>1572.3355000000008</v>
      </c>
      <c r="F288" s="61">
        <f>559.55*$D$288</f>
        <v>1376.4929999999997</v>
      </c>
      <c r="G288" s="61">
        <f>SUM($E$288:$F$288)*2/100</f>
        <v>58.976570000000009</v>
      </c>
      <c r="H288" s="61">
        <f>SUM($E$288:$F$288)-$G$288</f>
        <v>2889.8519300000007</v>
      </c>
      <c r="I288" s="61">
        <v>150</v>
      </c>
      <c r="J288" s="62">
        <f>SUM($H$288:$I$288)</f>
        <v>3039.8519300000007</v>
      </c>
    </row>
    <row r="289" spans="1:13" ht="15" thickBot="1" x14ac:dyDescent="0.35">
      <c r="A289" s="60">
        <v>5</v>
      </c>
      <c r="B289" s="61" t="s">
        <v>260</v>
      </c>
      <c r="C289" s="61">
        <v>2.8800000000000021</v>
      </c>
      <c r="D289" s="61">
        <v>2.5299999999999994</v>
      </c>
      <c r="E289" s="61">
        <f>559.55*$C$289</f>
        <v>1611.504000000001</v>
      </c>
      <c r="F289" s="61">
        <f>559.55*$D$289</f>
        <v>1415.6614999999995</v>
      </c>
      <c r="G289" s="61">
        <f>SUM($E$289:$F$289)*2/100</f>
        <v>60.543310000000012</v>
      </c>
      <c r="H289" s="61">
        <f>SUM($E$289:$F$289)-$G$289</f>
        <v>2966.6221900000005</v>
      </c>
      <c r="I289" s="61">
        <v>150</v>
      </c>
      <c r="J289" s="62">
        <f>SUM($H$289:$I$289)</f>
        <v>3116.6221900000005</v>
      </c>
    </row>
    <row r="290" spans="1:13" ht="15" thickTop="1" x14ac:dyDescent="0.3">
      <c r="A290" s="9" t="s">
        <v>13</v>
      </c>
      <c r="B290" s="10"/>
      <c r="C290" s="10"/>
      <c r="D290" s="10"/>
      <c r="E290" s="10">
        <f>SUBTOTAL(109,ProjecTests!$E$284:$E$289)</f>
        <v>7665.8350000000037</v>
      </c>
      <c r="F290" s="10">
        <f>SUBTOTAL(109,ProjecTests!$F$284:$F$289)</f>
        <v>6686.6224999999977</v>
      </c>
      <c r="G290" s="10">
        <f>SUBTOTAL(109,ProjecTests!$G$284:$G$289)</f>
        <v>287.04915</v>
      </c>
      <c r="H290" s="10">
        <f>SUBTOTAL(109,ProjecTests!$H$284:$H$289)</f>
        <v>14065.408350000002</v>
      </c>
      <c r="I290" s="10">
        <f>SUBTOTAL(109,ProjecTests!$I$284:$I$289)</f>
        <v>750</v>
      </c>
      <c r="J290" s="11">
        <f>SUBTOTAL(109,ProjecTests!$J$284:$J$289)</f>
        <v>13815.408350000002</v>
      </c>
    </row>
    <row r="292" spans="1:13" x14ac:dyDescent="0.3">
      <c r="A292" s="2" t="s">
        <v>261</v>
      </c>
      <c r="L292" s="2" t="s">
        <v>253</v>
      </c>
    </row>
    <row r="293" spans="1:13" x14ac:dyDescent="0.3">
      <c r="A293" s="3" t="s">
        <v>218</v>
      </c>
      <c r="B293" s="4" t="s">
        <v>255</v>
      </c>
      <c r="C293" s="4" t="s">
        <v>293</v>
      </c>
      <c r="D293" s="4" t="s">
        <v>294</v>
      </c>
      <c r="E293" s="4" t="s">
        <v>257</v>
      </c>
      <c r="F293" s="4" t="s">
        <v>295</v>
      </c>
      <c r="G293" s="4" t="s">
        <v>222</v>
      </c>
      <c r="H293" s="4" t="s">
        <v>258</v>
      </c>
      <c r="I293" s="4" t="s">
        <v>259</v>
      </c>
      <c r="J293" s="5" t="s">
        <v>285</v>
      </c>
      <c r="L293" s="37" t="s">
        <v>251</v>
      </c>
      <c r="M293" s="38" t="s">
        <v>252</v>
      </c>
    </row>
    <row r="294" spans="1:13" x14ac:dyDescent="0.3">
      <c r="A294" s="60">
        <v>0</v>
      </c>
      <c r="B294" s="61">
        <v>-1000</v>
      </c>
      <c r="C294" s="61" t="s">
        <v>260</v>
      </c>
      <c r="D294" s="61" t="s">
        <v>260</v>
      </c>
      <c r="E294" s="61" t="s">
        <v>260</v>
      </c>
      <c r="F294" s="61" t="s">
        <v>260</v>
      </c>
      <c r="G294" s="61" t="s">
        <v>260</v>
      </c>
      <c r="H294" s="61" t="s">
        <v>260</v>
      </c>
      <c r="I294" s="61" t="s">
        <v>260</v>
      </c>
      <c r="J294" s="62">
        <v>-1000</v>
      </c>
      <c r="L294" s="12" t="s">
        <v>250</v>
      </c>
      <c r="M294" s="8" t="s">
        <v>296</v>
      </c>
    </row>
    <row r="295" spans="1:13" x14ac:dyDescent="0.3">
      <c r="A295" s="60">
        <v>1</v>
      </c>
      <c r="B295" s="61" t="s">
        <v>260</v>
      </c>
      <c r="C295" s="61">
        <v>2.9499999999999997</v>
      </c>
      <c r="D295" s="61">
        <v>2.9499999999999997</v>
      </c>
      <c r="E295" s="61">
        <f>1454.83*$C$295</f>
        <v>4291.7484999999997</v>
      </c>
      <c r="F295" s="61">
        <f>1454.83*$D$295</f>
        <v>4291.7484999999997</v>
      </c>
      <c r="G295" s="61">
        <f>SUM($E$295:$F$295)*2/100</f>
        <v>171.66994</v>
      </c>
      <c r="H295" s="61">
        <f>SUM($E$295:$F$295)-$G$295</f>
        <v>8411.8270599999996</v>
      </c>
      <c r="I295" s="61">
        <v>150</v>
      </c>
      <c r="J295" s="62">
        <f>SUM($H$295:$I$295)</f>
        <v>8561.8270599999996</v>
      </c>
      <c r="L295" s="12" t="s">
        <v>264</v>
      </c>
      <c r="M295" s="8">
        <f>+IFERROR(NPV(50%,$J$294:$J$299),"¡Indeterminable!")</f>
        <v>9532.7375076652934</v>
      </c>
    </row>
    <row r="296" spans="1:13" x14ac:dyDescent="0.3">
      <c r="A296" s="60">
        <v>2</v>
      </c>
      <c r="B296" s="61" t="s">
        <v>260</v>
      </c>
      <c r="C296" s="61">
        <v>3.0199999999999996</v>
      </c>
      <c r="D296" s="61">
        <v>3.0199999999999996</v>
      </c>
      <c r="E296" s="61">
        <f>1454.83*$C$296</f>
        <v>4393.5865999999987</v>
      </c>
      <c r="F296" s="61">
        <f>1454.83*$D$296</f>
        <v>4393.5865999999987</v>
      </c>
      <c r="G296" s="61">
        <f>SUM($E$296:$F$296)*2/100</f>
        <v>175.74346399999996</v>
      </c>
      <c r="H296" s="61">
        <f>SUM($E$296:$F$296)-$G$296</f>
        <v>8611.4297359999982</v>
      </c>
      <c r="I296" s="61">
        <v>150</v>
      </c>
      <c r="J296" s="62">
        <f>SUM($H$296:$I$296)</f>
        <v>8761.4297359999982</v>
      </c>
      <c r="L296" s="13" t="s">
        <v>265</v>
      </c>
      <c r="M296" s="14">
        <f>+IFERROR(IRR($J$294:$J$299,50%),"¡Indeterminable!")</f>
        <v>8.5849588822044751</v>
      </c>
    </row>
    <row r="297" spans="1:13" x14ac:dyDescent="0.3">
      <c r="A297" s="60">
        <v>3</v>
      </c>
      <c r="B297" s="61" t="s">
        <v>260</v>
      </c>
      <c r="C297" s="61">
        <v>3.09</v>
      </c>
      <c r="D297" s="61">
        <v>3.09</v>
      </c>
      <c r="E297" s="61">
        <f>1454.83*$C$297</f>
        <v>4495.4246999999996</v>
      </c>
      <c r="F297" s="61">
        <f>1454.83*$D$297</f>
        <v>4495.4246999999996</v>
      </c>
      <c r="G297" s="61">
        <f>SUM($E$297:$F$297)*2/100</f>
        <v>179.81698799999998</v>
      </c>
      <c r="H297" s="61">
        <f>SUM($E$297:$F$297)-$G$297</f>
        <v>8811.0324119999987</v>
      </c>
      <c r="I297" s="61">
        <v>150</v>
      </c>
      <c r="J297" s="62">
        <f>SUM($H$297:$I$297)</f>
        <v>8961.0324119999987</v>
      </c>
    </row>
    <row r="298" spans="1:13" x14ac:dyDescent="0.3">
      <c r="A298" s="60">
        <v>4</v>
      </c>
      <c r="B298" s="61" t="s">
        <v>260</v>
      </c>
      <c r="C298" s="61">
        <v>3.1599999999999997</v>
      </c>
      <c r="D298" s="61">
        <v>3.1599999999999997</v>
      </c>
      <c r="E298" s="61">
        <f>1454.83*$C$298</f>
        <v>4597.2627999999995</v>
      </c>
      <c r="F298" s="61">
        <f>1454.83*$D$298</f>
        <v>4597.2627999999995</v>
      </c>
      <c r="G298" s="61">
        <f>SUM($E$298:$F$298)*2/100</f>
        <v>183.89051199999997</v>
      </c>
      <c r="H298" s="61">
        <f>SUM($E$298:$F$298)-$G$298</f>
        <v>9010.6350879999991</v>
      </c>
      <c r="I298" s="61">
        <v>150</v>
      </c>
      <c r="J298" s="62">
        <f>SUM($H$298:$I$298)</f>
        <v>9160.6350879999991</v>
      </c>
    </row>
    <row r="299" spans="1:13" ht="15" thickBot="1" x14ac:dyDescent="0.35">
      <c r="A299" s="60">
        <v>5</v>
      </c>
      <c r="B299" s="61" t="s">
        <v>260</v>
      </c>
      <c r="C299" s="61">
        <v>3.2299999999999995</v>
      </c>
      <c r="D299" s="61">
        <v>3.2299999999999995</v>
      </c>
      <c r="E299" s="61">
        <f>1454.83*$C$299</f>
        <v>4699.1008999999995</v>
      </c>
      <c r="F299" s="61">
        <f>1454.83*$D$299</f>
        <v>4699.1008999999995</v>
      </c>
      <c r="G299" s="61">
        <f>SUM($E$299:$F$299)*2/100</f>
        <v>187.96403599999996</v>
      </c>
      <c r="H299" s="61">
        <f>SUM($E$299:$F$299)-$G$299</f>
        <v>9210.2377639999995</v>
      </c>
      <c r="I299" s="61">
        <v>150</v>
      </c>
      <c r="J299" s="62">
        <f>SUM($H$299:$I$299)</f>
        <v>9360.2377639999995</v>
      </c>
    </row>
    <row r="300" spans="1:13" ht="15" thickTop="1" x14ac:dyDescent="0.3">
      <c r="A300" s="9" t="s">
        <v>13</v>
      </c>
      <c r="B300" s="10"/>
      <c r="C300" s="10"/>
      <c r="D300" s="10"/>
      <c r="E300" s="10">
        <f>SUBTOTAL(109,ProjecTests!$E$294:$E$299)</f>
        <v>22477.123499999994</v>
      </c>
      <c r="F300" s="10">
        <f>SUBTOTAL(109,ProjecTests!$F$294:$F$299)</f>
        <v>22477.123499999994</v>
      </c>
      <c r="G300" s="10">
        <f>SUBTOTAL(109,ProjecTests!$G$294:$G$299)</f>
        <v>899.08493999999985</v>
      </c>
      <c r="H300" s="10">
        <f>SUBTOTAL(109,ProjecTests!$H$294:$H$299)</f>
        <v>44055.162059999995</v>
      </c>
      <c r="I300" s="10">
        <f>SUBTOTAL(109,ProjecTests!$I$294:$I$299)</f>
        <v>750</v>
      </c>
      <c r="J300" s="11">
        <f>SUBTOTAL(109,ProjecTests!$J$294:$J$299)</f>
        <v>43805.162059999995</v>
      </c>
    </row>
    <row r="302" spans="1:13" x14ac:dyDescent="0.3">
      <c r="A302" s="2" t="s">
        <v>261</v>
      </c>
      <c r="J302" s="2" t="s">
        <v>253</v>
      </c>
    </row>
    <row r="303" spans="1:13" x14ac:dyDescent="0.3">
      <c r="A303" s="3" t="s">
        <v>218</v>
      </c>
      <c r="B303" s="4" t="s">
        <v>267</v>
      </c>
      <c r="C303" s="4" t="s">
        <v>299</v>
      </c>
      <c r="D303" s="4" t="s">
        <v>269</v>
      </c>
      <c r="E303" s="4" t="s">
        <v>270</v>
      </c>
      <c r="F303" s="4" t="s">
        <v>271</v>
      </c>
      <c r="G303" s="4" t="s">
        <v>272</v>
      </c>
      <c r="H303" s="5" t="s">
        <v>273</v>
      </c>
      <c r="J303" s="37" t="s">
        <v>251</v>
      </c>
      <c r="K303" s="38" t="s">
        <v>252</v>
      </c>
    </row>
    <row r="304" spans="1:13" x14ac:dyDescent="0.3">
      <c r="A304" s="60">
        <v>0</v>
      </c>
      <c r="B304" s="61">
        <v>-1000</v>
      </c>
      <c r="C304" s="61" t="s">
        <v>260</v>
      </c>
      <c r="D304" s="61" t="s">
        <v>260</v>
      </c>
      <c r="E304" s="61" t="s">
        <v>260</v>
      </c>
      <c r="F304" s="61" t="s">
        <v>260</v>
      </c>
      <c r="G304" s="61" t="s">
        <v>260</v>
      </c>
      <c r="H304" s="62">
        <v>-1000</v>
      </c>
      <c r="J304" s="12" t="s">
        <v>250</v>
      </c>
      <c r="K304" s="8" t="s">
        <v>300</v>
      </c>
    </row>
    <row r="305" spans="1:13" x14ac:dyDescent="0.3">
      <c r="A305" s="60">
        <v>1</v>
      </c>
      <c r="B305" s="61" t="s">
        <v>260</v>
      </c>
      <c r="C305" s="61">
        <v>1.5500000000000003</v>
      </c>
      <c r="D305" s="61">
        <f>155*$C$305</f>
        <v>240.25000000000003</v>
      </c>
      <c r="E305" s="61">
        <f>SUM($D$305)*3/100</f>
        <v>7.2075000000000014</v>
      </c>
      <c r="F305" s="61">
        <f>SUM($D$305)-$E$305</f>
        <v>233.04250000000002</v>
      </c>
      <c r="G305" s="61">
        <v>150</v>
      </c>
      <c r="H305" s="62">
        <f>SUM($F$305:$G$305)</f>
        <v>383.04250000000002</v>
      </c>
      <c r="J305" s="12" t="s">
        <v>275</v>
      </c>
      <c r="K305" s="8">
        <f>+IFERROR(NPV(50%,$H$304:$H$309),"¡Indeterminable!")</f>
        <v>-208.06920987654314</v>
      </c>
    </row>
    <row r="306" spans="1:13" x14ac:dyDescent="0.3">
      <c r="A306" s="60">
        <v>2</v>
      </c>
      <c r="B306" s="61" t="s">
        <v>260</v>
      </c>
      <c r="C306" s="61">
        <v>1.6200000000000003</v>
      </c>
      <c r="D306" s="61">
        <f>155*$C$306</f>
        <v>251.10000000000005</v>
      </c>
      <c r="E306" s="61">
        <f>SUM($D$306)*3/100</f>
        <v>7.5330000000000021</v>
      </c>
      <c r="F306" s="61">
        <f>SUM($D$306)-$E$306</f>
        <v>243.56700000000004</v>
      </c>
      <c r="G306" s="61">
        <v>150</v>
      </c>
      <c r="H306" s="62">
        <f>SUM($F$306:$G$306)</f>
        <v>393.56700000000001</v>
      </c>
      <c r="J306" s="13" t="s">
        <v>265</v>
      </c>
      <c r="K306" s="14">
        <f>+IFERROR(IRR($H$304:$H$309,50%),"¡Indeterminable!")</f>
        <v>0.28514627621297994</v>
      </c>
    </row>
    <row r="307" spans="1:13" x14ac:dyDescent="0.3">
      <c r="A307" s="60">
        <v>3</v>
      </c>
      <c r="B307" s="61" t="s">
        <v>260</v>
      </c>
      <c r="C307" s="61">
        <v>1.6900000000000006</v>
      </c>
      <c r="D307" s="61">
        <f>155*$C$307</f>
        <v>261.9500000000001</v>
      </c>
      <c r="E307" s="61">
        <f>SUM($D$307)*3/100</f>
        <v>7.8585000000000038</v>
      </c>
      <c r="F307" s="61">
        <f>SUM($D$307)-$E$307</f>
        <v>254.09150000000011</v>
      </c>
      <c r="G307" s="61">
        <v>150</v>
      </c>
      <c r="H307" s="62">
        <f>SUM($F$307:$G$307)</f>
        <v>404.09150000000011</v>
      </c>
    </row>
    <row r="308" spans="1:13" x14ac:dyDescent="0.3">
      <c r="A308" s="60">
        <v>4</v>
      </c>
      <c r="B308" s="61" t="s">
        <v>260</v>
      </c>
      <c r="C308" s="61">
        <v>1.7600000000000007</v>
      </c>
      <c r="D308" s="61">
        <f>155*$C$308</f>
        <v>272.80000000000013</v>
      </c>
      <c r="E308" s="61">
        <f>SUM($D$308)*3/100</f>
        <v>8.1840000000000028</v>
      </c>
      <c r="F308" s="61">
        <f>SUM($D$308)-$E$308</f>
        <v>264.6160000000001</v>
      </c>
      <c r="G308" s="61">
        <v>150</v>
      </c>
      <c r="H308" s="62">
        <f>SUM($F$308:$G$308)</f>
        <v>414.6160000000001</v>
      </c>
    </row>
    <row r="309" spans="1:13" ht="15" thickBot="1" x14ac:dyDescent="0.35">
      <c r="A309" s="60">
        <v>5</v>
      </c>
      <c r="B309" s="61" t="s">
        <v>260</v>
      </c>
      <c r="C309" s="61">
        <v>1.8300000000000007</v>
      </c>
      <c r="D309" s="61">
        <f>155*$C$309</f>
        <v>283.65000000000009</v>
      </c>
      <c r="E309" s="61">
        <f>SUM($D$309)*3/100</f>
        <v>8.5095000000000027</v>
      </c>
      <c r="F309" s="61">
        <f>SUM($D$309)-$E$309</f>
        <v>275.14050000000009</v>
      </c>
      <c r="G309" s="61">
        <v>150</v>
      </c>
      <c r="H309" s="62">
        <f>SUM($F$309:$G$309)</f>
        <v>425.14050000000009</v>
      </c>
    </row>
    <row r="310" spans="1:13" ht="15" thickTop="1" x14ac:dyDescent="0.3">
      <c r="A310" s="9" t="s">
        <v>13</v>
      </c>
      <c r="B310" s="10"/>
      <c r="C310" s="10"/>
      <c r="D310" s="10">
        <f>SUBTOTAL(109,ProjecTests!$D$304:$D$309)</f>
        <v>1309.7500000000005</v>
      </c>
      <c r="E310" s="10">
        <f>SUBTOTAL(109,ProjecTests!$E$304:$E$309)</f>
        <v>39.292500000000011</v>
      </c>
      <c r="F310" s="10">
        <f>SUBTOTAL(109,ProjecTests!$F$304:$F$309)</f>
        <v>1270.4575000000004</v>
      </c>
      <c r="G310" s="10">
        <f>SUBTOTAL(109,ProjecTests!$G$304:$G$309)</f>
        <v>750</v>
      </c>
      <c r="H310" s="11">
        <f>SUBTOTAL(109,ProjecTests!$H$304:$H$309)</f>
        <v>1020.4575000000003</v>
      </c>
    </row>
    <row r="313" spans="1:13" x14ac:dyDescent="0.3">
      <c r="A313" s="2" t="s">
        <v>261</v>
      </c>
      <c r="J313" s="2" t="s">
        <v>253</v>
      </c>
    </row>
    <row r="314" spans="1:13" x14ac:dyDescent="0.3">
      <c r="A314" s="3" t="s">
        <v>1297</v>
      </c>
      <c r="B314" s="4" t="s">
        <v>255</v>
      </c>
      <c r="C314" s="4" t="s">
        <v>1298</v>
      </c>
      <c r="D314" s="4" t="s">
        <v>1299</v>
      </c>
      <c r="E314" s="4" t="s">
        <v>1300</v>
      </c>
      <c r="F314" s="4" t="s">
        <v>258</v>
      </c>
      <c r="G314" s="4" t="s">
        <v>259</v>
      </c>
      <c r="H314" s="5" t="s">
        <v>285</v>
      </c>
      <c r="J314" s="37" t="s">
        <v>251</v>
      </c>
      <c r="K314" s="38" t="s">
        <v>252</v>
      </c>
    </row>
    <row r="315" spans="1:13" x14ac:dyDescent="0.3">
      <c r="A315" s="60">
        <v>0</v>
      </c>
      <c r="B315" s="61">
        <v>-1000</v>
      </c>
      <c r="C315" s="61" t="s">
        <v>260</v>
      </c>
      <c r="D315" s="61" t="s">
        <v>260</v>
      </c>
      <c r="E315" s="61" t="s">
        <v>260</v>
      </c>
      <c r="F315" s="61" t="s">
        <v>260</v>
      </c>
      <c r="G315" s="61" t="s">
        <v>260</v>
      </c>
      <c r="H315" s="62">
        <v>-1000</v>
      </c>
      <c r="J315" s="12" t="s">
        <v>250</v>
      </c>
      <c r="K315" s="8" t="s">
        <v>1301</v>
      </c>
    </row>
    <row r="316" spans="1:13" ht="15" thickBot="1" x14ac:dyDescent="0.35">
      <c r="A316" s="60">
        <v>1</v>
      </c>
      <c r="B316" s="61" t="s">
        <v>260</v>
      </c>
      <c r="C316" s="61">
        <v>1.7599999999999987</v>
      </c>
      <c r="D316" s="61">
        <v>422.83999999999969</v>
      </c>
      <c r="E316" s="61">
        <v>8.6682199999999927</v>
      </c>
      <c r="F316" s="61">
        <v>414.17177999999967</v>
      </c>
      <c r="G316" s="61">
        <v>150</v>
      </c>
      <c r="H316" s="62">
        <v>564.17177999999967</v>
      </c>
      <c r="J316" s="12" t="s">
        <v>264</v>
      </c>
      <c r="K316" s="8">
        <v>-414.81874479189526</v>
      </c>
    </row>
    <row r="317" spans="1:13" ht="15" thickTop="1" x14ac:dyDescent="0.3">
      <c r="A317" s="9" t="s">
        <v>13</v>
      </c>
      <c r="B317" s="10"/>
      <c r="C317" s="10"/>
      <c r="D317" s="10">
        <f>SUBTOTAL(109,ProjecTests!$D$315:$D$316)</f>
        <v>422.83999999999969</v>
      </c>
      <c r="E317" s="10">
        <f>SUBTOTAL(109,ProjecTests!$E$315:$E$316)</f>
        <v>8.6682199999999927</v>
      </c>
      <c r="F317" s="10">
        <f>SUBTOTAL(109,ProjecTests!$F$315:$F$316)</f>
        <v>414.17177999999967</v>
      </c>
      <c r="G317" s="10">
        <f>SUBTOTAL(109,ProjecTests!$G$315:$G$316)</f>
        <v>150</v>
      </c>
      <c r="H317" s="11">
        <f>SUBTOTAL(109,ProjecTests!$H$315:$H$316)</f>
        <v>-435.82822000000033</v>
      </c>
      <c r="J317" s="13" t="s">
        <v>265</v>
      </c>
      <c r="K317" s="14">
        <v>-0.43582822000000032</v>
      </c>
    </row>
    <row r="319" spans="1:13" x14ac:dyDescent="0.3">
      <c r="A319" s="2" t="s">
        <v>261</v>
      </c>
      <c r="L319" s="2" t="s">
        <v>253</v>
      </c>
    </row>
    <row r="320" spans="1:13" x14ac:dyDescent="0.3">
      <c r="A320" s="3" t="s">
        <v>218</v>
      </c>
      <c r="B320" s="4" t="s">
        <v>255</v>
      </c>
      <c r="C320" s="4" t="s">
        <v>1298</v>
      </c>
      <c r="D320" s="4" t="s">
        <v>1311</v>
      </c>
      <c r="E320" s="4" t="s">
        <v>1299</v>
      </c>
      <c r="F320" s="4" t="s">
        <v>1312</v>
      </c>
      <c r="G320" s="4" t="s">
        <v>222</v>
      </c>
      <c r="H320" s="4" t="s">
        <v>258</v>
      </c>
      <c r="I320" s="4" t="s">
        <v>259</v>
      </c>
      <c r="J320" s="5" t="s">
        <v>285</v>
      </c>
      <c r="L320" s="37" t="s">
        <v>251</v>
      </c>
      <c r="M320" s="38" t="s">
        <v>252</v>
      </c>
    </row>
    <row r="321" spans="1:13" x14ac:dyDescent="0.3">
      <c r="A321" s="60">
        <v>0</v>
      </c>
      <c r="B321" s="61">
        <v>-1000</v>
      </c>
      <c r="C321" s="61" t="s">
        <v>260</v>
      </c>
      <c r="D321" s="61" t="s">
        <v>260</v>
      </c>
      <c r="E321" s="61" t="s">
        <v>260</v>
      </c>
      <c r="F321" s="61" t="s">
        <v>260</v>
      </c>
      <c r="G321" s="61" t="s">
        <v>260</v>
      </c>
      <c r="H321" s="61" t="s">
        <v>260</v>
      </c>
      <c r="I321" s="61" t="s">
        <v>260</v>
      </c>
      <c r="J321" s="62">
        <v>-1000</v>
      </c>
      <c r="L321" s="12" t="s">
        <v>250</v>
      </c>
      <c r="M321" s="8" t="s">
        <v>296</v>
      </c>
    </row>
    <row r="322" spans="1:13" x14ac:dyDescent="0.3">
      <c r="A322" s="60">
        <v>1</v>
      </c>
      <c r="B322" s="61" t="s">
        <v>260</v>
      </c>
      <c r="C322" s="61">
        <v>1.8999999999999986</v>
      </c>
      <c r="D322" s="61">
        <v>8.8350000000000044</v>
      </c>
      <c r="E322" s="61">
        <v>456.47499999999968</v>
      </c>
      <c r="F322" s="61">
        <v>2122.6087500000012</v>
      </c>
      <c r="G322" s="61">
        <v>51.581675000000011</v>
      </c>
      <c r="H322" s="61">
        <v>2527.5020750000008</v>
      </c>
      <c r="I322" s="61">
        <v>450</v>
      </c>
      <c r="J322" s="62">
        <v>2977.5020750000008</v>
      </c>
      <c r="L322" s="12" t="s">
        <v>264</v>
      </c>
      <c r="M322" s="8">
        <v>2914.4032053223605</v>
      </c>
    </row>
    <row r="323" spans="1:13" x14ac:dyDescent="0.3">
      <c r="A323" s="60">
        <v>2</v>
      </c>
      <c r="B323" s="61" t="s">
        <v>260</v>
      </c>
      <c r="C323" s="61">
        <v>1.9699999999999982</v>
      </c>
      <c r="D323" s="61">
        <v>9.1605000000000043</v>
      </c>
      <c r="E323" s="61">
        <v>473.29249999999956</v>
      </c>
      <c r="F323" s="61">
        <v>2200.8101250000009</v>
      </c>
      <c r="G323" s="61">
        <v>53.482052500000009</v>
      </c>
      <c r="H323" s="61">
        <v>2620.6205725000004</v>
      </c>
      <c r="I323" s="61">
        <v>450</v>
      </c>
      <c r="J323" s="62">
        <v>3070.6205725000004</v>
      </c>
      <c r="L323" s="13" t="s">
        <v>265</v>
      </c>
      <c r="M323" s="14">
        <v>3.0051176769746046</v>
      </c>
    </row>
    <row r="324" spans="1:13" x14ac:dyDescent="0.3">
      <c r="A324" s="60">
        <v>3</v>
      </c>
      <c r="B324" s="61" t="s">
        <v>260</v>
      </c>
      <c r="C324" s="61">
        <v>2.0399999999999978</v>
      </c>
      <c r="D324" s="61">
        <v>9.486000000000006</v>
      </c>
      <c r="E324" s="61">
        <v>490.1099999999995</v>
      </c>
      <c r="F324" s="61">
        <v>2279.0115000000014</v>
      </c>
      <c r="G324" s="61">
        <v>55.382430000000021</v>
      </c>
      <c r="H324" s="61">
        <v>2713.739070000001</v>
      </c>
      <c r="I324" s="61">
        <v>450</v>
      </c>
      <c r="J324" s="62">
        <v>3163.739070000001</v>
      </c>
    </row>
    <row r="325" spans="1:13" x14ac:dyDescent="0.3">
      <c r="A325" s="60">
        <v>4</v>
      </c>
      <c r="B325" s="61" t="s">
        <v>260</v>
      </c>
      <c r="C325" s="61">
        <v>2.1099999999999972</v>
      </c>
      <c r="D325" s="61">
        <v>9.8115000000000059</v>
      </c>
      <c r="E325" s="61">
        <v>506.92749999999933</v>
      </c>
      <c r="F325" s="61">
        <v>2357.2128750000015</v>
      </c>
      <c r="G325" s="61">
        <v>57.282807500000018</v>
      </c>
      <c r="H325" s="61">
        <v>2806.8575675000006</v>
      </c>
      <c r="I325" s="61">
        <v>450</v>
      </c>
      <c r="J325" s="62">
        <v>3256.8575675000006</v>
      </c>
    </row>
    <row r="326" spans="1:13" ht="15" thickBot="1" x14ac:dyDescent="0.35">
      <c r="A326" s="60">
        <v>5</v>
      </c>
      <c r="B326" s="61" t="s">
        <v>260</v>
      </c>
      <c r="C326" s="61">
        <v>2.1799999999999971</v>
      </c>
      <c r="D326" s="61">
        <v>10.137000000000008</v>
      </c>
      <c r="E326" s="61">
        <v>523.74499999999932</v>
      </c>
      <c r="F326" s="61">
        <v>2435.4142500000016</v>
      </c>
      <c r="G326" s="61">
        <v>59.183185000000023</v>
      </c>
      <c r="H326" s="61">
        <v>2899.9760650000012</v>
      </c>
      <c r="I326" s="61">
        <v>450</v>
      </c>
      <c r="J326" s="62">
        <v>3349.9760650000012</v>
      </c>
    </row>
    <row r="327" spans="1:13" ht="15" thickTop="1" x14ac:dyDescent="0.3">
      <c r="A327" s="9" t="s">
        <v>13</v>
      </c>
      <c r="B327" s="10"/>
      <c r="C327" s="10"/>
      <c r="D327" s="10"/>
      <c r="E327" s="10">
        <f>SUBTOTAL(109,ProjecTests!$E$321:$E$326)</f>
        <v>2450.5499999999975</v>
      </c>
      <c r="F327" s="10">
        <f>SUBTOTAL(109,ProjecTests!$F$321:$F$326)</f>
        <v>11395.057500000006</v>
      </c>
      <c r="G327" s="10">
        <f>SUBTOTAL(109,ProjecTests!$G$321:$G$326)</f>
        <v>276.91215000000011</v>
      </c>
      <c r="H327" s="10">
        <f>SUBTOTAL(109,ProjecTests!$H$321:$H$326)</f>
        <v>13568.695350000004</v>
      </c>
      <c r="I327" s="10">
        <f>SUBTOTAL(109,ProjecTests!$I$321:$I$326)</f>
        <v>2250</v>
      </c>
      <c r="J327" s="11">
        <f>SUBTOTAL(109,ProjecTests!$J$321:$J$326)</f>
        <v>14818.695350000004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5B722-5CBC-4EDF-A281-23E5C8E2728B}">
  <sheetPr codeName="Hoja3"/>
  <dimension ref="A1:AL747"/>
  <sheetViews>
    <sheetView topLeftCell="A706" zoomScale="70" zoomScaleNormal="70" workbookViewId="0">
      <selection activeCell="W732" sqref="W732"/>
    </sheetView>
  </sheetViews>
  <sheetFormatPr baseColWidth="10" defaultRowHeight="14.4" x14ac:dyDescent="0.3"/>
  <cols>
    <col min="1" max="9" width="11.6640625" customWidth="1"/>
    <col min="20" max="20" width="13.33203125" bestFit="1" customWidth="1"/>
  </cols>
  <sheetData>
    <row r="1" spans="1:20" ht="15.6" x14ac:dyDescent="0.3">
      <c r="A1" s="120"/>
      <c r="B1" s="120"/>
      <c r="C1" s="120"/>
      <c r="D1" s="120"/>
      <c r="E1" s="123" t="s">
        <v>334</v>
      </c>
      <c r="F1" s="120"/>
      <c r="G1" s="120"/>
      <c r="H1" s="120"/>
      <c r="I1" s="120"/>
      <c r="K1" t="s">
        <v>379</v>
      </c>
    </row>
    <row r="2" spans="1:20" x14ac:dyDescent="0.3">
      <c r="A2" s="79"/>
      <c r="B2" s="79"/>
      <c r="C2" s="79"/>
      <c r="D2" s="79"/>
      <c r="E2" s="124" t="s">
        <v>301</v>
      </c>
      <c r="G2" s="79"/>
      <c r="H2" s="79"/>
      <c r="I2" s="79"/>
      <c r="K2" t="s">
        <v>380</v>
      </c>
    </row>
    <row r="3" spans="1:20" x14ac:dyDescent="0.3">
      <c r="A3" s="63" t="s">
        <v>302</v>
      </c>
      <c r="B3" s="66"/>
      <c r="C3" s="66" t="s">
        <v>305</v>
      </c>
      <c r="D3" s="66"/>
      <c r="E3" s="121" t="s">
        <v>304</v>
      </c>
      <c r="F3" s="66" t="s">
        <v>378</v>
      </c>
      <c r="G3" s="97" t="s">
        <v>358</v>
      </c>
      <c r="H3" s="84"/>
      <c r="I3" s="65" t="s">
        <v>360</v>
      </c>
      <c r="K3" t="s">
        <v>381</v>
      </c>
    </row>
    <row r="4" spans="1:20" x14ac:dyDescent="0.3">
      <c r="A4" s="67" t="s">
        <v>303</v>
      </c>
      <c r="C4" s="67" t="s">
        <v>303</v>
      </c>
      <c r="E4" s="64">
        <v>44311</v>
      </c>
      <c r="G4" s="107" t="s">
        <v>359</v>
      </c>
      <c r="H4" s="98">
        <v>6.96</v>
      </c>
      <c r="I4" s="64" t="s">
        <v>303</v>
      </c>
      <c r="K4" t="s">
        <v>382</v>
      </c>
    </row>
    <row r="5" spans="1:20" x14ac:dyDescent="0.3">
      <c r="A5" s="63" t="s">
        <v>339</v>
      </c>
      <c r="B5" s="69"/>
      <c r="C5" s="69"/>
      <c r="D5" s="69"/>
      <c r="E5" s="69"/>
      <c r="F5" s="69"/>
      <c r="G5" s="69"/>
      <c r="H5" s="69"/>
      <c r="I5" s="69"/>
    </row>
    <row r="6" spans="1:20" x14ac:dyDescent="0.3">
      <c r="A6" s="110" t="s">
        <v>307</v>
      </c>
      <c r="B6" s="68" t="s">
        <v>260</v>
      </c>
      <c r="C6" s="68"/>
      <c r="F6" s="110" t="s">
        <v>311</v>
      </c>
      <c r="G6" s="68" t="s">
        <v>312</v>
      </c>
      <c r="H6" s="68"/>
      <c r="I6" s="68"/>
    </row>
    <row r="7" spans="1:20" x14ac:dyDescent="0.3">
      <c r="A7" s="110" t="s">
        <v>308</v>
      </c>
      <c r="B7" s="68" t="s">
        <v>309</v>
      </c>
      <c r="C7" s="68"/>
      <c r="F7" s="110" t="s">
        <v>314</v>
      </c>
      <c r="G7" s="67" t="s">
        <v>260</v>
      </c>
      <c r="H7" s="68"/>
    </row>
    <row r="8" spans="1:20" x14ac:dyDescent="0.3">
      <c r="A8" s="110" t="s">
        <v>310</v>
      </c>
      <c r="B8" s="68" t="s">
        <v>260</v>
      </c>
      <c r="C8" s="68"/>
      <c r="F8" s="110" t="s">
        <v>315</v>
      </c>
      <c r="G8" s="67" t="s">
        <v>260</v>
      </c>
      <c r="H8" s="67"/>
    </row>
    <row r="9" spans="1:20" x14ac:dyDescent="0.3">
      <c r="A9" s="65" t="s">
        <v>340</v>
      </c>
      <c r="B9" s="69"/>
      <c r="C9" s="69"/>
      <c r="D9" s="69"/>
      <c r="E9" s="69"/>
      <c r="F9" s="63"/>
      <c r="G9" s="69"/>
      <c r="H9" s="90"/>
      <c r="I9" s="91"/>
      <c r="K9" s="96"/>
      <c r="L9" s="159" t="s">
        <v>339</v>
      </c>
      <c r="M9" s="160"/>
      <c r="N9" s="161"/>
      <c r="O9" s="162"/>
      <c r="Q9" s="169" t="s">
        <v>339</v>
      </c>
      <c r="R9" s="161"/>
      <c r="S9" s="161"/>
      <c r="T9" s="162"/>
    </row>
    <row r="10" spans="1:20" x14ac:dyDescent="0.3">
      <c r="A10" s="119" t="s">
        <v>376</v>
      </c>
      <c r="B10" s="119" t="s">
        <v>377</v>
      </c>
      <c r="C10" s="119" t="s">
        <v>374</v>
      </c>
      <c r="D10" s="119" t="s">
        <v>375</v>
      </c>
      <c r="E10" s="110" t="s">
        <v>389</v>
      </c>
      <c r="F10" s="110" t="s">
        <v>383</v>
      </c>
      <c r="G10" s="110" t="s">
        <v>385</v>
      </c>
      <c r="H10" s="110" t="s">
        <v>384</v>
      </c>
      <c r="I10" s="110" t="s">
        <v>386</v>
      </c>
      <c r="J10" s="170">
        <v>1</v>
      </c>
      <c r="L10" s="150" t="s">
        <v>307</v>
      </c>
      <c r="M10" s="163" t="s">
        <v>260</v>
      </c>
      <c r="N10" s="163"/>
      <c r="O10" s="164"/>
      <c r="Q10" s="150" t="s">
        <v>307</v>
      </c>
      <c r="R10" s="163" t="s">
        <v>260</v>
      </c>
      <c r="S10" s="163"/>
      <c r="T10" s="164"/>
    </row>
    <row r="11" spans="1:20" x14ac:dyDescent="0.3">
      <c r="A11" s="95" t="s">
        <v>372</v>
      </c>
      <c r="B11" s="94">
        <v>44311</v>
      </c>
      <c r="C11" s="95" t="s">
        <v>313</v>
      </c>
      <c r="D11" s="95" t="s">
        <v>373</v>
      </c>
      <c r="E11">
        <v>1000</v>
      </c>
      <c r="F11" s="21">
        <f>+E11*0.02</f>
        <v>20</v>
      </c>
      <c r="G11" s="73">
        <f>+E11-F11</f>
        <v>980</v>
      </c>
      <c r="H11" s="75">
        <f>+G11*0.001</f>
        <v>0.98</v>
      </c>
      <c r="I11" s="75">
        <f>+G11-H11</f>
        <v>979.02</v>
      </c>
      <c r="J11" s="73">
        <v>-1</v>
      </c>
      <c r="L11" s="150" t="s">
        <v>308</v>
      </c>
      <c r="M11" s="163" t="s">
        <v>309</v>
      </c>
      <c r="N11" s="163"/>
      <c r="O11" s="164"/>
      <c r="Q11" s="150" t="s">
        <v>308</v>
      </c>
      <c r="R11" s="163" t="s">
        <v>309</v>
      </c>
      <c r="S11" s="163"/>
      <c r="T11" s="164"/>
    </row>
    <row r="12" spans="1:20" x14ac:dyDescent="0.3">
      <c r="E12" s="63"/>
      <c r="F12" s="63"/>
      <c r="G12" s="69"/>
      <c r="H12" s="90"/>
      <c r="I12" s="173" t="s">
        <v>346</v>
      </c>
      <c r="J12" s="73"/>
      <c r="L12" s="150" t="s">
        <v>310</v>
      </c>
      <c r="M12" s="163" t="s">
        <v>260</v>
      </c>
      <c r="N12" s="163"/>
      <c r="O12" s="164"/>
      <c r="Q12" s="150" t="s">
        <v>310</v>
      </c>
      <c r="R12" s="163" t="s">
        <v>260</v>
      </c>
      <c r="S12" s="163"/>
      <c r="T12" s="164"/>
    </row>
    <row r="13" spans="1:20" x14ac:dyDescent="0.3">
      <c r="E13" s="119" t="s">
        <v>376</v>
      </c>
      <c r="F13" s="72" t="s">
        <v>317</v>
      </c>
      <c r="G13" s="72" t="s">
        <v>341</v>
      </c>
      <c r="H13" s="172" t="s">
        <v>318</v>
      </c>
      <c r="I13" s="172" t="s">
        <v>319</v>
      </c>
      <c r="L13" s="150" t="s">
        <v>311</v>
      </c>
      <c r="M13" s="163" t="s">
        <v>312</v>
      </c>
      <c r="N13" s="163"/>
      <c r="O13" s="164"/>
      <c r="Q13" s="150" t="s">
        <v>311</v>
      </c>
      <c r="R13" s="163" t="s">
        <v>312</v>
      </c>
      <c r="S13" s="163"/>
      <c r="T13" s="164"/>
    </row>
    <row r="14" spans="1:20" x14ac:dyDescent="0.3">
      <c r="E14" s="95" t="s">
        <v>372</v>
      </c>
      <c r="F14" s="108" t="s">
        <v>361</v>
      </c>
      <c r="G14" s="73">
        <v>1.5</v>
      </c>
      <c r="H14" s="75">
        <v>2910.6000000000004</v>
      </c>
      <c r="I14" s="75">
        <v>20257.776000000002</v>
      </c>
      <c r="J14" s="170">
        <v>1</v>
      </c>
      <c r="L14" s="150" t="s">
        <v>314</v>
      </c>
      <c r="M14" s="163" t="s">
        <v>260</v>
      </c>
      <c r="N14" s="163"/>
      <c r="O14" s="164"/>
      <c r="Q14" s="150" t="s">
        <v>314</v>
      </c>
      <c r="R14" s="163" t="s">
        <v>260</v>
      </c>
      <c r="S14" s="163"/>
      <c r="T14" s="164"/>
    </row>
    <row r="15" spans="1:20" x14ac:dyDescent="0.3">
      <c r="F15" s="109" t="s">
        <v>355</v>
      </c>
      <c r="G15" s="73">
        <v>3.2</v>
      </c>
      <c r="H15" s="73">
        <v>37255.680000000008</v>
      </c>
      <c r="I15" s="73">
        <v>259299.53280000004</v>
      </c>
      <c r="J15" s="73">
        <v>-1</v>
      </c>
      <c r="L15" s="151" t="s">
        <v>315</v>
      </c>
      <c r="M15" s="165" t="s">
        <v>260</v>
      </c>
      <c r="N15" s="165"/>
      <c r="O15" s="166"/>
      <c r="Q15" s="151" t="s">
        <v>315</v>
      </c>
      <c r="R15" s="165" t="s">
        <v>260</v>
      </c>
      <c r="S15" s="165"/>
      <c r="T15" s="166"/>
    </row>
    <row r="16" spans="1:20" ht="15" thickBot="1" x14ac:dyDescent="0.35">
      <c r="E16" s="81"/>
      <c r="F16" s="81"/>
      <c r="G16" s="82"/>
      <c r="H16" s="82"/>
      <c r="I16" s="175" t="s">
        <v>343</v>
      </c>
      <c r="L16" s="154" t="s">
        <v>316</v>
      </c>
      <c r="M16" s="167" t="s">
        <v>260</v>
      </c>
      <c r="N16" s="167"/>
      <c r="O16" s="168"/>
      <c r="Q16" s="154" t="s">
        <v>316</v>
      </c>
      <c r="R16" s="167" t="s">
        <v>260</v>
      </c>
      <c r="S16" s="167"/>
      <c r="T16" s="168"/>
    </row>
    <row r="17" spans="2:21" ht="15.6" thickTop="1" thickBot="1" x14ac:dyDescent="0.35">
      <c r="E17" s="71" t="s">
        <v>342</v>
      </c>
      <c r="H17" s="75">
        <v>71.839080459770116</v>
      </c>
      <c r="I17" s="75">
        <v>71.839080459770116</v>
      </c>
      <c r="J17" s="170">
        <v>1</v>
      </c>
      <c r="L17" s="158"/>
      <c r="M17" s="158"/>
      <c r="N17" s="158"/>
      <c r="O17" s="158"/>
    </row>
    <row r="18" spans="2:21" ht="15" thickTop="1" x14ac:dyDescent="0.3">
      <c r="E18" s="110" t="s">
        <v>344</v>
      </c>
      <c r="G18" s="73"/>
      <c r="H18" s="76">
        <v>50</v>
      </c>
      <c r="I18" s="76">
        <v>50</v>
      </c>
      <c r="J18" s="73">
        <v>-1</v>
      </c>
    </row>
    <row r="19" spans="2:21" x14ac:dyDescent="0.3">
      <c r="E19" s="87" t="s">
        <v>357</v>
      </c>
      <c r="G19" s="88"/>
      <c r="H19" s="88">
        <v>40238.119080459779</v>
      </c>
      <c r="I19" s="88">
        <v>280057.30880000006</v>
      </c>
    </row>
    <row r="20" spans="2:21" x14ac:dyDescent="0.3">
      <c r="E20" s="92"/>
      <c r="F20" s="92"/>
      <c r="G20" s="92"/>
      <c r="H20" s="92"/>
      <c r="I20" s="174" t="s">
        <v>387</v>
      </c>
      <c r="L20" s="129" t="s">
        <v>339</v>
      </c>
      <c r="M20" s="130"/>
      <c r="N20" s="130"/>
      <c r="O20" s="131"/>
      <c r="Q20" t="s">
        <v>339</v>
      </c>
    </row>
    <row r="21" spans="2:21" x14ac:dyDescent="0.3">
      <c r="E21" s="99" t="s">
        <v>320</v>
      </c>
      <c r="F21" s="99"/>
      <c r="G21" s="100"/>
      <c r="H21" s="101"/>
      <c r="I21" s="101"/>
      <c r="L21" s="125" t="s">
        <v>307</v>
      </c>
      <c r="M21" s="126" t="s">
        <v>260</v>
      </c>
      <c r="N21" s="126"/>
      <c r="O21" s="127" t="s">
        <v>397</v>
      </c>
      <c r="Q21" t="s">
        <v>307</v>
      </c>
      <c r="R21" t="s">
        <v>260</v>
      </c>
      <c r="T21" t="s">
        <v>397</v>
      </c>
      <c r="U21" s="170"/>
    </row>
    <row r="22" spans="2:21" x14ac:dyDescent="0.3">
      <c r="E22" s="111" t="s">
        <v>347</v>
      </c>
      <c r="F22" s="89">
        <v>1.4999999999999999E-2</v>
      </c>
      <c r="H22">
        <f>+I22/$H$4</f>
        <v>43.659000000000006</v>
      </c>
      <c r="I22" s="73">
        <v>303.86664000000002</v>
      </c>
      <c r="L22" s="125" t="s">
        <v>308</v>
      </c>
      <c r="M22" s="126" t="s">
        <v>309</v>
      </c>
      <c r="N22" s="126" t="s">
        <v>402</v>
      </c>
      <c r="O22" s="127"/>
      <c r="Q22" t="s">
        <v>308</v>
      </c>
      <c r="R22" t="s">
        <v>309</v>
      </c>
      <c r="S22" t="s">
        <v>402</v>
      </c>
      <c r="U22" s="73"/>
    </row>
    <row r="23" spans="2:21" x14ac:dyDescent="0.3">
      <c r="E23" s="112" t="s">
        <v>348</v>
      </c>
      <c r="F23" s="89">
        <v>1.7999999999999999E-2</v>
      </c>
      <c r="H23">
        <f>+I23/$H$4</f>
        <v>670.60224000000017</v>
      </c>
      <c r="I23" s="73">
        <v>4667.3915904000014</v>
      </c>
      <c r="L23" s="125" t="s">
        <v>310</v>
      </c>
      <c r="M23" s="126" t="s">
        <v>260</v>
      </c>
      <c r="N23" s="126" t="s">
        <v>397</v>
      </c>
      <c r="O23" s="127" t="s">
        <v>398</v>
      </c>
      <c r="Q23" t="s">
        <v>310</v>
      </c>
      <c r="R23" t="s">
        <v>260</v>
      </c>
      <c r="S23" t="s">
        <v>397</v>
      </c>
      <c r="T23" t="s">
        <v>398</v>
      </c>
    </row>
    <row r="24" spans="2:21" x14ac:dyDescent="0.3">
      <c r="E24" s="113" t="s">
        <v>350</v>
      </c>
      <c r="F24" s="89">
        <v>1.7999999999999999E-2</v>
      </c>
      <c r="H24">
        <f>+I24/$H$4</f>
        <v>722.99304000000029</v>
      </c>
      <c r="I24" s="73">
        <v>5032.0315584000018</v>
      </c>
      <c r="L24" s="125" t="s">
        <v>311</v>
      </c>
      <c r="M24" s="126" t="s">
        <v>312</v>
      </c>
      <c r="N24" s="126" t="s">
        <v>403</v>
      </c>
      <c r="O24" s="127"/>
      <c r="Q24" t="s">
        <v>311</v>
      </c>
      <c r="R24" t="s">
        <v>312</v>
      </c>
      <c r="S24" t="s">
        <v>403</v>
      </c>
    </row>
    <row r="25" spans="2:21" x14ac:dyDescent="0.3">
      <c r="E25" s="114" t="s">
        <v>349</v>
      </c>
      <c r="F25" s="89">
        <v>0.01</v>
      </c>
      <c r="H25">
        <f>+I25/$H$4</f>
        <v>401.66280000000006</v>
      </c>
      <c r="I25" s="73">
        <v>2795.5730880000006</v>
      </c>
      <c r="L25" s="125" t="s">
        <v>314</v>
      </c>
      <c r="M25" s="126" t="s">
        <v>260</v>
      </c>
      <c r="N25" s="126"/>
      <c r="O25" s="127" t="s">
        <v>399</v>
      </c>
      <c r="Q25" t="s">
        <v>314</v>
      </c>
      <c r="R25" t="s">
        <v>260</v>
      </c>
      <c r="T25" t="s">
        <v>399</v>
      </c>
    </row>
    <row r="26" spans="2:21" ht="15" thickBot="1" x14ac:dyDescent="0.35">
      <c r="E26" s="99" t="s">
        <v>345</v>
      </c>
      <c r="F26" s="99"/>
      <c r="G26" s="100"/>
      <c r="H26" s="102"/>
      <c r="I26" s="103"/>
      <c r="L26" s="132" t="s">
        <v>315</v>
      </c>
      <c r="M26" s="133" t="s">
        <v>260</v>
      </c>
      <c r="N26" s="133" t="s">
        <v>367</v>
      </c>
      <c r="O26" s="134" t="s">
        <v>400</v>
      </c>
      <c r="Q26" t="s">
        <v>315</v>
      </c>
      <c r="R26" t="s">
        <v>260</v>
      </c>
      <c r="S26" t="s">
        <v>367</v>
      </c>
      <c r="T26" t="s">
        <v>400</v>
      </c>
    </row>
    <row r="27" spans="2:21" ht="15" thickBot="1" x14ac:dyDescent="0.35">
      <c r="E27" s="115" t="s">
        <v>351</v>
      </c>
      <c r="F27" s="89">
        <v>7.0000000000000001E-3</v>
      </c>
      <c r="H27">
        <f>+I27/$H$4</f>
        <v>281.16396000000003</v>
      </c>
      <c r="I27" s="73">
        <v>1956.9011616000003</v>
      </c>
      <c r="L27" s="135" t="s">
        <v>316</v>
      </c>
      <c r="M27" s="136" t="s">
        <v>260</v>
      </c>
      <c r="N27" s="136" t="s">
        <v>403</v>
      </c>
      <c r="O27" s="137" t="s">
        <v>401</v>
      </c>
      <c r="Q27" t="s">
        <v>316</v>
      </c>
      <c r="R27" t="s">
        <v>260</v>
      </c>
      <c r="S27" t="s">
        <v>403</v>
      </c>
      <c r="T27" t="s">
        <v>401</v>
      </c>
    </row>
    <row r="28" spans="2:21" ht="15" thickTop="1" x14ac:dyDescent="0.3">
      <c r="D28" s="73"/>
      <c r="E28" s="116" t="s">
        <v>352</v>
      </c>
      <c r="F28" s="89">
        <v>4.0000000000000001E-3</v>
      </c>
      <c r="H28">
        <f>+I28/$H$4</f>
        <v>160.66512000000003</v>
      </c>
      <c r="I28" s="73">
        <v>1118.2292352000002</v>
      </c>
    </row>
    <row r="29" spans="2:21" x14ac:dyDescent="0.3">
      <c r="D29" s="73"/>
      <c r="E29" s="117" t="s">
        <v>353</v>
      </c>
      <c r="F29" s="89">
        <v>3.0000000000000001E-3</v>
      </c>
      <c r="H29">
        <f>+I29/$H$4</f>
        <v>120.49884000000002</v>
      </c>
      <c r="I29" s="73">
        <v>838.67192640000007</v>
      </c>
      <c r="J29" s="170">
        <v>1</v>
      </c>
      <c r="L29" s="129" t="s">
        <v>339</v>
      </c>
      <c r="M29" s="130"/>
      <c r="N29" s="130"/>
      <c r="O29" s="131"/>
    </row>
    <row r="30" spans="2:21" x14ac:dyDescent="0.3">
      <c r="B30" s="157"/>
      <c r="D30" s="73"/>
      <c r="E30" s="118" t="s">
        <v>354</v>
      </c>
      <c r="F30" s="89">
        <v>0.01</v>
      </c>
      <c r="H30">
        <f>+I30/$H$4</f>
        <v>401.66280000000006</v>
      </c>
      <c r="I30" s="73">
        <v>2795.5730880000006</v>
      </c>
      <c r="J30" s="73">
        <v>-1</v>
      </c>
      <c r="L30" s="128" t="s">
        <v>307</v>
      </c>
      <c r="M30" s="126" t="s">
        <v>260</v>
      </c>
      <c r="N30" s="126"/>
      <c r="O30" s="127"/>
    </row>
    <row r="31" spans="2:21" x14ac:dyDescent="0.3">
      <c r="D31" s="74"/>
      <c r="E31" s="104" t="s">
        <v>388</v>
      </c>
      <c r="F31" s="104"/>
      <c r="G31" s="104"/>
      <c r="H31" s="104"/>
      <c r="I31" s="105"/>
      <c r="L31" s="128" t="s">
        <v>308</v>
      </c>
      <c r="M31" s="126" t="s">
        <v>309</v>
      </c>
      <c r="N31" s="126"/>
      <c r="O31" s="127"/>
    </row>
    <row r="32" spans="2:21" x14ac:dyDescent="0.3">
      <c r="C32" s="83"/>
      <c r="D32" s="73"/>
      <c r="E32" s="119" t="s">
        <v>321</v>
      </c>
      <c r="G32" s="68"/>
      <c r="H32">
        <f>+I32/$H$4</f>
        <v>28.735632183908045</v>
      </c>
      <c r="I32" s="76">
        <v>200</v>
      </c>
      <c r="J32" s="170">
        <v>1</v>
      </c>
      <c r="L32" s="128" t="s">
        <v>310</v>
      </c>
      <c r="M32" s="126" t="s">
        <v>260</v>
      </c>
      <c r="N32" s="126"/>
      <c r="O32" s="127"/>
    </row>
    <row r="33" spans="1:19" x14ac:dyDescent="0.3">
      <c r="E33" s="87" t="s">
        <v>356</v>
      </c>
      <c r="G33" s="88"/>
      <c r="H33">
        <f>+I33/$H$4</f>
        <v>2831.6434321839092</v>
      </c>
      <c r="I33" s="88">
        <v>19708.238288000008</v>
      </c>
      <c r="J33" s="73">
        <v>-1</v>
      </c>
      <c r="L33" s="128" t="s">
        <v>311</v>
      </c>
      <c r="M33" s="126" t="s">
        <v>312</v>
      </c>
      <c r="N33" s="126"/>
      <c r="O33" s="127"/>
    </row>
    <row r="34" spans="1:19" x14ac:dyDescent="0.3">
      <c r="A34" s="63" t="s">
        <v>322</v>
      </c>
      <c r="B34" s="69"/>
      <c r="C34" s="69"/>
      <c r="D34" s="69"/>
      <c r="E34" s="69"/>
      <c r="F34" s="65"/>
      <c r="G34" s="65"/>
      <c r="H34" s="176" t="s">
        <v>318</v>
      </c>
      <c r="I34" s="176" t="s">
        <v>319</v>
      </c>
      <c r="L34" s="128" t="s">
        <v>314</v>
      </c>
      <c r="M34" s="126" t="s">
        <v>260</v>
      </c>
      <c r="N34" s="126"/>
      <c r="O34" s="127"/>
    </row>
    <row r="35" spans="1:19" ht="15" thickBot="1" x14ac:dyDescent="0.35">
      <c r="A35" s="70" t="s">
        <v>323</v>
      </c>
      <c r="B35" s="68"/>
      <c r="C35" s="68"/>
      <c r="D35" s="68"/>
      <c r="E35" s="85"/>
      <c r="F35" s="86"/>
      <c r="G35" s="86"/>
      <c r="H35">
        <f>+I35/$H$4</f>
        <v>37406.475648275875</v>
      </c>
      <c r="I35" s="86">
        <v>260349.07051200006</v>
      </c>
      <c r="L35" s="141" t="s">
        <v>315</v>
      </c>
      <c r="M35" s="133" t="s">
        <v>260</v>
      </c>
      <c r="N35" s="133"/>
      <c r="O35" s="134"/>
    </row>
    <row r="36" spans="1:19" ht="15" thickBot="1" x14ac:dyDescent="0.35">
      <c r="A36" s="70" t="s">
        <v>324</v>
      </c>
      <c r="B36" s="80" t="e">
        <v>#NAME?</v>
      </c>
      <c r="C36" s="80"/>
      <c r="D36" s="80"/>
      <c r="E36" s="87"/>
      <c r="L36" s="142" t="s">
        <v>316</v>
      </c>
      <c r="M36" s="143" t="s">
        <v>260</v>
      </c>
      <c r="N36" s="143" t="s">
        <v>367</v>
      </c>
      <c r="O36" s="144" t="s">
        <v>368</v>
      </c>
    </row>
    <row r="37" spans="1:19" ht="15" thickTop="1" x14ac:dyDescent="0.3">
      <c r="A37" s="68"/>
      <c r="B37" s="68"/>
      <c r="C37" s="68"/>
      <c r="D37" s="68"/>
      <c r="E37" s="68"/>
      <c r="F37" s="68"/>
      <c r="G37" s="68"/>
      <c r="H37" s="68"/>
      <c r="I37" s="68"/>
      <c r="S37" s="17"/>
    </row>
    <row r="38" spans="1:19" x14ac:dyDescent="0.3">
      <c r="A38" s="68"/>
      <c r="B38" s="68"/>
      <c r="C38" s="68"/>
      <c r="D38" s="68"/>
      <c r="E38" s="68"/>
      <c r="F38" s="68"/>
      <c r="G38" s="68"/>
      <c r="H38" s="68"/>
      <c r="I38" s="68"/>
      <c r="L38" s="147" t="s">
        <v>339</v>
      </c>
      <c r="M38" s="148"/>
      <c r="N38" s="148"/>
      <c r="O38" s="149"/>
    </row>
    <row r="39" spans="1:19" x14ac:dyDescent="0.3">
      <c r="L39" s="150" t="s">
        <v>307</v>
      </c>
      <c r="M39" s="145" t="s">
        <v>260</v>
      </c>
      <c r="N39" s="145"/>
      <c r="O39" s="146"/>
    </row>
    <row r="40" spans="1:19" x14ac:dyDescent="0.3">
      <c r="A40" s="106" t="s">
        <v>325</v>
      </c>
      <c r="B40" s="106"/>
      <c r="C40" s="68"/>
      <c r="D40" s="122"/>
      <c r="E40" s="77" t="s">
        <v>326</v>
      </c>
      <c r="F40" s="77"/>
      <c r="G40" s="68"/>
      <c r="H40" s="106" t="s">
        <v>306</v>
      </c>
      <c r="I40" s="106"/>
      <c r="L40" s="150" t="s">
        <v>308</v>
      </c>
      <c r="M40" s="145" t="s">
        <v>309</v>
      </c>
      <c r="N40" s="145"/>
      <c r="O40" s="146"/>
    </row>
    <row r="41" spans="1:19" x14ac:dyDescent="0.3">
      <c r="C41" s="68"/>
      <c r="D41" s="68"/>
      <c r="F41" s="68"/>
      <c r="G41" s="68"/>
      <c r="H41" s="68"/>
      <c r="I41" s="93" t="s">
        <v>327</v>
      </c>
      <c r="L41" s="150" t="s">
        <v>310</v>
      </c>
      <c r="M41" s="145" t="s">
        <v>260</v>
      </c>
      <c r="N41" s="145"/>
      <c r="O41" s="146"/>
    </row>
    <row r="42" spans="1:19" x14ac:dyDescent="0.3">
      <c r="L42" s="150" t="s">
        <v>311</v>
      </c>
      <c r="M42" s="145" t="s">
        <v>312</v>
      </c>
      <c r="N42" s="145"/>
      <c r="O42" s="146"/>
    </row>
    <row r="43" spans="1:19" x14ac:dyDescent="0.3">
      <c r="L43" s="150" t="s">
        <v>314</v>
      </c>
      <c r="M43" s="145" t="s">
        <v>260</v>
      </c>
      <c r="N43" s="145"/>
      <c r="O43" s="146"/>
    </row>
    <row r="44" spans="1:19" ht="15" thickBot="1" x14ac:dyDescent="0.35">
      <c r="L44" s="151" t="s">
        <v>315</v>
      </c>
      <c r="M44" s="152" t="s">
        <v>260</v>
      </c>
      <c r="N44" s="152"/>
      <c r="O44" s="153"/>
    </row>
    <row r="45" spans="1:19" ht="15" thickBot="1" x14ac:dyDescent="0.35">
      <c r="L45" s="142" t="s">
        <v>316</v>
      </c>
      <c r="M45" s="143" t="s">
        <v>260</v>
      </c>
      <c r="N45" s="143" t="s">
        <v>367</v>
      </c>
      <c r="O45" s="144" t="s">
        <v>368</v>
      </c>
    </row>
    <row r="46" spans="1:19" ht="15" thickTop="1" x14ac:dyDescent="0.3"/>
    <row r="47" spans="1:19" x14ac:dyDescent="0.3">
      <c r="L47" s="147" t="s">
        <v>339</v>
      </c>
      <c r="M47" s="148"/>
      <c r="N47" s="148"/>
      <c r="O47" s="149"/>
    </row>
    <row r="48" spans="1:19" x14ac:dyDescent="0.3">
      <c r="L48" s="150" t="s">
        <v>307</v>
      </c>
      <c r="M48" s="145" t="s">
        <v>260</v>
      </c>
      <c r="N48" s="145"/>
      <c r="O48" s="146"/>
    </row>
    <row r="49" spans="1:27" x14ac:dyDescent="0.3">
      <c r="L49" s="150" t="s">
        <v>308</v>
      </c>
      <c r="M49" s="145" t="s">
        <v>309</v>
      </c>
      <c r="N49" s="145"/>
      <c r="O49" s="146"/>
    </row>
    <row r="50" spans="1:27" x14ac:dyDescent="0.3">
      <c r="L50" s="150" t="s">
        <v>310</v>
      </c>
      <c r="M50" s="145" t="s">
        <v>260</v>
      </c>
      <c r="N50" s="145"/>
      <c r="O50" s="146"/>
    </row>
    <row r="51" spans="1:27" ht="15.6" x14ac:dyDescent="0.3">
      <c r="A51" s="120"/>
      <c r="B51" s="120"/>
      <c r="C51" s="120"/>
      <c r="D51" s="120"/>
      <c r="E51" s="123" t="s">
        <v>334</v>
      </c>
      <c r="F51" s="120"/>
      <c r="G51" s="120"/>
      <c r="H51" s="120"/>
      <c r="I51" s="120"/>
      <c r="L51" s="150" t="s">
        <v>311</v>
      </c>
      <c r="M51" s="145" t="s">
        <v>312</v>
      </c>
      <c r="N51" s="145"/>
      <c r="O51" s="146"/>
    </row>
    <row r="52" spans="1:27" x14ac:dyDescent="0.3">
      <c r="A52" s="79"/>
      <c r="B52" s="79"/>
      <c r="C52" s="79"/>
      <c r="D52" s="79"/>
      <c r="E52" s="124" t="s">
        <v>301</v>
      </c>
      <c r="G52" s="79"/>
      <c r="H52" s="79"/>
      <c r="I52" s="79"/>
      <c r="L52" s="150" t="s">
        <v>314</v>
      </c>
      <c r="M52" s="145" t="s">
        <v>260</v>
      </c>
      <c r="N52" s="145"/>
      <c r="O52" s="146"/>
      <c r="Q52" s="89">
        <v>0.02</v>
      </c>
      <c r="R52">
        <f>+Q52*10</f>
        <v>0.2</v>
      </c>
    </row>
    <row r="53" spans="1:27" x14ac:dyDescent="0.3">
      <c r="L53" s="151" t="s">
        <v>315</v>
      </c>
      <c r="M53" s="152" t="s">
        <v>260</v>
      </c>
      <c r="N53" s="152"/>
      <c r="O53" s="153"/>
    </row>
    <row r="54" spans="1:27" ht="15" thickBot="1" x14ac:dyDescent="0.35">
      <c r="A54" s="187" t="s">
        <v>392</v>
      </c>
      <c r="B54" s="187"/>
      <c r="C54" s="187"/>
      <c r="D54" s="171"/>
      <c r="E54" s="121" t="s">
        <v>524</v>
      </c>
      <c r="F54" s="69"/>
      <c r="G54" s="69"/>
      <c r="H54" s="69"/>
      <c r="I54" s="69"/>
      <c r="L54" s="154" t="s">
        <v>316</v>
      </c>
      <c r="M54" s="155" t="s">
        <v>260</v>
      </c>
      <c r="N54" s="155" t="s">
        <v>367</v>
      </c>
      <c r="O54" s="156" t="s">
        <v>368</v>
      </c>
    </row>
    <row r="55" spans="1:27" ht="15" thickTop="1" x14ac:dyDescent="0.3">
      <c r="A55" s="188" t="s">
        <v>393</v>
      </c>
      <c r="B55" s="184" t="s">
        <v>303</v>
      </c>
      <c r="C55" s="139"/>
      <c r="D55" s="186"/>
      <c r="E55" s="119" t="s">
        <v>476</v>
      </c>
      <c r="F55" s="119" t="s">
        <v>377</v>
      </c>
      <c r="G55" s="119" t="s">
        <v>374</v>
      </c>
      <c r="H55" s="119" t="s">
        <v>375</v>
      </c>
      <c r="I55" s="110" t="s">
        <v>389</v>
      </c>
    </row>
    <row r="56" spans="1:27" x14ac:dyDescent="0.3">
      <c r="A56" s="190" t="s">
        <v>316</v>
      </c>
      <c r="B56" s="140"/>
      <c r="C56" s="177"/>
      <c r="D56" s="186"/>
      <c r="E56" s="95" t="s">
        <v>372</v>
      </c>
      <c r="F56" s="94">
        <v>44311</v>
      </c>
      <c r="G56" s="95" t="s">
        <v>313</v>
      </c>
      <c r="H56" s="95" t="s">
        <v>373</v>
      </c>
      <c r="I56">
        <v>1000</v>
      </c>
      <c r="J56" s="170">
        <v>1</v>
      </c>
    </row>
    <row r="57" spans="1:27" x14ac:dyDescent="0.3">
      <c r="A57" s="191" t="s">
        <v>396</v>
      </c>
      <c r="B57" s="182">
        <v>44311</v>
      </c>
      <c r="C57" s="138"/>
      <c r="D57" s="186"/>
      <c r="E57" s="2" t="s">
        <v>523</v>
      </c>
      <c r="I57" s="2">
        <f>+SUM(I56)</f>
        <v>1000</v>
      </c>
      <c r="J57" s="73">
        <v>-1</v>
      </c>
      <c r="L57" s="196" t="s">
        <v>437</v>
      </c>
      <c r="M57" t="s">
        <v>375</v>
      </c>
      <c r="N57" t="s">
        <v>376</v>
      </c>
      <c r="O57" t="s">
        <v>438</v>
      </c>
      <c r="P57" t="s">
        <v>439</v>
      </c>
      <c r="Q57" t="s">
        <v>440</v>
      </c>
      <c r="R57" t="s">
        <v>441</v>
      </c>
      <c r="S57" t="s">
        <v>442</v>
      </c>
      <c r="T57" t="s">
        <v>443</v>
      </c>
      <c r="U57" t="s">
        <v>317</v>
      </c>
      <c r="V57" t="s">
        <v>444</v>
      </c>
      <c r="W57" t="s">
        <v>445</v>
      </c>
      <c r="X57" t="s">
        <v>446</v>
      </c>
      <c r="Y57" t="s">
        <v>447</v>
      </c>
      <c r="Z57" t="s">
        <v>448</v>
      </c>
      <c r="AA57" t="s">
        <v>447</v>
      </c>
    </row>
    <row r="58" spans="1:27" x14ac:dyDescent="0.3">
      <c r="A58" s="189" t="s">
        <v>394</v>
      </c>
      <c r="B58" s="180" t="s">
        <v>303</v>
      </c>
      <c r="C58" s="138"/>
      <c r="D58" s="186"/>
      <c r="E58" s="121" t="s">
        <v>391</v>
      </c>
      <c r="F58" s="63"/>
      <c r="G58" s="69"/>
      <c r="H58" s="90"/>
      <c r="I58" s="232"/>
      <c r="L58" s="196" t="s">
        <v>449</v>
      </c>
      <c r="M58" t="s">
        <v>312</v>
      </c>
      <c r="N58" t="s">
        <v>460</v>
      </c>
      <c r="O58" s="197">
        <f ca="1">+TODAY()</f>
        <v>44480</v>
      </c>
      <c r="P58">
        <v>2</v>
      </c>
      <c r="Q58">
        <v>1</v>
      </c>
      <c r="R58">
        <v>100</v>
      </c>
      <c r="S58" t="s">
        <v>457</v>
      </c>
      <c r="T58" t="s">
        <v>159</v>
      </c>
      <c r="U58">
        <v>1</v>
      </c>
      <c r="V58" t="s">
        <v>166</v>
      </c>
      <c r="W58">
        <v>1</v>
      </c>
      <c r="X58">
        <v>0</v>
      </c>
      <c r="Y58">
        <v>0</v>
      </c>
      <c r="Z58">
        <v>0</v>
      </c>
      <c r="AA58">
        <v>0</v>
      </c>
    </row>
    <row r="59" spans="1:27" x14ac:dyDescent="0.3">
      <c r="A59" s="190" t="s">
        <v>395</v>
      </c>
      <c r="B59" s="181" t="s">
        <v>303</v>
      </c>
      <c r="C59" s="138"/>
      <c r="D59" s="186"/>
      <c r="E59" s="119" t="s">
        <v>33</v>
      </c>
      <c r="F59" s="110" t="s">
        <v>383</v>
      </c>
      <c r="G59" s="110" t="s">
        <v>385</v>
      </c>
      <c r="H59" s="110" t="s">
        <v>384</v>
      </c>
      <c r="I59" s="110" t="s">
        <v>386</v>
      </c>
      <c r="L59" s="196" t="s">
        <v>450</v>
      </c>
      <c r="M59" t="s">
        <v>453</v>
      </c>
      <c r="N59" t="s">
        <v>454</v>
      </c>
      <c r="O59" s="197">
        <f ca="1">+TODAY()</f>
        <v>44480</v>
      </c>
      <c r="P59">
        <v>4</v>
      </c>
      <c r="Q59">
        <v>1.1000000000000001</v>
      </c>
      <c r="R59">
        <v>200</v>
      </c>
      <c r="S59" t="s">
        <v>458</v>
      </c>
      <c r="T59" t="s">
        <v>462</v>
      </c>
      <c r="U59" s="198" t="s">
        <v>465</v>
      </c>
      <c r="V59" t="s">
        <v>467</v>
      </c>
      <c r="W59" t="s">
        <v>470</v>
      </c>
      <c r="X59">
        <v>0</v>
      </c>
      <c r="Y59">
        <v>0</v>
      </c>
      <c r="Z59">
        <v>0</v>
      </c>
      <c r="AA59">
        <v>0</v>
      </c>
    </row>
    <row r="60" spans="1:27" x14ac:dyDescent="0.3">
      <c r="A60" s="192" t="s">
        <v>390</v>
      </c>
      <c r="B60" s="235">
        <v>6.96</v>
      </c>
      <c r="C60" s="178" t="s">
        <v>404</v>
      </c>
      <c r="D60" s="186"/>
      <c r="E60" s="95" t="s">
        <v>372</v>
      </c>
      <c r="F60" s="21">
        <f>+I56*0.02</f>
        <v>20</v>
      </c>
      <c r="G60" s="73">
        <f>+I56-F60</f>
        <v>980</v>
      </c>
      <c r="H60" s="75">
        <f>+G60*0.001</f>
        <v>0.98</v>
      </c>
      <c r="I60" s="75">
        <f>+G60-H60</f>
        <v>979.02</v>
      </c>
      <c r="J60" s="170">
        <v>1</v>
      </c>
      <c r="L60" s="196" t="s">
        <v>451</v>
      </c>
      <c r="M60" t="s">
        <v>312</v>
      </c>
      <c r="N60" t="s">
        <v>455</v>
      </c>
      <c r="O60" s="197">
        <f ca="1">+TODAY()</f>
        <v>44480</v>
      </c>
      <c r="P60">
        <v>5</v>
      </c>
      <c r="Q60">
        <v>2</v>
      </c>
      <c r="R60">
        <v>150</v>
      </c>
      <c r="S60" t="s">
        <v>461</v>
      </c>
      <c r="T60" t="s">
        <v>463</v>
      </c>
      <c r="U60" t="s">
        <v>466</v>
      </c>
      <c r="V60" t="s">
        <v>468</v>
      </c>
      <c r="W60" t="s">
        <v>471</v>
      </c>
      <c r="X60">
        <v>0</v>
      </c>
      <c r="Y60">
        <v>0</v>
      </c>
      <c r="Z60">
        <v>0</v>
      </c>
      <c r="AA60">
        <v>0</v>
      </c>
    </row>
    <row r="61" spans="1:27" x14ac:dyDescent="0.3">
      <c r="D61" s="185"/>
      <c r="E61" s="2" t="s">
        <v>525</v>
      </c>
      <c r="I61" s="230">
        <f>+SUM(I60)</f>
        <v>979.02</v>
      </c>
      <c r="J61" s="73">
        <v>-1</v>
      </c>
      <c r="L61" s="196" t="s">
        <v>452</v>
      </c>
      <c r="M61" t="s">
        <v>453</v>
      </c>
      <c r="N61" t="s">
        <v>456</v>
      </c>
      <c r="O61" s="197">
        <f ca="1">+TODAY()</f>
        <v>44480</v>
      </c>
      <c r="P61">
        <v>2</v>
      </c>
      <c r="Q61">
        <v>1.1200000000000001</v>
      </c>
      <c r="R61">
        <v>210</v>
      </c>
      <c r="S61" t="s">
        <v>459</v>
      </c>
      <c r="T61" t="s">
        <v>464</v>
      </c>
      <c r="U61">
        <v>4</v>
      </c>
      <c r="V61" t="s">
        <v>469</v>
      </c>
      <c r="W61">
        <v>1</v>
      </c>
      <c r="X61">
        <v>0</v>
      </c>
      <c r="Y61">
        <v>0</v>
      </c>
      <c r="Z61">
        <v>0</v>
      </c>
      <c r="AA61">
        <v>0</v>
      </c>
    </row>
    <row r="62" spans="1:27" x14ac:dyDescent="0.3">
      <c r="A62" s="63" t="s">
        <v>339</v>
      </c>
      <c r="B62" s="179"/>
      <c r="C62" s="179"/>
      <c r="D62" s="186"/>
      <c r="E62" s="193" t="s">
        <v>520</v>
      </c>
      <c r="F62" s="63"/>
      <c r="G62" s="69"/>
      <c r="H62" s="90"/>
      <c r="I62" s="173"/>
      <c r="N62" t="s">
        <v>475</v>
      </c>
      <c r="O62" s="197">
        <f ca="1">+TODAY()</f>
        <v>44480</v>
      </c>
      <c r="P62">
        <v>2</v>
      </c>
      <c r="Q62">
        <v>1.1200000000000001</v>
      </c>
      <c r="R62">
        <v>210</v>
      </c>
    </row>
    <row r="63" spans="1:27" x14ac:dyDescent="0.3">
      <c r="A63" s="110" t="s">
        <v>307</v>
      </c>
      <c r="B63" s="68" t="s">
        <v>260</v>
      </c>
      <c r="C63" s="68"/>
      <c r="D63" s="186"/>
      <c r="E63" s="119" t="s">
        <v>33</v>
      </c>
      <c r="F63" s="72" t="s">
        <v>317</v>
      </c>
      <c r="G63" s="72" t="s">
        <v>341</v>
      </c>
      <c r="H63" s="172" t="s">
        <v>318</v>
      </c>
      <c r="I63" s="172" t="s">
        <v>319</v>
      </c>
    </row>
    <row r="64" spans="1:27" x14ac:dyDescent="0.3">
      <c r="A64" s="110" t="s">
        <v>308</v>
      </c>
      <c r="B64" s="68" t="s">
        <v>309</v>
      </c>
      <c r="C64" s="68"/>
      <c r="D64" s="186"/>
      <c r="E64" s="95" t="s">
        <v>372</v>
      </c>
      <c r="F64" s="108" t="s">
        <v>532</v>
      </c>
      <c r="G64" s="73">
        <v>1.5</v>
      </c>
      <c r="H64" s="75">
        <v>2910.6000000000004</v>
      </c>
      <c r="I64" s="75">
        <v>20257.776000000002</v>
      </c>
    </row>
    <row r="65" spans="1:19" x14ac:dyDescent="0.3">
      <c r="A65" s="110" t="s">
        <v>310</v>
      </c>
      <c r="B65" s="68" t="s">
        <v>260</v>
      </c>
      <c r="C65" s="68"/>
      <c r="D65" s="185"/>
      <c r="F65" s="221" t="s">
        <v>533</v>
      </c>
      <c r="G65" s="73">
        <v>3.2</v>
      </c>
      <c r="H65" s="73">
        <v>37255.680000000008</v>
      </c>
      <c r="I65" s="73">
        <v>259299.53280000004</v>
      </c>
      <c r="J65" s="170">
        <v>1</v>
      </c>
      <c r="L65" s="222" t="s">
        <v>418</v>
      </c>
      <c r="M65" s="224" t="s">
        <v>419</v>
      </c>
      <c r="N65" s="224" t="s">
        <v>472</v>
      </c>
      <c r="O65" s="224" t="s">
        <v>473</v>
      </c>
      <c r="P65" s="223" t="s">
        <v>474</v>
      </c>
      <c r="Q65" s="231"/>
    </row>
    <row r="66" spans="1:19" x14ac:dyDescent="0.3">
      <c r="A66" s="110" t="s">
        <v>311</v>
      </c>
      <c r="B66" s="68" t="s">
        <v>312</v>
      </c>
      <c r="C66" s="68"/>
      <c r="E66" s="87" t="s">
        <v>357</v>
      </c>
      <c r="G66" s="88"/>
      <c r="H66" s="88">
        <v>40238.119080459779</v>
      </c>
      <c r="I66" s="88">
        <v>280057.30880000006</v>
      </c>
      <c r="J66" s="73">
        <v>-1</v>
      </c>
      <c r="L66" s="200" t="s">
        <v>460</v>
      </c>
      <c r="M66" s="228">
        <v>44318</v>
      </c>
      <c r="N66" s="201">
        <v>2</v>
      </c>
      <c r="O66" s="201">
        <v>1</v>
      </c>
      <c r="P66" s="199">
        <v>100</v>
      </c>
      <c r="R66">
        <f>+P66*(1-(N66/100))</f>
        <v>98</v>
      </c>
      <c r="S66">
        <f>+R66*(1-(O66/100))</f>
        <v>97.02</v>
      </c>
    </row>
    <row r="67" spans="1:19" x14ac:dyDescent="0.3">
      <c r="A67" s="110" t="s">
        <v>314</v>
      </c>
      <c r="B67" s="67" t="s">
        <v>260</v>
      </c>
      <c r="C67" s="68"/>
      <c r="E67" s="92" t="s">
        <v>387</v>
      </c>
      <c r="F67" s="92"/>
      <c r="G67" s="92"/>
      <c r="H67" s="92"/>
      <c r="I67" s="174"/>
      <c r="L67" s="226" t="s">
        <v>454</v>
      </c>
      <c r="M67" s="229">
        <v>44318</v>
      </c>
      <c r="N67" s="227">
        <v>4</v>
      </c>
      <c r="O67" s="227">
        <v>1.1000000000000001</v>
      </c>
      <c r="P67" s="225">
        <v>200</v>
      </c>
      <c r="R67">
        <f>+P67*(1-(N67/100))</f>
        <v>192</v>
      </c>
      <c r="S67">
        <f>+R67*(1-(O67/100))</f>
        <v>189.88800000000001</v>
      </c>
    </row>
    <row r="68" spans="1:19" x14ac:dyDescent="0.3">
      <c r="A68" s="110" t="s">
        <v>315</v>
      </c>
      <c r="B68" s="67" t="s">
        <v>260</v>
      </c>
      <c r="C68" s="67"/>
      <c r="E68" s="96" t="s">
        <v>537</v>
      </c>
      <c r="F68" s="96"/>
      <c r="G68" s="204"/>
      <c r="H68" s="205"/>
      <c r="I68" s="205"/>
      <c r="S68">
        <f>+SUM(S66:S67)</f>
        <v>286.90800000000002</v>
      </c>
    </row>
    <row r="69" spans="1:19" x14ac:dyDescent="0.3">
      <c r="E69" s="206" t="s">
        <v>347</v>
      </c>
      <c r="F69" s="233">
        <v>3.6</v>
      </c>
      <c r="G69" s="205"/>
      <c r="H69" s="205">
        <f>+I69/$H$4</f>
        <v>43.659000000000006</v>
      </c>
      <c r="I69" s="207">
        <v>303.86664000000002</v>
      </c>
      <c r="J69" s="170">
        <v>1</v>
      </c>
      <c r="L69" s="202" t="s">
        <v>420</v>
      </c>
      <c r="M69" s="194" t="s">
        <v>421</v>
      </c>
      <c r="N69" s="194" t="s">
        <v>422</v>
      </c>
      <c r="O69" s="195" t="s">
        <v>423</v>
      </c>
      <c r="P69" s="203" t="s">
        <v>424</v>
      </c>
    </row>
    <row r="70" spans="1:19" x14ac:dyDescent="0.3">
      <c r="E70" s="208" t="s">
        <v>348</v>
      </c>
      <c r="F70" s="233">
        <v>3</v>
      </c>
      <c r="G70" s="205"/>
      <c r="H70" s="205">
        <f>+I70/$H$4</f>
        <v>670.60224000000017</v>
      </c>
      <c r="I70" s="207">
        <v>4667.3915904000014</v>
      </c>
      <c r="J70" s="73">
        <v>-1</v>
      </c>
      <c r="L70" s="200" t="s">
        <v>457</v>
      </c>
      <c r="M70" s="201" t="s">
        <v>159</v>
      </c>
      <c r="N70" s="201">
        <v>1</v>
      </c>
      <c r="O70" s="201" t="s">
        <v>166</v>
      </c>
      <c r="P70" s="199">
        <v>0.7</v>
      </c>
    </row>
    <row r="71" spans="1:19" x14ac:dyDescent="0.3">
      <c r="A71" s="171"/>
      <c r="B71" s="185"/>
      <c r="E71" s="96" t="s">
        <v>536</v>
      </c>
      <c r="F71" s="234"/>
      <c r="G71" s="204"/>
      <c r="H71" s="205"/>
      <c r="I71" s="205"/>
      <c r="L71" s="200" t="s">
        <v>458</v>
      </c>
      <c r="M71" s="201" t="s">
        <v>462</v>
      </c>
      <c r="N71" s="201" t="s">
        <v>465</v>
      </c>
      <c r="O71" s="201" t="s">
        <v>467</v>
      </c>
      <c r="P71" s="199" t="s">
        <v>470</v>
      </c>
    </row>
    <row r="72" spans="1:19" x14ac:dyDescent="0.3">
      <c r="B72" s="185"/>
      <c r="E72" s="209" t="s">
        <v>350</v>
      </c>
      <c r="F72" s="233">
        <v>1.8</v>
      </c>
      <c r="G72" s="205"/>
      <c r="H72" s="205">
        <f>+I72/$H$4</f>
        <v>722.99304000000029</v>
      </c>
      <c r="I72" s="207">
        <v>5032.0315584000018</v>
      </c>
      <c r="J72" s="170">
        <v>1</v>
      </c>
    </row>
    <row r="73" spans="1:19" x14ac:dyDescent="0.3">
      <c r="A73" t="s">
        <v>422</v>
      </c>
      <c r="B73" s="185" t="s">
        <v>534</v>
      </c>
      <c r="C73" t="s">
        <v>538</v>
      </c>
      <c r="E73" s="210" t="s">
        <v>349</v>
      </c>
      <c r="F73" s="233">
        <v>1</v>
      </c>
      <c r="G73" s="205"/>
      <c r="H73" s="205">
        <f>+I73/$H$4</f>
        <v>401.66280000000006</v>
      </c>
      <c r="I73" s="207">
        <v>2795.5730880000006</v>
      </c>
      <c r="J73" s="73">
        <v>-1</v>
      </c>
    </row>
    <row r="74" spans="1:19" x14ac:dyDescent="0.3">
      <c r="B74" s="185"/>
      <c r="E74" s="96" t="s">
        <v>539</v>
      </c>
      <c r="F74" s="234"/>
      <c r="G74" s="204"/>
      <c r="H74" s="85"/>
      <c r="I74" s="207"/>
      <c r="L74" t="str">
        <f>+_xlfn.TEXTJOIN(";",TRUE,M70:M71)</f>
        <v>Zn;Zn;pb</v>
      </c>
    </row>
    <row r="75" spans="1:19" x14ac:dyDescent="0.3">
      <c r="E75" s="211" t="s">
        <v>351</v>
      </c>
      <c r="F75" s="233">
        <v>0.7</v>
      </c>
      <c r="G75" s="205"/>
      <c r="H75" s="205">
        <f>+I75/$H$4</f>
        <v>281.16396000000003</v>
      </c>
      <c r="I75" s="207">
        <v>1956.9011616000003</v>
      </c>
      <c r="L75" t="str">
        <f>+_xlfn.TEXTJOIN(";",TRUE,L70:M71)</f>
        <v>mineral;Zn;complejo;Zn;pb</v>
      </c>
    </row>
    <row r="76" spans="1:19" x14ac:dyDescent="0.3">
      <c r="E76" s="212" t="s">
        <v>352</v>
      </c>
      <c r="F76" s="233">
        <v>0.4</v>
      </c>
      <c r="G76" s="205"/>
      <c r="H76" s="205">
        <f>+I76/$H$4</f>
        <v>160.66512000000003</v>
      </c>
      <c r="I76" s="207">
        <v>1118.2292352000002</v>
      </c>
      <c r="J76" s="32"/>
    </row>
    <row r="77" spans="1:19" x14ac:dyDescent="0.3">
      <c r="E77" s="213" t="s">
        <v>353</v>
      </c>
      <c r="F77" s="233">
        <v>0.3</v>
      </c>
      <c r="G77" s="205"/>
      <c r="H77" s="205">
        <f>+I77/$H$4</f>
        <v>120.49884000000002</v>
      </c>
      <c r="I77" s="207">
        <v>838.67192640000007</v>
      </c>
      <c r="J77" s="170">
        <v>1</v>
      </c>
      <c r="L77" t="e">
        <f>+VALUE(F64)</f>
        <v>#VALUE!</v>
      </c>
    </row>
    <row r="78" spans="1:19" x14ac:dyDescent="0.3">
      <c r="E78" s="214" t="s">
        <v>354</v>
      </c>
      <c r="F78" s="233">
        <v>1</v>
      </c>
      <c r="G78" s="205"/>
      <c r="H78" s="205">
        <f>+I78/$H$4</f>
        <v>401.66280000000006</v>
      </c>
      <c r="I78" s="207">
        <v>2795.5730880000006</v>
      </c>
      <c r="J78" s="73">
        <v>-1</v>
      </c>
      <c r="L78" t="e">
        <f>+_xlfn.NUMBERVALUE(F64)</f>
        <v>#VALUE!</v>
      </c>
    </row>
    <row r="79" spans="1:19" x14ac:dyDescent="0.3">
      <c r="D79" s="73"/>
      <c r="E79" s="188" t="s">
        <v>535</v>
      </c>
      <c r="F79" s="188"/>
      <c r="G79" s="188"/>
      <c r="H79" s="188"/>
      <c r="I79" s="215"/>
    </row>
    <row r="80" spans="1:19" x14ac:dyDescent="0.3">
      <c r="D80" s="73"/>
      <c r="E80" s="119" t="s">
        <v>321</v>
      </c>
      <c r="G80" s="68"/>
      <c r="H80">
        <f>+I80/$H$4</f>
        <v>28.735632183908045</v>
      </c>
      <c r="I80" s="76">
        <v>200</v>
      </c>
      <c r="J80" s="170">
        <v>1</v>
      </c>
    </row>
    <row r="81" spans="1:10" x14ac:dyDescent="0.3">
      <c r="B81" s="157"/>
      <c r="D81" s="73"/>
      <c r="E81" s="87" t="s">
        <v>406</v>
      </c>
      <c r="G81" s="88"/>
      <c r="H81">
        <f>+I81/$H$4</f>
        <v>2831.6434321839092</v>
      </c>
      <c r="I81" s="88">
        <v>19708.238288000008</v>
      </c>
      <c r="J81" s="73">
        <v>-1</v>
      </c>
    </row>
    <row r="82" spans="1:10" x14ac:dyDescent="0.3">
      <c r="D82" s="74"/>
      <c r="E82" s="216" t="s">
        <v>343</v>
      </c>
      <c r="F82" s="217"/>
      <c r="G82" s="218"/>
      <c r="H82" s="218"/>
      <c r="I82" s="219"/>
    </row>
    <row r="83" spans="1:10" x14ac:dyDescent="0.3">
      <c r="D83" s="220"/>
      <c r="E83" s="72" t="s">
        <v>342</v>
      </c>
      <c r="H83" s="75">
        <v>71.839080459770116</v>
      </c>
      <c r="I83" s="75">
        <v>71.839080459770116</v>
      </c>
    </row>
    <row r="84" spans="1:10" x14ac:dyDescent="0.3">
      <c r="E84" s="110" t="s">
        <v>344</v>
      </c>
      <c r="G84" s="73"/>
      <c r="H84" s="76">
        <v>50</v>
      </c>
      <c r="I84" s="76">
        <v>50</v>
      </c>
      <c r="J84" s="170">
        <v>1</v>
      </c>
    </row>
    <row r="85" spans="1:10" x14ac:dyDescent="0.3">
      <c r="E85" s="87" t="s">
        <v>519</v>
      </c>
      <c r="G85" s="88"/>
      <c r="H85">
        <f>+I85/$H$4</f>
        <v>2831.6434321839092</v>
      </c>
      <c r="I85" s="88">
        <v>19708.238288000008</v>
      </c>
      <c r="J85" s="73">
        <v>-1</v>
      </c>
    </row>
    <row r="86" spans="1:10" x14ac:dyDescent="0.3">
      <c r="A86" s="63" t="s">
        <v>518</v>
      </c>
      <c r="B86" s="69"/>
      <c r="C86" s="69"/>
      <c r="D86" s="69"/>
      <c r="E86" s="69"/>
      <c r="F86" s="121"/>
      <c r="G86" s="121"/>
      <c r="H86" s="176" t="s">
        <v>318</v>
      </c>
      <c r="I86" s="176" t="s">
        <v>319</v>
      </c>
    </row>
    <row r="87" spans="1:10" x14ac:dyDescent="0.3">
      <c r="A87" s="70" t="s">
        <v>323</v>
      </c>
      <c r="B87" s="68"/>
      <c r="C87" s="68"/>
      <c r="D87" s="68"/>
      <c r="E87" s="85"/>
      <c r="F87" s="86"/>
      <c r="G87" s="86"/>
      <c r="H87">
        <f>+I87/$H$4</f>
        <v>37406.475648275875</v>
      </c>
      <c r="I87" s="86">
        <v>260349.07051200006</v>
      </c>
    </row>
    <row r="88" spans="1:10" x14ac:dyDescent="0.3">
      <c r="A88" s="70" t="s">
        <v>324</v>
      </c>
      <c r="B88" s="80" t="e">
        <v>#NAME?</v>
      </c>
      <c r="C88" s="80"/>
      <c r="D88" s="80"/>
      <c r="E88" s="87"/>
    </row>
    <row r="89" spans="1:10" x14ac:dyDescent="0.3">
      <c r="A89" s="68"/>
      <c r="B89" s="68"/>
      <c r="C89" s="68"/>
      <c r="D89" s="68"/>
      <c r="E89" s="68"/>
      <c r="F89" s="68"/>
      <c r="G89" s="68"/>
      <c r="H89" s="68"/>
      <c r="I89" s="68"/>
    </row>
    <row r="90" spans="1:10" x14ac:dyDescent="0.3">
      <c r="A90" s="68"/>
      <c r="B90" s="68"/>
      <c r="C90" s="68"/>
      <c r="D90" s="68"/>
      <c r="E90" s="68"/>
      <c r="F90" s="68"/>
      <c r="G90" s="68"/>
      <c r="H90" s="68"/>
      <c r="I90" s="68"/>
    </row>
    <row r="92" spans="1:10" x14ac:dyDescent="0.3">
      <c r="A92" s="106" t="s">
        <v>325</v>
      </c>
      <c r="B92" s="106"/>
      <c r="C92" s="68"/>
      <c r="D92" s="122"/>
      <c r="E92" s="122" t="s">
        <v>326</v>
      </c>
      <c r="F92" s="122"/>
      <c r="G92" s="68"/>
      <c r="H92" s="106" t="s">
        <v>306</v>
      </c>
      <c r="I92" s="106"/>
    </row>
    <row r="93" spans="1:10" x14ac:dyDescent="0.3">
      <c r="C93" s="68"/>
      <c r="D93" s="68"/>
      <c r="F93" s="68"/>
      <c r="G93" s="68"/>
      <c r="H93" s="68"/>
      <c r="I93" s="93" t="s">
        <v>327</v>
      </c>
    </row>
    <row r="97" spans="1:10" x14ac:dyDescent="0.3">
      <c r="C97" s="202" t="s">
        <v>420</v>
      </c>
      <c r="D97" s="194" t="s">
        <v>421</v>
      </c>
      <c r="E97" s="194" t="s">
        <v>422</v>
      </c>
      <c r="F97" s="195" t="s">
        <v>423</v>
      </c>
      <c r="G97" s="203" t="s">
        <v>424</v>
      </c>
    </row>
    <row r="98" spans="1:10" x14ac:dyDescent="0.3">
      <c r="C98" s="200" t="s">
        <v>457</v>
      </c>
      <c r="D98" s="201" t="s">
        <v>159</v>
      </c>
      <c r="E98" s="201">
        <v>1</v>
      </c>
      <c r="F98" s="201" t="s">
        <v>166</v>
      </c>
      <c r="G98" s="199">
        <v>1</v>
      </c>
    </row>
    <row r="99" spans="1:10" x14ac:dyDescent="0.3">
      <c r="C99" s="200" t="s">
        <v>458</v>
      </c>
      <c r="D99" s="201" t="s">
        <v>462</v>
      </c>
      <c r="E99" s="201" t="s">
        <v>465</v>
      </c>
      <c r="F99" s="201" t="s">
        <v>467</v>
      </c>
      <c r="G99" s="199" t="s">
        <v>470</v>
      </c>
    </row>
    <row r="103" spans="1:10" x14ac:dyDescent="0.3">
      <c r="I103" s="2" t="s">
        <v>526</v>
      </c>
    </row>
    <row r="104" spans="1:10" ht="15.6" x14ac:dyDescent="0.3">
      <c r="A104" s="120"/>
      <c r="B104" s="120"/>
      <c r="C104" s="120"/>
      <c r="D104" s="120"/>
      <c r="E104" s="123" t="s">
        <v>334</v>
      </c>
      <c r="F104" s="120"/>
      <c r="G104" s="120"/>
      <c r="H104" s="120"/>
      <c r="I104" s="120"/>
    </row>
    <row r="105" spans="1:10" x14ac:dyDescent="0.3">
      <c r="A105" s="79"/>
      <c r="B105" s="79"/>
      <c r="C105" s="79"/>
      <c r="D105" s="79"/>
      <c r="E105" s="124" t="s">
        <v>301</v>
      </c>
      <c r="G105" s="79"/>
      <c r="H105" s="79"/>
      <c r="I105" s="79"/>
    </row>
    <row r="107" spans="1:10" x14ac:dyDescent="0.3">
      <c r="A107" s="187" t="s">
        <v>392</v>
      </c>
      <c r="B107" s="187"/>
      <c r="C107" s="187"/>
      <c r="D107" s="171"/>
      <c r="E107" s="121" t="s">
        <v>524</v>
      </c>
      <c r="F107" s="69"/>
      <c r="G107" s="69"/>
      <c r="H107" s="69"/>
      <c r="I107" s="69"/>
    </row>
    <row r="108" spans="1:10" x14ac:dyDescent="0.3">
      <c r="A108" s="188" t="s">
        <v>393</v>
      </c>
      <c r="B108" s="184" t="s">
        <v>303</v>
      </c>
      <c r="C108" s="139"/>
      <c r="D108" s="186"/>
      <c r="E108" s="119" t="s">
        <v>476</v>
      </c>
      <c r="F108" s="119" t="s">
        <v>377</v>
      </c>
      <c r="G108" s="119" t="s">
        <v>374</v>
      </c>
      <c r="H108" s="119" t="s">
        <v>375</v>
      </c>
      <c r="I108" s="110" t="s">
        <v>389</v>
      </c>
    </row>
    <row r="109" spans="1:10" x14ac:dyDescent="0.3">
      <c r="A109" s="190" t="s">
        <v>316</v>
      </c>
      <c r="B109" s="140"/>
      <c r="C109" s="177"/>
      <c r="D109" s="186"/>
      <c r="E109" s="95" t="s">
        <v>372</v>
      </c>
      <c r="F109" s="94">
        <v>44311</v>
      </c>
      <c r="G109" s="95" t="s">
        <v>313</v>
      </c>
      <c r="H109" s="95" t="s">
        <v>373</v>
      </c>
      <c r="I109">
        <v>1000</v>
      </c>
      <c r="J109" s="170">
        <v>1</v>
      </c>
    </row>
    <row r="110" spans="1:10" x14ac:dyDescent="0.3">
      <c r="A110" s="191" t="s">
        <v>396</v>
      </c>
      <c r="B110" s="182">
        <v>44311</v>
      </c>
      <c r="C110" s="138"/>
      <c r="D110" s="186"/>
      <c r="E110" s="2" t="s">
        <v>523</v>
      </c>
      <c r="I110" s="2">
        <f>+SUM(I109)</f>
        <v>1000</v>
      </c>
      <c r="J110" s="73">
        <v>-1</v>
      </c>
    </row>
    <row r="111" spans="1:10" x14ac:dyDescent="0.3">
      <c r="A111" s="189" t="s">
        <v>394</v>
      </c>
      <c r="B111" s="180" t="s">
        <v>303</v>
      </c>
      <c r="C111" s="138"/>
      <c r="D111" s="186"/>
      <c r="E111" s="121" t="s">
        <v>391</v>
      </c>
      <c r="F111" s="63"/>
      <c r="G111" s="69"/>
      <c r="H111" s="90"/>
      <c r="I111" s="91"/>
    </row>
    <row r="112" spans="1:10" x14ac:dyDescent="0.3">
      <c r="A112" s="190" t="s">
        <v>395</v>
      </c>
      <c r="B112" s="181" t="s">
        <v>303</v>
      </c>
      <c r="C112" s="138"/>
      <c r="D112" s="186"/>
      <c r="E112" s="119" t="s">
        <v>33</v>
      </c>
      <c r="F112" s="110" t="s">
        <v>529</v>
      </c>
      <c r="G112" s="110" t="s">
        <v>385</v>
      </c>
      <c r="H112" s="110" t="s">
        <v>528</v>
      </c>
      <c r="I112" s="110" t="s">
        <v>386</v>
      </c>
      <c r="J112" s="170">
        <v>1</v>
      </c>
    </row>
    <row r="113" spans="1:10" x14ac:dyDescent="0.3">
      <c r="A113" s="192" t="s">
        <v>390</v>
      </c>
      <c r="B113" s="183">
        <v>6.96</v>
      </c>
      <c r="C113" s="178" t="s">
        <v>404</v>
      </c>
      <c r="D113" s="186"/>
      <c r="E113" s="95" t="s">
        <v>527</v>
      </c>
      <c r="F113" s="21">
        <v>2</v>
      </c>
      <c r="G113" s="73">
        <f>+I109-F113</f>
        <v>998</v>
      </c>
      <c r="H113" s="75">
        <f>+G113*0.001</f>
        <v>0.998</v>
      </c>
      <c r="I113" s="75">
        <f>+G113-H113</f>
        <v>997.00199999999995</v>
      </c>
      <c r="J113" s="73">
        <v>-1</v>
      </c>
    </row>
    <row r="114" spans="1:10" x14ac:dyDescent="0.3">
      <c r="D114" s="185"/>
      <c r="E114" s="2" t="s">
        <v>525</v>
      </c>
      <c r="I114" s="230">
        <f>+SUM(I113)</f>
        <v>997.00199999999995</v>
      </c>
    </row>
    <row r="117" spans="1:10" x14ac:dyDescent="0.3">
      <c r="I117" s="2" t="s">
        <v>530</v>
      </c>
    </row>
    <row r="118" spans="1:10" ht="15.6" x14ac:dyDescent="0.3">
      <c r="A118" s="120"/>
      <c r="B118" s="120"/>
      <c r="C118" s="120"/>
      <c r="D118" s="120"/>
      <c r="E118" s="123" t="s">
        <v>334</v>
      </c>
      <c r="F118" s="120"/>
      <c r="G118" s="120"/>
      <c r="H118" s="120"/>
      <c r="I118" s="120"/>
    </row>
    <row r="119" spans="1:10" x14ac:dyDescent="0.3">
      <c r="A119" s="79"/>
      <c r="B119" s="79"/>
      <c r="C119" s="79"/>
      <c r="D119" s="79"/>
      <c r="E119" s="124" t="s">
        <v>301</v>
      </c>
      <c r="G119" s="79"/>
      <c r="H119" s="79"/>
      <c r="I119" s="79"/>
    </row>
    <row r="121" spans="1:10" x14ac:dyDescent="0.3">
      <c r="A121" s="187" t="s">
        <v>392</v>
      </c>
      <c r="B121" s="187"/>
      <c r="C121" s="187"/>
      <c r="D121" s="171"/>
      <c r="E121" s="121" t="s">
        <v>524</v>
      </c>
      <c r="F121" s="69"/>
      <c r="G121" s="69"/>
      <c r="H121" s="69"/>
      <c r="I121" s="69"/>
    </row>
    <row r="122" spans="1:10" x14ac:dyDescent="0.3">
      <c r="A122" s="188" t="s">
        <v>393</v>
      </c>
      <c r="B122" s="184" t="s">
        <v>303</v>
      </c>
      <c r="C122" s="139"/>
      <c r="D122" s="186"/>
      <c r="E122" s="119" t="s">
        <v>476</v>
      </c>
      <c r="F122" s="119" t="s">
        <v>377</v>
      </c>
      <c r="G122" s="119" t="s">
        <v>374</v>
      </c>
      <c r="H122" s="119" t="s">
        <v>375</v>
      </c>
      <c r="I122" s="110" t="s">
        <v>389</v>
      </c>
    </row>
    <row r="123" spans="1:10" x14ac:dyDescent="0.3">
      <c r="A123" s="190" t="s">
        <v>316</v>
      </c>
      <c r="B123" s="140"/>
      <c r="C123" s="177"/>
      <c r="D123" s="186"/>
      <c r="E123" s="95" t="s">
        <v>372</v>
      </c>
      <c r="F123" s="94">
        <v>44311</v>
      </c>
      <c r="G123" s="95" t="s">
        <v>313</v>
      </c>
      <c r="H123" s="95" t="s">
        <v>373</v>
      </c>
      <c r="I123">
        <v>1000</v>
      </c>
      <c r="J123" s="170">
        <v>1</v>
      </c>
    </row>
    <row r="124" spans="1:10" x14ac:dyDescent="0.3">
      <c r="A124" s="191" t="s">
        <v>396</v>
      </c>
      <c r="B124" s="182">
        <v>44311</v>
      </c>
      <c r="C124" s="138"/>
      <c r="D124" s="186"/>
      <c r="E124" s="2" t="s">
        <v>523</v>
      </c>
      <c r="I124" s="2">
        <f>+SUM(I123)</f>
        <v>1000</v>
      </c>
      <c r="J124" s="73">
        <v>-1</v>
      </c>
    </row>
    <row r="125" spans="1:10" x14ac:dyDescent="0.3">
      <c r="A125" s="189" t="s">
        <v>394</v>
      </c>
      <c r="B125" s="180" t="s">
        <v>303</v>
      </c>
      <c r="C125" s="138"/>
      <c r="D125" s="186"/>
      <c r="E125" s="121" t="s">
        <v>391</v>
      </c>
      <c r="F125" s="63"/>
      <c r="G125" s="69"/>
      <c r="H125" s="90"/>
      <c r="I125" s="91"/>
    </row>
    <row r="126" spans="1:10" x14ac:dyDescent="0.3">
      <c r="A126" s="190" t="s">
        <v>395</v>
      </c>
      <c r="B126" s="181" t="s">
        <v>303</v>
      </c>
      <c r="C126" s="138"/>
      <c r="D126" s="186"/>
      <c r="E126" s="119" t="s">
        <v>33</v>
      </c>
      <c r="F126" s="110" t="s">
        <v>529</v>
      </c>
      <c r="G126" s="110" t="s">
        <v>385</v>
      </c>
      <c r="H126" s="110" t="s">
        <v>528</v>
      </c>
      <c r="I126" s="110" t="s">
        <v>386</v>
      </c>
      <c r="J126" s="170">
        <v>1</v>
      </c>
    </row>
    <row r="127" spans="1:10" x14ac:dyDescent="0.3">
      <c r="A127" s="192" t="s">
        <v>390</v>
      </c>
      <c r="B127" s="183">
        <v>6.96</v>
      </c>
      <c r="C127" s="178" t="s">
        <v>404</v>
      </c>
      <c r="D127" s="186"/>
      <c r="E127" s="95" t="s">
        <v>372</v>
      </c>
      <c r="F127" s="21">
        <v>2</v>
      </c>
      <c r="G127" s="73">
        <f>+I123-F127</f>
        <v>998</v>
      </c>
      <c r="H127" s="75">
        <f>+G127*0.001</f>
        <v>0.998</v>
      </c>
      <c r="I127" s="75">
        <f>+G127-H127</f>
        <v>997.00199999999995</v>
      </c>
      <c r="J127" s="73">
        <v>-1</v>
      </c>
    </row>
    <row r="128" spans="1:10" x14ac:dyDescent="0.3">
      <c r="D128" s="185"/>
      <c r="E128" s="2" t="s">
        <v>525</v>
      </c>
      <c r="I128" s="230">
        <f>+SUM(I127)</f>
        <v>997.00199999999995</v>
      </c>
    </row>
    <row r="131" spans="1:10" x14ac:dyDescent="0.3">
      <c r="I131" s="2" t="s">
        <v>531</v>
      </c>
    </row>
    <row r="132" spans="1:10" ht="15.6" x14ac:dyDescent="0.3">
      <c r="A132" s="120"/>
      <c r="B132" s="120"/>
      <c r="C132" s="120"/>
      <c r="D132" s="120"/>
      <c r="E132" s="123" t="s">
        <v>334</v>
      </c>
      <c r="F132" s="120"/>
      <c r="G132" s="120"/>
      <c r="H132" s="120"/>
      <c r="I132" s="120"/>
    </row>
    <row r="133" spans="1:10" x14ac:dyDescent="0.3">
      <c r="A133" s="79"/>
      <c r="B133" s="79"/>
      <c r="C133" s="79"/>
      <c r="D133" s="79"/>
      <c r="E133" s="124" t="s">
        <v>301</v>
      </c>
      <c r="G133" s="79"/>
      <c r="H133" s="79"/>
      <c r="I133" s="79"/>
    </row>
    <row r="135" spans="1:10" x14ac:dyDescent="0.3">
      <c r="A135" s="187" t="s">
        <v>392</v>
      </c>
      <c r="B135" s="187"/>
      <c r="C135" s="187"/>
      <c r="D135" s="171"/>
      <c r="E135" s="121" t="s">
        <v>524</v>
      </c>
      <c r="F135" s="69"/>
      <c r="G135" s="69"/>
      <c r="H135" s="69"/>
      <c r="I135" s="69"/>
    </row>
    <row r="136" spans="1:10" x14ac:dyDescent="0.3">
      <c r="A136" s="188" t="s">
        <v>393</v>
      </c>
      <c r="B136" s="184" t="s">
        <v>303</v>
      </c>
      <c r="C136" s="139"/>
      <c r="D136" s="186"/>
      <c r="E136" s="119" t="s">
        <v>376</v>
      </c>
      <c r="F136" s="119" t="s">
        <v>377</v>
      </c>
      <c r="G136" s="119" t="s">
        <v>374</v>
      </c>
      <c r="H136" s="119" t="s">
        <v>375</v>
      </c>
      <c r="I136" s="110" t="s">
        <v>389</v>
      </c>
    </row>
    <row r="137" spans="1:10" x14ac:dyDescent="0.3">
      <c r="A137" s="190" t="s">
        <v>316</v>
      </c>
      <c r="B137" s="140"/>
      <c r="C137" s="177"/>
      <c r="D137" s="186"/>
      <c r="E137" s="95" t="s">
        <v>460</v>
      </c>
      <c r="F137" s="94">
        <v>44311</v>
      </c>
      <c r="G137" s="95" t="s">
        <v>313</v>
      </c>
      <c r="H137" s="95" t="s">
        <v>373</v>
      </c>
      <c r="I137">
        <v>1000</v>
      </c>
      <c r="J137" s="170">
        <v>1</v>
      </c>
    </row>
    <row r="138" spans="1:10" x14ac:dyDescent="0.3">
      <c r="A138" s="191" t="s">
        <v>396</v>
      </c>
      <c r="B138" s="182">
        <v>44311</v>
      </c>
      <c r="C138" s="138"/>
      <c r="D138" s="186"/>
      <c r="E138" s="2" t="s">
        <v>523</v>
      </c>
      <c r="I138" s="2">
        <f>+SUM(I137)</f>
        <v>1000</v>
      </c>
      <c r="J138" s="73">
        <v>-1</v>
      </c>
    </row>
    <row r="139" spans="1:10" x14ac:dyDescent="0.3">
      <c r="A139" s="189" t="s">
        <v>394</v>
      </c>
      <c r="B139" s="180" t="s">
        <v>303</v>
      </c>
      <c r="C139" s="138"/>
      <c r="D139" s="186"/>
      <c r="E139" s="121" t="s">
        <v>391</v>
      </c>
      <c r="F139" s="63"/>
      <c r="G139" s="69"/>
      <c r="H139" s="90"/>
      <c r="I139" s="91"/>
    </row>
    <row r="140" spans="1:10" x14ac:dyDescent="0.3">
      <c r="A140" s="190" t="s">
        <v>395</v>
      </c>
      <c r="B140" s="181" t="s">
        <v>303</v>
      </c>
      <c r="C140" s="138"/>
      <c r="D140" s="186"/>
      <c r="E140" s="119" t="s">
        <v>33</v>
      </c>
      <c r="F140" s="110" t="s">
        <v>529</v>
      </c>
      <c r="G140" s="110" t="s">
        <v>385</v>
      </c>
      <c r="H140" s="110" t="s">
        <v>528</v>
      </c>
      <c r="I140" s="110" t="s">
        <v>386</v>
      </c>
      <c r="J140" s="170">
        <v>1</v>
      </c>
    </row>
    <row r="141" spans="1:10" x14ac:dyDescent="0.3">
      <c r="A141" s="192" t="s">
        <v>390</v>
      </c>
      <c r="B141" s="183">
        <v>6.96</v>
      </c>
      <c r="C141" s="178" t="s">
        <v>404</v>
      </c>
      <c r="D141" s="186"/>
      <c r="E141" s="95">
        <v>1</v>
      </c>
      <c r="F141" s="21">
        <v>2</v>
      </c>
      <c r="G141" s="73">
        <f>+I137-F141</f>
        <v>998</v>
      </c>
      <c r="H141" s="75">
        <f>+G141*0.001</f>
        <v>0.998</v>
      </c>
      <c r="I141" s="75">
        <f>+G141-H141</f>
        <v>997.00199999999995</v>
      </c>
      <c r="J141" s="73">
        <v>-1</v>
      </c>
    </row>
    <row r="142" spans="1:10" x14ac:dyDescent="0.3">
      <c r="D142" s="185"/>
      <c r="E142" s="2" t="s">
        <v>525</v>
      </c>
      <c r="I142" s="230">
        <f>+SUM(I141)</f>
        <v>997.00199999999995</v>
      </c>
    </row>
    <row r="153" spans="1:27" x14ac:dyDescent="0.3">
      <c r="A153" s="46"/>
    </row>
    <row r="154" spans="1:27" x14ac:dyDescent="0.3">
      <c r="A154" s="288"/>
      <c r="B154" s="289"/>
      <c r="C154" s="238"/>
      <c r="D154" s="238"/>
      <c r="E154" s="289" t="s">
        <v>334</v>
      </c>
      <c r="F154" s="289"/>
      <c r="G154" s="238"/>
      <c r="H154" s="289"/>
      <c r="I154" s="290"/>
      <c r="J154" s="237"/>
      <c r="K154" s="238"/>
      <c r="L154" s="238"/>
      <c r="M154" s="238"/>
      <c r="N154" s="238" t="s">
        <v>334</v>
      </c>
      <c r="O154" s="238"/>
      <c r="P154" s="238"/>
      <c r="Q154" s="238"/>
      <c r="R154" s="239"/>
      <c r="S154" s="237"/>
      <c r="T154" s="238"/>
      <c r="U154" s="238"/>
      <c r="V154" s="238"/>
      <c r="W154" s="238" t="s">
        <v>334</v>
      </c>
      <c r="X154" s="238"/>
      <c r="Y154" s="238"/>
      <c r="Z154" s="238"/>
      <c r="AA154" s="239"/>
    </row>
    <row r="155" spans="1:27" x14ac:dyDescent="0.3">
      <c r="A155" s="240"/>
      <c r="B155" s="241"/>
      <c r="C155" s="241"/>
      <c r="D155" s="241"/>
      <c r="E155" s="243" t="s">
        <v>301</v>
      </c>
      <c r="F155" s="241"/>
      <c r="G155" s="241"/>
      <c r="H155" s="241"/>
      <c r="I155" s="242"/>
      <c r="J155" s="240"/>
      <c r="K155" s="241"/>
      <c r="L155" s="241"/>
      <c r="M155" s="241"/>
      <c r="N155" s="243" t="s">
        <v>301</v>
      </c>
      <c r="O155" s="241"/>
      <c r="P155" s="241"/>
      <c r="Q155" s="241"/>
      <c r="R155" s="242"/>
      <c r="S155" s="240"/>
      <c r="T155" s="241"/>
      <c r="U155" s="241"/>
      <c r="V155" s="241"/>
      <c r="W155" s="243" t="s">
        <v>301</v>
      </c>
      <c r="X155" s="241"/>
      <c r="Y155" s="241"/>
      <c r="Z155" s="241"/>
      <c r="AA155" s="242"/>
    </row>
    <row r="157" spans="1:27" x14ac:dyDescent="0.3">
      <c r="A157" s="169" t="s">
        <v>548</v>
      </c>
      <c r="B157" s="161"/>
      <c r="C157" s="162"/>
      <c r="E157" s="250" t="s">
        <v>524</v>
      </c>
      <c r="F157" s="251"/>
      <c r="G157" s="251"/>
      <c r="H157" s="251"/>
      <c r="I157" s="251"/>
      <c r="J157" s="169" t="s">
        <v>548</v>
      </c>
      <c r="K157" s="161"/>
      <c r="L157" s="162"/>
      <c r="N157" s="250" t="s">
        <v>524</v>
      </c>
      <c r="O157" s="251"/>
      <c r="P157" s="251"/>
      <c r="Q157" s="251"/>
      <c r="R157" s="251"/>
      <c r="S157" s="169" t="s">
        <v>548</v>
      </c>
      <c r="T157" s="161"/>
      <c r="U157" s="162"/>
      <c r="W157" s="250" t="s">
        <v>524</v>
      </c>
      <c r="X157" s="251"/>
      <c r="Y157" s="251"/>
      <c r="Z157" s="251"/>
      <c r="AA157" s="252"/>
    </row>
    <row r="158" spans="1:27" x14ac:dyDescent="0.3">
      <c r="A158" s="150" t="s">
        <v>393</v>
      </c>
      <c r="B158" s="163" t="s">
        <v>303</v>
      </c>
      <c r="C158" s="164"/>
      <c r="E158" s="254" t="s">
        <v>376</v>
      </c>
      <c r="F158" s="292" t="s">
        <v>377</v>
      </c>
      <c r="G158" s="257" t="s">
        <v>443</v>
      </c>
      <c r="H158" s="257" t="s">
        <v>375</v>
      </c>
      <c r="I158" s="282" t="s">
        <v>552</v>
      </c>
      <c r="J158" s="150" t="s">
        <v>393</v>
      </c>
      <c r="K158" s="163" t="s">
        <v>303</v>
      </c>
      <c r="L158" s="164"/>
      <c r="N158" s="254" t="s">
        <v>376</v>
      </c>
      <c r="O158" s="292" t="s">
        <v>377</v>
      </c>
      <c r="P158" s="257" t="s">
        <v>443</v>
      </c>
      <c r="Q158" s="257" t="s">
        <v>375</v>
      </c>
      <c r="R158" s="282" t="s">
        <v>552</v>
      </c>
      <c r="S158" s="150" t="s">
        <v>393</v>
      </c>
      <c r="T158" s="163" t="s">
        <v>303</v>
      </c>
      <c r="U158" s="164"/>
      <c r="W158" s="254" t="s">
        <v>376</v>
      </c>
      <c r="X158" s="292" t="s">
        <v>377</v>
      </c>
      <c r="Y158" s="257" t="s">
        <v>443</v>
      </c>
      <c r="Z158" s="257" t="s">
        <v>375</v>
      </c>
      <c r="AA158" s="258" t="s">
        <v>552</v>
      </c>
    </row>
    <row r="159" spans="1:27" x14ac:dyDescent="0.3">
      <c r="A159" s="150" t="s">
        <v>316</v>
      </c>
      <c r="B159" s="163" t="s">
        <v>549</v>
      </c>
      <c r="C159" s="164"/>
      <c r="E159" s="256" t="s">
        <v>546</v>
      </c>
      <c r="F159" s="293">
        <v>44232</v>
      </c>
      <c r="G159" s="259" t="s">
        <v>168</v>
      </c>
      <c r="H159" s="259" t="s">
        <v>374</v>
      </c>
      <c r="I159" s="283">
        <v>18.18</v>
      </c>
      <c r="J159" s="150" t="s">
        <v>316</v>
      </c>
      <c r="K159" s="163" t="s">
        <v>549</v>
      </c>
      <c r="L159" s="164"/>
      <c r="N159" s="256" t="s">
        <v>546</v>
      </c>
      <c r="O159" s="293">
        <v>44232</v>
      </c>
      <c r="P159" s="259" t="s">
        <v>168</v>
      </c>
      <c r="Q159" s="259" t="s">
        <v>374</v>
      </c>
      <c r="R159" s="283">
        <v>18.18</v>
      </c>
      <c r="S159" s="150" t="s">
        <v>316</v>
      </c>
      <c r="T159" s="163" t="s">
        <v>549</v>
      </c>
      <c r="U159" s="164"/>
      <c r="W159" s="256" t="s">
        <v>546</v>
      </c>
      <c r="X159" s="293">
        <v>44232</v>
      </c>
      <c r="Y159" s="259" t="s">
        <v>168</v>
      </c>
      <c r="Z159" s="259" t="s">
        <v>374</v>
      </c>
      <c r="AA159" s="260">
        <v>18.18</v>
      </c>
    </row>
    <row r="160" spans="1:27" ht="15" thickBot="1" x14ac:dyDescent="0.35">
      <c r="A160" s="150" t="s">
        <v>396</v>
      </c>
      <c r="B160" s="291">
        <v>44331</v>
      </c>
      <c r="C160" s="164"/>
      <c r="E160" s="141" t="s">
        <v>523</v>
      </c>
      <c r="F160" s="263"/>
      <c r="G160" s="263"/>
      <c r="H160" s="263"/>
      <c r="I160" s="263">
        <v>18.18</v>
      </c>
      <c r="J160" s="150" t="s">
        <v>396</v>
      </c>
      <c r="K160" s="291">
        <v>44331</v>
      </c>
      <c r="L160" s="164"/>
      <c r="N160" s="141" t="s">
        <v>523</v>
      </c>
      <c r="O160" s="263"/>
      <c r="P160" s="263"/>
      <c r="Q160" s="263"/>
      <c r="R160" s="263">
        <v>18.18</v>
      </c>
      <c r="S160" s="150" t="s">
        <v>396</v>
      </c>
      <c r="T160" s="291">
        <v>44331</v>
      </c>
      <c r="U160" s="164"/>
      <c r="W160" s="141" t="s">
        <v>523</v>
      </c>
      <c r="X160" s="263"/>
      <c r="Y160" s="263"/>
      <c r="Z160" s="263"/>
      <c r="AA160" s="264">
        <v>18.18</v>
      </c>
    </row>
    <row r="161" spans="1:27" ht="15" thickTop="1" x14ac:dyDescent="0.3">
      <c r="A161" s="150" t="s">
        <v>394</v>
      </c>
      <c r="B161" s="163" t="s">
        <v>303</v>
      </c>
      <c r="C161" s="164"/>
      <c r="E161" s="265" t="s">
        <v>391</v>
      </c>
      <c r="F161" s="266"/>
      <c r="G161" s="266"/>
      <c r="H161" s="266"/>
      <c r="I161" s="266"/>
      <c r="J161" s="150" t="s">
        <v>394</v>
      </c>
      <c r="K161" s="163" t="s">
        <v>303</v>
      </c>
      <c r="L161" s="164"/>
      <c r="N161" s="265" t="s">
        <v>391</v>
      </c>
      <c r="O161" s="266"/>
      <c r="P161" s="266"/>
      <c r="Q161" s="266"/>
      <c r="R161" s="266"/>
      <c r="S161" s="150" t="s">
        <v>394</v>
      </c>
      <c r="T161" s="163" t="s">
        <v>303</v>
      </c>
      <c r="U161" s="164"/>
      <c r="W161" s="265" t="s">
        <v>391</v>
      </c>
      <c r="X161" s="266"/>
      <c r="Y161" s="266"/>
      <c r="Z161" s="266"/>
      <c r="AA161" s="267"/>
    </row>
    <row r="162" spans="1:27" x14ac:dyDescent="0.3">
      <c r="A162" s="150" t="s">
        <v>395</v>
      </c>
      <c r="B162" s="163" t="s">
        <v>303</v>
      </c>
      <c r="C162" s="164"/>
      <c r="E162" s="254" t="s">
        <v>33</v>
      </c>
      <c r="F162" s="257" t="s">
        <v>529</v>
      </c>
      <c r="G162" s="257" t="s">
        <v>553</v>
      </c>
      <c r="H162" s="257" t="s">
        <v>528</v>
      </c>
      <c r="I162" s="282" t="s">
        <v>386</v>
      </c>
      <c r="J162" s="150" t="s">
        <v>395</v>
      </c>
      <c r="K162" s="163" t="s">
        <v>303</v>
      </c>
      <c r="L162" s="164"/>
      <c r="N162" s="254" t="s">
        <v>33</v>
      </c>
      <c r="O162" s="257" t="s">
        <v>529</v>
      </c>
      <c r="P162" s="257" t="s">
        <v>553</v>
      </c>
      <c r="Q162" s="257" t="s">
        <v>528</v>
      </c>
      <c r="R162" s="282" t="s">
        <v>386</v>
      </c>
      <c r="S162" s="150" t="s">
        <v>395</v>
      </c>
      <c r="T162" s="163" t="s">
        <v>303</v>
      </c>
      <c r="U162" s="164"/>
      <c r="W162" s="254" t="s">
        <v>33</v>
      </c>
      <c r="X162" s="257" t="s">
        <v>529</v>
      </c>
      <c r="Y162" s="257" t="s">
        <v>553</v>
      </c>
      <c r="Z162" s="257" t="s">
        <v>528</v>
      </c>
      <c r="AA162" s="258" t="s">
        <v>386</v>
      </c>
    </row>
    <row r="163" spans="1:27" x14ac:dyDescent="0.3">
      <c r="A163" s="244" t="s">
        <v>550</v>
      </c>
      <c r="B163" s="246">
        <v>6.96</v>
      </c>
      <c r="C163" s="245" t="s">
        <v>359</v>
      </c>
      <c r="E163" s="268" t="s">
        <v>554</v>
      </c>
      <c r="F163" s="259">
        <v>5.5</v>
      </c>
      <c r="G163" s="259">
        <v>17.180099999999999</v>
      </c>
      <c r="H163" s="259">
        <v>1</v>
      </c>
      <c r="I163" s="283">
        <v>17.008299000000001</v>
      </c>
      <c r="J163" s="244" t="s">
        <v>550</v>
      </c>
      <c r="K163" s="246">
        <v>6.96</v>
      </c>
      <c r="L163" s="245" t="s">
        <v>359</v>
      </c>
      <c r="N163" s="268" t="s">
        <v>554</v>
      </c>
      <c r="O163" s="259">
        <v>2</v>
      </c>
      <c r="P163" s="259">
        <v>17.816399999999998</v>
      </c>
      <c r="Q163" s="259">
        <v>1</v>
      </c>
      <c r="R163" s="283">
        <v>17.638235999999999</v>
      </c>
      <c r="S163" s="244" t="s">
        <v>550</v>
      </c>
      <c r="T163" s="246">
        <v>6.96</v>
      </c>
      <c r="U163" s="245" t="s">
        <v>359</v>
      </c>
      <c r="W163" s="268" t="s">
        <v>554</v>
      </c>
      <c r="X163" s="259">
        <v>4</v>
      </c>
      <c r="Y163" s="259">
        <v>17.4528</v>
      </c>
      <c r="Z163" s="259">
        <v>1.1000000000000001</v>
      </c>
      <c r="AA163" s="260">
        <v>17.2608192</v>
      </c>
    </row>
    <row r="164" spans="1:27" ht="15" thickBot="1" x14ac:dyDescent="0.35">
      <c r="E164" s="141" t="s">
        <v>525</v>
      </c>
      <c r="F164" s="263"/>
      <c r="G164" s="263"/>
      <c r="H164" s="263"/>
      <c r="I164" s="264">
        <v>17.008299000000001</v>
      </c>
      <c r="N164" s="141" t="s">
        <v>525</v>
      </c>
      <c r="O164" s="263"/>
      <c r="P164" s="263"/>
      <c r="Q164" s="263"/>
      <c r="R164" s="264">
        <v>17.638235999999999</v>
      </c>
      <c r="W164" s="141" t="s">
        <v>525</v>
      </c>
      <c r="X164" s="263"/>
      <c r="Y164" s="263"/>
      <c r="Z164" s="263"/>
      <c r="AA164" s="264">
        <v>17.2608192</v>
      </c>
    </row>
    <row r="165" spans="1:27" ht="15" thickTop="1" x14ac:dyDescent="0.3">
      <c r="A165" s="169" t="s">
        <v>339</v>
      </c>
      <c r="B165" s="161"/>
      <c r="C165" s="162"/>
      <c r="E165" s="265" t="s">
        <v>346</v>
      </c>
      <c r="F165" s="266"/>
      <c r="G165" s="266"/>
      <c r="H165" s="266"/>
      <c r="I165" s="266"/>
      <c r="J165" s="169" t="s">
        <v>339</v>
      </c>
      <c r="K165" s="161"/>
      <c r="L165" s="162"/>
      <c r="N165" s="265" t="s">
        <v>346</v>
      </c>
      <c r="O165" s="266"/>
      <c r="P165" s="266"/>
      <c r="Q165" s="266"/>
      <c r="R165" s="266"/>
      <c r="S165" s="169" t="s">
        <v>339</v>
      </c>
      <c r="T165" s="161"/>
      <c r="U165" s="162"/>
      <c r="W165" s="265" t="s">
        <v>346</v>
      </c>
      <c r="X165" s="266"/>
      <c r="Y165" s="266"/>
      <c r="Z165" s="266"/>
      <c r="AA165" s="267"/>
    </row>
    <row r="166" spans="1:27" x14ac:dyDescent="0.3">
      <c r="A166" s="150" t="s">
        <v>307</v>
      </c>
      <c r="B166" s="247" t="s">
        <v>260</v>
      </c>
      <c r="C166" s="248"/>
      <c r="E166" s="254" t="s">
        <v>33</v>
      </c>
      <c r="F166" s="257" t="s">
        <v>555</v>
      </c>
      <c r="G166" s="257" t="s">
        <v>556</v>
      </c>
      <c r="H166" s="257" t="s">
        <v>557</v>
      </c>
      <c r="I166" s="282" t="s">
        <v>558</v>
      </c>
      <c r="J166" s="150" t="s">
        <v>307</v>
      </c>
      <c r="K166" s="247" t="s">
        <v>260</v>
      </c>
      <c r="L166" s="248"/>
      <c r="N166" s="254" t="s">
        <v>33</v>
      </c>
      <c r="O166" s="257" t="s">
        <v>555</v>
      </c>
      <c r="P166" s="257" t="s">
        <v>556</v>
      </c>
      <c r="Q166" s="257" t="s">
        <v>557</v>
      </c>
      <c r="R166" s="282" t="s">
        <v>558</v>
      </c>
      <c r="S166" s="150" t="s">
        <v>307</v>
      </c>
      <c r="T166" s="247" t="s">
        <v>260</v>
      </c>
      <c r="U166" s="248"/>
      <c r="W166" s="254" t="s">
        <v>33</v>
      </c>
      <c r="X166" s="257" t="s">
        <v>555</v>
      </c>
      <c r="Y166" s="257" t="s">
        <v>556</v>
      </c>
      <c r="Z166" s="257" t="s">
        <v>557</v>
      </c>
      <c r="AA166" s="258" t="s">
        <v>558</v>
      </c>
    </row>
    <row r="167" spans="1:27" x14ac:dyDescent="0.3">
      <c r="A167" s="150" t="s">
        <v>308</v>
      </c>
      <c r="B167" s="247" t="s">
        <v>449</v>
      </c>
      <c r="C167" s="248"/>
      <c r="E167" s="256">
        <v>1</v>
      </c>
      <c r="F167" s="269">
        <v>6.5</v>
      </c>
      <c r="G167" s="259">
        <v>13.1</v>
      </c>
      <c r="H167" s="259">
        <v>1448.25665985</v>
      </c>
      <c r="I167" s="283">
        <v>10079.866352556</v>
      </c>
      <c r="J167" s="150" t="s">
        <v>308</v>
      </c>
      <c r="K167" s="247" t="s">
        <v>450</v>
      </c>
      <c r="L167" s="248"/>
      <c r="N167" s="256">
        <v>1</v>
      </c>
      <c r="O167" s="284">
        <v>1</v>
      </c>
      <c r="P167" s="259">
        <v>1</v>
      </c>
      <c r="Q167" s="259">
        <v>17.638235999999999</v>
      </c>
      <c r="R167" s="283">
        <v>122.76212255999999</v>
      </c>
      <c r="S167" s="150" t="s">
        <v>308</v>
      </c>
      <c r="T167" s="247" t="s">
        <v>451</v>
      </c>
      <c r="U167" s="248"/>
      <c r="W167" s="253">
        <v>1</v>
      </c>
      <c r="X167" s="287">
        <v>1</v>
      </c>
      <c r="Y167" s="285">
        <v>1</v>
      </c>
      <c r="Z167" s="285">
        <v>17.2608192</v>
      </c>
      <c r="AA167" s="286">
        <v>120.13530163200001</v>
      </c>
    </row>
    <row r="168" spans="1:27" ht="15" thickBot="1" x14ac:dyDescent="0.35">
      <c r="A168" s="150" t="s">
        <v>551</v>
      </c>
      <c r="B168" s="247" t="s">
        <v>260</v>
      </c>
      <c r="C168" s="248"/>
      <c r="E168" s="141" t="s">
        <v>559</v>
      </c>
      <c r="F168" s="263"/>
      <c r="G168" s="263"/>
      <c r="H168" s="263">
        <v>1448.25665985</v>
      </c>
      <c r="I168" s="263">
        <v>10079.866352556</v>
      </c>
      <c r="J168" s="150" t="s">
        <v>551</v>
      </c>
      <c r="K168" s="247" t="s">
        <v>260</v>
      </c>
      <c r="L168" s="248"/>
      <c r="N168" s="141" t="s">
        <v>559</v>
      </c>
      <c r="O168" s="263"/>
      <c r="P168" s="263"/>
      <c r="Q168" s="263">
        <v>17.638235999999999</v>
      </c>
      <c r="R168" s="263">
        <v>122.76212255999999</v>
      </c>
      <c r="S168" s="150" t="s">
        <v>551</v>
      </c>
      <c r="T168" s="247" t="s">
        <v>260</v>
      </c>
      <c r="U168" s="248"/>
      <c r="W168" s="256">
        <v>1</v>
      </c>
      <c r="X168" s="284">
        <v>2</v>
      </c>
      <c r="Y168" s="259">
        <v>1</v>
      </c>
      <c r="Z168" s="259">
        <v>34.521638400000001</v>
      </c>
      <c r="AA168" s="260">
        <v>240.27060326400002</v>
      </c>
    </row>
    <row r="169" spans="1:27" ht="15.6" thickTop="1" thickBot="1" x14ac:dyDescent="0.35">
      <c r="A169" s="150" t="s">
        <v>311</v>
      </c>
      <c r="B169" s="247" t="s">
        <v>312</v>
      </c>
      <c r="C169" s="248"/>
      <c r="E169" s="270" t="s">
        <v>387</v>
      </c>
      <c r="F169" s="271"/>
      <c r="G169" s="271"/>
      <c r="H169" s="271"/>
      <c r="I169" s="271"/>
      <c r="J169" s="150" t="s">
        <v>311</v>
      </c>
      <c r="K169" s="247" t="s">
        <v>453</v>
      </c>
      <c r="L169" s="248"/>
      <c r="N169" s="270" t="s">
        <v>387</v>
      </c>
      <c r="O169" s="271"/>
      <c r="P169" s="271"/>
      <c r="Q169" s="271"/>
      <c r="R169" s="271"/>
      <c r="S169" s="150" t="s">
        <v>311</v>
      </c>
      <c r="T169" s="247" t="s">
        <v>312</v>
      </c>
      <c r="U169" s="248"/>
      <c r="W169" s="141" t="s">
        <v>559</v>
      </c>
      <c r="X169" s="263"/>
      <c r="Y169" s="263"/>
      <c r="Z169" s="263">
        <v>51.782457600000001</v>
      </c>
      <c r="AA169" s="264">
        <v>360.40590489600004</v>
      </c>
    </row>
    <row r="170" spans="1:27" ht="15" thickTop="1" x14ac:dyDescent="0.3">
      <c r="A170" s="150" t="s">
        <v>314</v>
      </c>
      <c r="B170" s="247" t="s">
        <v>260</v>
      </c>
      <c r="C170" s="248"/>
      <c r="E170" s="150" t="s">
        <v>537</v>
      </c>
      <c r="F170" s="247"/>
      <c r="G170" s="247"/>
      <c r="H170" s="247"/>
      <c r="I170" s="247"/>
      <c r="J170" s="150" t="s">
        <v>314</v>
      </c>
      <c r="K170" s="247" t="s">
        <v>260</v>
      </c>
      <c r="L170" s="248"/>
      <c r="N170" s="150" t="s">
        <v>537</v>
      </c>
      <c r="O170" s="247"/>
      <c r="P170" s="247"/>
      <c r="Q170" s="247"/>
      <c r="R170" s="247"/>
      <c r="S170" s="150" t="s">
        <v>314</v>
      </c>
      <c r="T170" s="247" t="s">
        <v>260</v>
      </c>
      <c r="U170" s="248"/>
      <c r="W170" s="270" t="s">
        <v>387</v>
      </c>
      <c r="X170" s="271"/>
      <c r="Y170" s="271"/>
      <c r="Z170" s="271"/>
      <c r="AA170" s="272"/>
    </row>
    <row r="171" spans="1:27" x14ac:dyDescent="0.3">
      <c r="A171" s="244" t="s">
        <v>315</v>
      </c>
      <c r="B171" s="246" t="s">
        <v>260</v>
      </c>
      <c r="C171" s="249"/>
      <c r="E171" s="150" t="s">
        <v>560</v>
      </c>
      <c r="F171" s="247">
        <v>3.6</v>
      </c>
      <c r="G171" s="247"/>
      <c r="H171" s="247">
        <v>52.137239754600003</v>
      </c>
      <c r="I171" s="247">
        <v>362.87518869201602</v>
      </c>
      <c r="J171" s="244" t="s">
        <v>315</v>
      </c>
      <c r="K171" s="246" t="s">
        <v>260</v>
      </c>
      <c r="L171" s="249"/>
      <c r="N171" s="150" t="s">
        <v>560</v>
      </c>
      <c r="O171" s="247">
        <v>3</v>
      </c>
      <c r="P171" s="247"/>
      <c r="Q171" s="247">
        <v>0.52914707999999999</v>
      </c>
      <c r="R171" s="247">
        <v>3.6828636768000003</v>
      </c>
      <c r="S171" s="244" t="s">
        <v>315</v>
      </c>
      <c r="T171" s="246" t="s">
        <v>260</v>
      </c>
      <c r="U171" s="249"/>
      <c r="W171" s="150" t="s">
        <v>537</v>
      </c>
      <c r="X171" s="247"/>
      <c r="Y171" s="247"/>
      <c r="Z171" s="247"/>
      <c r="AA171" s="248"/>
    </row>
    <row r="172" spans="1:27" x14ac:dyDescent="0.3">
      <c r="E172" s="150" t="s">
        <v>536</v>
      </c>
      <c r="F172" s="247"/>
      <c r="G172" s="247"/>
      <c r="H172" s="247"/>
      <c r="I172" s="248"/>
      <c r="N172" s="150" t="s">
        <v>536</v>
      </c>
      <c r="O172" s="247"/>
      <c r="P172" s="247"/>
      <c r="Q172" s="247"/>
      <c r="R172" s="248"/>
      <c r="W172" s="150" t="s">
        <v>560</v>
      </c>
      <c r="X172" s="247">
        <v>6</v>
      </c>
      <c r="Y172" s="247"/>
      <c r="Z172" s="247">
        <v>3.1069474560000003</v>
      </c>
      <c r="AA172" s="248">
        <v>21.624354293760003</v>
      </c>
    </row>
    <row r="173" spans="1:27" x14ac:dyDescent="0.3">
      <c r="E173" s="150" t="s">
        <v>350</v>
      </c>
      <c r="F173" s="247">
        <v>1.85</v>
      </c>
      <c r="G173" s="247"/>
      <c r="H173" s="247">
        <v>26.792748207225003</v>
      </c>
      <c r="I173" s="248">
        <v>186.47752752228601</v>
      </c>
      <c r="N173" s="150" t="s">
        <v>350</v>
      </c>
      <c r="O173" s="247">
        <v>1.85</v>
      </c>
      <c r="P173" s="247"/>
      <c r="Q173" s="247">
        <v>0.32630736599999999</v>
      </c>
      <c r="R173" s="248">
        <v>2.2710992673599999</v>
      </c>
      <c r="W173" s="150" t="s">
        <v>536</v>
      </c>
      <c r="X173" s="247"/>
      <c r="Y173" s="247"/>
      <c r="Z173" s="247"/>
      <c r="AA173" s="248"/>
    </row>
    <row r="174" spans="1:27" x14ac:dyDescent="0.3">
      <c r="E174" s="150" t="s">
        <v>349</v>
      </c>
      <c r="F174" s="247">
        <v>1</v>
      </c>
      <c r="G174" s="247"/>
      <c r="H174" s="247">
        <v>14.4825665985</v>
      </c>
      <c r="I174" s="248">
        <v>100.79866352556</v>
      </c>
      <c r="N174" s="151" t="s">
        <v>349</v>
      </c>
      <c r="O174" s="273">
        <v>1</v>
      </c>
      <c r="P174" s="273"/>
      <c r="Q174" s="273">
        <v>0.17638235999999999</v>
      </c>
      <c r="R174" s="274">
        <v>1.2276212255999999</v>
      </c>
      <c r="W174" s="150" t="s">
        <v>350</v>
      </c>
      <c r="X174" s="247">
        <v>1.85</v>
      </c>
      <c r="Y174" s="247"/>
      <c r="Z174" s="247">
        <v>0.95797546560000013</v>
      </c>
      <c r="AA174" s="248">
        <v>6.6675092405760008</v>
      </c>
    </row>
    <row r="175" spans="1:27" ht="15" thickBot="1" x14ac:dyDescent="0.35">
      <c r="E175" s="150" t="s">
        <v>539</v>
      </c>
      <c r="F175" s="247"/>
      <c r="G175" s="247"/>
      <c r="H175" s="247"/>
      <c r="I175" s="248"/>
      <c r="N175" s="154" t="s">
        <v>561</v>
      </c>
      <c r="O175" s="261"/>
      <c r="P175" s="261"/>
      <c r="Q175" s="261">
        <v>1.0318368060000001</v>
      </c>
      <c r="R175" s="262">
        <v>7.1815841697600007</v>
      </c>
      <c r="W175" s="150" t="s">
        <v>349</v>
      </c>
      <c r="X175" s="247">
        <v>1</v>
      </c>
      <c r="Y175" s="247"/>
      <c r="Z175" s="247">
        <v>0.51782457600000009</v>
      </c>
      <c r="AA175" s="248">
        <v>3.6040590489600004</v>
      </c>
    </row>
    <row r="176" spans="1:27" ht="15" thickTop="1" x14ac:dyDescent="0.3">
      <c r="E176" s="150" t="s">
        <v>351</v>
      </c>
      <c r="F176" s="247">
        <v>0.7</v>
      </c>
      <c r="G176" s="247"/>
      <c r="H176" s="247">
        <v>10.13779661895</v>
      </c>
      <c r="I176" s="248">
        <v>70.559064467892</v>
      </c>
      <c r="W176" s="150" t="s">
        <v>539</v>
      </c>
      <c r="X176" s="247"/>
      <c r="Y176" s="247"/>
      <c r="Z176" s="247"/>
      <c r="AA176" s="248"/>
    </row>
    <row r="177" spans="1:27" x14ac:dyDescent="0.3">
      <c r="E177" s="150" t="s">
        <v>352</v>
      </c>
      <c r="F177" s="247">
        <v>0.1</v>
      </c>
      <c r="G177" s="247"/>
      <c r="H177" s="247">
        <v>1.4482566598500002</v>
      </c>
      <c r="I177" s="248">
        <v>10.079866352556001</v>
      </c>
      <c r="J177" s="250" t="s">
        <v>566</v>
      </c>
      <c r="K177" s="251"/>
      <c r="L177" s="251"/>
      <c r="M177" s="251"/>
      <c r="N177" s="251"/>
      <c r="O177" s="251"/>
      <c r="P177" s="251"/>
      <c r="Q177" s="251" t="s">
        <v>563</v>
      </c>
      <c r="R177" s="252" t="s">
        <v>564</v>
      </c>
      <c r="W177" s="150" t="s">
        <v>351</v>
      </c>
      <c r="X177" s="247">
        <v>0.7</v>
      </c>
      <c r="Y177" s="247"/>
      <c r="Z177" s="247">
        <v>0.36247720319999999</v>
      </c>
      <c r="AA177" s="248">
        <v>2.522841334272</v>
      </c>
    </row>
    <row r="178" spans="1:27" x14ac:dyDescent="0.3">
      <c r="E178" s="150" t="s">
        <v>353</v>
      </c>
      <c r="F178" s="247">
        <v>0.3</v>
      </c>
      <c r="G178" s="247"/>
      <c r="H178" s="247">
        <v>4.3447699795500005</v>
      </c>
      <c r="I178" s="248">
        <v>30.239599057668002</v>
      </c>
      <c r="J178" s="276" t="s">
        <v>567</v>
      </c>
      <c r="K178" s="278"/>
      <c r="L178" s="278"/>
      <c r="M178" s="278"/>
      <c r="N178" s="278"/>
      <c r="O178" s="278"/>
      <c r="P178" s="278"/>
      <c r="Q178" s="278">
        <v>16.606399193999998</v>
      </c>
      <c r="R178" s="277">
        <v>115.58053839023999</v>
      </c>
      <c r="W178" s="150" t="s">
        <v>352</v>
      </c>
      <c r="X178" s="247">
        <v>0.1</v>
      </c>
      <c r="Y178" s="247"/>
      <c r="Z178" s="247">
        <v>5.1782457600000005E-2</v>
      </c>
      <c r="AA178" s="248">
        <v>0.36040590489600005</v>
      </c>
    </row>
    <row r="179" spans="1:27" x14ac:dyDescent="0.3">
      <c r="E179" s="150" t="s">
        <v>354</v>
      </c>
      <c r="F179" s="247">
        <v>1</v>
      </c>
      <c r="G179" s="247"/>
      <c r="H179" s="247">
        <v>14.4825665985</v>
      </c>
      <c r="I179" s="248">
        <v>100.79866352556</v>
      </c>
      <c r="J179" s="275" t="s">
        <v>324</v>
      </c>
      <c r="K179" s="513" t="s">
        <v>569</v>
      </c>
      <c r="L179" s="513"/>
      <c r="M179" s="513"/>
      <c r="N179" s="513"/>
      <c r="O179" s="513"/>
      <c r="P179" s="513"/>
      <c r="Q179" s="513"/>
      <c r="R179" s="514"/>
      <c r="W179" s="150" t="s">
        <v>353</v>
      </c>
      <c r="X179" s="247">
        <v>0.3</v>
      </c>
      <c r="Y179" s="247"/>
      <c r="Z179" s="247">
        <v>0.15534737279999999</v>
      </c>
      <c r="AA179" s="248">
        <v>1.081217714688</v>
      </c>
    </row>
    <row r="180" spans="1:27" x14ac:dyDescent="0.3">
      <c r="E180" s="150" t="s">
        <v>535</v>
      </c>
      <c r="F180" s="247"/>
      <c r="G180" s="247"/>
      <c r="H180" s="247"/>
      <c r="I180" s="248"/>
      <c r="J180" s="255"/>
      <c r="K180" s="515"/>
      <c r="L180" s="515"/>
      <c r="M180" s="515"/>
      <c r="N180" s="515"/>
      <c r="O180" s="515"/>
      <c r="P180" s="515"/>
      <c r="Q180" s="515"/>
      <c r="R180" s="516"/>
      <c r="W180" s="151" t="s">
        <v>354</v>
      </c>
      <c r="X180" s="273">
        <v>1</v>
      </c>
      <c r="Y180" s="273"/>
      <c r="Z180" s="273">
        <v>0.51782457600000009</v>
      </c>
      <c r="AA180" s="274">
        <v>3.6040590489600004</v>
      </c>
    </row>
    <row r="181" spans="1:27" ht="15" thickBot="1" x14ac:dyDescent="0.35">
      <c r="E181" s="151" t="s">
        <v>48</v>
      </c>
      <c r="F181" s="273"/>
      <c r="G181" s="273"/>
      <c r="H181" s="273">
        <v>0.14367816091954022</v>
      </c>
      <c r="I181" s="274">
        <v>1</v>
      </c>
      <c r="W181" s="154" t="s">
        <v>561</v>
      </c>
      <c r="X181" s="261"/>
      <c r="Y181" s="261"/>
      <c r="Z181" s="261">
        <v>5.6701791072000001</v>
      </c>
      <c r="AA181" s="262">
        <v>39.464446586112004</v>
      </c>
    </row>
    <row r="182" spans="1:27" ht="15.6" thickTop="1" thickBot="1" x14ac:dyDescent="0.35">
      <c r="E182" s="141" t="s">
        <v>561</v>
      </c>
      <c r="F182" s="263"/>
      <c r="G182" s="263"/>
      <c r="H182" s="263">
        <v>123.96962257809454</v>
      </c>
      <c r="I182" s="264">
        <v>862.82857314353794</v>
      </c>
    </row>
    <row r="183" spans="1:27" ht="15" thickTop="1" x14ac:dyDescent="0.3">
      <c r="E183" s="270" t="s">
        <v>343</v>
      </c>
      <c r="F183" s="271"/>
      <c r="G183" s="271"/>
      <c r="H183" s="271"/>
      <c r="I183" s="272"/>
      <c r="J183" s="279" t="s">
        <v>325</v>
      </c>
      <c r="K183" s="279"/>
      <c r="N183" s="281" t="s">
        <v>326</v>
      </c>
      <c r="O183" s="281"/>
      <c r="Q183" s="279" t="s">
        <v>306</v>
      </c>
      <c r="R183" s="279"/>
      <c r="S183" s="250" t="s">
        <v>566</v>
      </c>
      <c r="T183" s="251"/>
      <c r="U183" s="251"/>
      <c r="V183" s="251"/>
      <c r="W183" s="251"/>
      <c r="X183" s="251"/>
      <c r="Y183" s="251"/>
      <c r="Z183" s="251" t="s">
        <v>563</v>
      </c>
      <c r="AA183" s="252" t="s">
        <v>564</v>
      </c>
    </row>
    <row r="184" spans="1:27" x14ac:dyDescent="0.3">
      <c r="E184" s="151" t="s">
        <v>547</v>
      </c>
      <c r="F184" s="273"/>
      <c r="G184" s="273"/>
      <c r="H184" s="273">
        <v>32.327586206896555</v>
      </c>
      <c r="I184" s="274">
        <v>225</v>
      </c>
      <c r="J184" s="280"/>
      <c r="K184" s="280"/>
      <c r="N184" s="280"/>
      <c r="O184" s="280"/>
      <c r="Q184" s="280"/>
      <c r="R184" s="280"/>
      <c r="S184" s="276" t="s">
        <v>567</v>
      </c>
      <c r="T184" s="278"/>
      <c r="U184" s="278"/>
      <c r="V184" s="278"/>
      <c r="W184" s="278"/>
      <c r="X184" s="278"/>
      <c r="Y184" s="278"/>
      <c r="Z184" s="278">
        <v>46.112278492800009</v>
      </c>
      <c r="AA184" s="277">
        <v>320.94145830988805</v>
      </c>
    </row>
    <row r="185" spans="1:27" ht="15" thickBot="1" x14ac:dyDescent="0.35">
      <c r="E185" s="154" t="s">
        <v>562</v>
      </c>
      <c r="F185" s="261"/>
      <c r="G185" s="261"/>
      <c r="H185" s="261">
        <v>32.327586206896555</v>
      </c>
      <c r="I185" s="262">
        <v>225</v>
      </c>
      <c r="S185" s="275" t="s">
        <v>324</v>
      </c>
      <c r="T185" s="513" t="s">
        <v>570</v>
      </c>
      <c r="U185" s="513"/>
      <c r="V185" s="513"/>
      <c r="W185" s="513"/>
      <c r="X185" s="513"/>
      <c r="Y185" s="513"/>
      <c r="Z185" s="513"/>
      <c r="AA185" s="514"/>
    </row>
    <row r="186" spans="1:27" ht="15" thickTop="1" x14ac:dyDescent="0.3">
      <c r="S186" s="255"/>
      <c r="T186" s="515"/>
      <c r="U186" s="515"/>
      <c r="V186" s="515"/>
      <c r="W186" s="515"/>
      <c r="X186" s="515"/>
      <c r="Y186" s="515"/>
      <c r="Z186" s="515"/>
      <c r="AA186" s="516"/>
    </row>
    <row r="187" spans="1:27" x14ac:dyDescent="0.3">
      <c r="A187" s="250" t="s">
        <v>518</v>
      </c>
      <c r="B187" s="251"/>
      <c r="C187" s="251"/>
      <c r="D187" s="251"/>
      <c r="E187" s="251"/>
      <c r="F187" s="251"/>
      <c r="G187" s="251"/>
      <c r="H187" s="251" t="s">
        <v>563</v>
      </c>
      <c r="I187" s="252" t="s">
        <v>564</v>
      </c>
    </row>
    <row r="188" spans="1:27" x14ac:dyDescent="0.3">
      <c r="A188" s="276" t="s">
        <v>565</v>
      </c>
      <c r="B188" s="278"/>
      <c r="C188" s="278"/>
      <c r="D188" s="278"/>
      <c r="E188" s="278"/>
      <c r="F188" s="278"/>
      <c r="G188" s="278"/>
      <c r="H188" s="278">
        <v>1356.6146234788023</v>
      </c>
      <c r="I188" s="277">
        <v>9442.0377794124634</v>
      </c>
    </row>
    <row r="189" spans="1:27" x14ac:dyDescent="0.3">
      <c r="A189" s="275" t="s">
        <v>324</v>
      </c>
      <c r="B189" s="513" t="s">
        <v>568</v>
      </c>
      <c r="C189" s="513"/>
      <c r="D189" s="513"/>
      <c r="E189" s="513"/>
      <c r="F189" s="513"/>
      <c r="G189" s="513"/>
      <c r="H189" s="513"/>
      <c r="I189" s="514"/>
      <c r="S189" s="279" t="s">
        <v>325</v>
      </c>
      <c r="T189" s="279"/>
      <c r="W189" s="281" t="s">
        <v>326</v>
      </c>
      <c r="X189" s="281"/>
      <c r="Z189" s="279" t="s">
        <v>306</v>
      </c>
      <c r="AA189" s="279"/>
    </row>
    <row r="190" spans="1:27" x14ac:dyDescent="0.3">
      <c r="A190" s="255"/>
      <c r="B190" s="515"/>
      <c r="C190" s="515"/>
      <c r="D190" s="515"/>
      <c r="E190" s="515"/>
      <c r="F190" s="515"/>
      <c r="G190" s="515"/>
      <c r="H190" s="515"/>
      <c r="I190" s="516"/>
      <c r="S190" s="280"/>
      <c r="T190" s="280"/>
      <c r="W190" s="280"/>
      <c r="X190" s="280"/>
      <c r="Z190" s="280"/>
      <c r="AA190" s="280"/>
    </row>
    <row r="193" spans="1:38" x14ac:dyDescent="0.3">
      <c r="A193" s="279" t="s">
        <v>325</v>
      </c>
      <c r="B193" s="279"/>
      <c r="E193" s="281" t="s">
        <v>326</v>
      </c>
      <c r="F193" s="281"/>
      <c r="H193" s="279" t="s">
        <v>306</v>
      </c>
      <c r="I193" s="279"/>
    </row>
    <row r="194" spans="1:38" x14ac:dyDescent="0.3">
      <c r="A194" s="280"/>
      <c r="B194" s="280"/>
      <c r="E194" s="280"/>
      <c r="F194" s="280"/>
      <c r="H194" s="280"/>
      <c r="I194" s="280"/>
    </row>
    <row r="201" spans="1:38" x14ac:dyDescent="0.3">
      <c r="C201" s="237"/>
      <c r="D201" s="238"/>
      <c r="E201" s="238"/>
      <c r="F201" s="238"/>
      <c r="G201" s="238" t="s">
        <v>334</v>
      </c>
      <c r="H201" s="238"/>
      <c r="I201" s="238"/>
      <c r="J201" s="238"/>
      <c r="K201" s="239"/>
      <c r="L201" s="237"/>
      <c r="M201" s="238"/>
      <c r="N201" s="238"/>
      <c r="O201" s="238"/>
      <c r="P201" s="238" t="s">
        <v>334</v>
      </c>
      <c r="Q201" s="238"/>
      <c r="R201" s="238"/>
      <c r="S201" s="238"/>
      <c r="T201" s="239"/>
      <c r="U201" s="237"/>
      <c r="V201" s="238"/>
      <c r="W201" s="238"/>
      <c r="X201" s="238"/>
      <c r="Y201" s="238" t="s">
        <v>334</v>
      </c>
      <c r="Z201" s="238"/>
      <c r="AA201" s="238"/>
      <c r="AB201" s="238"/>
      <c r="AC201" s="239"/>
      <c r="AD201" s="237"/>
      <c r="AE201" s="238"/>
      <c r="AF201" s="238"/>
      <c r="AG201" s="238"/>
      <c r="AH201" s="238" t="s">
        <v>334</v>
      </c>
      <c r="AI201" s="238"/>
      <c r="AJ201" s="238"/>
      <c r="AK201" s="238"/>
      <c r="AL201" s="239"/>
    </row>
    <row r="202" spans="1:38" x14ac:dyDescent="0.3">
      <c r="C202" s="240"/>
      <c r="D202" s="241"/>
      <c r="E202" s="241"/>
      <c r="F202" s="241"/>
      <c r="G202" s="243" t="s">
        <v>301</v>
      </c>
      <c r="H202" s="241"/>
      <c r="I202" s="241"/>
      <c r="J202" s="241"/>
      <c r="K202" s="242"/>
      <c r="L202" s="240"/>
      <c r="M202" s="241"/>
      <c r="N202" s="241"/>
      <c r="O202" s="241"/>
      <c r="P202" s="243" t="s">
        <v>301</v>
      </c>
      <c r="Q202" s="241"/>
      <c r="R202" s="241"/>
      <c r="S202" s="241"/>
      <c r="T202" s="242"/>
      <c r="U202" s="240"/>
      <c r="V202" s="241"/>
      <c r="W202" s="241"/>
      <c r="X202" s="241"/>
      <c r="Y202" s="243" t="s">
        <v>301</v>
      </c>
      <c r="Z202" s="241"/>
      <c r="AA202" s="241"/>
      <c r="AB202" s="241"/>
      <c r="AC202" s="242"/>
      <c r="AD202" s="240"/>
      <c r="AE202" s="241"/>
      <c r="AF202" s="241"/>
      <c r="AG202" s="241"/>
      <c r="AH202" s="243" t="s">
        <v>301</v>
      </c>
      <c r="AI202" s="241"/>
      <c r="AJ202" s="241"/>
      <c r="AK202" s="241"/>
      <c r="AL202" s="242"/>
    </row>
    <row r="204" spans="1:38" x14ac:dyDescent="0.3">
      <c r="C204" s="169" t="s">
        <v>548</v>
      </c>
      <c r="D204" s="161"/>
      <c r="E204" s="162"/>
      <c r="G204" s="250" t="s">
        <v>524</v>
      </c>
      <c r="H204" s="251"/>
      <c r="I204" s="251"/>
      <c r="J204" s="251"/>
      <c r="K204" s="251"/>
      <c r="L204" s="169" t="s">
        <v>548</v>
      </c>
      <c r="M204" s="161"/>
      <c r="N204" s="162"/>
      <c r="P204" s="250" t="s">
        <v>524</v>
      </c>
      <c r="Q204" s="251"/>
      <c r="R204" s="251"/>
      <c r="S204" s="251"/>
      <c r="T204" s="251"/>
      <c r="U204" s="169" t="s">
        <v>548</v>
      </c>
      <c r="V204" s="161"/>
      <c r="W204" s="162"/>
      <c r="Y204" s="250" t="s">
        <v>524</v>
      </c>
      <c r="Z204" s="251"/>
      <c r="AA204" s="251"/>
      <c r="AB204" s="251"/>
      <c r="AC204" s="251"/>
      <c r="AD204" s="169" t="s">
        <v>548</v>
      </c>
      <c r="AE204" s="161"/>
      <c r="AF204" s="162"/>
      <c r="AH204" s="250" t="s">
        <v>524</v>
      </c>
      <c r="AI204" s="251"/>
      <c r="AJ204" s="251"/>
      <c r="AK204" s="251"/>
      <c r="AL204" s="252"/>
    </row>
    <row r="205" spans="1:38" x14ac:dyDescent="0.3">
      <c r="C205" s="150" t="s">
        <v>393</v>
      </c>
      <c r="D205" s="163" t="s">
        <v>412</v>
      </c>
      <c r="E205" s="164"/>
      <c r="G205" s="254" t="s">
        <v>615</v>
      </c>
      <c r="H205" s="318" t="s">
        <v>377</v>
      </c>
      <c r="I205" s="257" t="s">
        <v>443</v>
      </c>
      <c r="J205" s="257" t="s">
        <v>375</v>
      </c>
      <c r="K205" s="282" t="s">
        <v>616</v>
      </c>
      <c r="L205" s="150" t="s">
        <v>393</v>
      </c>
      <c r="M205" s="163" t="s">
        <v>303</v>
      </c>
      <c r="N205" s="164"/>
      <c r="P205" s="254" t="s">
        <v>615</v>
      </c>
      <c r="Q205" s="325" t="s">
        <v>377</v>
      </c>
      <c r="R205" s="257" t="s">
        <v>443</v>
      </c>
      <c r="S205" s="257" t="s">
        <v>375</v>
      </c>
      <c r="T205" s="282" t="s">
        <v>616</v>
      </c>
      <c r="U205" s="150" t="s">
        <v>393</v>
      </c>
      <c r="V205" s="163" t="s">
        <v>303</v>
      </c>
      <c r="W205" s="164"/>
      <c r="Y205" s="254" t="s">
        <v>615</v>
      </c>
      <c r="Z205" s="329" t="s">
        <v>377</v>
      </c>
      <c r="AA205" s="257" t="s">
        <v>443</v>
      </c>
      <c r="AB205" s="257" t="s">
        <v>375</v>
      </c>
      <c r="AC205" s="282" t="s">
        <v>616</v>
      </c>
      <c r="AD205" s="150" t="s">
        <v>393</v>
      </c>
      <c r="AE205" s="163" t="s">
        <v>303</v>
      </c>
      <c r="AF205" s="164"/>
      <c r="AH205" s="254" t="s">
        <v>615</v>
      </c>
      <c r="AI205" s="333" t="s">
        <v>377</v>
      </c>
      <c r="AJ205" s="257" t="s">
        <v>443</v>
      </c>
      <c r="AK205" s="257" t="s">
        <v>375</v>
      </c>
      <c r="AL205" s="258" t="s">
        <v>616</v>
      </c>
    </row>
    <row r="206" spans="1:38" x14ac:dyDescent="0.3">
      <c r="C206" s="150" t="s">
        <v>316</v>
      </c>
      <c r="D206" s="163" t="s">
        <v>549</v>
      </c>
      <c r="E206" s="164"/>
      <c r="G206" s="253" t="s">
        <v>617</v>
      </c>
      <c r="H206" s="319">
        <v>44232</v>
      </c>
      <c r="I206" s="285" t="s">
        <v>168</v>
      </c>
      <c r="J206" s="285" t="s">
        <v>374</v>
      </c>
      <c r="K206" s="323">
        <v>18.18</v>
      </c>
      <c r="L206" s="150" t="s">
        <v>316</v>
      </c>
      <c r="M206" s="163" t="s">
        <v>549</v>
      </c>
      <c r="N206" s="164"/>
      <c r="P206" s="253" t="s">
        <v>617</v>
      </c>
      <c r="Q206" s="326">
        <v>44232</v>
      </c>
      <c r="R206" s="285" t="s">
        <v>168</v>
      </c>
      <c r="S206" s="285" t="s">
        <v>374</v>
      </c>
      <c r="T206" s="323">
        <v>18.18</v>
      </c>
      <c r="U206" s="150" t="s">
        <v>316</v>
      </c>
      <c r="V206" s="163" t="s">
        <v>549</v>
      </c>
      <c r="W206" s="164"/>
      <c r="Y206" s="253" t="s">
        <v>617</v>
      </c>
      <c r="Z206" s="330">
        <v>44232</v>
      </c>
      <c r="AA206" s="285" t="s">
        <v>168</v>
      </c>
      <c r="AB206" s="285" t="s">
        <v>374</v>
      </c>
      <c r="AC206" s="323">
        <v>18.18</v>
      </c>
      <c r="AD206" s="150" t="s">
        <v>316</v>
      </c>
      <c r="AE206" s="163" t="s">
        <v>549</v>
      </c>
      <c r="AF206" s="164"/>
      <c r="AH206" s="253" t="s">
        <v>617</v>
      </c>
      <c r="AI206" s="334">
        <v>44232</v>
      </c>
      <c r="AJ206" s="285" t="s">
        <v>168</v>
      </c>
      <c r="AK206" s="285" t="s">
        <v>374</v>
      </c>
      <c r="AL206" s="286">
        <v>18.18</v>
      </c>
    </row>
    <row r="207" spans="1:38" x14ac:dyDescent="0.3">
      <c r="C207" s="150" t="s">
        <v>396</v>
      </c>
      <c r="D207" s="317">
        <v>44333</v>
      </c>
      <c r="E207" s="164"/>
      <c r="G207" s="253" t="s">
        <v>618</v>
      </c>
      <c r="H207" s="319">
        <v>44330</v>
      </c>
      <c r="I207" s="285" t="s">
        <v>159</v>
      </c>
      <c r="J207" s="285" t="s">
        <v>374</v>
      </c>
      <c r="K207" s="323">
        <v>100</v>
      </c>
      <c r="L207" s="150" t="s">
        <v>396</v>
      </c>
      <c r="M207" s="324">
        <v>44334</v>
      </c>
      <c r="N207" s="164"/>
      <c r="P207" s="253" t="s">
        <v>618</v>
      </c>
      <c r="Q207" s="326">
        <v>44330</v>
      </c>
      <c r="R207" s="285" t="s">
        <v>159</v>
      </c>
      <c r="S207" s="285" t="s">
        <v>374</v>
      </c>
      <c r="T207" s="323">
        <v>100</v>
      </c>
      <c r="U207" s="150" t="s">
        <v>396</v>
      </c>
      <c r="V207" s="328">
        <v>44334</v>
      </c>
      <c r="W207" s="164"/>
      <c r="Y207" s="253" t="s">
        <v>618</v>
      </c>
      <c r="Z207" s="330">
        <v>44330</v>
      </c>
      <c r="AA207" s="285" t="s">
        <v>159</v>
      </c>
      <c r="AB207" s="285" t="s">
        <v>374</v>
      </c>
      <c r="AC207" s="323">
        <v>100</v>
      </c>
      <c r="AD207" s="150" t="s">
        <v>396</v>
      </c>
      <c r="AE207" s="332">
        <v>44335</v>
      </c>
      <c r="AF207" s="164"/>
      <c r="AH207" s="253" t="s">
        <v>618</v>
      </c>
      <c r="AI207" s="334">
        <v>44330</v>
      </c>
      <c r="AJ207" s="285" t="s">
        <v>159</v>
      </c>
      <c r="AK207" s="285" t="s">
        <v>374</v>
      </c>
      <c r="AL207" s="286">
        <v>100</v>
      </c>
    </row>
    <row r="208" spans="1:38" x14ac:dyDescent="0.3">
      <c r="C208" s="150" t="s">
        <v>394</v>
      </c>
      <c r="D208" s="163" t="s">
        <v>303</v>
      </c>
      <c r="E208" s="164"/>
      <c r="G208" s="256" t="s">
        <v>619</v>
      </c>
      <c r="H208" s="320">
        <v>44330</v>
      </c>
      <c r="I208" s="259" t="s">
        <v>620</v>
      </c>
      <c r="J208" s="259" t="s">
        <v>373</v>
      </c>
      <c r="K208" s="283">
        <v>200</v>
      </c>
      <c r="L208" s="150" t="s">
        <v>394</v>
      </c>
      <c r="M208" s="163" t="s">
        <v>303</v>
      </c>
      <c r="N208" s="164"/>
      <c r="P208" s="256" t="s">
        <v>619</v>
      </c>
      <c r="Q208" s="327">
        <v>44330</v>
      </c>
      <c r="R208" s="259" t="s">
        <v>620</v>
      </c>
      <c r="S208" s="259" t="s">
        <v>373</v>
      </c>
      <c r="T208" s="283">
        <v>200</v>
      </c>
      <c r="U208" s="150" t="s">
        <v>394</v>
      </c>
      <c r="V208" s="163" t="s">
        <v>303</v>
      </c>
      <c r="W208" s="164"/>
      <c r="Y208" s="256" t="s">
        <v>619</v>
      </c>
      <c r="Z208" s="331">
        <v>44330</v>
      </c>
      <c r="AA208" s="259" t="s">
        <v>620</v>
      </c>
      <c r="AB208" s="259" t="s">
        <v>373</v>
      </c>
      <c r="AC208" s="283">
        <v>200</v>
      </c>
      <c r="AD208" s="150" t="s">
        <v>394</v>
      </c>
      <c r="AE208" s="163" t="s">
        <v>303</v>
      </c>
      <c r="AF208" s="164"/>
      <c r="AH208" s="256" t="s">
        <v>619</v>
      </c>
      <c r="AI208" s="335">
        <v>44330</v>
      </c>
      <c r="AJ208" s="259" t="s">
        <v>620</v>
      </c>
      <c r="AK208" s="259" t="s">
        <v>373</v>
      </c>
      <c r="AL208" s="260">
        <v>200</v>
      </c>
    </row>
    <row r="209" spans="3:38" ht="15" thickBot="1" x14ac:dyDescent="0.35">
      <c r="C209" s="150" t="s">
        <v>395</v>
      </c>
      <c r="D209" s="163" t="s">
        <v>303</v>
      </c>
      <c r="E209" s="164"/>
      <c r="G209" s="141" t="s">
        <v>523</v>
      </c>
      <c r="H209" s="263"/>
      <c r="I209" s="263"/>
      <c r="J209" s="263"/>
      <c r="K209" s="263">
        <v>318.18</v>
      </c>
      <c r="L209" s="150" t="s">
        <v>395</v>
      </c>
      <c r="M209" s="163" t="s">
        <v>303</v>
      </c>
      <c r="N209" s="164"/>
      <c r="P209" s="141" t="s">
        <v>523</v>
      </c>
      <c r="Q209" s="263"/>
      <c r="R209" s="263"/>
      <c r="S209" s="263"/>
      <c r="T209" s="263">
        <v>318.18</v>
      </c>
      <c r="U209" s="150" t="s">
        <v>395</v>
      </c>
      <c r="V209" s="163" t="s">
        <v>303</v>
      </c>
      <c r="W209" s="164"/>
      <c r="Y209" s="141" t="s">
        <v>523</v>
      </c>
      <c r="Z209" s="263"/>
      <c r="AA209" s="263"/>
      <c r="AB209" s="263"/>
      <c r="AC209" s="263">
        <v>318.18</v>
      </c>
      <c r="AD209" s="150" t="s">
        <v>395</v>
      </c>
      <c r="AE209" s="163" t="s">
        <v>303</v>
      </c>
      <c r="AF209" s="164"/>
      <c r="AH209" s="141" t="s">
        <v>523</v>
      </c>
      <c r="AI209" s="263"/>
      <c r="AJ209" s="263"/>
      <c r="AK209" s="263"/>
      <c r="AL209" s="264">
        <v>318.18</v>
      </c>
    </row>
    <row r="210" spans="3:38" ht="15" thickTop="1" x14ac:dyDescent="0.3">
      <c r="C210" s="244" t="s">
        <v>550</v>
      </c>
      <c r="D210" s="246">
        <v>6.96</v>
      </c>
      <c r="E210" s="245" t="s">
        <v>359</v>
      </c>
      <c r="G210" s="265" t="s">
        <v>391</v>
      </c>
      <c r="H210" s="266"/>
      <c r="I210" s="266"/>
      <c r="J210" s="266"/>
      <c r="K210" s="266"/>
      <c r="L210" s="244" t="s">
        <v>550</v>
      </c>
      <c r="M210" s="246">
        <v>1</v>
      </c>
      <c r="N210" s="245" t="s">
        <v>359</v>
      </c>
      <c r="P210" s="265" t="s">
        <v>391</v>
      </c>
      <c r="Q210" s="266"/>
      <c r="R210" s="266"/>
      <c r="S210" s="266"/>
      <c r="T210" s="266"/>
      <c r="U210" s="244" t="s">
        <v>550</v>
      </c>
      <c r="V210" s="246">
        <v>1</v>
      </c>
      <c r="W210" s="245" t="s">
        <v>359</v>
      </c>
      <c r="Y210" s="265" t="s">
        <v>391</v>
      </c>
      <c r="Z210" s="266"/>
      <c r="AA210" s="266"/>
      <c r="AB210" s="266"/>
      <c r="AC210" s="266"/>
      <c r="AD210" s="244" t="s">
        <v>550</v>
      </c>
      <c r="AE210" s="246">
        <v>1</v>
      </c>
      <c r="AF210" s="245" t="s">
        <v>359</v>
      </c>
      <c r="AH210" s="265" t="s">
        <v>391</v>
      </c>
      <c r="AI210" s="266"/>
      <c r="AJ210" s="266"/>
      <c r="AK210" s="266"/>
      <c r="AL210" s="267"/>
    </row>
    <row r="211" spans="3:38" x14ac:dyDescent="0.3">
      <c r="G211" s="254" t="s">
        <v>33</v>
      </c>
      <c r="H211" s="257" t="s">
        <v>529</v>
      </c>
      <c r="I211" s="257" t="s">
        <v>553</v>
      </c>
      <c r="J211" s="257" t="s">
        <v>528</v>
      </c>
      <c r="K211" s="258" t="s">
        <v>386</v>
      </c>
      <c r="P211" s="254" t="s">
        <v>33</v>
      </c>
      <c r="Q211" s="257" t="s">
        <v>529</v>
      </c>
      <c r="R211" s="257" t="s">
        <v>553</v>
      </c>
      <c r="S211" s="257" t="s">
        <v>528</v>
      </c>
      <c r="T211" s="258" t="s">
        <v>386</v>
      </c>
      <c r="Y211" s="254" t="s">
        <v>33</v>
      </c>
      <c r="Z211" s="257" t="s">
        <v>529</v>
      </c>
      <c r="AA211" s="257" t="s">
        <v>553</v>
      </c>
      <c r="AB211" s="257" t="s">
        <v>528</v>
      </c>
      <c r="AC211" s="258" t="s">
        <v>386</v>
      </c>
      <c r="AH211" s="254" t="s">
        <v>33</v>
      </c>
      <c r="AI211" s="257" t="s">
        <v>529</v>
      </c>
      <c r="AJ211" s="257" t="s">
        <v>553</v>
      </c>
      <c r="AK211" s="257" t="s">
        <v>528</v>
      </c>
      <c r="AL211" s="258" t="s">
        <v>386</v>
      </c>
    </row>
    <row r="212" spans="3:38" x14ac:dyDescent="0.3">
      <c r="C212" s="169" t="s">
        <v>339</v>
      </c>
      <c r="D212" s="161"/>
      <c r="E212" s="162"/>
      <c r="G212" s="321" t="s">
        <v>554</v>
      </c>
      <c r="H212" s="285">
        <v>5.5</v>
      </c>
      <c r="I212" s="285">
        <v>17.180099999999999</v>
      </c>
      <c r="J212" s="285">
        <v>1</v>
      </c>
      <c r="K212" s="323">
        <v>17.008299000000001</v>
      </c>
      <c r="L212" s="169" t="s">
        <v>339</v>
      </c>
      <c r="M212" s="161"/>
      <c r="N212" s="162"/>
      <c r="P212" s="321" t="s">
        <v>554</v>
      </c>
      <c r="Q212" s="285">
        <v>5.5</v>
      </c>
      <c r="R212" s="285">
        <v>17.180099999999999</v>
      </c>
      <c r="S212" s="285">
        <v>1</v>
      </c>
      <c r="T212" s="323">
        <v>17.008299000000001</v>
      </c>
      <c r="U212" s="169" t="s">
        <v>339</v>
      </c>
      <c r="V212" s="161"/>
      <c r="W212" s="162"/>
      <c r="Y212" s="321" t="s">
        <v>554</v>
      </c>
      <c r="Z212" s="285">
        <v>5.5</v>
      </c>
      <c r="AA212" s="285">
        <v>17.180099999999999</v>
      </c>
      <c r="AB212" s="285">
        <v>1</v>
      </c>
      <c r="AC212" s="323">
        <v>17.008299000000001</v>
      </c>
      <c r="AD212" s="169" t="s">
        <v>339</v>
      </c>
      <c r="AE212" s="161"/>
      <c r="AF212" s="162"/>
      <c r="AH212" s="321" t="s">
        <v>554</v>
      </c>
      <c r="AI212" s="285">
        <v>5.5</v>
      </c>
      <c r="AJ212" s="285">
        <v>17.180099999999999</v>
      </c>
      <c r="AK212" s="285">
        <v>1</v>
      </c>
      <c r="AL212" s="286">
        <v>17.008299000000001</v>
      </c>
    </row>
    <row r="213" spans="3:38" x14ac:dyDescent="0.3">
      <c r="C213" s="150" t="s">
        <v>307</v>
      </c>
      <c r="D213" s="247" t="s">
        <v>260</v>
      </c>
      <c r="E213" s="248"/>
      <c r="G213" s="321" t="s">
        <v>621</v>
      </c>
      <c r="H213" s="285">
        <v>2</v>
      </c>
      <c r="I213" s="285">
        <v>98</v>
      </c>
      <c r="J213" s="285">
        <v>1</v>
      </c>
      <c r="K213" s="323">
        <v>97.02</v>
      </c>
      <c r="L213" s="150" t="s">
        <v>307</v>
      </c>
      <c r="M213" s="247" t="s">
        <v>260</v>
      </c>
      <c r="N213" s="248"/>
      <c r="P213" s="321" t="s">
        <v>621</v>
      </c>
      <c r="Q213" s="285">
        <v>2</v>
      </c>
      <c r="R213" s="285">
        <v>98</v>
      </c>
      <c r="S213" s="285">
        <v>1</v>
      </c>
      <c r="T213" s="323">
        <v>97.02</v>
      </c>
      <c r="U213" s="150" t="s">
        <v>307</v>
      </c>
      <c r="V213" s="247" t="s">
        <v>260</v>
      </c>
      <c r="W213" s="248"/>
      <c r="Y213" s="321" t="s">
        <v>621</v>
      </c>
      <c r="Z213" s="285">
        <v>2</v>
      </c>
      <c r="AA213" s="285">
        <v>98</v>
      </c>
      <c r="AB213" s="285">
        <v>1</v>
      </c>
      <c r="AC213" s="323">
        <v>97.02</v>
      </c>
      <c r="AD213" s="150" t="s">
        <v>307</v>
      </c>
      <c r="AE213" s="247" t="s">
        <v>260</v>
      </c>
      <c r="AF213" s="248"/>
      <c r="AH213" s="321" t="s">
        <v>621</v>
      </c>
      <c r="AI213" s="285">
        <v>2</v>
      </c>
      <c r="AJ213" s="285">
        <v>98</v>
      </c>
      <c r="AK213" s="285">
        <v>1</v>
      </c>
      <c r="AL213" s="286">
        <v>97.02</v>
      </c>
    </row>
    <row r="214" spans="3:38" x14ac:dyDescent="0.3">
      <c r="C214" s="150" t="s">
        <v>308</v>
      </c>
      <c r="D214" s="247" t="s">
        <v>614</v>
      </c>
      <c r="E214" s="248"/>
      <c r="G214" s="268" t="s">
        <v>622</v>
      </c>
      <c r="H214" s="259">
        <v>4</v>
      </c>
      <c r="I214" s="259">
        <v>192</v>
      </c>
      <c r="J214" s="259">
        <v>1.1000000000000001</v>
      </c>
      <c r="K214" s="283">
        <v>189.88800000000001</v>
      </c>
      <c r="L214" s="150" t="s">
        <v>308</v>
      </c>
      <c r="M214" s="247" t="s">
        <v>614</v>
      </c>
      <c r="N214" s="248"/>
      <c r="P214" s="268" t="s">
        <v>622</v>
      </c>
      <c r="Q214" s="259">
        <v>4</v>
      </c>
      <c r="R214" s="259">
        <v>192</v>
      </c>
      <c r="S214" s="259">
        <v>1.1000000000000001</v>
      </c>
      <c r="T214" s="283">
        <v>189.88800000000001</v>
      </c>
      <c r="U214" s="150" t="s">
        <v>308</v>
      </c>
      <c r="V214" s="247" t="s">
        <v>614</v>
      </c>
      <c r="W214" s="248"/>
      <c r="Y214" s="268" t="s">
        <v>622</v>
      </c>
      <c r="Z214" s="259">
        <v>4</v>
      </c>
      <c r="AA214" s="259">
        <v>192</v>
      </c>
      <c r="AB214" s="259">
        <v>1.1000000000000001</v>
      </c>
      <c r="AC214" s="283">
        <v>189.88800000000001</v>
      </c>
      <c r="AD214" s="150" t="s">
        <v>308</v>
      </c>
      <c r="AE214" s="247" t="s">
        <v>614</v>
      </c>
      <c r="AF214" s="248"/>
      <c r="AH214" s="268" t="s">
        <v>622</v>
      </c>
      <c r="AI214" s="259">
        <v>4</v>
      </c>
      <c r="AJ214" s="259">
        <v>192</v>
      </c>
      <c r="AK214" s="259">
        <v>1.1000000000000001</v>
      </c>
      <c r="AL214" s="260">
        <v>189.88800000000001</v>
      </c>
    </row>
    <row r="215" spans="3:38" ht="15" thickBot="1" x14ac:dyDescent="0.35">
      <c r="C215" s="150" t="s">
        <v>551</v>
      </c>
      <c r="D215" s="247" t="s">
        <v>260</v>
      </c>
      <c r="E215" s="248"/>
      <c r="G215" s="141" t="s">
        <v>525</v>
      </c>
      <c r="H215" s="263"/>
      <c r="I215" s="263"/>
      <c r="J215" s="263"/>
      <c r="K215" s="263">
        <v>303.91629899999998</v>
      </c>
      <c r="L215" s="150" t="s">
        <v>551</v>
      </c>
      <c r="M215" s="247" t="s">
        <v>260</v>
      </c>
      <c r="N215" s="248"/>
      <c r="P215" s="141" t="s">
        <v>525</v>
      </c>
      <c r="Q215" s="263"/>
      <c r="R215" s="263"/>
      <c r="S215" s="263"/>
      <c r="T215" s="263">
        <v>303.91629899999998</v>
      </c>
      <c r="U215" s="150" t="s">
        <v>551</v>
      </c>
      <c r="V215" s="247" t="s">
        <v>260</v>
      </c>
      <c r="W215" s="248"/>
      <c r="Y215" s="141" t="s">
        <v>525</v>
      </c>
      <c r="Z215" s="263"/>
      <c r="AA215" s="263"/>
      <c r="AB215" s="263"/>
      <c r="AC215" s="263">
        <v>303.91629899999998</v>
      </c>
      <c r="AD215" s="150" t="s">
        <v>551</v>
      </c>
      <c r="AE215" s="247" t="s">
        <v>260</v>
      </c>
      <c r="AF215" s="248"/>
      <c r="AH215" s="141" t="s">
        <v>525</v>
      </c>
      <c r="AI215" s="263"/>
      <c r="AJ215" s="263"/>
      <c r="AK215" s="263"/>
      <c r="AL215" s="264">
        <v>303.91629899999998</v>
      </c>
    </row>
    <row r="216" spans="3:38" ht="15" thickTop="1" x14ac:dyDescent="0.3">
      <c r="C216" s="150" t="s">
        <v>311</v>
      </c>
      <c r="D216" s="247" t="s">
        <v>312</v>
      </c>
      <c r="E216" s="248"/>
      <c r="G216" s="265" t="s">
        <v>346</v>
      </c>
      <c r="H216" s="266"/>
      <c r="I216" s="266"/>
      <c r="J216" s="266"/>
      <c r="K216" s="266"/>
      <c r="L216" s="150" t="s">
        <v>311</v>
      </c>
      <c r="M216" s="247" t="s">
        <v>312</v>
      </c>
      <c r="N216" s="248"/>
      <c r="P216" s="265" t="s">
        <v>346</v>
      </c>
      <c r="Q216" s="266"/>
      <c r="R216" s="266"/>
      <c r="S216" s="266"/>
      <c r="T216" s="266"/>
      <c r="U216" s="150" t="s">
        <v>311</v>
      </c>
      <c r="V216" s="247" t="s">
        <v>312</v>
      </c>
      <c r="W216" s="248"/>
      <c r="Y216" s="265" t="s">
        <v>346</v>
      </c>
      <c r="Z216" s="266"/>
      <c r="AA216" s="266"/>
      <c r="AB216" s="266"/>
      <c r="AC216" s="266"/>
      <c r="AD216" s="150" t="s">
        <v>311</v>
      </c>
      <c r="AE216" s="247" t="s">
        <v>312</v>
      </c>
      <c r="AF216" s="248"/>
      <c r="AH216" s="265" t="s">
        <v>346</v>
      </c>
      <c r="AI216" s="266"/>
      <c r="AJ216" s="266"/>
      <c r="AK216" s="266"/>
      <c r="AL216" s="267"/>
    </row>
    <row r="217" spans="3:38" x14ac:dyDescent="0.3">
      <c r="C217" s="150" t="s">
        <v>314</v>
      </c>
      <c r="D217" s="247" t="s">
        <v>260</v>
      </c>
      <c r="E217" s="248"/>
      <c r="G217" s="254" t="s">
        <v>33</v>
      </c>
      <c r="H217" s="257" t="s">
        <v>555</v>
      </c>
      <c r="I217" s="257" t="s">
        <v>556</v>
      </c>
      <c r="J217" s="257" t="s">
        <v>557</v>
      </c>
      <c r="K217" s="282" t="s">
        <v>558</v>
      </c>
      <c r="L217" s="150" t="s">
        <v>314</v>
      </c>
      <c r="M217" s="247" t="s">
        <v>260</v>
      </c>
      <c r="N217" s="248"/>
      <c r="P217" s="254" t="s">
        <v>33</v>
      </c>
      <c r="Q217" s="257" t="s">
        <v>555</v>
      </c>
      <c r="R217" s="257" t="s">
        <v>556</v>
      </c>
      <c r="S217" s="257"/>
      <c r="T217" s="282" t="s">
        <v>558</v>
      </c>
      <c r="U217" s="150" t="s">
        <v>314</v>
      </c>
      <c r="V217" s="247" t="s">
        <v>260</v>
      </c>
      <c r="W217" s="248"/>
      <c r="Y217" s="254" t="s">
        <v>33</v>
      </c>
      <c r="Z217" s="257" t="s">
        <v>555</v>
      </c>
      <c r="AA217" s="257" t="s">
        <v>556</v>
      </c>
      <c r="AB217" s="257"/>
      <c r="AC217" s="282" t="s">
        <v>558</v>
      </c>
      <c r="AD217" s="150" t="s">
        <v>314</v>
      </c>
      <c r="AE217" s="247" t="s">
        <v>260</v>
      </c>
      <c r="AF217" s="248"/>
      <c r="AH217" s="254" t="s">
        <v>33</v>
      </c>
      <c r="AI217" s="257" t="s">
        <v>555</v>
      </c>
      <c r="AJ217" s="257" t="s">
        <v>556</v>
      </c>
      <c r="AK217" s="257"/>
      <c r="AL217" s="258" t="s">
        <v>558</v>
      </c>
    </row>
    <row r="218" spans="3:38" x14ac:dyDescent="0.3">
      <c r="C218" s="244" t="s">
        <v>315</v>
      </c>
      <c r="D218" s="246" t="s">
        <v>260</v>
      </c>
      <c r="E218" s="249"/>
      <c r="G218" s="321" t="s">
        <v>554</v>
      </c>
      <c r="H218" s="287">
        <v>6.5</v>
      </c>
      <c r="I218" s="285">
        <v>13.1</v>
      </c>
      <c r="J218" s="285">
        <v>1448.25665985</v>
      </c>
      <c r="K218" s="323">
        <v>10079.866352556</v>
      </c>
      <c r="L218" s="244" t="s">
        <v>315</v>
      </c>
      <c r="M218" s="246" t="s">
        <v>260</v>
      </c>
      <c r="N218" s="249"/>
      <c r="P218" s="321" t="s">
        <v>554</v>
      </c>
      <c r="Q218" s="287">
        <v>6.5</v>
      </c>
      <c r="R218" s="285">
        <v>13.1</v>
      </c>
      <c r="S218" s="285"/>
      <c r="T218" s="323">
        <v>1448.25665985</v>
      </c>
      <c r="U218" s="244" t="s">
        <v>315</v>
      </c>
      <c r="V218" s="246" t="s">
        <v>260</v>
      </c>
      <c r="W218" s="249"/>
      <c r="Y218" s="321" t="s">
        <v>554</v>
      </c>
      <c r="Z218" s="287">
        <v>6.5</v>
      </c>
      <c r="AA218" s="285">
        <v>13.1</v>
      </c>
      <c r="AB218" s="285"/>
      <c r="AC218" s="323">
        <v>1448.25665985</v>
      </c>
      <c r="AD218" s="244" t="s">
        <v>315</v>
      </c>
      <c r="AE218" s="246" t="s">
        <v>260</v>
      </c>
      <c r="AF218" s="249"/>
      <c r="AH218" s="321" t="s">
        <v>554</v>
      </c>
      <c r="AI218" s="287">
        <v>6.5</v>
      </c>
      <c r="AJ218" s="285">
        <v>13.1</v>
      </c>
      <c r="AK218" s="285"/>
      <c r="AL218" s="286">
        <v>1448.25665985</v>
      </c>
    </row>
    <row r="219" spans="3:38" x14ac:dyDescent="0.3">
      <c r="G219" s="321" t="s">
        <v>621</v>
      </c>
      <c r="H219" s="322">
        <v>1</v>
      </c>
      <c r="I219" s="285">
        <v>1</v>
      </c>
      <c r="J219" s="285">
        <v>97.02</v>
      </c>
      <c r="K219" s="286">
        <v>675.25919999999996</v>
      </c>
      <c r="P219" s="321" t="s">
        <v>621</v>
      </c>
      <c r="Q219" s="322">
        <v>1</v>
      </c>
      <c r="R219" s="285">
        <v>1</v>
      </c>
      <c r="S219" s="285"/>
      <c r="T219" s="286">
        <v>97.02</v>
      </c>
      <c r="Y219" s="321" t="s">
        <v>621</v>
      </c>
      <c r="Z219" s="322">
        <v>1</v>
      </c>
      <c r="AA219" s="285">
        <v>1</v>
      </c>
      <c r="AB219" s="285"/>
      <c r="AC219" s="286">
        <v>97.02</v>
      </c>
      <c r="AH219" s="321" t="s">
        <v>621</v>
      </c>
      <c r="AI219" s="322">
        <v>1</v>
      </c>
      <c r="AJ219" s="285">
        <v>1</v>
      </c>
      <c r="AK219" s="285"/>
      <c r="AL219" s="286">
        <v>97.02</v>
      </c>
    </row>
    <row r="220" spans="3:38" x14ac:dyDescent="0.3">
      <c r="G220" s="321" t="s">
        <v>623</v>
      </c>
      <c r="H220" s="287">
        <v>1</v>
      </c>
      <c r="I220" s="285">
        <v>1</v>
      </c>
      <c r="J220" s="285">
        <v>189.88800000000001</v>
      </c>
      <c r="K220" s="286">
        <v>1321.62048</v>
      </c>
      <c r="P220" s="321" t="s">
        <v>623</v>
      </c>
      <c r="Q220" s="287">
        <v>1</v>
      </c>
      <c r="R220" s="285">
        <v>1</v>
      </c>
      <c r="S220" s="285"/>
      <c r="T220" s="286">
        <v>189.88800000000001</v>
      </c>
      <c r="Y220" s="321" t="s">
        <v>623</v>
      </c>
      <c r="Z220" s="287">
        <v>1</v>
      </c>
      <c r="AA220" s="285">
        <v>1</v>
      </c>
      <c r="AB220" s="285"/>
      <c r="AC220" s="286">
        <v>189.88800000000001</v>
      </c>
      <c r="AH220" s="321" t="s">
        <v>623</v>
      </c>
      <c r="AI220" s="287">
        <v>1</v>
      </c>
      <c r="AJ220" s="285">
        <v>1</v>
      </c>
      <c r="AK220" s="285"/>
      <c r="AL220" s="286">
        <v>189.88800000000001</v>
      </c>
    </row>
    <row r="221" spans="3:38" x14ac:dyDescent="0.3">
      <c r="G221" s="256" t="s">
        <v>624</v>
      </c>
      <c r="H221" s="284">
        <v>2</v>
      </c>
      <c r="I221" s="259">
        <v>1</v>
      </c>
      <c r="J221" s="259">
        <v>379.77600000000001</v>
      </c>
      <c r="K221" s="260">
        <v>2643.2409600000001</v>
      </c>
      <c r="P221" s="256" t="s">
        <v>624</v>
      </c>
      <c r="Q221" s="284">
        <v>2</v>
      </c>
      <c r="R221" s="259">
        <v>1</v>
      </c>
      <c r="S221" s="259"/>
      <c r="T221" s="260">
        <v>379.77600000000001</v>
      </c>
      <c r="Y221" s="256" t="s">
        <v>624</v>
      </c>
      <c r="Z221" s="284">
        <v>2</v>
      </c>
      <c r="AA221" s="259">
        <v>1</v>
      </c>
      <c r="AB221" s="259"/>
      <c r="AC221" s="260">
        <v>379.77600000000001</v>
      </c>
      <c r="AH221" s="256" t="s">
        <v>624</v>
      </c>
      <c r="AI221" s="284">
        <v>2</v>
      </c>
      <c r="AJ221" s="259">
        <v>1</v>
      </c>
      <c r="AK221" s="259"/>
      <c r="AL221" s="260">
        <v>379.77600000000001</v>
      </c>
    </row>
    <row r="222" spans="3:38" ht="15" thickBot="1" x14ac:dyDescent="0.35">
      <c r="G222" s="141" t="s">
        <v>559</v>
      </c>
      <c r="H222" s="263"/>
      <c r="I222" s="263"/>
      <c r="J222" s="263">
        <v>2114.94065985</v>
      </c>
      <c r="K222" s="264">
        <v>14719.986992556001</v>
      </c>
      <c r="P222" s="141" t="s">
        <v>559</v>
      </c>
      <c r="Q222" s="263"/>
      <c r="R222" s="263"/>
      <c r="S222" s="263"/>
      <c r="T222" s="264">
        <v>2114.94065985</v>
      </c>
      <c r="Y222" s="141" t="s">
        <v>559</v>
      </c>
      <c r="Z222" s="263"/>
      <c r="AA222" s="263"/>
      <c r="AB222" s="263"/>
      <c r="AC222" s="264">
        <v>2114.94065985</v>
      </c>
      <c r="AH222" s="141" t="s">
        <v>559</v>
      </c>
      <c r="AI222" s="263"/>
      <c r="AJ222" s="263"/>
      <c r="AK222" s="263"/>
      <c r="AL222" s="264">
        <v>2114.94065985</v>
      </c>
    </row>
    <row r="223" spans="3:38" ht="15" thickTop="1" x14ac:dyDescent="0.3">
      <c r="G223" s="270" t="s">
        <v>387</v>
      </c>
      <c r="H223" s="271"/>
      <c r="I223" s="271"/>
      <c r="J223" s="271"/>
      <c r="K223" s="272"/>
      <c r="P223" s="270" t="s">
        <v>387</v>
      </c>
      <c r="Q223" s="271"/>
      <c r="R223" s="271"/>
      <c r="S223" s="271"/>
      <c r="T223" s="272"/>
      <c r="Y223" s="270" t="s">
        <v>387</v>
      </c>
      <c r="Z223" s="271"/>
      <c r="AA223" s="271"/>
      <c r="AB223" s="271"/>
      <c r="AC223" s="272"/>
      <c r="AH223" s="270" t="s">
        <v>387</v>
      </c>
      <c r="AI223" s="271"/>
      <c r="AJ223" s="271"/>
      <c r="AK223" s="271"/>
      <c r="AL223" s="272"/>
    </row>
    <row r="224" spans="3:38" x14ac:dyDescent="0.3">
      <c r="G224" s="150" t="s">
        <v>537</v>
      </c>
      <c r="H224" s="247"/>
      <c r="I224" s="247"/>
      <c r="J224" s="247"/>
      <c r="K224" s="248"/>
      <c r="P224" s="150" t="s">
        <v>537</v>
      </c>
      <c r="Q224" s="247"/>
      <c r="R224" s="247"/>
      <c r="S224" s="247"/>
      <c r="T224" s="248"/>
      <c r="Y224" s="150" t="s">
        <v>537</v>
      </c>
      <c r="Z224" s="247"/>
      <c r="AA224" s="247"/>
      <c r="AB224" s="247"/>
      <c r="AC224" s="248"/>
      <c r="AH224" s="150" t="s">
        <v>537</v>
      </c>
      <c r="AI224" s="247"/>
      <c r="AJ224" s="247"/>
      <c r="AK224" s="247"/>
      <c r="AL224" s="248"/>
    </row>
    <row r="225" spans="7:38" x14ac:dyDescent="0.3">
      <c r="G225" s="150" t="s">
        <v>560</v>
      </c>
      <c r="H225" s="247">
        <v>9.6</v>
      </c>
      <c r="I225" s="247"/>
      <c r="J225" s="247">
        <v>203.03430334559999</v>
      </c>
      <c r="K225" s="248">
        <v>1413.1187512853801</v>
      </c>
      <c r="P225" s="150" t="s">
        <v>560</v>
      </c>
      <c r="Q225" s="247">
        <v>9.6</v>
      </c>
      <c r="R225" s="247"/>
      <c r="S225" s="247"/>
      <c r="T225" s="248">
        <v>203.03430334559999</v>
      </c>
      <c r="Y225" s="150" t="s">
        <v>560</v>
      </c>
      <c r="Z225" s="247">
        <v>9.6</v>
      </c>
      <c r="AA225" s="247"/>
      <c r="AB225" s="247"/>
      <c r="AC225" s="248">
        <v>203.03430334559999</v>
      </c>
      <c r="AH225" s="150" t="s">
        <v>560</v>
      </c>
      <c r="AI225" s="247">
        <v>9.6</v>
      </c>
      <c r="AJ225" s="247"/>
      <c r="AK225" s="247"/>
      <c r="AL225" s="248">
        <v>203.03430334559999</v>
      </c>
    </row>
    <row r="226" spans="7:38" x14ac:dyDescent="0.3">
      <c r="G226" s="150" t="s">
        <v>536</v>
      </c>
      <c r="H226" s="247"/>
      <c r="I226" s="247"/>
      <c r="J226" s="247"/>
      <c r="K226" s="248"/>
      <c r="P226" s="150" t="s">
        <v>536</v>
      </c>
      <c r="Q226" s="247"/>
      <c r="R226" s="247"/>
      <c r="S226" s="247"/>
      <c r="T226" s="248"/>
      <c r="Y226" s="150" t="s">
        <v>536</v>
      </c>
      <c r="Z226" s="247"/>
      <c r="AA226" s="247"/>
      <c r="AB226" s="247"/>
      <c r="AC226" s="248"/>
      <c r="AH226" s="150" t="s">
        <v>536</v>
      </c>
      <c r="AI226" s="247"/>
      <c r="AJ226" s="247"/>
      <c r="AK226" s="247"/>
      <c r="AL226" s="248"/>
    </row>
    <row r="227" spans="7:38" x14ac:dyDescent="0.3">
      <c r="G227" s="150" t="s">
        <v>350</v>
      </c>
      <c r="H227" s="247">
        <v>1.85</v>
      </c>
      <c r="I227" s="247"/>
      <c r="J227" s="247">
        <v>39.126402207224999</v>
      </c>
      <c r="K227" s="248">
        <v>272.31975936228599</v>
      </c>
      <c r="P227" s="150" t="s">
        <v>350</v>
      </c>
      <c r="Q227" s="247">
        <v>1.85</v>
      </c>
      <c r="R227" s="247"/>
      <c r="S227" s="247"/>
      <c r="T227" s="248">
        <v>39.126402207224999</v>
      </c>
      <c r="Y227" s="150" t="s">
        <v>350</v>
      </c>
      <c r="Z227" s="247">
        <v>1.85</v>
      </c>
      <c r="AA227" s="247"/>
      <c r="AB227" s="247"/>
      <c r="AC227" s="248">
        <v>39.126402207224999</v>
      </c>
      <c r="AH227" s="150" t="s">
        <v>350</v>
      </c>
      <c r="AI227" s="247">
        <v>1.85</v>
      </c>
      <c r="AJ227" s="247"/>
      <c r="AK227" s="247"/>
      <c r="AL227" s="248">
        <v>39.126402207224999</v>
      </c>
    </row>
    <row r="228" spans="7:38" x14ac:dyDescent="0.3">
      <c r="G228" s="150" t="s">
        <v>349</v>
      </c>
      <c r="H228" s="247">
        <v>1</v>
      </c>
      <c r="I228" s="247"/>
      <c r="J228" s="247">
        <v>21.149406598500001</v>
      </c>
      <c r="K228" s="248">
        <v>147.19986992555999</v>
      </c>
      <c r="P228" s="150" t="s">
        <v>349</v>
      </c>
      <c r="Q228" s="247">
        <v>1</v>
      </c>
      <c r="R228" s="247"/>
      <c r="S228" s="247"/>
      <c r="T228" s="248">
        <v>21.149406598500001</v>
      </c>
      <c r="Y228" s="150" t="s">
        <v>349</v>
      </c>
      <c r="Z228" s="247">
        <v>1</v>
      </c>
      <c r="AA228" s="247"/>
      <c r="AB228" s="247"/>
      <c r="AC228" s="248">
        <v>21.149406598500001</v>
      </c>
      <c r="AH228" s="150" t="s">
        <v>349</v>
      </c>
      <c r="AI228" s="247">
        <v>1</v>
      </c>
      <c r="AJ228" s="247"/>
      <c r="AK228" s="247"/>
      <c r="AL228" s="248">
        <v>21.149406598500001</v>
      </c>
    </row>
    <row r="229" spans="7:38" x14ac:dyDescent="0.3">
      <c r="G229" s="150" t="s">
        <v>539</v>
      </c>
      <c r="H229" s="247"/>
      <c r="I229" s="247"/>
      <c r="J229" s="247"/>
      <c r="K229" s="248"/>
      <c r="P229" s="150" t="s">
        <v>539</v>
      </c>
      <c r="Q229" s="247"/>
      <c r="R229" s="247"/>
      <c r="S229" s="247"/>
      <c r="T229" s="248"/>
      <c r="Y229" s="150" t="s">
        <v>539</v>
      </c>
      <c r="Z229" s="247"/>
      <c r="AA229" s="247"/>
      <c r="AB229" s="247"/>
      <c r="AC229" s="248"/>
      <c r="AH229" s="150" t="s">
        <v>539</v>
      </c>
      <c r="AI229" s="247"/>
      <c r="AJ229" s="247"/>
      <c r="AK229" s="247"/>
      <c r="AL229" s="248"/>
    </row>
    <row r="230" spans="7:38" x14ac:dyDescent="0.3">
      <c r="G230" s="150" t="s">
        <v>351</v>
      </c>
      <c r="H230" s="247">
        <v>0.7</v>
      </c>
      <c r="I230" s="247"/>
      <c r="J230" s="247">
        <v>14.804584618950001</v>
      </c>
      <c r="K230" s="248">
        <v>103.039908947892</v>
      </c>
      <c r="P230" s="150" t="s">
        <v>351</v>
      </c>
      <c r="Q230" s="247">
        <v>0.7</v>
      </c>
      <c r="R230" s="247"/>
      <c r="S230" s="247"/>
      <c r="T230" s="248">
        <v>14.804584618950001</v>
      </c>
      <c r="Y230" s="150" t="s">
        <v>351</v>
      </c>
      <c r="Z230" s="247">
        <v>0.7</v>
      </c>
      <c r="AA230" s="247"/>
      <c r="AB230" s="247"/>
      <c r="AC230" s="248">
        <v>14.804584618950001</v>
      </c>
      <c r="AH230" s="150" t="s">
        <v>351</v>
      </c>
      <c r="AI230" s="247">
        <v>0.7</v>
      </c>
      <c r="AJ230" s="247"/>
      <c r="AK230" s="247"/>
      <c r="AL230" s="248">
        <v>14.804584618950001</v>
      </c>
    </row>
    <row r="231" spans="7:38" x14ac:dyDescent="0.3">
      <c r="G231" s="150" t="s">
        <v>352</v>
      </c>
      <c r="H231" s="247">
        <v>0.1</v>
      </c>
      <c r="I231" s="247"/>
      <c r="J231" s="247">
        <v>2.1149406598499998</v>
      </c>
      <c r="K231" s="248">
        <v>14.719986992556001</v>
      </c>
      <c r="P231" s="150" t="s">
        <v>352</v>
      </c>
      <c r="Q231" s="247">
        <v>0.1</v>
      </c>
      <c r="R231" s="247"/>
      <c r="S231" s="247"/>
      <c r="T231" s="248">
        <v>2.1149406598499998</v>
      </c>
      <c r="Y231" s="150" t="s">
        <v>352</v>
      </c>
      <c r="Z231" s="247">
        <v>0.1</v>
      </c>
      <c r="AA231" s="247"/>
      <c r="AB231" s="247"/>
      <c r="AC231" s="248">
        <v>2.1149406598499998</v>
      </c>
      <c r="AH231" s="150" t="s">
        <v>352</v>
      </c>
      <c r="AI231" s="247">
        <v>0.1</v>
      </c>
      <c r="AJ231" s="247"/>
      <c r="AK231" s="247"/>
      <c r="AL231" s="248">
        <v>2.1149406598499998</v>
      </c>
    </row>
    <row r="232" spans="7:38" x14ac:dyDescent="0.3">
      <c r="G232" s="150" t="s">
        <v>353</v>
      </c>
      <c r="H232" s="247">
        <v>0.3</v>
      </c>
      <c r="I232" s="247"/>
      <c r="J232" s="247">
        <v>6.3448219795499998</v>
      </c>
      <c r="K232" s="248">
        <v>44.159960977668</v>
      </c>
      <c r="P232" s="150" t="s">
        <v>353</v>
      </c>
      <c r="Q232" s="247">
        <v>0.3</v>
      </c>
      <c r="R232" s="247"/>
      <c r="S232" s="247"/>
      <c r="T232" s="248">
        <v>6.3448219795499998</v>
      </c>
      <c r="Y232" s="150" t="s">
        <v>353</v>
      </c>
      <c r="Z232" s="247">
        <v>0.3</v>
      </c>
      <c r="AA232" s="247"/>
      <c r="AB232" s="247"/>
      <c r="AC232" s="248">
        <v>6.3448219795499998</v>
      </c>
      <c r="AH232" s="150" t="s">
        <v>353</v>
      </c>
      <c r="AI232" s="247">
        <v>0.3</v>
      </c>
      <c r="AJ232" s="247"/>
      <c r="AK232" s="247"/>
      <c r="AL232" s="248">
        <v>6.3448219795499998</v>
      </c>
    </row>
    <row r="233" spans="7:38" x14ac:dyDescent="0.3">
      <c r="G233" s="150" t="s">
        <v>354</v>
      </c>
      <c r="H233" s="247">
        <v>1</v>
      </c>
      <c r="I233" s="247"/>
      <c r="J233" s="247">
        <v>21.149406598500001</v>
      </c>
      <c r="K233" s="248">
        <v>147.19986992555999</v>
      </c>
      <c r="P233" s="150" t="s">
        <v>354</v>
      </c>
      <c r="Q233" s="247">
        <v>1</v>
      </c>
      <c r="R233" s="247"/>
      <c r="S233" s="247"/>
      <c r="T233" s="248">
        <v>21.149406598500001</v>
      </c>
      <c r="Y233" s="150" t="s">
        <v>354</v>
      </c>
      <c r="Z233" s="247">
        <v>1</v>
      </c>
      <c r="AA233" s="247"/>
      <c r="AB233" s="247"/>
      <c r="AC233" s="248">
        <v>21.149406598500001</v>
      </c>
      <c r="AH233" s="150" t="s">
        <v>354</v>
      </c>
      <c r="AI233" s="247">
        <v>1</v>
      </c>
      <c r="AJ233" s="247"/>
      <c r="AK233" s="247"/>
      <c r="AL233" s="248">
        <v>21.149406598500001</v>
      </c>
    </row>
    <row r="234" spans="7:38" x14ac:dyDescent="0.3">
      <c r="G234" s="150" t="s">
        <v>535</v>
      </c>
      <c r="H234" s="247"/>
      <c r="I234" s="247"/>
      <c r="J234" s="247"/>
      <c r="K234" s="248"/>
      <c r="P234" s="150" t="s">
        <v>535</v>
      </c>
      <c r="Q234" s="247"/>
      <c r="R234" s="247"/>
      <c r="S234" s="247"/>
      <c r="T234" s="248"/>
      <c r="Y234" s="150" t="s">
        <v>535</v>
      </c>
      <c r="Z234" s="247"/>
      <c r="AA234" s="247"/>
      <c r="AB234" s="247"/>
      <c r="AC234" s="248"/>
      <c r="AH234" s="150" t="s">
        <v>535</v>
      </c>
      <c r="AI234" s="247"/>
      <c r="AJ234" s="247"/>
      <c r="AK234" s="247"/>
      <c r="AL234" s="248"/>
    </row>
    <row r="235" spans="7:38" x14ac:dyDescent="0.3">
      <c r="G235" s="151" t="s">
        <v>48</v>
      </c>
      <c r="H235" s="273"/>
      <c r="I235" s="273"/>
      <c r="J235" s="273">
        <v>0.14367816091954</v>
      </c>
      <c r="K235" s="274">
        <v>1</v>
      </c>
      <c r="P235" s="151" t="s">
        <v>48</v>
      </c>
      <c r="Q235" s="273"/>
      <c r="R235" s="273"/>
      <c r="S235" s="273"/>
      <c r="T235" s="274">
        <v>1</v>
      </c>
      <c r="Y235" s="151" t="s">
        <v>48</v>
      </c>
      <c r="Z235" s="273"/>
      <c r="AA235" s="273"/>
      <c r="AB235" s="273"/>
      <c r="AC235" s="274">
        <v>1</v>
      </c>
      <c r="AH235" s="151" t="s">
        <v>48</v>
      </c>
      <c r="AI235" s="273"/>
      <c r="AJ235" s="273"/>
      <c r="AK235" s="273"/>
      <c r="AL235" s="274">
        <v>1</v>
      </c>
    </row>
    <row r="236" spans="7:38" ht="15" thickBot="1" x14ac:dyDescent="0.35">
      <c r="G236" s="141" t="s">
        <v>561</v>
      </c>
      <c r="H236" s="263"/>
      <c r="I236" s="263"/>
      <c r="J236" s="263">
        <v>307.86754416909503</v>
      </c>
      <c r="K236" s="264">
        <v>2142.7581074169002</v>
      </c>
      <c r="P236" s="141" t="s">
        <v>561</v>
      </c>
      <c r="Q236" s="263"/>
      <c r="R236" s="263"/>
      <c r="S236" s="263"/>
      <c r="T236" s="264">
        <v>308.72386600817498</v>
      </c>
      <c r="Y236" s="141" t="s">
        <v>561</v>
      </c>
      <c r="Z236" s="263"/>
      <c r="AA236" s="263"/>
      <c r="AB236" s="263"/>
      <c r="AC236" s="264">
        <v>308.72386600817498</v>
      </c>
      <c r="AH236" s="141" t="s">
        <v>561</v>
      </c>
      <c r="AI236" s="263"/>
      <c r="AJ236" s="263"/>
      <c r="AK236" s="263"/>
      <c r="AL236" s="264">
        <v>308.72386600817498</v>
      </c>
    </row>
    <row r="237" spans="7:38" ht="15" thickTop="1" x14ac:dyDescent="0.3">
      <c r="G237" s="270" t="s">
        <v>343</v>
      </c>
      <c r="H237" s="271"/>
      <c r="I237" s="271"/>
      <c r="J237" s="271"/>
      <c r="K237" s="272"/>
      <c r="P237" s="270" t="s">
        <v>343</v>
      </c>
      <c r="Q237" s="271"/>
      <c r="R237" s="271"/>
      <c r="S237" s="271"/>
      <c r="T237" s="272"/>
      <c r="Y237" s="270" t="s">
        <v>343</v>
      </c>
      <c r="Z237" s="271"/>
      <c r="AA237" s="271"/>
      <c r="AB237" s="271"/>
      <c r="AC237" s="272"/>
      <c r="AH237" s="270" t="s">
        <v>343</v>
      </c>
      <c r="AI237" s="271"/>
      <c r="AJ237" s="271"/>
      <c r="AK237" s="271"/>
      <c r="AL237" s="272"/>
    </row>
    <row r="238" spans="7:38" x14ac:dyDescent="0.3">
      <c r="G238" s="151" t="s">
        <v>547</v>
      </c>
      <c r="H238" s="273"/>
      <c r="I238" s="273"/>
      <c r="J238" s="273">
        <v>32.327586206896555</v>
      </c>
      <c r="K238" s="274">
        <v>225</v>
      </c>
      <c r="P238" s="151" t="s">
        <v>547</v>
      </c>
      <c r="Q238" s="273"/>
      <c r="R238" s="273"/>
      <c r="S238" s="273"/>
      <c r="T238" s="274">
        <v>225</v>
      </c>
      <c r="Y238" s="151" t="s">
        <v>547</v>
      </c>
      <c r="Z238" s="273"/>
      <c r="AA238" s="273"/>
      <c r="AB238" s="273"/>
      <c r="AC238" s="274">
        <v>225</v>
      </c>
      <c r="AH238" s="151" t="s">
        <v>547</v>
      </c>
      <c r="AI238" s="273"/>
      <c r="AJ238" s="273"/>
      <c r="AK238" s="273"/>
      <c r="AL238" s="274">
        <v>225</v>
      </c>
    </row>
    <row r="239" spans="7:38" ht="15" thickBot="1" x14ac:dyDescent="0.35">
      <c r="G239" s="154" t="s">
        <v>562</v>
      </c>
      <c r="H239" s="261"/>
      <c r="I239" s="261"/>
      <c r="J239" s="261">
        <v>32.327586206896555</v>
      </c>
      <c r="K239" s="262">
        <v>225</v>
      </c>
      <c r="P239" s="154" t="s">
        <v>562</v>
      </c>
      <c r="Q239" s="261"/>
      <c r="R239" s="261"/>
      <c r="S239" s="261"/>
      <c r="T239" s="262">
        <v>225</v>
      </c>
      <c r="Y239" s="154" t="s">
        <v>562</v>
      </c>
      <c r="Z239" s="261"/>
      <c r="AA239" s="261"/>
      <c r="AB239" s="261"/>
      <c r="AC239" s="262">
        <v>225</v>
      </c>
      <c r="AH239" s="154" t="s">
        <v>562</v>
      </c>
      <c r="AI239" s="261"/>
      <c r="AJ239" s="261"/>
      <c r="AK239" s="261"/>
      <c r="AL239" s="262">
        <v>225</v>
      </c>
    </row>
    <row r="240" spans="7:38" ht="15" thickTop="1" x14ac:dyDescent="0.3"/>
    <row r="241" spans="1:38" x14ac:dyDescent="0.3">
      <c r="C241" s="250" t="s">
        <v>518</v>
      </c>
      <c r="D241" s="251"/>
      <c r="E241" s="251"/>
      <c r="F241" s="251"/>
      <c r="G241" s="251"/>
      <c r="H241" s="251"/>
      <c r="I241" s="251"/>
      <c r="J241" s="251" t="s">
        <v>563</v>
      </c>
      <c r="K241" s="252" t="s">
        <v>564</v>
      </c>
      <c r="L241" s="250" t="s">
        <v>518</v>
      </c>
      <c r="M241" s="251"/>
      <c r="N241" s="251"/>
      <c r="O241" s="251"/>
      <c r="P241" s="251"/>
      <c r="Q241" s="251"/>
      <c r="R241" s="251"/>
      <c r="S241" s="251"/>
      <c r="T241" s="252" t="s">
        <v>564</v>
      </c>
      <c r="U241" s="250" t="s">
        <v>518</v>
      </c>
      <c r="V241" s="251"/>
      <c r="W241" s="251"/>
      <c r="X241" s="251"/>
      <c r="Y241" s="251"/>
      <c r="Z241" s="251"/>
      <c r="AA241" s="251"/>
      <c r="AB241" s="251"/>
      <c r="AC241" s="252" t="s">
        <v>564</v>
      </c>
      <c r="AD241" s="250" t="s">
        <v>518</v>
      </c>
      <c r="AE241" s="251"/>
      <c r="AF241" s="251"/>
      <c r="AG241" s="251"/>
      <c r="AH241" s="251"/>
      <c r="AI241" s="251"/>
      <c r="AJ241" s="251"/>
      <c r="AK241" s="251"/>
      <c r="AL241" s="252" t="s">
        <v>564</v>
      </c>
    </row>
    <row r="242" spans="1:38" x14ac:dyDescent="0.3">
      <c r="C242" s="276" t="s">
        <v>565</v>
      </c>
      <c r="D242" s="278"/>
      <c r="E242" s="278"/>
      <c r="F242" s="278"/>
      <c r="G242" s="278"/>
      <c r="H242" s="278"/>
      <c r="I242" s="278"/>
      <c r="J242" s="278">
        <v>1839.4007018878001</v>
      </c>
      <c r="K242" s="277">
        <v>12802.2288851391</v>
      </c>
      <c r="L242" s="276" t="s">
        <v>565</v>
      </c>
      <c r="M242" s="278"/>
      <c r="N242" s="278"/>
      <c r="O242" s="278"/>
      <c r="P242" s="278"/>
      <c r="Q242" s="278"/>
      <c r="R242" s="278"/>
      <c r="S242" s="278"/>
      <c r="T242" s="277">
        <v>2031.2167938418299</v>
      </c>
      <c r="U242" s="276" t="s">
        <v>565</v>
      </c>
      <c r="V242" s="278"/>
      <c r="W242" s="278"/>
      <c r="X242" s="278"/>
      <c r="Y242" s="278"/>
      <c r="Z242" s="278"/>
      <c r="AA242" s="278"/>
      <c r="AB242" s="278"/>
      <c r="AC242" s="277">
        <v>2031.2167938418299</v>
      </c>
      <c r="AD242" s="276" t="s">
        <v>565</v>
      </c>
      <c r="AE242" s="278"/>
      <c r="AF242" s="278"/>
      <c r="AG242" s="278"/>
      <c r="AH242" s="278"/>
      <c r="AI242" s="278"/>
      <c r="AJ242" s="278"/>
      <c r="AK242" s="278"/>
      <c r="AL242" s="277">
        <v>2031.2167938418299</v>
      </c>
    </row>
    <row r="243" spans="1:38" x14ac:dyDescent="0.3">
      <c r="C243" s="275" t="s">
        <v>324</v>
      </c>
      <c r="D243" s="513" t="s">
        <v>625</v>
      </c>
      <c r="E243" s="513"/>
      <c r="F243" s="513"/>
      <c r="G243" s="513"/>
      <c r="H243" s="513"/>
      <c r="I243" s="513"/>
      <c r="J243" s="513"/>
      <c r="K243" s="514"/>
      <c r="L243" s="275" t="s">
        <v>324</v>
      </c>
      <c r="M243" s="513" t="s">
        <v>630</v>
      </c>
      <c r="N243" s="513"/>
      <c r="O243" s="513"/>
      <c r="P243" s="513"/>
      <c r="Q243" s="513"/>
      <c r="R243" s="513"/>
      <c r="S243" s="513"/>
      <c r="T243" s="514"/>
      <c r="U243" s="275" t="s">
        <v>324</v>
      </c>
      <c r="V243" s="513" t="s">
        <v>630</v>
      </c>
      <c r="W243" s="513"/>
      <c r="X243" s="513"/>
      <c r="Y243" s="513"/>
      <c r="Z243" s="513"/>
      <c r="AA243" s="513"/>
      <c r="AB243" s="513"/>
      <c r="AC243" s="514"/>
      <c r="AD243" s="275" t="s">
        <v>324</v>
      </c>
      <c r="AE243" s="513" t="s">
        <v>630</v>
      </c>
      <c r="AF243" s="513"/>
      <c r="AG243" s="513"/>
      <c r="AH243" s="513"/>
      <c r="AI243" s="513"/>
      <c r="AJ243" s="513"/>
      <c r="AK243" s="513"/>
      <c r="AL243" s="514"/>
    </row>
    <row r="244" spans="1:38" x14ac:dyDescent="0.3">
      <c r="C244" s="255"/>
      <c r="D244" s="515"/>
      <c r="E244" s="515"/>
      <c r="F244" s="515"/>
      <c r="G244" s="515"/>
      <c r="H244" s="515"/>
      <c r="I244" s="515"/>
      <c r="J244" s="515"/>
      <c r="K244" s="516"/>
      <c r="L244" s="255"/>
      <c r="M244" s="515"/>
      <c r="N244" s="515"/>
      <c r="O244" s="515"/>
      <c r="P244" s="515"/>
      <c r="Q244" s="515"/>
      <c r="R244" s="515"/>
      <c r="S244" s="515"/>
      <c r="T244" s="516"/>
      <c r="U244" s="255"/>
      <c r="V244" s="515"/>
      <c r="W244" s="515"/>
      <c r="X244" s="515"/>
      <c r="Y244" s="515"/>
      <c r="Z244" s="515"/>
      <c r="AA244" s="515"/>
      <c r="AB244" s="515"/>
      <c r="AC244" s="516"/>
      <c r="AD244" s="255"/>
      <c r="AE244" s="515"/>
      <c r="AF244" s="515"/>
      <c r="AG244" s="515"/>
      <c r="AH244" s="515"/>
      <c r="AI244" s="515"/>
      <c r="AJ244" s="515"/>
      <c r="AK244" s="515"/>
      <c r="AL244" s="516"/>
    </row>
    <row r="247" spans="1:38" x14ac:dyDescent="0.3">
      <c r="C247" s="279" t="s">
        <v>325</v>
      </c>
      <c r="D247" s="279"/>
      <c r="G247" s="281" t="s">
        <v>326</v>
      </c>
      <c r="H247" s="281"/>
      <c r="J247" s="279" t="s">
        <v>306</v>
      </c>
      <c r="K247" s="279"/>
      <c r="L247" s="279" t="s">
        <v>325</v>
      </c>
      <c r="M247" s="279"/>
      <c r="P247" s="281" t="s">
        <v>326</v>
      </c>
      <c r="Q247" s="281"/>
      <c r="S247" s="279" t="s">
        <v>306</v>
      </c>
      <c r="T247" s="279"/>
      <c r="U247" s="279" t="s">
        <v>325</v>
      </c>
      <c r="V247" s="279"/>
      <c r="Y247" s="281" t="s">
        <v>326</v>
      </c>
      <c r="Z247" s="281"/>
      <c r="AB247" s="279" t="s">
        <v>306</v>
      </c>
      <c r="AC247" s="279"/>
      <c r="AD247" s="279" t="s">
        <v>325</v>
      </c>
      <c r="AE247" s="279"/>
      <c r="AH247" s="281" t="s">
        <v>326</v>
      </c>
      <c r="AI247" s="281"/>
      <c r="AK247" s="279" t="s">
        <v>306</v>
      </c>
      <c r="AL247" s="279"/>
    </row>
    <row r="248" spans="1:38" x14ac:dyDescent="0.3">
      <c r="C248" s="280"/>
      <c r="D248" s="280"/>
      <c r="G248" s="280"/>
      <c r="H248" s="280"/>
      <c r="J248" s="280"/>
      <c r="K248" s="280"/>
      <c r="L248" s="280"/>
      <c r="M248" s="280"/>
      <c r="P248" s="280"/>
      <c r="Q248" s="280"/>
      <c r="S248" s="280"/>
      <c r="T248" s="280"/>
      <c r="U248" s="280"/>
      <c r="V248" s="280"/>
      <c r="Y248" s="280"/>
      <c r="Z248" s="280"/>
      <c r="AB248" s="280"/>
      <c r="AC248" s="280"/>
      <c r="AD248" s="280"/>
      <c r="AE248" s="280"/>
      <c r="AH248" s="280"/>
      <c r="AI248" s="280"/>
      <c r="AK248" s="280"/>
      <c r="AL248" s="280"/>
    </row>
    <row r="252" spans="1:38" x14ac:dyDescent="0.3">
      <c r="A252" s="237"/>
      <c r="B252" s="238"/>
      <c r="C252" s="238"/>
      <c r="D252" s="238"/>
      <c r="E252" s="238" t="s">
        <v>334</v>
      </c>
      <c r="F252" s="238"/>
      <c r="G252" s="238"/>
      <c r="H252" s="238"/>
      <c r="I252" s="239"/>
    </row>
    <row r="253" spans="1:38" x14ac:dyDescent="0.3">
      <c r="A253" s="240"/>
      <c r="B253" s="241"/>
      <c r="C253" s="241"/>
      <c r="D253" s="241"/>
      <c r="E253" s="243" t="s">
        <v>301</v>
      </c>
      <c r="F253" s="241"/>
      <c r="G253" s="241"/>
      <c r="H253" s="241"/>
      <c r="I253" s="242"/>
    </row>
    <row r="255" spans="1:38" x14ac:dyDescent="0.3">
      <c r="A255" s="169" t="s">
        <v>548</v>
      </c>
      <c r="B255" s="161"/>
      <c r="C255" s="162"/>
      <c r="E255" s="250" t="s">
        <v>524</v>
      </c>
      <c r="F255" s="251"/>
      <c r="G255" s="251"/>
      <c r="H255" s="251"/>
      <c r="I255" s="252"/>
    </row>
    <row r="256" spans="1:38" x14ac:dyDescent="0.3">
      <c r="A256" s="150" t="s">
        <v>393</v>
      </c>
      <c r="B256" s="163" t="s">
        <v>303</v>
      </c>
      <c r="C256" s="164"/>
      <c r="E256" s="254" t="s">
        <v>615</v>
      </c>
      <c r="F256" s="350" t="s">
        <v>377</v>
      </c>
      <c r="G256" s="257" t="s">
        <v>443</v>
      </c>
      <c r="H256" s="257" t="s">
        <v>375</v>
      </c>
      <c r="I256" s="258" t="s">
        <v>616</v>
      </c>
    </row>
    <row r="257" spans="1:9" x14ac:dyDescent="0.3">
      <c r="A257" s="150" t="s">
        <v>316</v>
      </c>
      <c r="B257" s="163" t="s">
        <v>549</v>
      </c>
      <c r="C257" s="164"/>
      <c r="E257" s="253" t="s">
        <v>617</v>
      </c>
      <c r="F257" s="351">
        <v>44232</v>
      </c>
      <c r="G257" s="285" t="s">
        <v>168</v>
      </c>
      <c r="H257" s="285" t="s">
        <v>374</v>
      </c>
      <c r="I257" s="286">
        <v>18.18</v>
      </c>
    </row>
    <row r="258" spans="1:9" x14ac:dyDescent="0.3">
      <c r="A258" s="150" t="s">
        <v>396</v>
      </c>
      <c r="B258" s="349">
        <v>44338</v>
      </c>
      <c r="C258" s="164"/>
      <c r="E258" s="253" t="s">
        <v>618</v>
      </c>
      <c r="F258" s="351">
        <v>44330</v>
      </c>
      <c r="G258" s="285" t="s">
        <v>159</v>
      </c>
      <c r="H258" s="285" t="s">
        <v>374</v>
      </c>
      <c r="I258" s="286">
        <v>100</v>
      </c>
    </row>
    <row r="259" spans="1:9" x14ac:dyDescent="0.3">
      <c r="A259" s="150" t="s">
        <v>394</v>
      </c>
      <c r="B259" s="163" t="s">
        <v>303</v>
      </c>
      <c r="C259" s="164"/>
      <c r="E259" s="256" t="s">
        <v>619</v>
      </c>
      <c r="F259" s="352">
        <v>44330</v>
      </c>
      <c r="G259" s="259" t="s">
        <v>620</v>
      </c>
      <c r="H259" s="259" t="s">
        <v>373</v>
      </c>
      <c r="I259" s="260">
        <v>200</v>
      </c>
    </row>
    <row r="260" spans="1:9" ht="15" thickBot="1" x14ac:dyDescent="0.35">
      <c r="A260" s="150" t="s">
        <v>395</v>
      </c>
      <c r="B260" s="163" t="s">
        <v>303</v>
      </c>
      <c r="C260" s="164"/>
      <c r="E260" s="141" t="s">
        <v>523</v>
      </c>
      <c r="F260" s="263"/>
      <c r="G260" s="263"/>
      <c r="H260" s="263"/>
      <c r="I260" s="264">
        <v>318.18</v>
      </c>
    </row>
    <row r="261" spans="1:9" ht="15" thickTop="1" x14ac:dyDescent="0.3">
      <c r="A261" s="244" t="s">
        <v>550</v>
      </c>
      <c r="B261" s="246">
        <v>6.96</v>
      </c>
      <c r="C261" s="245" t="s">
        <v>359</v>
      </c>
      <c r="E261" s="265" t="s">
        <v>391</v>
      </c>
      <c r="F261" s="266"/>
      <c r="G261" s="266"/>
      <c r="H261" s="266"/>
      <c r="I261" s="267"/>
    </row>
    <row r="262" spans="1:9" x14ac:dyDescent="0.3">
      <c r="E262" s="254" t="s">
        <v>33</v>
      </c>
      <c r="F262" s="257" t="s">
        <v>529</v>
      </c>
      <c r="G262" s="257" t="s">
        <v>553</v>
      </c>
      <c r="H262" s="257" t="s">
        <v>528</v>
      </c>
      <c r="I262" s="258" t="s">
        <v>386</v>
      </c>
    </row>
    <row r="263" spans="1:9" x14ac:dyDescent="0.3">
      <c r="A263" s="169" t="s">
        <v>339</v>
      </c>
      <c r="B263" s="161"/>
      <c r="C263" s="162"/>
      <c r="E263" s="321" t="s">
        <v>554</v>
      </c>
      <c r="F263" s="285">
        <v>5.5</v>
      </c>
      <c r="G263" s="285">
        <v>17.180099999999999</v>
      </c>
      <c r="H263" s="285">
        <v>1</v>
      </c>
      <c r="I263" s="286">
        <v>17.008299000000001</v>
      </c>
    </row>
    <row r="264" spans="1:9" x14ac:dyDescent="0.3">
      <c r="A264" s="150" t="s">
        <v>307</v>
      </c>
      <c r="B264" s="247" t="s">
        <v>260</v>
      </c>
      <c r="C264" s="248"/>
      <c r="E264" s="321" t="s">
        <v>621</v>
      </c>
      <c r="F264" s="285">
        <v>2</v>
      </c>
      <c r="G264" s="285">
        <v>98</v>
      </c>
      <c r="H264" s="285">
        <v>1</v>
      </c>
      <c r="I264" s="286">
        <v>97.02</v>
      </c>
    </row>
    <row r="265" spans="1:9" x14ac:dyDescent="0.3">
      <c r="A265" s="150" t="s">
        <v>308</v>
      </c>
      <c r="B265" s="247" t="s">
        <v>614</v>
      </c>
      <c r="C265" s="248"/>
      <c r="E265" s="268" t="s">
        <v>622</v>
      </c>
      <c r="F265" s="259">
        <v>4</v>
      </c>
      <c r="G265" s="259">
        <v>192</v>
      </c>
      <c r="H265" s="259">
        <v>1.1000000000000001</v>
      </c>
      <c r="I265" s="260">
        <v>189.88800000000001</v>
      </c>
    </row>
    <row r="266" spans="1:9" ht="15" thickBot="1" x14ac:dyDescent="0.35">
      <c r="A266" s="150" t="s">
        <v>551</v>
      </c>
      <c r="B266" s="247" t="s">
        <v>260</v>
      </c>
      <c r="C266" s="248"/>
      <c r="E266" s="141" t="s">
        <v>525</v>
      </c>
      <c r="F266" s="263"/>
      <c r="G266" s="263"/>
      <c r="H266" s="263"/>
      <c r="I266" s="264">
        <v>303.91629899999998</v>
      </c>
    </row>
    <row r="267" spans="1:9" ht="15" thickTop="1" x14ac:dyDescent="0.3">
      <c r="A267" s="150" t="s">
        <v>311</v>
      </c>
      <c r="B267" s="247" t="s">
        <v>312</v>
      </c>
      <c r="C267" s="248"/>
      <c r="E267" s="265" t="s">
        <v>346</v>
      </c>
      <c r="F267" s="266"/>
      <c r="G267" s="266"/>
      <c r="H267" s="266"/>
      <c r="I267" s="267"/>
    </row>
    <row r="268" spans="1:9" x14ac:dyDescent="0.3">
      <c r="A268" s="150" t="s">
        <v>314</v>
      </c>
      <c r="B268" s="247" t="s">
        <v>260</v>
      </c>
      <c r="C268" s="248"/>
      <c r="E268" s="254" t="s">
        <v>33</v>
      </c>
      <c r="F268" s="257" t="s">
        <v>555</v>
      </c>
      <c r="G268" s="257" t="s">
        <v>556</v>
      </c>
      <c r="H268" s="257"/>
      <c r="I268" s="258" t="s">
        <v>558</v>
      </c>
    </row>
    <row r="269" spans="1:9" x14ac:dyDescent="0.3">
      <c r="A269" s="244" t="s">
        <v>315</v>
      </c>
      <c r="B269" s="246" t="s">
        <v>260</v>
      </c>
      <c r="C269" s="249"/>
      <c r="E269" s="321" t="s">
        <v>554</v>
      </c>
      <c r="F269" s="287">
        <v>6.5</v>
      </c>
      <c r="G269" s="285">
        <v>13.1</v>
      </c>
      <c r="H269" s="285"/>
      <c r="I269" s="286">
        <v>10079.866352556</v>
      </c>
    </row>
    <row r="270" spans="1:9" x14ac:dyDescent="0.3">
      <c r="E270" s="321" t="s">
        <v>621</v>
      </c>
      <c r="F270" s="322">
        <v>1</v>
      </c>
      <c r="G270" s="285">
        <v>1</v>
      </c>
      <c r="H270" s="285"/>
      <c r="I270" s="286">
        <v>675.25919999999996</v>
      </c>
    </row>
    <row r="271" spans="1:9" x14ac:dyDescent="0.3">
      <c r="E271" s="321" t="s">
        <v>623</v>
      </c>
      <c r="F271" s="287">
        <v>1</v>
      </c>
      <c r="G271" s="285">
        <v>1</v>
      </c>
      <c r="H271" s="285"/>
      <c r="I271" s="286">
        <v>1321.62048</v>
      </c>
    </row>
    <row r="272" spans="1:9" x14ac:dyDescent="0.3">
      <c r="E272" s="256" t="s">
        <v>624</v>
      </c>
      <c r="F272" s="284">
        <v>2</v>
      </c>
      <c r="G272" s="259">
        <v>1</v>
      </c>
      <c r="H272" s="259"/>
      <c r="I272" s="260">
        <v>2643.2409600000001</v>
      </c>
    </row>
    <row r="273" spans="5:9" ht="15" thickBot="1" x14ac:dyDescent="0.35">
      <c r="E273" s="141" t="s">
        <v>559</v>
      </c>
      <c r="F273" s="263"/>
      <c r="G273" s="263"/>
      <c r="H273" s="263"/>
      <c r="I273" s="264">
        <v>14719.986992556001</v>
      </c>
    </row>
    <row r="274" spans="5:9" ht="15" thickTop="1" x14ac:dyDescent="0.3">
      <c r="E274" s="270" t="s">
        <v>387</v>
      </c>
      <c r="F274" s="271"/>
      <c r="G274" s="271"/>
      <c r="H274" s="271"/>
      <c r="I274" s="272"/>
    </row>
    <row r="275" spans="5:9" x14ac:dyDescent="0.3">
      <c r="E275" s="150" t="s">
        <v>537</v>
      </c>
      <c r="F275" s="247"/>
      <c r="G275" s="247"/>
      <c r="H275" s="247"/>
      <c r="I275" s="248"/>
    </row>
    <row r="276" spans="5:9" x14ac:dyDescent="0.3">
      <c r="E276" s="150" t="s">
        <v>560</v>
      </c>
      <c r="F276" s="247">
        <v>9.6</v>
      </c>
      <c r="G276" s="247"/>
      <c r="H276" s="247"/>
      <c r="I276" s="248">
        <v>1413.1187512853801</v>
      </c>
    </row>
    <row r="277" spans="5:9" x14ac:dyDescent="0.3">
      <c r="E277" s="150" t="s">
        <v>536</v>
      </c>
      <c r="F277" s="247"/>
      <c r="G277" s="247"/>
      <c r="H277" s="247"/>
      <c r="I277" s="248"/>
    </row>
    <row r="278" spans="5:9" x14ac:dyDescent="0.3">
      <c r="E278" s="150" t="s">
        <v>350</v>
      </c>
      <c r="F278" s="247">
        <v>1.85</v>
      </c>
      <c r="G278" s="247"/>
      <c r="H278" s="247"/>
      <c r="I278" s="248">
        <v>272.31975936228599</v>
      </c>
    </row>
    <row r="279" spans="5:9" x14ac:dyDescent="0.3">
      <c r="E279" s="150" t="s">
        <v>349</v>
      </c>
      <c r="F279" s="247">
        <v>1</v>
      </c>
      <c r="G279" s="247"/>
      <c r="H279" s="247"/>
      <c r="I279" s="248">
        <v>147.19986992555999</v>
      </c>
    </row>
    <row r="280" spans="5:9" x14ac:dyDescent="0.3">
      <c r="E280" s="150" t="s">
        <v>539</v>
      </c>
      <c r="F280" s="247"/>
      <c r="G280" s="247"/>
      <c r="H280" s="247"/>
      <c r="I280" s="248"/>
    </row>
    <row r="281" spans="5:9" x14ac:dyDescent="0.3">
      <c r="E281" s="150" t="s">
        <v>351</v>
      </c>
      <c r="F281" s="247">
        <v>0.7</v>
      </c>
      <c r="G281" s="247"/>
      <c r="H281" s="247"/>
      <c r="I281" s="248">
        <v>103.039908947892</v>
      </c>
    </row>
    <row r="282" spans="5:9" x14ac:dyDescent="0.3">
      <c r="E282" s="150" t="s">
        <v>352</v>
      </c>
      <c r="F282" s="247">
        <v>0.1</v>
      </c>
      <c r="G282" s="247"/>
      <c r="H282" s="247"/>
      <c r="I282" s="248">
        <v>14.719986992556001</v>
      </c>
    </row>
    <row r="283" spans="5:9" x14ac:dyDescent="0.3">
      <c r="E283" s="150" t="s">
        <v>353</v>
      </c>
      <c r="F283" s="247">
        <v>0.3</v>
      </c>
      <c r="G283" s="247"/>
      <c r="H283" s="247"/>
      <c r="I283" s="248">
        <v>44.159960977668</v>
      </c>
    </row>
    <row r="284" spans="5:9" x14ac:dyDescent="0.3">
      <c r="E284" s="150" t="s">
        <v>354</v>
      </c>
      <c r="F284" s="247">
        <v>1</v>
      </c>
      <c r="G284" s="247"/>
      <c r="H284" s="247"/>
      <c r="I284" s="248">
        <v>147.19986992555999</v>
      </c>
    </row>
    <row r="285" spans="5:9" x14ac:dyDescent="0.3">
      <c r="E285" s="150" t="s">
        <v>535</v>
      </c>
      <c r="F285" s="247"/>
      <c r="G285" s="247"/>
      <c r="H285" s="247"/>
      <c r="I285" s="248"/>
    </row>
    <row r="286" spans="5:9" x14ac:dyDescent="0.3">
      <c r="E286" s="151" t="s">
        <v>48</v>
      </c>
      <c r="F286" s="273"/>
      <c r="G286" s="273"/>
      <c r="H286" s="273"/>
      <c r="I286" s="274">
        <v>1</v>
      </c>
    </row>
    <row r="287" spans="5:9" ht="15" thickBot="1" x14ac:dyDescent="0.35">
      <c r="E287" s="141" t="s">
        <v>561</v>
      </c>
      <c r="F287" s="263"/>
      <c r="G287" s="263"/>
      <c r="H287" s="263"/>
      <c r="I287" s="264">
        <v>2142.7581074169002</v>
      </c>
    </row>
    <row r="288" spans="5:9" ht="15" thickTop="1" x14ac:dyDescent="0.3">
      <c r="E288" s="270" t="s">
        <v>343</v>
      </c>
      <c r="F288" s="271"/>
      <c r="G288" s="271"/>
      <c r="H288" s="271"/>
      <c r="I288" s="272"/>
    </row>
    <row r="289" spans="1:9" x14ac:dyDescent="0.3">
      <c r="E289" s="151" t="s">
        <v>547</v>
      </c>
      <c r="F289" s="273"/>
      <c r="G289" s="273"/>
      <c r="H289" s="273"/>
      <c r="I289" s="274">
        <v>225</v>
      </c>
    </row>
    <row r="290" spans="1:9" ht="15" thickBot="1" x14ac:dyDescent="0.35">
      <c r="E290" s="154" t="s">
        <v>562</v>
      </c>
      <c r="F290" s="261"/>
      <c r="G290" s="261"/>
      <c r="H290" s="261"/>
      <c r="I290" s="262">
        <v>225</v>
      </c>
    </row>
    <row r="291" spans="1:9" ht="15" thickTop="1" x14ac:dyDescent="0.3"/>
    <row r="292" spans="1:9" x14ac:dyDescent="0.3">
      <c r="A292" s="250" t="s">
        <v>518</v>
      </c>
      <c r="B292" s="251"/>
      <c r="C292" s="251"/>
      <c r="D292" s="251"/>
      <c r="E292" s="251"/>
      <c r="F292" s="251"/>
      <c r="G292" s="251"/>
      <c r="H292" s="251"/>
      <c r="I292" s="252" t="s">
        <v>564</v>
      </c>
    </row>
    <row r="293" spans="1:9" x14ac:dyDescent="0.3">
      <c r="A293" s="276" t="s">
        <v>565</v>
      </c>
      <c r="B293" s="278"/>
      <c r="C293" s="278"/>
      <c r="D293" s="278"/>
      <c r="E293" s="278"/>
      <c r="F293" s="278"/>
      <c r="G293" s="278"/>
      <c r="H293" s="278"/>
      <c r="I293" s="277">
        <v>12802.2288851391</v>
      </c>
    </row>
    <row r="294" spans="1:9" x14ac:dyDescent="0.3">
      <c r="A294" s="275" t="s">
        <v>324</v>
      </c>
      <c r="B294" s="513" t="s">
        <v>625</v>
      </c>
      <c r="C294" s="513"/>
      <c r="D294" s="513"/>
      <c r="E294" s="513"/>
      <c r="F294" s="513"/>
      <c r="G294" s="513"/>
      <c r="H294" s="513"/>
      <c r="I294" s="514"/>
    </row>
    <row r="295" spans="1:9" x14ac:dyDescent="0.3">
      <c r="A295" s="255"/>
      <c r="B295" s="515"/>
      <c r="C295" s="515"/>
      <c r="D295" s="515"/>
      <c r="E295" s="515"/>
      <c r="F295" s="515"/>
      <c r="G295" s="515"/>
      <c r="H295" s="515"/>
      <c r="I295" s="516"/>
    </row>
    <row r="298" spans="1:9" x14ac:dyDescent="0.3">
      <c r="A298" s="279" t="s">
        <v>325</v>
      </c>
      <c r="B298" s="279"/>
      <c r="E298" s="281" t="s">
        <v>326</v>
      </c>
      <c r="F298" s="281"/>
      <c r="H298" s="279" t="s">
        <v>306</v>
      </c>
      <c r="I298" s="279"/>
    </row>
    <row r="299" spans="1:9" x14ac:dyDescent="0.3">
      <c r="A299" s="280"/>
      <c r="B299" s="280"/>
      <c r="E299" s="280"/>
      <c r="F299" s="280"/>
      <c r="H299" s="280"/>
      <c r="I299" s="280"/>
    </row>
    <row r="307" spans="1:9" x14ac:dyDescent="0.3">
      <c r="A307" s="237"/>
      <c r="B307" s="238"/>
      <c r="C307" s="238"/>
      <c r="D307" s="238"/>
      <c r="E307" s="238" t="s">
        <v>334</v>
      </c>
      <c r="F307" s="238"/>
      <c r="G307" s="238"/>
      <c r="H307" s="238"/>
      <c r="I307" s="239"/>
    </row>
    <row r="308" spans="1:9" x14ac:dyDescent="0.3">
      <c r="A308" s="240"/>
      <c r="B308" s="241"/>
      <c r="C308" s="241"/>
      <c r="D308" s="241"/>
      <c r="E308" s="243" t="s">
        <v>301</v>
      </c>
      <c r="F308" s="241"/>
      <c r="G308" s="241"/>
      <c r="H308" s="241"/>
      <c r="I308" s="242"/>
    </row>
    <row r="310" spans="1:9" x14ac:dyDescent="0.3">
      <c r="A310" s="169" t="s">
        <v>548</v>
      </c>
      <c r="B310" s="161"/>
      <c r="C310" s="162"/>
      <c r="E310" s="250" t="s">
        <v>524</v>
      </c>
      <c r="F310" s="251"/>
      <c r="G310" s="251"/>
      <c r="H310" s="251"/>
      <c r="I310" s="252"/>
    </row>
    <row r="311" spans="1:9" x14ac:dyDescent="0.3">
      <c r="A311" s="150" t="s">
        <v>393</v>
      </c>
      <c r="B311" s="163" t="s">
        <v>303</v>
      </c>
      <c r="C311" s="164"/>
      <c r="E311" s="254" t="s">
        <v>615</v>
      </c>
      <c r="F311" s="385" t="s">
        <v>377</v>
      </c>
      <c r="G311" s="257" t="s">
        <v>443</v>
      </c>
      <c r="H311" s="257" t="s">
        <v>375</v>
      </c>
      <c r="I311" s="258" t="s">
        <v>616</v>
      </c>
    </row>
    <row r="312" spans="1:9" x14ac:dyDescent="0.3">
      <c r="A312" s="150" t="s">
        <v>316</v>
      </c>
      <c r="B312" s="163" t="s">
        <v>549</v>
      </c>
      <c r="C312" s="164"/>
      <c r="E312" s="253" t="s">
        <v>617</v>
      </c>
      <c r="F312" s="386">
        <v>44232</v>
      </c>
      <c r="G312" s="285" t="s">
        <v>168</v>
      </c>
      <c r="H312" s="285" t="s">
        <v>374</v>
      </c>
      <c r="I312" s="286">
        <v>18.18</v>
      </c>
    </row>
    <row r="313" spans="1:9" x14ac:dyDescent="0.3">
      <c r="A313" s="150" t="s">
        <v>396</v>
      </c>
      <c r="B313" s="360">
        <v>44344</v>
      </c>
      <c r="C313" s="164"/>
      <c r="E313" s="253" t="s">
        <v>618</v>
      </c>
      <c r="F313" s="386">
        <v>44330</v>
      </c>
      <c r="G313" s="285" t="s">
        <v>159</v>
      </c>
      <c r="H313" s="285" t="s">
        <v>374</v>
      </c>
      <c r="I313" s="286">
        <v>100</v>
      </c>
    </row>
    <row r="314" spans="1:9" x14ac:dyDescent="0.3">
      <c r="A314" s="150" t="s">
        <v>394</v>
      </c>
      <c r="B314" s="163" t="s">
        <v>303</v>
      </c>
      <c r="C314" s="164"/>
      <c r="E314" s="256" t="s">
        <v>619</v>
      </c>
      <c r="F314" s="387">
        <v>44330</v>
      </c>
      <c r="G314" s="259" t="s">
        <v>620</v>
      </c>
      <c r="H314" s="259" t="s">
        <v>373</v>
      </c>
      <c r="I314" s="260">
        <v>200</v>
      </c>
    </row>
    <row r="315" spans="1:9" ht="15" thickBot="1" x14ac:dyDescent="0.35">
      <c r="A315" s="150" t="s">
        <v>395</v>
      </c>
      <c r="B315" s="163" t="s">
        <v>303</v>
      </c>
      <c r="C315" s="164"/>
      <c r="E315" s="141" t="s">
        <v>523</v>
      </c>
      <c r="F315" s="263"/>
      <c r="G315" s="263"/>
      <c r="H315" s="263"/>
      <c r="I315" s="264">
        <v>318.18</v>
      </c>
    </row>
    <row r="316" spans="1:9" ht="15" thickTop="1" x14ac:dyDescent="0.3">
      <c r="A316" s="244" t="s">
        <v>550</v>
      </c>
      <c r="B316" s="246">
        <v>6.96</v>
      </c>
      <c r="C316" s="245" t="s">
        <v>359</v>
      </c>
      <c r="E316" s="265" t="s">
        <v>391</v>
      </c>
      <c r="F316" s="266"/>
      <c r="G316" s="266"/>
      <c r="H316" s="266"/>
      <c r="I316" s="267"/>
    </row>
    <row r="317" spans="1:9" x14ac:dyDescent="0.3">
      <c r="E317" s="254" t="s">
        <v>33</v>
      </c>
      <c r="F317" s="257" t="s">
        <v>529</v>
      </c>
      <c r="G317" s="257" t="s">
        <v>553</v>
      </c>
      <c r="H317" s="257" t="s">
        <v>528</v>
      </c>
      <c r="I317" s="258" t="s">
        <v>386</v>
      </c>
    </row>
    <row r="318" spans="1:9" x14ac:dyDescent="0.3">
      <c r="A318" s="169" t="s">
        <v>339</v>
      </c>
      <c r="B318" s="161"/>
      <c r="C318" s="162"/>
      <c r="E318" s="321" t="s">
        <v>554</v>
      </c>
      <c r="F318" s="285">
        <v>5.5</v>
      </c>
      <c r="G318" s="285">
        <v>17.180099999999999</v>
      </c>
      <c r="H318" s="285">
        <v>1</v>
      </c>
      <c r="I318" s="286">
        <v>17.008299000000001</v>
      </c>
    </row>
    <row r="319" spans="1:9" x14ac:dyDescent="0.3">
      <c r="A319" s="150" t="s">
        <v>307</v>
      </c>
      <c r="B319" s="247" t="s">
        <v>260</v>
      </c>
      <c r="C319" s="248"/>
      <c r="E319" s="321" t="s">
        <v>621</v>
      </c>
      <c r="F319" s="285">
        <v>2</v>
      </c>
      <c r="G319" s="285">
        <v>98</v>
      </c>
      <c r="H319" s="285">
        <v>1</v>
      </c>
      <c r="I319" s="286">
        <v>97.02</v>
      </c>
    </row>
    <row r="320" spans="1:9" x14ac:dyDescent="0.3">
      <c r="A320" s="150" t="s">
        <v>308</v>
      </c>
      <c r="B320" s="247" t="s">
        <v>614</v>
      </c>
      <c r="C320" s="248"/>
      <c r="E320" s="268" t="s">
        <v>622</v>
      </c>
      <c r="F320" s="259">
        <v>4</v>
      </c>
      <c r="G320" s="259">
        <v>192</v>
      </c>
      <c r="H320" s="259">
        <v>1.1000000000000001</v>
      </c>
      <c r="I320" s="260">
        <v>189.88800000000001</v>
      </c>
    </row>
    <row r="321" spans="1:13" ht="15" thickBot="1" x14ac:dyDescent="0.35">
      <c r="A321" s="150" t="s">
        <v>551</v>
      </c>
      <c r="B321" s="247" t="s">
        <v>260</v>
      </c>
      <c r="C321" s="248"/>
      <c r="E321" s="141" t="s">
        <v>525</v>
      </c>
      <c r="F321" s="263"/>
      <c r="G321" s="263">
        <f>+SUM(G318:G320)</f>
        <v>307.18009999999998</v>
      </c>
      <c r="H321" s="263"/>
      <c r="I321" s="264">
        <v>303.91629899999998</v>
      </c>
    </row>
    <row r="322" spans="1:13" ht="15" thickTop="1" x14ac:dyDescent="0.3">
      <c r="A322" s="150" t="s">
        <v>311</v>
      </c>
      <c r="B322" s="247" t="s">
        <v>312</v>
      </c>
      <c r="C322" s="248"/>
      <c r="E322" s="265" t="s">
        <v>346</v>
      </c>
      <c r="F322" s="266"/>
      <c r="G322" s="266"/>
      <c r="H322" s="266"/>
      <c r="I322" s="267"/>
      <c r="K322" s="17"/>
    </row>
    <row r="323" spans="1:13" x14ac:dyDescent="0.3">
      <c r="A323" s="150" t="s">
        <v>314</v>
      </c>
      <c r="B323" s="247" t="s">
        <v>260</v>
      </c>
      <c r="C323" s="248"/>
      <c r="E323" s="254" t="s">
        <v>33</v>
      </c>
      <c r="F323" s="257" t="s">
        <v>555</v>
      </c>
      <c r="G323" s="257" t="s">
        <v>556</v>
      </c>
      <c r="H323" s="257" t="s">
        <v>557</v>
      </c>
      <c r="I323" s="258" t="s">
        <v>558</v>
      </c>
    </row>
    <row r="324" spans="1:13" x14ac:dyDescent="0.3">
      <c r="A324" s="244" t="s">
        <v>315</v>
      </c>
      <c r="B324" s="246" t="s">
        <v>260</v>
      </c>
      <c r="C324" s="249"/>
      <c r="E324" s="321" t="s">
        <v>554</v>
      </c>
      <c r="F324" s="287">
        <v>6.5</v>
      </c>
      <c r="G324" s="285">
        <v>13.1</v>
      </c>
      <c r="H324" s="285">
        <v>1448.25665985</v>
      </c>
      <c r="I324" s="286">
        <v>10079.866352556</v>
      </c>
      <c r="K324">
        <f>+(I318*F324*G324*$B$316)</f>
        <v>10079.866352556</v>
      </c>
      <c r="L324">
        <f>+K324+K326</f>
        <v>11401.486832556</v>
      </c>
      <c r="M324">
        <f>+(F324+F326)/2</f>
        <v>3.75</v>
      </c>
    </row>
    <row r="325" spans="1:13" x14ac:dyDescent="0.3">
      <c r="E325" s="321" t="s">
        <v>621</v>
      </c>
      <c r="F325" s="322">
        <v>1</v>
      </c>
      <c r="G325" s="285">
        <v>1</v>
      </c>
      <c r="H325" s="285">
        <v>97.02</v>
      </c>
      <c r="I325" s="286">
        <v>675.25919999999996</v>
      </c>
      <c r="K325">
        <f>+(I319*F325*G325*$B$316)</f>
        <v>675.25919999999996</v>
      </c>
      <c r="L325">
        <f>+K325</f>
        <v>675.25919999999996</v>
      </c>
      <c r="M325" t="s">
        <v>1154</v>
      </c>
    </row>
    <row r="326" spans="1:13" x14ac:dyDescent="0.3">
      <c r="E326" s="321" t="s">
        <v>623</v>
      </c>
      <c r="F326" s="287">
        <v>1</v>
      </c>
      <c r="G326" s="285">
        <v>1</v>
      </c>
      <c r="H326" s="285">
        <v>189.88800000000001</v>
      </c>
      <c r="I326" s="286">
        <v>1321.62048</v>
      </c>
      <c r="K326">
        <f>+(I320*F326*G326*$B$316)</f>
        <v>1321.62048</v>
      </c>
      <c r="L326">
        <f>+K327</f>
        <v>2643.2409600000001</v>
      </c>
      <c r="M326" t="s">
        <v>1155</v>
      </c>
    </row>
    <row r="327" spans="1:13" x14ac:dyDescent="0.3">
      <c r="E327" s="256" t="s">
        <v>624</v>
      </c>
      <c r="F327" s="284">
        <v>2</v>
      </c>
      <c r="G327" s="259">
        <v>1</v>
      </c>
      <c r="H327" s="259">
        <v>379.77600000000001</v>
      </c>
      <c r="I327" s="260">
        <v>2643.2409600000001</v>
      </c>
      <c r="K327">
        <f>+(I320*F327*G327*$B$316)</f>
        <v>2643.2409600000001</v>
      </c>
    </row>
    <row r="328" spans="1:13" ht="15" thickBot="1" x14ac:dyDescent="0.35">
      <c r="E328" s="141" t="s">
        <v>559</v>
      </c>
      <c r="F328" s="263"/>
      <c r="G328" s="263"/>
      <c r="H328" s="263">
        <v>2114.94065985</v>
      </c>
      <c r="I328" s="264">
        <v>14719.986992556001</v>
      </c>
    </row>
    <row r="329" spans="1:13" ht="15" thickTop="1" x14ac:dyDescent="0.3">
      <c r="E329" s="270" t="s">
        <v>387</v>
      </c>
      <c r="F329" s="271"/>
      <c r="G329" s="271"/>
      <c r="H329" s="271"/>
      <c r="I329" s="272"/>
    </row>
    <row r="330" spans="1:13" x14ac:dyDescent="0.3">
      <c r="E330" s="150" t="s">
        <v>537</v>
      </c>
      <c r="F330" s="247"/>
      <c r="G330" s="247"/>
      <c r="H330" s="247"/>
      <c r="I330" s="248"/>
    </row>
    <row r="331" spans="1:13" x14ac:dyDescent="0.3">
      <c r="E331" s="150" t="s">
        <v>560</v>
      </c>
      <c r="F331" s="247">
        <v>9.6</v>
      </c>
      <c r="G331" s="247"/>
      <c r="H331" s="247">
        <v>203.03430334559999</v>
      </c>
      <c r="I331" s="248">
        <v>1413.1187512853801</v>
      </c>
    </row>
    <row r="332" spans="1:13" x14ac:dyDescent="0.3">
      <c r="E332" s="150" t="s">
        <v>536</v>
      </c>
      <c r="F332" s="247"/>
      <c r="G332" s="247"/>
      <c r="H332" s="247"/>
      <c r="I332" s="248"/>
    </row>
    <row r="333" spans="1:13" x14ac:dyDescent="0.3">
      <c r="E333" s="150" t="s">
        <v>350</v>
      </c>
      <c r="F333" s="247">
        <v>1.85</v>
      </c>
      <c r="G333" s="247"/>
      <c r="H333" s="247">
        <v>39.126402207224999</v>
      </c>
      <c r="I333" s="248">
        <v>272.31975936228599</v>
      </c>
    </row>
    <row r="334" spans="1:13" x14ac:dyDescent="0.3">
      <c r="E334" s="150" t="s">
        <v>349</v>
      </c>
      <c r="F334" s="247">
        <v>1</v>
      </c>
      <c r="G334" s="247"/>
      <c r="H334" s="247">
        <v>21.149406598500001</v>
      </c>
      <c r="I334" s="248">
        <v>147.19986992555999</v>
      </c>
    </row>
    <row r="335" spans="1:13" x14ac:dyDescent="0.3">
      <c r="E335" s="150" t="s">
        <v>539</v>
      </c>
      <c r="F335" s="247"/>
      <c r="G335" s="247"/>
      <c r="H335" s="247"/>
      <c r="I335" s="248"/>
    </row>
    <row r="336" spans="1:13" x14ac:dyDescent="0.3">
      <c r="E336" s="150" t="s">
        <v>351</v>
      </c>
      <c r="F336" s="247">
        <v>0.7</v>
      </c>
      <c r="G336" s="247"/>
      <c r="H336" s="247">
        <v>14.804584618950001</v>
      </c>
      <c r="I336" s="248">
        <v>103.039908947892</v>
      </c>
    </row>
    <row r="337" spans="1:9" x14ac:dyDescent="0.3">
      <c r="E337" s="150" t="s">
        <v>352</v>
      </c>
      <c r="F337" s="247">
        <v>0.1</v>
      </c>
      <c r="G337" s="247"/>
      <c r="H337" s="247">
        <v>2.1149406598499998</v>
      </c>
      <c r="I337" s="248">
        <v>14.719986992556001</v>
      </c>
    </row>
    <row r="338" spans="1:9" x14ac:dyDescent="0.3">
      <c r="E338" s="150" t="s">
        <v>353</v>
      </c>
      <c r="F338" s="247">
        <v>0.3</v>
      </c>
      <c r="G338" s="247"/>
      <c r="H338" s="247">
        <v>6.3448219795499998</v>
      </c>
      <c r="I338" s="248">
        <v>44.159960977668</v>
      </c>
    </row>
    <row r="339" spans="1:9" x14ac:dyDescent="0.3">
      <c r="E339" s="150" t="s">
        <v>354</v>
      </c>
      <c r="F339" s="247">
        <v>1</v>
      </c>
      <c r="G339" s="247"/>
      <c r="H339" s="247">
        <v>21.149406598500001</v>
      </c>
      <c r="I339" s="248">
        <v>147.19986992555999</v>
      </c>
    </row>
    <row r="340" spans="1:9" x14ac:dyDescent="0.3">
      <c r="E340" s="150" t="s">
        <v>535</v>
      </c>
      <c r="F340" s="247"/>
      <c r="G340" s="247"/>
      <c r="H340" s="247"/>
      <c r="I340" s="248"/>
    </row>
    <row r="341" spans="1:9" x14ac:dyDescent="0.3">
      <c r="E341" s="151" t="s">
        <v>48</v>
      </c>
      <c r="F341" s="273"/>
      <c r="G341" s="273"/>
      <c r="H341" s="273">
        <v>0.14367816091954</v>
      </c>
      <c r="I341" s="274">
        <v>1</v>
      </c>
    </row>
    <row r="342" spans="1:9" ht="15" thickBot="1" x14ac:dyDescent="0.35">
      <c r="E342" s="141" t="s">
        <v>561</v>
      </c>
      <c r="F342" s="263"/>
      <c r="G342" s="263"/>
      <c r="H342" s="263">
        <v>307.86754416909503</v>
      </c>
      <c r="I342" s="264">
        <v>2142.7581074169002</v>
      </c>
    </row>
    <row r="343" spans="1:9" ht="15" thickTop="1" x14ac:dyDescent="0.3">
      <c r="E343" s="270" t="s">
        <v>343</v>
      </c>
      <c r="F343" s="271"/>
      <c r="G343" s="271"/>
      <c r="H343" s="271"/>
      <c r="I343" s="272"/>
    </row>
    <row r="344" spans="1:9" x14ac:dyDescent="0.3">
      <c r="E344" s="151" t="s">
        <v>547</v>
      </c>
      <c r="F344" s="273"/>
      <c r="G344" s="273"/>
      <c r="H344" s="273">
        <v>32.327586206896555</v>
      </c>
      <c r="I344" s="274">
        <v>225</v>
      </c>
    </row>
    <row r="345" spans="1:9" ht="15" thickBot="1" x14ac:dyDescent="0.35">
      <c r="E345" s="154" t="s">
        <v>562</v>
      </c>
      <c r="F345" s="261"/>
      <c r="G345" s="261"/>
      <c r="H345" s="261">
        <v>32.327586206896555</v>
      </c>
      <c r="I345" s="262">
        <v>225</v>
      </c>
    </row>
    <row r="346" spans="1:9" ht="15" thickTop="1" x14ac:dyDescent="0.3"/>
    <row r="347" spans="1:9" x14ac:dyDescent="0.3">
      <c r="A347" s="250" t="s">
        <v>518</v>
      </c>
      <c r="B347" s="251"/>
      <c r="C347" s="251"/>
      <c r="D347" s="251"/>
      <c r="E347" s="251"/>
      <c r="F347" s="251"/>
      <c r="G347" s="251"/>
      <c r="H347" s="251" t="s">
        <v>563</v>
      </c>
      <c r="I347" s="252" t="s">
        <v>564</v>
      </c>
    </row>
    <row r="348" spans="1:9" x14ac:dyDescent="0.3">
      <c r="A348" s="276" t="s">
        <v>565</v>
      </c>
      <c r="B348" s="278"/>
      <c r="C348" s="278"/>
      <c r="D348" s="278"/>
      <c r="E348" s="278"/>
      <c r="F348" s="278"/>
      <c r="G348" s="278"/>
      <c r="H348" s="278">
        <v>1839.4007018878001</v>
      </c>
      <c r="I348" s="277">
        <v>12802.2288851391</v>
      </c>
    </row>
    <row r="349" spans="1:9" x14ac:dyDescent="0.3">
      <c r="A349" s="275" t="s">
        <v>324</v>
      </c>
      <c r="B349" s="513" t="s">
        <v>625</v>
      </c>
      <c r="C349" s="513"/>
      <c r="D349" s="513"/>
      <c r="E349" s="513"/>
      <c r="F349" s="513"/>
      <c r="G349" s="513"/>
      <c r="H349" s="513"/>
      <c r="I349" s="514"/>
    </row>
    <row r="350" spans="1:9" x14ac:dyDescent="0.3">
      <c r="A350" s="255"/>
      <c r="B350" s="515"/>
      <c r="C350" s="515"/>
      <c r="D350" s="515"/>
      <c r="E350" s="515"/>
      <c r="F350" s="515"/>
      <c r="G350" s="515"/>
      <c r="H350" s="515"/>
      <c r="I350" s="516"/>
    </row>
    <row r="353" spans="1:9" x14ac:dyDescent="0.3">
      <c r="A353" s="279" t="s">
        <v>325</v>
      </c>
      <c r="B353" s="279"/>
      <c r="E353" s="281" t="s">
        <v>326</v>
      </c>
      <c r="F353" s="281"/>
      <c r="H353" s="279" t="s">
        <v>306</v>
      </c>
      <c r="I353" s="279"/>
    </row>
    <row r="354" spans="1:9" x14ac:dyDescent="0.3">
      <c r="A354" s="280"/>
      <c r="B354" s="280"/>
      <c r="E354" s="280"/>
      <c r="F354" s="280"/>
      <c r="H354" s="280"/>
      <c r="I354" s="280"/>
    </row>
    <row r="365" spans="1:9" x14ac:dyDescent="0.3">
      <c r="A365" s="237"/>
      <c r="B365" s="238"/>
      <c r="C365" s="238"/>
      <c r="D365" s="238"/>
      <c r="E365" s="238" t="s">
        <v>334</v>
      </c>
      <c r="F365" s="238"/>
      <c r="G365" s="238"/>
      <c r="H365" s="238"/>
      <c r="I365" s="239"/>
    </row>
    <row r="366" spans="1:9" x14ac:dyDescent="0.3">
      <c r="A366" s="240"/>
      <c r="B366" s="241"/>
      <c r="C366" s="241"/>
      <c r="D366" s="241"/>
      <c r="E366" s="243" t="s">
        <v>301</v>
      </c>
      <c r="F366" s="241"/>
      <c r="G366" s="241"/>
      <c r="H366" s="241"/>
      <c r="I366" s="242"/>
    </row>
    <row r="368" spans="1:9" x14ac:dyDescent="0.3">
      <c r="A368" s="169" t="s">
        <v>548</v>
      </c>
      <c r="B368" s="161"/>
      <c r="C368" s="162"/>
      <c r="E368" s="250" t="s">
        <v>524</v>
      </c>
      <c r="F368" s="251"/>
      <c r="G368" s="251"/>
      <c r="H368" s="251"/>
      <c r="I368" s="252"/>
    </row>
    <row r="369" spans="1:11" x14ac:dyDescent="0.3">
      <c r="A369" s="150" t="s">
        <v>393</v>
      </c>
      <c r="B369" s="163" t="s">
        <v>303</v>
      </c>
      <c r="C369" s="164"/>
      <c r="E369" s="254" t="s">
        <v>615</v>
      </c>
      <c r="F369" s="453" t="s">
        <v>377</v>
      </c>
      <c r="G369" s="257" t="s">
        <v>443</v>
      </c>
      <c r="H369" s="257" t="s">
        <v>375</v>
      </c>
      <c r="I369" s="258" t="s">
        <v>616</v>
      </c>
    </row>
    <row r="370" spans="1:11" x14ac:dyDescent="0.3">
      <c r="A370" s="150" t="s">
        <v>316</v>
      </c>
      <c r="B370" s="163" t="s">
        <v>1142</v>
      </c>
      <c r="C370" s="164"/>
      <c r="E370" s="253" t="s">
        <v>617</v>
      </c>
      <c r="F370" s="454">
        <v>44232</v>
      </c>
      <c r="G370" s="285" t="s">
        <v>168</v>
      </c>
      <c r="H370" s="285" t="s">
        <v>374</v>
      </c>
      <c r="I370" s="286">
        <v>18.18</v>
      </c>
    </row>
    <row r="371" spans="1:11" x14ac:dyDescent="0.3">
      <c r="A371" s="150" t="s">
        <v>396</v>
      </c>
      <c r="B371" s="452">
        <v>44398</v>
      </c>
      <c r="C371" s="164"/>
      <c r="E371" s="253" t="s">
        <v>618</v>
      </c>
      <c r="F371" s="454">
        <v>44330</v>
      </c>
      <c r="G371" s="285" t="s">
        <v>159</v>
      </c>
      <c r="H371" s="285" t="s">
        <v>374</v>
      </c>
      <c r="I371" s="286">
        <v>100</v>
      </c>
    </row>
    <row r="372" spans="1:11" x14ac:dyDescent="0.3">
      <c r="A372" s="150" t="s">
        <v>394</v>
      </c>
      <c r="B372" s="163" t="s">
        <v>303</v>
      </c>
      <c r="C372" s="164"/>
      <c r="E372" s="256" t="s">
        <v>619</v>
      </c>
      <c r="F372" s="455">
        <v>44330</v>
      </c>
      <c r="G372" s="259" t="s">
        <v>620</v>
      </c>
      <c r="H372" s="259" t="s">
        <v>373</v>
      </c>
      <c r="I372" s="260">
        <v>200</v>
      </c>
    </row>
    <row r="373" spans="1:11" ht="15" thickBot="1" x14ac:dyDescent="0.35">
      <c r="A373" s="150" t="s">
        <v>395</v>
      </c>
      <c r="B373" s="163" t="s">
        <v>303</v>
      </c>
      <c r="C373" s="164"/>
      <c r="E373" s="141" t="s">
        <v>523</v>
      </c>
      <c r="F373" s="263"/>
      <c r="G373" s="263"/>
      <c r="H373" s="263"/>
      <c r="I373" s="264">
        <v>318.18</v>
      </c>
    </row>
    <row r="374" spans="1:11" ht="15" thickTop="1" x14ac:dyDescent="0.3">
      <c r="A374" s="244" t="s">
        <v>550</v>
      </c>
      <c r="B374" s="246">
        <v>6.96</v>
      </c>
      <c r="C374" s="245" t="s">
        <v>359</v>
      </c>
      <c r="E374" s="265" t="s">
        <v>391</v>
      </c>
      <c r="F374" s="266"/>
      <c r="G374" s="266"/>
      <c r="H374" s="266"/>
      <c r="I374" s="267"/>
    </row>
    <row r="375" spans="1:11" x14ac:dyDescent="0.3">
      <c r="E375" s="254" t="s">
        <v>33</v>
      </c>
      <c r="F375" s="257" t="s">
        <v>529</v>
      </c>
      <c r="G375" s="257" t="s">
        <v>553</v>
      </c>
      <c r="H375" s="257" t="s">
        <v>528</v>
      </c>
      <c r="I375" s="258" t="s">
        <v>386</v>
      </c>
    </row>
    <row r="376" spans="1:11" x14ac:dyDescent="0.3">
      <c r="A376" s="169" t="s">
        <v>339</v>
      </c>
      <c r="B376" s="161"/>
      <c r="C376" s="162"/>
      <c r="E376" s="256" t="s">
        <v>527</v>
      </c>
      <c r="F376" s="259">
        <v>3.8333333333333335</v>
      </c>
      <c r="G376" s="259">
        <v>305.98309999999998</v>
      </c>
      <c r="H376" s="259">
        <v>1.0333333333333334</v>
      </c>
      <c r="I376" s="260">
        <v>302.8212746333333</v>
      </c>
    </row>
    <row r="377" spans="1:11" ht="15" thickBot="1" x14ac:dyDescent="0.35">
      <c r="A377" s="150" t="s">
        <v>307</v>
      </c>
      <c r="B377" s="247" t="s">
        <v>260</v>
      </c>
      <c r="C377" s="248"/>
      <c r="E377" s="141" t="s">
        <v>525</v>
      </c>
      <c r="F377" s="263"/>
      <c r="G377" s="263"/>
      <c r="H377" s="263"/>
      <c r="I377" s="264">
        <v>302.8212746333333</v>
      </c>
    </row>
    <row r="378" spans="1:11" ht="15" thickTop="1" x14ac:dyDescent="0.3">
      <c r="A378" s="150" t="s">
        <v>308</v>
      </c>
      <c r="B378" s="247" t="s">
        <v>1143</v>
      </c>
      <c r="C378" s="248"/>
      <c r="E378" s="265" t="s">
        <v>346</v>
      </c>
      <c r="F378" s="266"/>
      <c r="G378" s="266"/>
      <c r="H378" s="266"/>
      <c r="I378" s="267"/>
      <c r="K378" t="s">
        <v>1149</v>
      </c>
    </row>
    <row r="379" spans="1:11" x14ac:dyDescent="0.3">
      <c r="A379" s="150" t="s">
        <v>551</v>
      </c>
      <c r="B379" s="247" t="s">
        <v>260</v>
      </c>
      <c r="C379" s="248"/>
      <c r="E379" s="254" t="s">
        <v>33</v>
      </c>
      <c r="F379" s="257" t="s">
        <v>555</v>
      </c>
      <c r="G379" s="257" t="s">
        <v>556</v>
      </c>
      <c r="H379" s="257"/>
      <c r="I379" s="258" t="s">
        <v>558</v>
      </c>
      <c r="K379" s="357" t="s">
        <v>1148</v>
      </c>
    </row>
    <row r="380" spans="1:11" x14ac:dyDescent="0.3">
      <c r="A380" s="150" t="s">
        <v>311</v>
      </c>
      <c r="B380" s="247" t="s">
        <v>312</v>
      </c>
      <c r="C380" s="248"/>
      <c r="E380" s="253" t="s">
        <v>1144</v>
      </c>
      <c r="F380" s="287">
        <v>6.5</v>
      </c>
      <c r="G380" s="285">
        <v>13.1</v>
      </c>
      <c r="H380" s="285"/>
      <c r="I380" s="286">
        <v>10774.26792</v>
      </c>
      <c r="K380" t="s">
        <v>1150</v>
      </c>
    </row>
    <row r="381" spans="1:11" x14ac:dyDescent="0.3">
      <c r="A381" s="150" t="s">
        <v>314</v>
      </c>
      <c r="B381" s="247" t="s">
        <v>260</v>
      </c>
      <c r="C381" s="248"/>
      <c r="E381" s="253" t="s">
        <v>1145</v>
      </c>
      <c r="F381" s="322">
        <v>1</v>
      </c>
      <c r="G381" s="285">
        <v>1</v>
      </c>
      <c r="H381" s="285"/>
      <c r="I381" s="286">
        <v>1044</v>
      </c>
      <c r="K381" t="s">
        <v>1151</v>
      </c>
    </row>
    <row r="382" spans="1:11" x14ac:dyDescent="0.3">
      <c r="A382" s="244" t="s">
        <v>315</v>
      </c>
      <c r="B382" s="246" t="s">
        <v>260</v>
      </c>
      <c r="C382" s="249"/>
      <c r="E382" s="256" t="s">
        <v>1146</v>
      </c>
      <c r="F382" s="284">
        <v>2</v>
      </c>
      <c r="G382" s="259">
        <v>1</v>
      </c>
      <c r="H382" s="259"/>
      <c r="I382" s="260">
        <v>2784</v>
      </c>
      <c r="K382" t="s">
        <v>1152</v>
      </c>
    </row>
    <row r="383" spans="1:11" ht="15" thickBot="1" x14ac:dyDescent="0.35">
      <c r="E383" s="141" t="s">
        <v>559</v>
      </c>
      <c r="F383" s="263"/>
      <c r="G383" s="263"/>
      <c r="H383" s="263"/>
      <c r="I383" s="264">
        <v>14602.26792</v>
      </c>
    </row>
    <row r="384" spans="1:11" ht="15" thickTop="1" x14ac:dyDescent="0.3">
      <c r="E384" s="270" t="s">
        <v>387</v>
      </c>
      <c r="F384" s="271"/>
      <c r="G384" s="271"/>
      <c r="H384" s="271"/>
      <c r="I384" s="272"/>
    </row>
    <row r="385" spans="1:9" x14ac:dyDescent="0.3">
      <c r="E385" s="150" t="s">
        <v>537</v>
      </c>
      <c r="F385" s="247"/>
      <c r="G385" s="247"/>
      <c r="H385" s="247"/>
      <c r="I385" s="248"/>
    </row>
    <row r="386" spans="1:9" x14ac:dyDescent="0.3">
      <c r="E386" s="150" t="s">
        <v>560</v>
      </c>
      <c r="F386" s="247">
        <v>9.6</v>
      </c>
      <c r="G386" s="247"/>
      <c r="H386" s="247"/>
      <c r="I386" s="248">
        <v>1401.81772032</v>
      </c>
    </row>
    <row r="387" spans="1:9" x14ac:dyDescent="0.3">
      <c r="E387" s="150" t="s">
        <v>536</v>
      </c>
      <c r="F387" s="247"/>
      <c r="G387" s="247"/>
      <c r="H387" s="247"/>
      <c r="I387" s="248"/>
    </row>
    <row r="388" spans="1:9" x14ac:dyDescent="0.3">
      <c r="E388" s="150" t="s">
        <v>350</v>
      </c>
      <c r="F388" s="247">
        <v>1.85</v>
      </c>
      <c r="G388" s="247"/>
      <c r="H388" s="247"/>
      <c r="I388" s="248">
        <v>270.14195652000001</v>
      </c>
    </row>
    <row r="389" spans="1:9" x14ac:dyDescent="0.3">
      <c r="E389" s="150" t="s">
        <v>349</v>
      </c>
      <c r="F389" s="247">
        <v>1</v>
      </c>
      <c r="G389" s="247"/>
      <c r="H389" s="247"/>
      <c r="I389" s="248">
        <v>146.0226792</v>
      </c>
    </row>
    <row r="390" spans="1:9" x14ac:dyDescent="0.3">
      <c r="E390" s="150" t="s">
        <v>539</v>
      </c>
      <c r="F390" s="247"/>
      <c r="G390" s="247"/>
      <c r="H390" s="247"/>
      <c r="I390" s="248"/>
    </row>
    <row r="391" spans="1:9" x14ac:dyDescent="0.3">
      <c r="E391" s="150" t="s">
        <v>351</v>
      </c>
      <c r="F391" s="247">
        <v>0.7</v>
      </c>
      <c r="G391" s="247"/>
      <c r="H391" s="247"/>
      <c r="I391" s="248">
        <v>102.21587544</v>
      </c>
    </row>
    <row r="392" spans="1:9" x14ac:dyDescent="0.3">
      <c r="E392" s="150" t="s">
        <v>352</v>
      </c>
      <c r="F392" s="247">
        <v>0.1</v>
      </c>
      <c r="G392" s="247"/>
      <c r="H392" s="247"/>
      <c r="I392" s="248">
        <v>14.602267919999999</v>
      </c>
    </row>
    <row r="393" spans="1:9" x14ac:dyDescent="0.3">
      <c r="E393" s="150" t="s">
        <v>535</v>
      </c>
      <c r="F393" s="247"/>
      <c r="G393" s="247"/>
      <c r="H393" s="247"/>
      <c r="I393" s="248"/>
    </row>
    <row r="394" spans="1:9" x14ac:dyDescent="0.3">
      <c r="E394" s="151" t="s">
        <v>48</v>
      </c>
      <c r="F394" s="273"/>
      <c r="G394" s="273"/>
      <c r="H394" s="273"/>
      <c r="I394" s="274">
        <v>1</v>
      </c>
    </row>
    <row r="395" spans="1:9" ht="15" thickBot="1" x14ac:dyDescent="0.35">
      <c r="E395" s="141" t="s">
        <v>561</v>
      </c>
      <c r="F395" s="263"/>
      <c r="G395" s="263"/>
      <c r="H395" s="263"/>
      <c r="I395" s="264">
        <v>1935.8004994</v>
      </c>
    </row>
    <row r="396" spans="1:9" ht="15" thickTop="1" x14ac:dyDescent="0.3">
      <c r="E396" s="270" t="s">
        <v>343</v>
      </c>
      <c r="F396" s="271"/>
      <c r="G396" s="271"/>
      <c r="H396" s="271"/>
      <c r="I396" s="272"/>
    </row>
    <row r="397" spans="1:9" x14ac:dyDescent="0.3">
      <c r="E397" s="151" t="s">
        <v>547</v>
      </c>
      <c r="F397" s="273"/>
      <c r="G397" s="273"/>
      <c r="H397" s="273"/>
      <c r="I397" s="274">
        <v>225</v>
      </c>
    </row>
    <row r="398" spans="1:9" ht="15" thickBot="1" x14ac:dyDescent="0.35">
      <c r="E398" s="154" t="s">
        <v>562</v>
      </c>
      <c r="F398" s="261"/>
      <c r="G398" s="261"/>
      <c r="H398" s="261"/>
      <c r="I398" s="262">
        <v>225</v>
      </c>
    </row>
    <row r="399" spans="1:9" ht="15" thickTop="1" x14ac:dyDescent="0.3"/>
    <row r="400" spans="1:9" x14ac:dyDescent="0.3">
      <c r="A400" s="250" t="s">
        <v>518</v>
      </c>
      <c r="B400" s="251"/>
      <c r="C400" s="251"/>
      <c r="D400" s="251"/>
      <c r="E400" s="251"/>
      <c r="F400" s="251"/>
      <c r="G400" s="251"/>
      <c r="H400" s="251"/>
      <c r="I400" s="252" t="s">
        <v>564</v>
      </c>
    </row>
    <row r="401" spans="1:9" x14ac:dyDescent="0.3">
      <c r="A401" s="276" t="s">
        <v>565</v>
      </c>
      <c r="B401" s="278"/>
      <c r="C401" s="278"/>
      <c r="D401" s="278"/>
      <c r="E401" s="278"/>
      <c r="F401" s="278"/>
      <c r="G401" s="278"/>
      <c r="H401" s="278"/>
      <c r="I401" s="277">
        <v>12891.4674206</v>
      </c>
    </row>
    <row r="402" spans="1:9" x14ac:dyDescent="0.3">
      <c r="A402" s="275" t="s">
        <v>324</v>
      </c>
      <c r="B402" s="513" t="s">
        <v>1147</v>
      </c>
      <c r="C402" s="513"/>
      <c r="D402" s="513"/>
      <c r="E402" s="513"/>
      <c r="F402" s="513"/>
      <c r="G402" s="513"/>
      <c r="H402" s="513"/>
      <c r="I402" s="514"/>
    </row>
    <row r="403" spans="1:9" x14ac:dyDescent="0.3">
      <c r="A403" s="255"/>
      <c r="B403" s="515"/>
      <c r="C403" s="515"/>
      <c r="D403" s="515"/>
      <c r="E403" s="515"/>
      <c r="F403" s="515"/>
      <c r="G403" s="515"/>
      <c r="H403" s="515"/>
      <c r="I403" s="516"/>
    </row>
    <row r="406" spans="1:9" x14ac:dyDescent="0.3">
      <c r="A406" s="279" t="s">
        <v>325</v>
      </c>
      <c r="B406" s="279"/>
      <c r="E406" s="281" t="s">
        <v>326</v>
      </c>
      <c r="F406" s="281"/>
      <c r="H406" s="279" t="s">
        <v>306</v>
      </c>
      <c r="I406" s="279"/>
    </row>
    <row r="407" spans="1:9" x14ac:dyDescent="0.3">
      <c r="A407" s="280"/>
      <c r="B407" s="280"/>
      <c r="E407" s="280"/>
      <c r="F407" s="280"/>
      <c r="H407" s="280"/>
      <c r="I407" s="280"/>
    </row>
    <row r="411" spans="1:9" x14ac:dyDescent="0.3">
      <c r="A411" s="237"/>
      <c r="B411" s="238"/>
      <c r="C411" s="238"/>
      <c r="D411" s="238"/>
      <c r="E411" s="238" t="s">
        <v>334</v>
      </c>
      <c r="F411" s="238"/>
      <c r="G411" s="238"/>
      <c r="H411" s="238"/>
      <c r="I411" s="239"/>
    </row>
    <row r="412" spans="1:9" x14ac:dyDescent="0.3">
      <c r="A412" s="240"/>
      <c r="B412" s="241"/>
      <c r="C412" s="241"/>
      <c r="D412" s="241"/>
      <c r="E412" s="243" t="s">
        <v>301</v>
      </c>
      <c r="F412" s="241"/>
      <c r="G412" s="241"/>
      <c r="H412" s="241"/>
      <c r="I412" s="242"/>
    </row>
    <row r="414" spans="1:9" x14ac:dyDescent="0.3">
      <c r="A414" s="169" t="s">
        <v>548</v>
      </c>
      <c r="B414" s="161"/>
      <c r="C414" s="162"/>
      <c r="E414" s="250" t="s">
        <v>524</v>
      </c>
      <c r="F414" s="251"/>
      <c r="G414" s="251"/>
      <c r="H414" s="251"/>
      <c r="I414" s="252"/>
    </row>
    <row r="415" spans="1:9" x14ac:dyDescent="0.3">
      <c r="A415" s="150" t="s">
        <v>393</v>
      </c>
      <c r="B415" s="163" t="s">
        <v>303</v>
      </c>
      <c r="C415" s="164"/>
      <c r="E415" s="254" t="s">
        <v>615</v>
      </c>
      <c r="F415" s="457" t="s">
        <v>377</v>
      </c>
      <c r="G415" s="257" t="s">
        <v>443</v>
      </c>
      <c r="H415" s="257" t="s">
        <v>375</v>
      </c>
      <c r="I415" s="258" t="s">
        <v>616</v>
      </c>
    </row>
    <row r="416" spans="1:9" x14ac:dyDescent="0.3">
      <c r="A416" s="150" t="s">
        <v>316</v>
      </c>
      <c r="B416" s="163" t="s">
        <v>1142</v>
      </c>
      <c r="C416" s="164"/>
      <c r="E416" s="253" t="s">
        <v>617</v>
      </c>
      <c r="F416" s="458">
        <v>44232</v>
      </c>
      <c r="G416" s="285" t="s">
        <v>168</v>
      </c>
      <c r="H416" s="285" t="s">
        <v>374</v>
      </c>
      <c r="I416" s="286">
        <v>18.18</v>
      </c>
    </row>
    <row r="417" spans="1:23" x14ac:dyDescent="0.3">
      <c r="A417" s="150" t="s">
        <v>396</v>
      </c>
      <c r="B417" s="456">
        <v>44398</v>
      </c>
      <c r="C417" s="164"/>
      <c r="E417" s="253" t="s">
        <v>618</v>
      </c>
      <c r="F417" s="458">
        <v>44330</v>
      </c>
      <c r="G417" s="285" t="s">
        <v>159</v>
      </c>
      <c r="H417" s="285" t="s">
        <v>374</v>
      </c>
      <c r="I417" s="286">
        <v>100</v>
      </c>
      <c r="K417" s="30" t="s">
        <v>1165</v>
      </c>
    </row>
    <row r="418" spans="1:23" x14ac:dyDescent="0.3">
      <c r="A418" s="150" t="s">
        <v>394</v>
      </c>
      <c r="B418" s="163" t="s">
        <v>303</v>
      </c>
      <c r="C418" s="164"/>
      <c r="E418" s="256" t="s">
        <v>619</v>
      </c>
      <c r="F418" s="459">
        <v>44330</v>
      </c>
      <c r="G418" s="259" t="s">
        <v>620</v>
      </c>
      <c r="H418" s="259" t="s">
        <v>373</v>
      </c>
      <c r="I418" s="260">
        <v>200</v>
      </c>
      <c r="K418" s="30" t="s">
        <v>1164</v>
      </c>
    </row>
    <row r="419" spans="1:23" ht="15" thickBot="1" x14ac:dyDescent="0.35">
      <c r="A419" s="150" t="s">
        <v>395</v>
      </c>
      <c r="B419" s="163" t="s">
        <v>303</v>
      </c>
      <c r="C419" s="164"/>
      <c r="E419" s="141" t="s">
        <v>523</v>
      </c>
      <c r="F419" s="263"/>
      <c r="G419" s="263"/>
      <c r="H419" s="263"/>
      <c r="I419" s="264">
        <f>SUM(I416:I418)</f>
        <v>318.18</v>
      </c>
      <c r="K419">
        <f>SUM(((M422*(1-(5.5*0.01)))*(1-(1*0.01))*6.5*13.1),((M429*(1-(3*0.01)))*(1-(8*0.01))*4*5))/(SUM(((M422*(1-(5.5*0.01)))*(1-(1*0.01))),((M429*(1-(3*0.01)))*(1-(8*0.01))))*9.05)</f>
        <v>2.4531890038126782</v>
      </c>
    </row>
    <row r="420" spans="1:23" ht="15" thickTop="1" x14ac:dyDescent="0.3">
      <c r="A420" s="244" t="s">
        <v>550</v>
      </c>
      <c r="B420" s="246">
        <v>6.96</v>
      </c>
      <c r="C420" s="245" t="s">
        <v>359</v>
      </c>
      <c r="E420" s="265" t="s">
        <v>391</v>
      </c>
      <c r="F420" s="266"/>
      <c r="G420" s="266"/>
      <c r="H420" s="266"/>
      <c r="I420" s="267"/>
      <c r="N420">
        <v>0</v>
      </c>
      <c r="P420">
        <v>1</v>
      </c>
      <c r="Q420">
        <v>2</v>
      </c>
      <c r="R420">
        <v>3</v>
      </c>
      <c r="S420">
        <v>4</v>
      </c>
      <c r="T420">
        <v>5</v>
      </c>
      <c r="U420">
        <v>6</v>
      </c>
      <c r="V420">
        <v>7</v>
      </c>
      <c r="W420" t="s">
        <v>1163</v>
      </c>
    </row>
    <row r="421" spans="1:23" x14ac:dyDescent="0.3">
      <c r="E421" s="254" t="s">
        <v>33</v>
      </c>
      <c r="F421" s="257" t="s">
        <v>529</v>
      </c>
      <c r="G421" s="257" t="s">
        <v>553</v>
      </c>
      <c r="H421" s="257" t="s">
        <v>528</v>
      </c>
      <c r="I421" s="258" t="s">
        <v>386</v>
      </c>
      <c r="M421" t="s">
        <v>474</v>
      </c>
      <c r="N421" t="s">
        <v>665</v>
      </c>
      <c r="O421" t="s">
        <v>1162</v>
      </c>
      <c r="P421" t="s">
        <v>472</v>
      </c>
      <c r="Q421" t="s">
        <v>473</v>
      </c>
      <c r="R421" t="s">
        <v>420</v>
      </c>
      <c r="S421" t="s">
        <v>421</v>
      </c>
      <c r="T421" t="s">
        <v>422</v>
      </c>
      <c r="U421" t="s">
        <v>423</v>
      </c>
      <c r="V421" t="s">
        <v>424</v>
      </c>
    </row>
    <row r="422" spans="1:23" x14ac:dyDescent="0.3">
      <c r="A422" s="169" t="s">
        <v>339</v>
      </c>
      <c r="B422" s="161"/>
      <c r="C422" s="162"/>
      <c r="E422" s="256" t="s">
        <v>527</v>
      </c>
      <c r="F422" s="259">
        <v>3.8333333333333335</v>
      </c>
      <c r="G422" s="259">
        <f>I419*(1-(F422/100))</f>
        <v>305.98310000000004</v>
      </c>
      <c r="H422" s="259">
        <v>1.0333333333333334</v>
      </c>
      <c r="I422" s="260">
        <f>G422*(1-(H422/100))</f>
        <v>302.82127463333336</v>
      </c>
      <c r="M422">
        <v>18.18</v>
      </c>
      <c r="N422">
        <f>((M422*(1-(P422/100))*(1-(Q422/100))))</f>
        <v>17.008299000000001</v>
      </c>
      <c r="O422">
        <f t="shared" ref="O422:O429" si="0">((M422*(1-(P422/100))*(1-(Q422/100))))*T422*V422</f>
        <v>1448.25665985</v>
      </c>
      <c r="P422">
        <v>5.5</v>
      </c>
      <c r="Q422">
        <v>1</v>
      </c>
      <c r="R422" t="s">
        <v>374</v>
      </c>
      <c r="S422" t="s">
        <v>168</v>
      </c>
      <c r="T422">
        <v>6.5</v>
      </c>
      <c r="U422" t="s">
        <v>139</v>
      </c>
      <c r="V422">
        <v>13.1</v>
      </c>
    </row>
    <row r="423" spans="1:23" ht="15" thickBot="1" x14ac:dyDescent="0.35">
      <c r="A423" s="150" t="s">
        <v>307</v>
      </c>
      <c r="B423" s="247" t="s">
        <v>260</v>
      </c>
      <c r="C423" s="248"/>
      <c r="E423" s="141" t="s">
        <v>525</v>
      </c>
      <c r="F423" s="263"/>
      <c r="G423" s="263"/>
      <c r="H423" s="263"/>
      <c r="I423" s="264">
        <f>SUM(I422)</f>
        <v>302.82127463333336</v>
      </c>
      <c r="M423">
        <v>100</v>
      </c>
      <c r="N423">
        <f t="shared" ref="N423:N429" si="1">((M423*(1-(P423/100))*(1-(Q423/100))))</f>
        <v>97.02</v>
      </c>
      <c r="O423">
        <f t="shared" si="0"/>
        <v>97.02</v>
      </c>
      <c r="P423">
        <v>2</v>
      </c>
      <c r="Q423">
        <v>1</v>
      </c>
      <c r="R423" t="s">
        <v>457</v>
      </c>
      <c r="S423" t="s">
        <v>159</v>
      </c>
      <c r="T423">
        <v>1</v>
      </c>
      <c r="U423" t="s">
        <v>166</v>
      </c>
      <c r="V423">
        <v>1</v>
      </c>
    </row>
    <row r="424" spans="1:23" ht="15" thickTop="1" x14ac:dyDescent="0.3">
      <c r="A424" s="150" t="s">
        <v>308</v>
      </c>
      <c r="B424" s="247" t="s">
        <v>1153</v>
      </c>
      <c r="C424" s="248"/>
      <c r="E424" s="265" t="s">
        <v>346</v>
      </c>
      <c r="F424" s="266"/>
      <c r="G424" s="266"/>
      <c r="H424" s="266"/>
      <c r="I424" s="267"/>
      <c r="M424">
        <v>200</v>
      </c>
      <c r="N424">
        <f t="shared" si="1"/>
        <v>189.88800000000001</v>
      </c>
      <c r="O424">
        <f t="shared" si="0"/>
        <v>189.88800000000001</v>
      </c>
      <c r="P424">
        <v>4</v>
      </c>
      <c r="Q424">
        <v>1.1000000000000001</v>
      </c>
      <c r="R424" t="s">
        <v>458</v>
      </c>
      <c r="S424" t="s">
        <v>159</v>
      </c>
      <c r="T424">
        <v>1</v>
      </c>
      <c r="U424" t="s">
        <v>166</v>
      </c>
      <c r="V424">
        <v>1</v>
      </c>
    </row>
    <row r="425" spans="1:23" x14ac:dyDescent="0.3">
      <c r="A425" s="150" t="s">
        <v>551</v>
      </c>
      <c r="B425" s="247" t="s">
        <v>260</v>
      </c>
      <c r="C425" s="248"/>
      <c r="E425" s="254" t="s">
        <v>33</v>
      </c>
      <c r="F425" s="257" t="s">
        <v>555</v>
      </c>
      <c r="G425" s="257" t="s">
        <v>556</v>
      </c>
      <c r="H425" s="257" t="s">
        <v>557</v>
      </c>
      <c r="I425" s="258" t="s">
        <v>558</v>
      </c>
      <c r="J425" s="357" t="s">
        <v>1330</v>
      </c>
      <c r="M425">
        <v>200</v>
      </c>
      <c r="N425">
        <f t="shared" si="1"/>
        <v>189.88800000000001</v>
      </c>
      <c r="O425">
        <f t="shared" si="0"/>
        <v>379.77600000000001</v>
      </c>
      <c r="P425">
        <v>4</v>
      </c>
      <c r="Q425">
        <v>1.1000000000000001</v>
      </c>
      <c r="R425" t="s">
        <v>458</v>
      </c>
      <c r="S425" t="s">
        <v>1160</v>
      </c>
      <c r="T425">
        <v>2</v>
      </c>
      <c r="U425" t="s">
        <v>166</v>
      </c>
      <c r="V425">
        <v>1</v>
      </c>
    </row>
    <row r="426" spans="1:23" x14ac:dyDescent="0.3">
      <c r="A426" s="150" t="s">
        <v>311</v>
      </c>
      <c r="B426" s="247" t="s">
        <v>312</v>
      </c>
      <c r="C426" s="248"/>
      <c r="E426" s="253" t="s">
        <v>1144</v>
      </c>
      <c r="F426" s="287">
        <v>6.5</v>
      </c>
      <c r="G426" s="285">
        <v>13.1</v>
      </c>
      <c r="H426" s="285">
        <f>I426/B420</f>
        <v>1548.0269999999998</v>
      </c>
      <c r="I426" s="286">
        <f>F426*G426*18.18*B420</f>
        <v>10774.267919999998</v>
      </c>
      <c r="J426" t="s">
        <v>1156</v>
      </c>
      <c r="M426">
        <v>450</v>
      </c>
      <c r="N426">
        <f t="shared" si="1"/>
        <v>414.67500000000001</v>
      </c>
      <c r="O426">
        <f t="shared" si="0"/>
        <v>3110.0625</v>
      </c>
      <c r="P426">
        <v>5</v>
      </c>
      <c r="Q426">
        <v>3</v>
      </c>
      <c r="R426" t="s">
        <v>374</v>
      </c>
      <c r="S426" t="s">
        <v>513</v>
      </c>
      <c r="T426">
        <v>5</v>
      </c>
      <c r="U426" t="s">
        <v>166</v>
      </c>
      <c r="V426">
        <v>1.5</v>
      </c>
    </row>
    <row r="427" spans="1:23" x14ac:dyDescent="0.3">
      <c r="A427" s="150" t="s">
        <v>314</v>
      </c>
      <c r="B427" s="247" t="s">
        <v>260</v>
      </c>
      <c r="C427" s="248"/>
      <c r="E427" s="253" t="s">
        <v>1145</v>
      </c>
      <c r="F427" s="322">
        <v>1</v>
      </c>
      <c r="G427" s="285">
        <v>1</v>
      </c>
      <c r="H427" s="285">
        <f>I427/B420</f>
        <v>150</v>
      </c>
      <c r="I427" s="286">
        <f>F427*G427*150*B420</f>
        <v>1044</v>
      </c>
      <c r="J427" t="s">
        <v>1157</v>
      </c>
      <c r="M427">
        <v>545</v>
      </c>
      <c r="N427">
        <f t="shared" si="1"/>
        <v>486.358</v>
      </c>
      <c r="O427">
        <f t="shared" si="0"/>
        <v>1945.432</v>
      </c>
      <c r="P427">
        <v>3</v>
      </c>
      <c r="Q427">
        <v>8</v>
      </c>
      <c r="R427" t="s">
        <v>458</v>
      </c>
      <c r="S427" t="s">
        <v>159</v>
      </c>
      <c r="T427">
        <v>2</v>
      </c>
      <c r="U427" t="s">
        <v>166</v>
      </c>
      <c r="V427">
        <v>2</v>
      </c>
    </row>
    <row r="428" spans="1:23" x14ac:dyDescent="0.3">
      <c r="A428" s="244" t="s">
        <v>315</v>
      </c>
      <c r="B428" s="246" t="s">
        <v>260</v>
      </c>
      <c r="C428" s="249"/>
      <c r="E428" s="256" t="s">
        <v>1146</v>
      </c>
      <c r="F428" s="284">
        <v>2</v>
      </c>
      <c r="G428" s="259">
        <v>1</v>
      </c>
      <c r="H428" s="259">
        <f>I428/B420</f>
        <v>400</v>
      </c>
      <c r="I428" s="260">
        <f>F428*G428*200*B420</f>
        <v>2784</v>
      </c>
      <c r="M428">
        <v>545</v>
      </c>
      <c r="N428">
        <f t="shared" si="1"/>
        <v>486.358</v>
      </c>
      <c r="O428">
        <f t="shared" si="0"/>
        <v>1459.0740000000001</v>
      </c>
      <c r="P428">
        <v>3</v>
      </c>
      <c r="Q428">
        <v>8</v>
      </c>
      <c r="R428" t="s">
        <v>458</v>
      </c>
      <c r="S428" t="s">
        <v>167</v>
      </c>
      <c r="T428">
        <v>3</v>
      </c>
      <c r="U428" t="s">
        <v>166</v>
      </c>
      <c r="V428">
        <v>1</v>
      </c>
    </row>
    <row r="429" spans="1:23" ht="15" thickBot="1" x14ac:dyDescent="0.35">
      <c r="E429" s="141" t="s">
        <v>559</v>
      </c>
      <c r="F429" s="263"/>
      <c r="G429" s="263"/>
      <c r="H429" s="263">
        <f>SUM(H426:H428)</f>
        <v>2098.027</v>
      </c>
      <c r="I429" s="264">
        <f>SUM(I426:I428)</f>
        <v>14602.267919999998</v>
      </c>
      <c r="M429">
        <v>545</v>
      </c>
      <c r="N429">
        <f t="shared" si="1"/>
        <v>486.358</v>
      </c>
      <c r="O429">
        <f t="shared" si="0"/>
        <v>9727.16</v>
      </c>
      <c r="P429">
        <v>3</v>
      </c>
      <c r="Q429">
        <v>8</v>
      </c>
      <c r="R429" t="s">
        <v>458</v>
      </c>
      <c r="S429" t="s">
        <v>168</v>
      </c>
      <c r="T429">
        <v>4</v>
      </c>
      <c r="U429" t="s">
        <v>1159</v>
      </c>
      <c r="V429">
        <v>5</v>
      </c>
    </row>
    <row r="430" spans="1:23" ht="15" thickTop="1" x14ac:dyDescent="0.3">
      <c r="E430" s="270" t="s">
        <v>387</v>
      </c>
      <c r="F430" s="271"/>
      <c r="G430" s="271"/>
      <c r="H430" s="271"/>
      <c r="I430" s="272"/>
      <c r="K430">
        <f>SUM(((I416*(1-(5.5*0.01)))*(1-(1*0.01))*4*5),((I417*(1-(2*0.01)))*(1-(1*0.01))*1*1),((I417*(1-(2*0.01)))*(1-(1*0.01))*2*2))/SUM(((I416*(1-(5.5*0.01)))*(1-(1*0.01))*5),((I417*(1-(2*0.01)))*(1-(1*0.01))*1),((I417*(1-(2*0.01)))*(1-(1*0.01))*2))</f>
        <v>2.1942640243958613</v>
      </c>
    </row>
    <row r="431" spans="1:23" x14ac:dyDescent="0.3">
      <c r="E431" s="150" t="s">
        <v>537</v>
      </c>
      <c r="F431" s="247"/>
      <c r="G431" s="247"/>
      <c r="H431" s="247"/>
      <c r="I431" s="248"/>
      <c r="K431">
        <f>SUM((I416*(1-(5.5*0.01)))*(1-(1*0.01)))</f>
        <v>17.008299000000001</v>
      </c>
    </row>
    <row r="432" spans="1:23" x14ac:dyDescent="0.3">
      <c r="E432" s="150" t="s">
        <v>560</v>
      </c>
      <c r="F432" s="247">
        <v>9.6</v>
      </c>
      <c r="G432" s="247"/>
      <c r="H432" s="247">
        <f>I432/B420</f>
        <v>201.41059199999998</v>
      </c>
      <c r="I432" s="248">
        <f>I429*F432/100</f>
        <v>1401.8177203199998</v>
      </c>
      <c r="K432">
        <f>SUM((I416*(1-(5.5*0.01)))*(1-(1*0.01)))*F426*9.05*B420</f>
        <v>6963.5717931780009</v>
      </c>
      <c r="M432" t="s">
        <v>33</v>
      </c>
      <c r="N432" t="s">
        <v>555</v>
      </c>
      <c r="O432" t="s">
        <v>556</v>
      </c>
      <c r="P432" t="s">
        <v>557</v>
      </c>
      <c r="Q432" t="s">
        <v>558</v>
      </c>
    </row>
    <row r="433" spans="1:22" x14ac:dyDescent="0.3">
      <c r="E433" s="150" t="s">
        <v>1189</v>
      </c>
      <c r="F433" s="247"/>
      <c r="G433" s="247"/>
      <c r="H433" s="247"/>
      <c r="I433" s="248"/>
      <c r="K433">
        <f>SUM(((I416*(1-(5.5*0.01)))*(1-(1*0.01))*6.5*13.1),((I416*(1-(5.5*0.01)))*(1-(1*0.01))*4*5))/SUM(((I416*(1-(5.5*0.01)))*(1-(1*0.01))*13.1),((I416*(1-(5.5*0.01)))*(1-(1*0.01))*5))</f>
        <v>5.8093922651933703</v>
      </c>
      <c r="N433">
        <f>+P433/(O433*SUM(N422,N429))</f>
        <v>2.4531890038126782</v>
      </c>
      <c r="O433">
        <f>+AVERAGE(V422,V429)</f>
        <v>9.0500000000000007</v>
      </c>
      <c r="P433">
        <f>+O422+O429</f>
        <v>11175.41665985</v>
      </c>
      <c r="R433">
        <f>+SUM(N422,N429)*N433*O433</f>
        <v>11175.416659849998</v>
      </c>
    </row>
    <row r="434" spans="1:22" x14ac:dyDescent="0.3">
      <c r="E434" s="150" t="s">
        <v>350</v>
      </c>
      <c r="F434" s="247">
        <v>1.85</v>
      </c>
      <c r="G434" s="247"/>
      <c r="H434" s="247">
        <f>I434/B420</f>
        <v>38.813499499999999</v>
      </c>
      <c r="I434" s="248">
        <f>F434*I429/100</f>
        <v>270.14195652000001</v>
      </c>
      <c r="N434">
        <f>+T445</f>
        <v>2.1651734332040982</v>
      </c>
      <c r="O434">
        <f>+AVERAGE(V423,V424,V427)</f>
        <v>1.3333333333333333</v>
      </c>
      <c r="P434">
        <f>+O423+O424+O427</f>
        <v>2232.34</v>
      </c>
      <c r="R434">
        <f>+P434/O434/N434</f>
        <v>773.26599999999996</v>
      </c>
    </row>
    <row r="435" spans="1:22" x14ac:dyDescent="0.3">
      <c r="E435" s="150" t="s">
        <v>349</v>
      </c>
      <c r="F435" s="247">
        <v>1</v>
      </c>
      <c r="G435" s="247"/>
      <c r="H435" s="247">
        <f>I435/B420</f>
        <v>20.980269999999997</v>
      </c>
      <c r="I435" s="248">
        <f>F435*I429/100</f>
        <v>146.02267919999997</v>
      </c>
      <c r="O435">
        <f>+AVERAGE(V425,V428)</f>
        <v>1</v>
      </c>
      <c r="P435">
        <f>+O425+O428</f>
        <v>1838.8500000000001</v>
      </c>
    </row>
    <row r="436" spans="1:22" x14ac:dyDescent="0.3">
      <c r="E436" s="150" t="s">
        <v>1188</v>
      </c>
      <c r="F436" s="247"/>
      <c r="G436" s="247"/>
      <c r="H436" s="247"/>
      <c r="I436" s="248"/>
      <c r="O436">
        <f>+AVERAGE(V426)</f>
        <v>1.5</v>
      </c>
      <c r="P436">
        <f>+O426</f>
        <v>3110.0625</v>
      </c>
    </row>
    <row r="437" spans="1:22" x14ac:dyDescent="0.3">
      <c r="E437" s="150" t="s">
        <v>351</v>
      </c>
      <c r="F437" s="247">
        <v>0.7</v>
      </c>
      <c r="G437" s="247"/>
      <c r="H437" s="247">
        <f>I437/B420</f>
        <v>14.686188999999997</v>
      </c>
      <c r="I437" s="248">
        <f>F437*I429/100</f>
        <v>102.21587543999998</v>
      </c>
    </row>
    <row r="438" spans="1:22" x14ac:dyDescent="0.3">
      <c r="E438" s="150" t="s">
        <v>352</v>
      </c>
      <c r="F438" s="247">
        <v>0.1</v>
      </c>
      <c r="G438" s="247"/>
      <c r="H438" s="247">
        <f>I438/B420</f>
        <v>2.0980270000000001</v>
      </c>
      <c r="I438" s="248">
        <f>F438*I429/100</f>
        <v>14.602267919999999</v>
      </c>
      <c r="M438">
        <v>100</v>
      </c>
      <c r="N438">
        <f>((M438*(1-(P438/100))*(1-(Q438/100))))</f>
        <v>97.02</v>
      </c>
      <c r="O438">
        <f>((M438*(1-(P438/100))*(1-(Q438/100))))*T438*V438</f>
        <v>97.02</v>
      </c>
      <c r="P438">
        <v>2</v>
      </c>
      <c r="Q438">
        <v>1</v>
      </c>
      <c r="R438" t="s">
        <v>457</v>
      </c>
      <c r="S438" t="s">
        <v>159</v>
      </c>
      <c r="T438">
        <v>1</v>
      </c>
      <c r="U438" t="s">
        <v>166</v>
      </c>
      <c r="V438">
        <v>1</v>
      </c>
    </row>
    <row r="439" spans="1:22" x14ac:dyDescent="0.3">
      <c r="E439" s="150" t="s">
        <v>535</v>
      </c>
      <c r="F439" s="247"/>
      <c r="G439" s="247"/>
      <c r="H439" s="247"/>
      <c r="I439" s="248"/>
      <c r="M439">
        <v>200</v>
      </c>
      <c r="N439">
        <f>((M439*(1-(P439/100))*(1-(Q439/100))))</f>
        <v>189.88800000000001</v>
      </c>
      <c r="O439">
        <f>((M439*(1-(P439/100))*(1-(Q439/100))))*T439*V439</f>
        <v>189.88800000000001</v>
      </c>
      <c r="P439">
        <v>4</v>
      </c>
      <c r="Q439">
        <v>1.1000000000000001</v>
      </c>
      <c r="R439" t="s">
        <v>458</v>
      </c>
      <c r="S439" t="s">
        <v>159</v>
      </c>
      <c r="T439">
        <v>1</v>
      </c>
      <c r="U439" t="s">
        <v>166</v>
      </c>
      <c r="V439">
        <v>1</v>
      </c>
    </row>
    <row r="440" spans="1:22" x14ac:dyDescent="0.3">
      <c r="E440" s="151" t="s">
        <v>48</v>
      </c>
      <c r="F440" s="273"/>
      <c r="G440" s="273"/>
      <c r="H440" s="273">
        <f>I440/B420</f>
        <v>0.14367816091954022</v>
      </c>
      <c r="I440" s="274">
        <v>1</v>
      </c>
      <c r="M440">
        <v>545</v>
      </c>
      <c r="N440">
        <f>((M440*(1-(P440/100))*(1-(Q440/100))))</f>
        <v>486.358</v>
      </c>
      <c r="O440">
        <f>((M440*(1-(P440/100))*(1-(Q440/100))))*T440*V440</f>
        <v>1945.432</v>
      </c>
      <c r="P440">
        <v>3</v>
      </c>
      <c r="Q440">
        <v>8</v>
      </c>
      <c r="R440" t="s">
        <v>458</v>
      </c>
      <c r="S440" t="s">
        <v>159</v>
      </c>
      <c r="T440">
        <v>2</v>
      </c>
      <c r="U440" t="s">
        <v>166</v>
      </c>
      <c r="V440">
        <v>2</v>
      </c>
    </row>
    <row r="441" spans="1:22" ht="15" thickBot="1" x14ac:dyDescent="0.35">
      <c r="E441" s="141" t="s">
        <v>561</v>
      </c>
      <c r="F441" s="263"/>
      <c r="G441" s="263"/>
      <c r="H441" s="263">
        <f>SUM(H432:H440)</f>
        <v>278.13225566091955</v>
      </c>
      <c r="I441" s="264">
        <f>SUM(I432:I440)</f>
        <v>1935.8004993999996</v>
      </c>
    </row>
    <row r="442" spans="1:22" ht="15" thickTop="1" x14ac:dyDescent="0.3">
      <c r="E442" s="270" t="s">
        <v>343</v>
      </c>
      <c r="F442" s="271"/>
      <c r="G442" s="271"/>
      <c r="H442" s="271"/>
      <c r="I442" s="272"/>
      <c r="V442">
        <f>+N438*T438*V438</f>
        <v>97.02</v>
      </c>
    </row>
    <row r="443" spans="1:22" x14ac:dyDescent="0.3">
      <c r="E443" s="151" t="s">
        <v>547</v>
      </c>
      <c r="F443" s="273"/>
      <c r="G443" s="273"/>
      <c r="H443" s="273">
        <f>I443/B420</f>
        <v>32.327586206896555</v>
      </c>
      <c r="I443" s="274">
        <v>225</v>
      </c>
      <c r="V443">
        <f>+N439*T439*V439</f>
        <v>189.88800000000001</v>
      </c>
    </row>
    <row r="444" spans="1:22" ht="15" thickBot="1" x14ac:dyDescent="0.35">
      <c r="E444" s="154" t="s">
        <v>562</v>
      </c>
      <c r="F444" s="261"/>
      <c r="G444" s="261"/>
      <c r="H444" s="261">
        <f>SUM(H443)</f>
        <v>32.327586206896555</v>
      </c>
      <c r="I444" s="262">
        <f>SUM(I443)</f>
        <v>225</v>
      </c>
      <c r="V444">
        <f>+N440*T440*V440</f>
        <v>1945.432</v>
      </c>
    </row>
    <row r="445" spans="1:22" ht="15" thickTop="1" x14ac:dyDescent="0.3">
      <c r="N445">
        <f>+SUM(N438:N440)</f>
        <v>773.26600000000008</v>
      </c>
      <c r="T445">
        <f>+V445/(U445*N445)</f>
        <v>2.1651734332040982</v>
      </c>
      <c r="U445">
        <f>+AVERAGE(V438:V440)</f>
        <v>1.3333333333333333</v>
      </c>
      <c r="V445">
        <f>+SUM(V442:V444)</f>
        <v>2232.34</v>
      </c>
    </row>
    <row r="446" spans="1:22" x14ac:dyDescent="0.3">
      <c r="A446" s="250" t="s">
        <v>518</v>
      </c>
      <c r="B446" s="251"/>
      <c r="C446" s="251"/>
      <c r="D446" s="251"/>
      <c r="E446" s="251"/>
      <c r="F446" s="251"/>
      <c r="G446" s="251"/>
      <c r="H446" s="251" t="s">
        <v>563</v>
      </c>
      <c r="I446" s="252" t="s">
        <v>564</v>
      </c>
    </row>
    <row r="447" spans="1:22" x14ac:dyDescent="0.3">
      <c r="A447" s="276" t="s">
        <v>565</v>
      </c>
      <c r="B447" s="278"/>
      <c r="C447" s="278"/>
      <c r="D447" s="278"/>
      <c r="E447" s="278"/>
      <c r="F447" s="278"/>
      <c r="G447" s="278"/>
      <c r="H447" s="278">
        <f>I447/B420</f>
        <v>1852.2223305459768</v>
      </c>
      <c r="I447" s="277">
        <f>SUM(I429,-I441,I444)</f>
        <v>12891.467420599998</v>
      </c>
    </row>
    <row r="448" spans="1:22" x14ac:dyDescent="0.3">
      <c r="A448" s="275" t="s">
        <v>324</v>
      </c>
      <c r="B448" s="513" t="s">
        <v>1347</v>
      </c>
      <c r="C448" s="513"/>
      <c r="D448" s="513"/>
      <c r="E448" s="513"/>
      <c r="F448" s="513"/>
      <c r="G448" s="513"/>
      <c r="H448" s="513"/>
      <c r="I448" s="514"/>
    </row>
    <row r="449" spans="1:17" x14ac:dyDescent="0.3">
      <c r="A449" s="255"/>
      <c r="B449" s="515"/>
      <c r="C449" s="515"/>
      <c r="D449" s="515"/>
      <c r="E449" s="515"/>
      <c r="F449" s="515"/>
      <c r="G449" s="515"/>
      <c r="H449" s="515"/>
      <c r="I449" s="516"/>
    </row>
    <row r="452" spans="1:17" x14ac:dyDescent="0.3">
      <c r="A452" s="279" t="s">
        <v>325</v>
      </c>
      <c r="B452" s="279"/>
      <c r="E452" s="281" t="s">
        <v>326</v>
      </c>
      <c r="F452" s="281"/>
      <c r="H452" s="279" t="s">
        <v>306</v>
      </c>
      <c r="I452" s="279"/>
    </row>
    <row r="453" spans="1:17" x14ac:dyDescent="0.3">
      <c r="A453" s="280"/>
      <c r="B453" s="280"/>
      <c r="E453" s="280"/>
      <c r="F453" s="280"/>
      <c r="H453" s="280"/>
      <c r="I453" s="280"/>
      <c r="Q453" s="1"/>
    </row>
    <row r="456" spans="1:17" x14ac:dyDescent="0.3">
      <c r="A456" s="196" t="s">
        <v>437</v>
      </c>
      <c r="B456" t="s">
        <v>375</v>
      </c>
      <c r="C456" t="s">
        <v>376</v>
      </c>
      <c r="D456" t="s">
        <v>438</v>
      </c>
      <c r="E456" t="s">
        <v>439</v>
      </c>
      <c r="F456" t="s">
        <v>440</v>
      </c>
      <c r="G456" t="s">
        <v>441</v>
      </c>
      <c r="H456" t="s">
        <v>442</v>
      </c>
      <c r="I456" t="s">
        <v>443</v>
      </c>
      <c r="J456" t="s">
        <v>317</v>
      </c>
      <c r="K456" t="s">
        <v>444</v>
      </c>
      <c r="L456" t="s">
        <v>445</v>
      </c>
      <c r="M456" t="s">
        <v>446</v>
      </c>
      <c r="N456" t="s">
        <v>447</v>
      </c>
      <c r="O456" t="s">
        <v>448</v>
      </c>
      <c r="P456" t="s">
        <v>447</v>
      </c>
    </row>
    <row r="457" spans="1:17" x14ac:dyDescent="0.3">
      <c r="A457" s="196" t="s">
        <v>449</v>
      </c>
      <c r="B457" t="s">
        <v>312</v>
      </c>
      <c r="C457" t="s">
        <v>460</v>
      </c>
      <c r="D457" s="197">
        <f ca="1">+TODAY()</f>
        <v>44480</v>
      </c>
      <c r="E457">
        <v>2</v>
      </c>
      <c r="F457">
        <v>1</v>
      </c>
      <c r="G457">
        <v>100</v>
      </c>
      <c r="H457" t="s">
        <v>457</v>
      </c>
      <c r="I457" t="s">
        <v>159</v>
      </c>
      <c r="J457">
        <v>1</v>
      </c>
      <c r="K457" t="s">
        <v>166</v>
      </c>
      <c r="L457">
        <v>1</v>
      </c>
      <c r="M457">
        <v>0</v>
      </c>
      <c r="N457">
        <v>0</v>
      </c>
      <c r="O457">
        <v>0</v>
      </c>
      <c r="P457">
        <v>0</v>
      </c>
    </row>
    <row r="458" spans="1:17" x14ac:dyDescent="0.3">
      <c r="A458" s="196" t="s">
        <v>450</v>
      </c>
      <c r="B458" t="s">
        <v>453</v>
      </c>
      <c r="C458" t="s">
        <v>454</v>
      </c>
      <c r="D458" s="197">
        <f ca="1">+TODAY()</f>
        <v>44480</v>
      </c>
      <c r="E458">
        <v>4</v>
      </c>
      <c r="F458">
        <v>1.1000000000000001</v>
      </c>
      <c r="G458">
        <v>200</v>
      </c>
      <c r="H458" t="s">
        <v>458</v>
      </c>
      <c r="I458" t="s">
        <v>462</v>
      </c>
      <c r="J458" s="198" t="s">
        <v>465</v>
      </c>
      <c r="K458" t="s">
        <v>1161</v>
      </c>
      <c r="L458" t="s">
        <v>470</v>
      </c>
      <c r="M458">
        <v>0</v>
      </c>
      <c r="N458">
        <v>0</v>
      </c>
      <c r="O458">
        <v>0</v>
      </c>
      <c r="P458">
        <v>0</v>
      </c>
    </row>
    <row r="459" spans="1:17" x14ac:dyDescent="0.3">
      <c r="A459" s="196" t="s">
        <v>451</v>
      </c>
      <c r="B459" t="s">
        <v>312</v>
      </c>
      <c r="C459" t="s">
        <v>455</v>
      </c>
      <c r="D459" s="197">
        <f ca="1">+TODAY()</f>
        <v>44480</v>
      </c>
      <c r="E459">
        <v>5</v>
      </c>
      <c r="F459">
        <v>2</v>
      </c>
      <c r="G459">
        <v>150</v>
      </c>
      <c r="H459" t="s">
        <v>461</v>
      </c>
      <c r="I459" t="s">
        <v>463</v>
      </c>
      <c r="J459" t="s">
        <v>466</v>
      </c>
      <c r="K459" t="s">
        <v>1322</v>
      </c>
      <c r="L459" t="s">
        <v>471</v>
      </c>
      <c r="M459">
        <v>0</v>
      </c>
      <c r="N459">
        <v>0</v>
      </c>
      <c r="O459">
        <v>0</v>
      </c>
      <c r="P459">
        <v>0</v>
      </c>
    </row>
    <row r="460" spans="1:17" x14ac:dyDescent="0.3">
      <c r="A460" s="196" t="s">
        <v>452</v>
      </c>
      <c r="B460" t="s">
        <v>453</v>
      </c>
      <c r="C460" t="s">
        <v>456</v>
      </c>
      <c r="D460" s="197">
        <f ca="1">+TODAY()</f>
        <v>44480</v>
      </c>
      <c r="E460">
        <v>2</v>
      </c>
      <c r="F460">
        <v>1.1200000000000001</v>
      </c>
      <c r="G460">
        <v>210</v>
      </c>
      <c r="H460" t="s">
        <v>459</v>
      </c>
      <c r="I460" t="s">
        <v>464</v>
      </c>
      <c r="J460">
        <v>4</v>
      </c>
      <c r="K460" t="s">
        <v>469</v>
      </c>
      <c r="L460">
        <v>1</v>
      </c>
      <c r="M460">
        <v>0</v>
      </c>
      <c r="N460">
        <v>0</v>
      </c>
      <c r="O460">
        <v>0</v>
      </c>
      <c r="P460">
        <v>0</v>
      </c>
    </row>
    <row r="461" spans="1:17" x14ac:dyDescent="0.3">
      <c r="C461" t="s">
        <v>475</v>
      </c>
      <c r="D461" s="197">
        <f ca="1">+TODAY()</f>
        <v>44480</v>
      </c>
      <c r="E461">
        <v>2</v>
      </c>
      <c r="F461">
        <v>1.1200000000000001</v>
      </c>
      <c r="G461">
        <v>210</v>
      </c>
    </row>
    <row r="462" spans="1:17" x14ac:dyDescent="0.3">
      <c r="C462" t="s">
        <v>1319</v>
      </c>
      <c r="D462" s="197">
        <f ca="1">TODAY()</f>
        <v>44480</v>
      </c>
      <c r="E462">
        <v>4</v>
      </c>
      <c r="F462">
        <v>3</v>
      </c>
      <c r="G462">
        <v>211</v>
      </c>
      <c r="H462" t="s">
        <v>461</v>
      </c>
      <c r="I462" t="s">
        <v>1320</v>
      </c>
      <c r="J462" t="s">
        <v>466</v>
      </c>
      <c r="K462" t="s">
        <v>468</v>
      </c>
      <c r="L462" t="s">
        <v>1321</v>
      </c>
    </row>
    <row r="469" spans="1:9" x14ac:dyDescent="0.3">
      <c r="A469" s="237"/>
      <c r="B469" s="238"/>
      <c r="C469" s="238"/>
      <c r="D469" s="238"/>
      <c r="E469" s="238" t="s">
        <v>334</v>
      </c>
      <c r="F469" s="238"/>
      <c r="G469" s="238"/>
      <c r="H469" s="238"/>
      <c r="I469" s="239"/>
    </row>
    <row r="470" spans="1:9" x14ac:dyDescent="0.3">
      <c r="A470" s="240"/>
      <c r="B470" s="241"/>
      <c r="C470" s="241"/>
      <c r="D470" s="241"/>
      <c r="E470" s="243" t="s">
        <v>301</v>
      </c>
      <c r="F470" s="241"/>
      <c r="G470" s="241"/>
      <c r="H470" s="241"/>
      <c r="I470" s="242"/>
    </row>
    <row r="472" spans="1:9" x14ac:dyDescent="0.3">
      <c r="A472" s="169" t="s">
        <v>548</v>
      </c>
      <c r="B472" s="161"/>
      <c r="C472" s="162"/>
      <c r="E472" s="250" t="s">
        <v>524</v>
      </c>
      <c r="F472" s="251"/>
      <c r="G472" s="251"/>
      <c r="H472" s="251"/>
      <c r="I472" s="252"/>
    </row>
    <row r="473" spans="1:9" x14ac:dyDescent="0.3">
      <c r="A473" s="150" t="s">
        <v>393</v>
      </c>
      <c r="B473" s="163" t="s">
        <v>411</v>
      </c>
      <c r="C473" s="164"/>
      <c r="E473" s="254" t="s">
        <v>615</v>
      </c>
      <c r="F473" s="484" t="s">
        <v>377</v>
      </c>
      <c r="G473" s="257" t="s">
        <v>443</v>
      </c>
      <c r="H473" s="257" t="s">
        <v>375</v>
      </c>
      <c r="I473" s="258" t="s">
        <v>616</v>
      </c>
    </row>
    <row r="474" spans="1:9" x14ac:dyDescent="0.3">
      <c r="A474" s="150" t="s">
        <v>316</v>
      </c>
      <c r="B474" s="163" t="s">
        <v>770</v>
      </c>
      <c r="C474" s="164"/>
      <c r="E474" s="253" t="s">
        <v>1339</v>
      </c>
      <c r="F474" s="485">
        <v>44454</v>
      </c>
      <c r="G474" s="285" t="s">
        <v>159</v>
      </c>
      <c r="H474" s="285" t="s">
        <v>457</v>
      </c>
      <c r="I474" s="286">
        <v>100</v>
      </c>
    </row>
    <row r="475" spans="1:9" x14ac:dyDescent="0.3">
      <c r="A475" s="150" t="s">
        <v>396</v>
      </c>
      <c r="B475" s="483">
        <v>44459</v>
      </c>
      <c r="C475" s="164"/>
      <c r="E475" s="256" t="s">
        <v>1340</v>
      </c>
      <c r="F475" s="486">
        <v>44454</v>
      </c>
      <c r="G475" s="259" t="s">
        <v>462</v>
      </c>
      <c r="H475" s="259" t="s">
        <v>458</v>
      </c>
      <c r="I475" s="260">
        <v>200</v>
      </c>
    </row>
    <row r="476" spans="1:9" ht="15" thickBot="1" x14ac:dyDescent="0.35">
      <c r="A476" s="150" t="s">
        <v>394</v>
      </c>
      <c r="B476" s="163" t="s">
        <v>303</v>
      </c>
      <c r="C476" s="164"/>
      <c r="E476" s="141" t="s">
        <v>523</v>
      </c>
      <c r="F476" s="263"/>
      <c r="G476" s="263"/>
      <c r="H476" s="263"/>
      <c r="I476" s="264">
        <f>SUM(I474:I475)</f>
        <v>300</v>
      </c>
    </row>
    <row r="477" spans="1:9" ht="15" thickTop="1" x14ac:dyDescent="0.3">
      <c r="A477" s="150" t="s">
        <v>395</v>
      </c>
      <c r="B477" s="163" t="s">
        <v>303</v>
      </c>
      <c r="C477" s="164"/>
      <c r="E477" s="265" t="s">
        <v>391</v>
      </c>
      <c r="F477" s="266"/>
      <c r="G477" s="266"/>
      <c r="H477" s="266"/>
      <c r="I477" s="267"/>
    </row>
    <row r="478" spans="1:9" x14ac:dyDescent="0.3">
      <c r="A478" s="244" t="s">
        <v>550</v>
      </c>
      <c r="B478" s="246">
        <v>1</v>
      </c>
      <c r="C478" s="245" t="s">
        <v>359</v>
      </c>
      <c r="E478" s="254" t="s">
        <v>33</v>
      </c>
      <c r="F478" s="257" t="s">
        <v>529</v>
      </c>
      <c r="G478" s="257" t="s">
        <v>553</v>
      </c>
      <c r="H478" s="257" t="s">
        <v>528</v>
      </c>
      <c r="I478" s="258" t="s">
        <v>386</v>
      </c>
    </row>
    <row r="479" spans="1:9" x14ac:dyDescent="0.3">
      <c r="E479" s="256" t="s">
        <v>527</v>
      </c>
      <c r="F479" s="259">
        <f>(1-(SUM(I474*(1-(2/100)),I475*(1-(4/100)))/I476))*100</f>
        <v>3.3333333333333326</v>
      </c>
      <c r="G479" s="259">
        <f>I476*(1-(F479/100))</f>
        <v>290</v>
      </c>
      <c r="H479" s="259">
        <f>(1-(SUM((I474*(1-(2/100)))*(1-(1/100)),(I475*(1-(4/100)))*(1-(1.1/100)))/G479))*100</f>
        <v>1.0662068965517135</v>
      </c>
      <c r="I479" s="260">
        <f>G479*(1-(H479/100))</f>
        <v>286.90800000000002</v>
      </c>
    </row>
    <row r="480" spans="1:9" ht="15" thickBot="1" x14ac:dyDescent="0.35">
      <c r="A480" s="169" t="s">
        <v>339</v>
      </c>
      <c r="B480" s="161"/>
      <c r="C480" s="162"/>
      <c r="E480" s="141" t="s">
        <v>525</v>
      </c>
      <c r="F480" s="263"/>
      <c r="G480" s="263"/>
      <c r="H480" s="263"/>
      <c r="I480" s="264">
        <f>SUM(I479)</f>
        <v>286.90800000000002</v>
      </c>
    </row>
    <row r="481" spans="1:9" ht="15" thickTop="1" x14ac:dyDescent="0.3">
      <c r="A481" s="150" t="s">
        <v>307</v>
      </c>
      <c r="B481" s="247" t="s">
        <v>260</v>
      </c>
      <c r="C481" s="248"/>
      <c r="E481" s="265" t="s">
        <v>346</v>
      </c>
      <c r="F481" s="266"/>
      <c r="G481" s="266"/>
      <c r="H481" s="266"/>
      <c r="I481" s="267"/>
    </row>
    <row r="482" spans="1:9" x14ac:dyDescent="0.3">
      <c r="A482" s="150" t="s">
        <v>308</v>
      </c>
      <c r="B482" s="247" t="s">
        <v>1324</v>
      </c>
      <c r="C482" s="248"/>
      <c r="E482" s="254" t="s">
        <v>33</v>
      </c>
      <c r="F482" s="257" t="s">
        <v>555</v>
      </c>
      <c r="G482" s="257" t="s">
        <v>556</v>
      </c>
      <c r="H482" s="257"/>
      <c r="I482" s="258" t="s">
        <v>558</v>
      </c>
    </row>
    <row r="483" spans="1:9" x14ac:dyDescent="0.3">
      <c r="A483" s="150" t="s">
        <v>551</v>
      </c>
      <c r="B483" s="247" t="s">
        <v>260</v>
      </c>
      <c r="C483" s="248"/>
      <c r="E483" s="253" t="s">
        <v>1145</v>
      </c>
      <c r="F483" s="322">
        <v>0.5</v>
      </c>
      <c r="G483" s="285">
        <v>1</v>
      </c>
      <c r="H483" s="285"/>
      <c r="I483" s="286">
        <f>F483*G483*143.454</f>
        <v>71.727000000000004</v>
      </c>
    </row>
    <row r="484" spans="1:9" x14ac:dyDescent="0.3">
      <c r="A484" s="150" t="s">
        <v>311</v>
      </c>
      <c r="B484" s="247" t="s">
        <v>312</v>
      </c>
      <c r="C484" s="248"/>
      <c r="E484" s="256" t="s">
        <v>167</v>
      </c>
      <c r="F484" s="284">
        <v>2</v>
      </c>
      <c r="G484" s="259">
        <v>2</v>
      </c>
      <c r="H484" s="259"/>
      <c r="I484" s="260">
        <f>F484*G484*189.888</f>
        <v>759.55200000000002</v>
      </c>
    </row>
    <row r="485" spans="1:9" ht="15" thickBot="1" x14ac:dyDescent="0.35">
      <c r="A485" s="150" t="s">
        <v>314</v>
      </c>
      <c r="B485" s="247" t="s">
        <v>260</v>
      </c>
      <c r="C485" s="248"/>
      <c r="E485" s="141" t="s">
        <v>559</v>
      </c>
      <c r="F485" s="263"/>
      <c r="G485" s="263"/>
      <c r="H485" s="263"/>
      <c r="I485" s="264">
        <f>SUM(I483:I484)</f>
        <v>831.279</v>
      </c>
    </row>
    <row r="486" spans="1:9" ht="15" thickTop="1" x14ac:dyDescent="0.3">
      <c r="A486" s="150" t="s">
        <v>315</v>
      </c>
      <c r="B486" s="247" t="s">
        <v>260</v>
      </c>
      <c r="C486" s="248"/>
      <c r="E486" s="270" t="s">
        <v>387</v>
      </c>
      <c r="F486" s="271"/>
      <c r="G486" s="271"/>
      <c r="H486" s="271"/>
      <c r="I486" s="272"/>
    </row>
    <row r="487" spans="1:9" x14ac:dyDescent="0.3">
      <c r="A487" s="150" t="s">
        <v>771</v>
      </c>
      <c r="B487" s="247" t="s">
        <v>260</v>
      </c>
      <c r="C487" s="248"/>
      <c r="E487" s="150" t="s">
        <v>537</v>
      </c>
      <c r="F487" s="247"/>
      <c r="G487" s="247"/>
      <c r="H487" s="247"/>
      <c r="I487" s="248"/>
    </row>
    <row r="488" spans="1:9" x14ac:dyDescent="0.3">
      <c r="A488" s="150" t="s">
        <v>1341</v>
      </c>
      <c r="B488" s="247" t="s">
        <v>260</v>
      </c>
      <c r="C488" s="248"/>
      <c r="E488" s="150" t="s">
        <v>1331</v>
      </c>
      <c r="F488" s="247">
        <v>3</v>
      </c>
      <c r="G488" s="247"/>
      <c r="H488" s="247"/>
      <c r="I488" s="248">
        <f>I485*F488/100</f>
        <v>24.938369999999999</v>
      </c>
    </row>
    <row r="489" spans="1:9" x14ac:dyDescent="0.3">
      <c r="A489" s="150" t="s">
        <v>1336</v>
      </c>
      <c r="B489" s="247" t="s">
        <v>260</v>
      </c>
      <c r="C489" s="248"/>
      <c r="E489" s="150" t="s">
        <v>1332</v>
      </c>
      <c r="F489" s="247">
        <v>3</v>
      </c>
      <c r="G489" s="247"/>
      <c r="H489" s="247"/>
      <c r="I489" s="248">
        <f>I485*F489/100</f>
        <v>24.938369999999999</v>
      </c>
    </row>
    <row r="490" spans="1:9" x14ac:dyDescent="0.3">
      <c r="A490" s="150" t="s">
        <v>1337</v>
      </c>
      <c r="B490" s="247" t="s">
        <v>260</v>
      </c>
      <c r="C490" s="248"/>
      <c r="E490" s="150" t="s">
        <v>1189</v>
      </c>
      <c r="F490" s="247"/>
      <c r="G490" s="247"/>
      <c r="H490" s="247"/>
      <c r="I490" s="248"/>
    </row>
    <row r="491" spans="1:9" x14ac:dyDescent="0.3">
      <c r="A491" s="244" t="s">
        <v>1338</v>
      </c>
      <c r="B491" s="246" t="s">
        <v>260</v>
      </c>
      <c r="C491" s="249"/>
      <c r="E491" s="150" t="s">
        <v>1333</v>
      </c>
      <c r="F491" s="247">
        <v>1.85</v>
      </c>
      <c r="G491" s="247"/>
      <c r="H491" s="247"/>
      <c r="I491" s="248">
        <f>I485*F491/100</f>
        <v>15.3786615</v>
      </c>
    </row>
    <row r="492" spans="1:9" x14ac:dyDescent="0.3">
      <c r="E492" s="151" t="s">
        <v>1334</v>
      </c>
      <c r="F492" s="273">
        <v>1</v>
      </c>
      <c r="G492" s="273"/>
      <c r="H492" s="273"/>
      <c r="I492" s="274">
        <f>I485*F492/100</f>
        <v>8.3127899999999997</v>
      </c>
    </row>
    <row r="493" spans="1:9" ht="15" thickBot="1" x14ac:dyDescent="0.35">
      <c r="E493" s="141" t="s">
        <v>561</v>
      </c>
      <c r="F493" s="263"/>
      <c r="G493" s="263"/>
      <c r="H493" s="263"/>
      <c r="I493" s="264">
        <f>SUM(I487:I492)</f>
        <v>73.568191500000012</v>
      </c>
    </row>
    <row r="494" spans="1:9" ht="15" thickTop="1" x14ac:dyDescent="0.3">
      <c r="E494" s="270" t="s">
        <v>343</v>
      </c>
      <c r="F494" s="271"/>
      <c r="G494" s="271"/>
      <c r="H494" s="271"/>
      <c r="I494" s="272"/>
    </row>
    <row r="495" spans="1:9" x14ac:dyDescent="0.3">
      <c r="E495" s="151" t="s">
        <v>1335</v>
      </c>
      <c r="F495" s="273"/>
      <c r="G495" s="273"/>
      <c r="H495" s="273"/>
      <c r="I495" s="274">
        <v>100</v>
      </c>
    </row>
    <row r="496" spans="1:9" ht="15" thickBot="1" x14ac:dyDescent="0.35">
      <c r="E496" s="154" t="s">
        <v>562</v>
      </c>
      <c r="F496" s="261"/>
      <c r="G496" s="261"/>
      <c r="H496" s="261"/>
      <c r="I496" s="262">
        <f>SUM(I495)</f>
        <v>100</v>
      </c>
    </row>
    <row r="497" spans="1:9" ht="15" thickTop="1" x14ac:dyDescent="0.3"/>
    <row r="498" spans="1:9" x14ac:dyDescent="0.3">
      <c r="A498" s="250" t="s">
        <v>518</v>
      </c>
      <c r="B498" s="251"/>
      <c r="C498" s="251"/>
      <c r="D498" s="251"/>
      <c r="E498" s="251"/>
      <c r="F498" s="251"/>
      <c r="G498" s="251"/>
      <c r="H498" s="251"/>
      <c r="I498" s="252" t="s">
        <v>564</v>
      </c>
    </row>
    <row r="499" spans="1:9" x14ac:dyDescent="0.3">
      <c r="A499" s="276" t="s">
        <v>565</v>
      </c>
      <c r="B499" s="278"/>
      <c r="C499" s="278"/>
      <c r="D499" s="278"/>
      <c r="E499" s="278"/>
      <c r="F499" s="278"/>
      <c r="G499" s="278"/>
      <c r="H499" s="278"/>
      <c r="I499" s="277">
        <f>SUM(I485,-I493,I495)</f>
        <v>857.71080849999998</v>
      </c>
    </row>
    <row r="500" spans="1:9" x14ac:dyDescent="0.3">
      <c r="A500" s="275" t="s">
        <v>324</v>
      </c>
      <c r="B500" s="513" t="s">
        <v>1348</v>
      </c>
      <c r="C500" s="513"/>
      <c r="D500" s="513"/>
      <c r="E500" s="513"/>
      <c r="F500" s="513"/>
      <c r="G500" s="513"/>
      <c r="H500" s="513"/>
      <c r="I500" s="514"/>
    </row>
    <row r="501" spans="1:9" x14ac:dyDescent="0.3">
      <c r="A501" s="255"/>
      <c r="B501" s="515"/>
      <c r="C501" s="515"/>
      <c r="D501" s="515"/>
      <c r="E501" s="515"/>
      <c r="F501" s="515"/>
      <c r="G501" s="515"/>
      <c r="H501" s="515"/>
      <c r="I501" s="516"/>
    </row>
    <row r="504" spans="1:9" x14ac:dyDescent="0.3">
      <c r="A504" s="279" t="s">
        <v>325</v>
      </c>
      <c r="B504" s="279"/>
      <c r="E504" s="281" t="s">
        <v>326</v>
      </c>
      <c r="F504" s="281"/>
      <c r="H504" s="279" t="s">
        <v>306</v>
      </c>
      <c r="I504" s="279"/>
    </row>
    <row r="505" spans="1:9" x14ac:dyDescent="0.3">
      <c r="A505" s="280"/>
      <c r="B505" s="280"/>
      <c r="E505" s="280"/>
      <c r="F505" s="280"/>
      <c r="H505" s="280"/>
      <c r="I505" s="280"/>
    </row>
    <row r="507" spans="1:9" x14ac:dyDescent="0.3">
      <c r="A507" s="237"/>
      <c r="B507" s="238"/>
      <c r="C507" s="238"/>
      <c r="D507" s="238"/>
      <c r="E507" s="238" t="s">
        <v>334</v>
      </c>
      <c r="F507" s="238"/>
      <c r="G507" s="238"/>
      <c r="H507" s="238"/>
      <c r="I507" s="239"/>
    </row>
    <row r="508" spans="1:9" x14ac:dyDescent="0.3">
      <c r="A508" s="240"/>
      <c r="B508" s="241"/>
      <c r="C508" s="241"/>
      <c r="D508" s="241"/>
      <c r="E508" s="243" t="s">
        <v>301</v>
      </c>
      <c r="F508" s="241"/>
      <c r="G508" s="241"/>
      <c r="H508" s="241"/>
      <c r="I508" s="242"/>
    </row>
    <row r="510" spans="1:9" x14ac:dyDescent="0.3">
      <c r="A510" s="169" t="s">
        <v>548</v>
      </c>
      <c r="B510" s="161"/>
      <c r="C510" s="162"/>
      <c r="E510" s="250" t="s">
        <v>524</v>
      </c>
      <c r="F510" s="251"/>
      <c r="G510" s="251"/>
      <c r="H510" s="251"/>
      <c r="I510" s="252"/>
    </row>
    <row r="511" spans="1:9" x14ac:dyDescent="0.3">
      <c r="A511" s="150" t="s">
        <v>393</v>
      </c>
      <c r="B511" s="163" t="s">
        <v>411</v>
      </c>
      <c r="C511" s="164"/>
      <c r="E511" s="254" t="s">
        <v>615</v>
      </c>
      <c r="F511" s="488" t="s">
        <v>377</v>
      </c>
      <c r="G511" s="257" t="s">
        <v>443</v>
      </c>
      <c r="H511" s="257" t="s">
        <v>375</v>
      </c>
      <c r="I511" s="258" t="s">
        <v>616</v>
      </c>
    </row>
    <row r="512" spans="1:9" x14ac:dyDescent="0.3">
      <c r="A512" s="150" t="s">
        <v>316</v>
      </c>
      <c r="B512" s="163" t="s">
        <v>770</v>
      </c>
      <c r="C512" s="164"/>
      <c r="E512" s="253" t="s">
        <v>1339</v>
      </c>
      <c r="F512" s="489">
        <v>44454</v>
      </c>
      <c r="G512" s="285" t="s">
        <v>159</v>
      </c>
      <c r="H512" s="285" t="s">
        <v>457</v>
      </c>
      <c r="I512" s="286">
        <v>100</v>
      </c>
    </row>
    <row r="513" spans="1:10" x14ac:dyDescent="0.3">
      <c r="A513" s="150" t="s">
        <v>396</v>
      </c>
      <c r="B513" s="487">
        <v>44459</v>
      </c>
      <c r="C513" s="164"/>
      <c r="E513" s="256" t="s">
        <v>1340</v>
      </c>
      <c r="F513" s="490">
        <v>44454</v>
      </c>
      <c r="G513" s="259" t="s">
        <v>462</v>
      </c>
      <c r="H513" s="259" t="s">
        <v>458</v>
      </c>
      <c r="I513" s="260">
        <v>200</v>
      </c>
    </row>
    <row r="514" spans="1:10" ht="15" thickBot="1" x14ac:dyDescent="0.35">
      <c r="A514" s="150" t="s">
        <v>394</v>
      </c>
      <c r="B514" s="163" t="s">
        <v>303</v>
      </c>
      <c r="C514" s="164"/>
      <c r="E514" s="141" t="s">
        <v>523</v>
      </c>
      <c r="F514" s="263"/>
      <c r="G514" s="263"/>
      <c r="H514" s="263"/>
      <c r="I514" s="264">
        <f>SUM(I512:I513)</f>
        <v>300</v>
      </c>
    </row>
    <row r="515" spans="1:10" ht="15" thickTop="1" x14ac:dyDescent="0.3">
      <c r="A515" s="150" t="s">
        <v>395</v>
      </c>
      <c r="B515" s="163" t="s">
        <v>303</v>
      </c>
      <c r="C515" s="164"/>
      <c r="E515" s="491" t="s">
        <v>391</v>
      </c>
      <c r="F515" s="492"/>
      <c r="G515" s="492"/>
      <c r="H515" s="492"/>
      <c r="I515" s="493"/>
    </row>
    <row r="516" spans="1:10" x14ac:dyDescent="0.3">
      <c r="A516" s="244" t="s">
        <v>550</v>
      </c>
      <c r="B516" s="246">
        <v>1</v>
      </c>
      <c r="C516" s="245" t="s">
        <v>359</v>
      </c>
      <c r="E516" s="254" t="s">
        <v>33</v>
      </c>
      <c r="F516" s="257" t="s">
        <v>529</v>
      </c>
      <c r="G516" s="257" t="s">
        <v>553</v>
      </c>
      <c r="H516" s="257" t="s">
        <v>528</v>
      </c>
      <c r="I516" s="258" t="s">
        <v>386</v>
      </c>
    </row>
    <row r="517" spans="1:10" x14ac:dyDescent="0.3">
      <c r="E517" s="253">
        <v>1</v>
      </c>
      <c r="F517" s="285">
        <v>2</v>
      </c>
      <c r="G517" s="494">
        <f>I512*(1-(F517/100))</f>
        <v>98</v>
      </c>
      <c r="H517" s="285">
        <v>1</v>
      </c>
      <c r="I517" s="286">
        <f>G517*(1-(H517/100))</f>
        <v>97.02</v>
      </c>
    </row>
    <row r="518" spans="1:10" x14ac:dyDescent="0.3">
      <c r="A518" s="169" t="s">
        <v>339</v>
      </c>
      <c r="B518" s="161"/>
      <c r="C518" s="162"/>
      <c r="E518" s="256">
        <v>2</v>
      </c>
      <c r="F518" s="259">
        <v>4</v>
      </c>
      <c r="G518" s="495">
        <f>I513*(1-(F518/100))</f>
        <v>192</v>
      </c>
      <c r="H518" s="259">
        <v>1.1000000000000001</v>
      </c>
      <c r="I518" s="260">
        <f>G518*(1-(H518/100))</f>
        <v>189.88800000000001</v>
      </c>
    </row>
    <row r="519" spans="1:10" ht="15" thickBot="1" x14ac:dyDescent="0.35">
      <c r="A519" s="150" t="s">
        <v>307</v>
      </c>
      <c r="B519" s="247" t="s">
        <v>260</v>
      </c>
      <c r="C519" s="248"/>
      <c r="E519" s="141" t="s">
        <v>525</v>
      </c>
      <c r="F519" s="263"/>
      <c r="G519" s="263"/>
      <c r="H519" s="263"/>
      <c r="I519" s="264">
        <f>SUM(I517:I518)</f>
        <v>286.90800000000002</v>
      </c>
    </row>
    <row r="520" spans="1:10" ht="15" thickTop="1" x14ac:dyDescent="0.3">
      <c r="A520" s="150" t="s">
        <v>308</v>
      </c>
      <c r="B520" s="247" t="s">
        <v>1324</v>
      </c>
      <c r="C520" s="248"/>
      <c r="E520" s="491" t="s">
        <v>346</v>
      </c>
      <c r="F520" s="492"/>
      <c r="G520" s="492"/>
      <c r="H520" s="492"/>
      <c r="I520" s="493"/>
    </row>
    <row r="521" spans="1:10" x14ac:dyDescent="0.3">
      <c r="A521" s="150" t="s">
        <v>551</v>
      </c>
      <c r="B521" s="247" t="s">
        <v>260</v>
      </c>
      <c r="C521" s="248"/>
      <c r="E521" s="254" t="s">
        <v>33</v>
      </c>
      <c r="F521" s="257" t="s">
        <v>555</v>
      </c>
      <c r="G521" s="257" t="s">
        <v>556</v>
      </c>
      <c r="H521" s="257"/>
      <c r="I521" s="258" t="s">
        <v>558</v>
      </c>
    </row>
    <row r="522" spans="1:10" x14ac:dyDescent="0.3">
      <c r="A522" s="150" t="s">
        <v>311</v>
      </c>
      <c r="B522" s="247" t="s">
        <v>312</v>
      </c>
      <c r="C522" s="248"/>
      <c r="E522" s="253" t="s">
        <v>159</v>
      </c>
      <c r="F522" s="322">
        <v>1</v>
      </c>
      <c r="G522" s="285">
        <v>1</v>
      </c>
      <c r="H522" s="285"/>
      <c r="I522" s="496">
        <f>F522*G522*I517</f>
        <v>97.02</v>
      </c>
      <c r="J522" s="17">
        <f>+SUM(I522:I523)</f>
        <v>286.90800000000002</v>
      </c>
    </row>
    <row r="523" spans="1:10" x14ac:dyDescent="0.3">
      <c r="A523" s="150" t="s">
        <v>314</v>
      </c>
      <c r="B523" s="247" t="s">
        <v>260</v>
      </c>
      <c r="C523" s="248"/>
      <c r="E523" s="253" t="s">
        <v>159</v>
      </c>
      <c r="F523" s="322">
        <v>1</v>
      </c>
      <c r="G523" s="285">
        <v>1</v>
      </c>
      <c r="H523" s="285"/>
      <c r="I523" s="496">
        <f>F523*G523*I518</f>
        <v>189.88800000000001</v>
      </c>
    </row>
    <row r="524" spans="1:10" x14ac:dyDescent="0.3">
      <c r="A524" s="150" t="s">
        <v>315</v>
      </c>
      <c r="B524" s="247" t="s">
        <v>260</v>
      </c>
      <c r="C524" s="248"/>
      <c r="E524" s="256" t="s">
        <v>1342</v>
      </c>
      <c r="F524" s="284">
        <v>2</v>
      </c>
      <c r="G524" s="259">
        <v>1</v>
      </c>
      <c r="H524" s="259"/>
      <c r="I524" s="497">
        <f>F524*G524*I518</f>
        <v>379.77600000000001</v>
      </c>
      <c r="J524" s="17">
        <f>+I524</f>
        <v>379.77600000000001</v>
      </c>
    </row>
    <row r="525" spans="1:10" ht="15" thickBot="1" x14ac:dyDescent="0.35">
      <c r="A525" s="150" t="s">
        <v>771</v>
      </c>
      <c r="B525" s="247" t="s">
        <v>260</v>
      </c>
      <c r="C525" s="248"/>
      <c r="E525" s="141" t="s">
        <v>559</v>
      </c>
      <c r="F525" s="263"/>
      <c r="G525" s="263"/>
      <c r="H525" s="263"/>
      <c r="I525" s="264">
        <f>SUM(I522:I524)</f>
        <v>666.68399999999997</v>
      </c>
    </row>
    <row r="526" spans="1:10" ht="15" thickTop="1" x14ac:dyDescent="0.3">
      <c r="A526" s="150" t="s">
        <v>1341</v>
      </c>
      <c r="B526" s="247" t="s">
        <v>260</v>
      </c>
      <c r="C526" s="248"/>
      <c r="E526" s="270" t="s">
        <v>387</v>
      </c>
      <c r="F526" s="271"/>
      <c r="G526" s="271"/>
      <c r="H526" s="271"/>
      <c r="I526" s="272"/>
    </row>
    <row r="527" spans="1:10" x14ac:dyDescent="0.3">
      <c r="A527" s="150" t="s">
        <v>1336</v>
      </c>
      <c r="B527" s="247" t="s">
        <v>260</v>
      </c>
      <c r="C527" s="248"/>
      <c r="E527" s="150" t="s">
        <v>537</v>
      </c>
      <c r="F527" s="247"/>
      <c r="G527" s="247"/>
      <c r="H527" s="247"/>
      <c r="I527" s="248"/>
    </row>
    <row r="528" spans="1:10" x14ac:dyDescent="0.3">
      <c r="A528" s="150" t="s">
        <v>1337</v>
      </c>
      <c r="B528" s="247" t="s">
        <v>260</v>
      </c>
      <c r="C528" s="248"/>
      <c r="E528" s="150" t="s">
        <v>1331</v>
      </c>
      <c r="F528" s="247">
        <v>3</v>
      </c>
      <c r="G528" s="247"/>
      <c r="H528" s="247"/>
      <c r="I528" s="248">
        <f>I525*F528/100</f>
        <v>20.000519999999998</v>
      </c>
    </row>
    <row r="529" spans="1:9" x14ac:dyDescent="0.3">
      <c r="A529" s="244" t="s">
        <v>1338</v>
      </c>
      <c r="B529" s="246" t="s">
        <v>260</v>
      </c>
      <c r="C529" s="249"/>
      <c r="E529" s="150" t="s">
        <v>1332</v>
      </c>
      <c r="F529" s="247">
        <v>3</v>
      </c>
      <c r="G529" s="247"/>
      <c r="H529" s="247"/>
      <c r="I529" s="248">
        <f>I525*F529/100</f>
        <v>20.000519999999998</v>
      </c>
    </row>
    <row r="530" spans="1:9" x14ac:dyDescent="0.3">
      <c r="E530" s="150" t="s">
        <v>1189</v>
      </c>
      <c r="F530" s="247"/>
      <c r="G530" s="247"/>
      <c r="H530" s="247"/>
      <c r="I530" s="248"/>
    </row>
    <row r="531" spans="1:9" x14ac:dyDescent="0.3">
      <c r="E531" s="150" t="s">
        <v>1333</v>
      </c>
      <c r="F531" s="247">
        <v>1.85</v>
      </c>
      <c r="G531" s="247"/>
      <c r="H531" s="247"/>
      <c r="I531" s="248">
        <f>I525*F531/100</f>
        <v>12.333653999999999</v>
      </c>
    </row>
    <row r="532" spans="1:9" x14ac:dyDescent="0.3">
      <c r="E532" s="151" t="s">
        <v>1334</v>
      </c>
      <c r="F532" s="273">
        <v>1</v>
      </c>
      <c r="G532" s="273"/>
      <c r="H532" s="273"/>
      <c r="I532" s="274">
        <f>I525*F532/100</f>
        <v>6.6668399999999997</v>
      </c>
    </row>
    <row r="533" spans="1:9" ht="15" thickBot="1" x14ac:dyDescent="0.35">
      <c r="E533" s="141" t="s">
        <v>561</v>
      </c>
      <c r="F533" s="263"/>
      <c r="G533" s="263"/>
      <c r="H533" s="263"/>
      <c r="I533" s="264">
        <f>SUM(I527:I532)</f>
        <v>59.001533999999999</v>
      </c>
    </row>
    <row r="534" spans="1:9" ht="15" thickTop="1" x14ac:dyDescent="0.3">
      <c r="E534" s="270" t="s">
        <v>343</v>
      </c>
      <c r="F534" s="271"/>
      <c r="G534" s="271"/>
      <c r="H534" s="271"/>
      <c r="I534" s="272"/>
    </row>
    <row r="535" spans="1:9" x14ac:dyDescent="0.3">
      <c r="E535" s="151" t="s">
        <v>1335</v>
      </c>
      <c r="F535" s="273"/>
      <c r="G535" s="273"/>
      <c r="H535" s="273"/>
      <c r="I535" s="274">
        <v>100</v>
      </c>
    </row>
    <row r="536" spans="1:9" ht="15" thickBot="1" x14ac:dyDescent="0.35">
      <c r="E536" s="154" t="s">
        <v>562</v>
      </c>
      <c r="F536" s="261"/>
      <c r="G536" s="261"/>
      <c r="H536" s="261"/>
      <c r="I536" s="262">
        <f>SUM(I535)</f>
        <v>100</v>
      </c>
    </row>
    <row r="537" spans="1:9" ht="15" thickTop="1" x14ac:dyDescent="0.3"/>
    <row r="538" spans="1:9" x14ac:dyDescent="0.3">
      <c r="A538" s="250" t="s">
        <v>518</v>
      </c>
      <c r="B538" s="251"/>
      <c r="C538" s="251"/>
      <c r="D538" s="251"/>
      <c r="E538" s="251"/>
      <c r="F538" s="251"/>
      <c r="G538" s="251"/>
      <c r="H538" s="251"/>
      <c r="I538" s="252" t="s">
        <v>564</v>
      </c>
    </row>
    <row r="539" spans="1:9" x14ac:dyDescent="0.3">
      <c r="A539" s="276" t="s">
        <v>565</v>
      </c>
      <c r="B539" s="278"/>
      <c r="C539" s="278"/>
      <c r="D539" s="278"/>
      <c r="E539" s="278"/>
      <c r="F539" s="278"/>
      <c r="G539" s="278"/>
      <c r="H539" s="278"/>
      <c r="I539" s="277">
        <f>SUM(I525,-I533,I535)</f>
        <v>707.68246599999998</v>
      </c>
    </row>
    <row r="540" spans="1:9" x14ac:dyDescent="0.3">
      <c r="A540" s="275" t="s">
        <v>324</v>
      </c>
      <c r="B540" s="513" t="s">
        <v>1349</v>
      </c>
      <c r="C540" s="513"/>
      <c r="D540" s="513"/>
      <c r="E540" s="513"/>
      <c r="F540" s="513"/>
      <c r="G540" s="513"/>
      <c r="H540" s="513"/>
      <c r="I540" s="514"/>
    </row>
    <row r="541" spans="1:9" x14ac:dyDescent="0.3">
      <c r="A541" s="255"/>
      <c r="B541" s="515"/>
      <c r="C541" s="515"/>
      <c r="D541" s="515"/>
      <c r="E541" s="515"/>
      <c r="F541" s="515"/>
      <c r="G541" s="515"/>
      <c r="H541" s="515"/>
      <c r="I541" s="516"/>
    </row>
    <row r="544" spans="1:9" x14ac:dyDescent="0.3">
      <c r="A544" s="279" t="s">
        <v>325</v>
      </c>
      <c r="B544" s="279"/>
      <c r="E544" s="281" t="s">
        <v>326</v>
      </c>
      <c r="F544" s="281"/>
      <c r="H544" s="279" t="s">
        <v>306</v>
      </c>
      <c r="I544" s="279"/>
    </row>
    <row r="545" spans="1:9" x14ac:dyDescent="0.3">
      <c r="A545" s="280"/>
      <c r="B545" s="280"/>
      <c r="E545" s="280"/>
      <c r="F545" s="280"/>
      <c r="H545" s="280"/>
      <c r="I545" s="280"/>
    </row>
    <row r="547" spans="1:9" x14ac:dyDescent="0.3">
      <c r="A547" s="237"/>
      <c r="B547" s="238"/>
      <c r="C547" s="238"/>
      <c r="D547" s="238"/>
      <c r="E547" s="238" t="s">
        <v>334</v>
      </c>
      <c r="F547" s="238"/>
      <c r="G547" s="238"/>
      <c r="H547" s="238"/>
      <c r="I547" s="239"/>
    </row>
    <row r="548" spans="1:9" x14ac:dyDescent="0.3">
      <c r="A548" s="240"/>
      <c r="B548" s="241"/>
      <c r="C548" s="241"/>
      <c r="D548" s="241"/>
      <c r="E548" s="243" t="s">
        <v>301</v>
      </c>
      <c r="F548" s="241"/>
      <c r="G548" s="241"/>
      <c r="H548" s="241"/>
      <c r="I548" s="242"/>
    </row>
    <row r="550" spans="1:9" x14ac:dyDescent="0.3">
      <c r="A550" s="169" t="s">
        <v>548</v>
      </c>
      <c r="B550" s="161"/>
      <c r="C550" s="162"/>
      <c r="E550" s="250" t="s">
        <v>524</v>
      </c>
      <c r="F550" s="251"/>
      <c r="G550" s="251"/>
      <c r="H550" s="251"/>
      <c r="I550" s="252"/>
    </row>
    <row r="551" spans="1:9" x14ac:dyDescent="0.3">
      <c r="A551" s="150" t="s">
        <v>393</v>
      </c>
      <c r="B551" s="163" t="s">
        <v>411</v>
      </c>
      <c r="C551" s="164"/>
      <c r="E551" s="254" t="s">
        <v>615</v>
      </c>
      <c r="F551" s="499" t="s">
        <v>377</v>
      </c>
      <c r="G551" s="257" t="s">
        <v>443</v>
      </c>
      <c r="H551" s="257" t="s">
        <v>375</v>
      </c>
      <c r="I551" s="258" t="s">
        <v>616</v>
      </c>
    </row>
    <row r="552" spans="1:9" x14ac:dyDescent="0.3">
      <c r="A552" s="150" t="s">
        <v>316</v>
      </c>
      <c r="B552" s="163" t="s">
        <v>770</v>
      </c>
      <c r="C552" s="164"/>
      <c r="E552" s="253" t="s">
        <v>1339</v>
      </c>
      <c r="F552" s="501">
        <v>44454</v>
      </c>
      <c r="G552" s="285" t="s">
        <v>159</v>
      </c>
      <c r="H552" s="285" t="s">
        <v>457</v>
      </c>
      <c r="I552" s="286">
        <v>100</v>
      </c>
    </row>
    <row r="553" spans="1:9" x14ac:dyDescent="0.3">
      <c r="A553" s="150" t="s">
        <v>396</v>
      </c>
      <c r="B553" s="498">
        <v>44460</v>
      </c>
      <c r="C553" s="164"/>
      <c r="E553" s="256" t="s">
        <v>1340</v>
      </c>
      <c r="F553" s="500">
        <v>44454</v>
      </c>
      <c r="G553" s="259" t="s">
        <v>462</v>
      </c>
      <c r="H553" s="259" t="s">
        <v>458</v>
      </c>
      <c r="I553" s="260">
        <v>200</v>
      </c>
    </row>
    <row r="554" spans="1:9" ht="15" thickBot="1" x14ac:dyDescent="0.35">
      <c r="A554" s="150" t="s">
        <v>394</v>
      </c>
      <c r="B554" s="163" t="s">
        <v>303</v>
      </c>
      <c r="C554" s="164"/>
      <c r="E554" s="141" t="s">
        <v>523</v>
      </c>
      <c r="F554" s="263"/>
      <c r="G554" s="263"/>
      <c r="H554" s="263"/>
      <c r="I554" s="264">
        <f>SUM(I552:I553)</f>
        <v>300</v>
      </c>
    </row>
    <row r="555" spans="1:9" ht="15" thickTop="1" x14ac:dyDescent="0.3">
      <c r="A555" s="150" t="s">
        <v>395</v>
      </c>
      <c r="B555" s="163" t="s">
        <v>303</v>
      </c>
      <c r="C555" s="164"/>
      <c r="E555" s="265" t="s">
        <v>391</v>
      </c>
      <c r="F555" s="266"/>
      <c r="G555" s="266"/>
      <c r="H555" s="266"/>
      <c r="I555" s="267"/>
    </row>
    <row r="556" spans="1:9" x14ac:dyDescent="0.3">
      <c r="A556" s="244" t="s">
        <v>550</v>
      </c>
      <c r="B556" s="246">
        <v>1</v>
      </c>
      <c r="C556" s="245" t="s">
        <v>359</v>
      </c>
      <c r="E556" s="254" t="s">
        <v>33</v>
      </c>
      <c r="F556" s="257" t="s">
        <v>529</v>
      </c>
      <c r="G556" s="257" t="s">
        <v>553</v>
      </c>
      <c r="H556" s="257" t="s">
        <v>528</v>
      </c>
      <c r="I556" s="258" t="s">
        <v>386</v>
      </c>
    </row>
    <row r="557" spans="1:9" x14ac:dyDescent="0.3">
      <c r="E557" s="256" t="s">
        <v>527</v>
      </c>
      <c r="F557" s="259">
        <f>(1-(SUM(I552*(1-(2/100)),I553*(1-(4/100)))/I554))*100</f>
        <v>3.3333333333333326</v>
      </c>
      <c r="G557" s="259">
        <f>I554*(1-(F557/100))</f>
        <v>290</v>
      </c>
      <c r="H557" s="259">
        <f>(1-(SUM((I552*(1-(2/100)))*(1-(1/100)),(I553*(1-(4/100)))*(1-(1.1/100)))/G557))*100</f>
        <v>1.0662068965517135</v>
      </c>
      <c r="I557" s="260">
        <f>G557*(1-(H557/100))</f>
        <v>286.90800000000002</v>
      </c>
    </row>
    <row r="558" spans="1:9" ht="15" thickBot="1" x14ac:dyDescent="0.35">
      <c r="A558" s="169" t="s">
        <v>339</v>
      </c>
      <c r="B558" s="161"/>
      <c r="C558" s="162"/>
      <c r="E558" s="141" t="s">
        <v>525</v>
      </c>
      <c r="F558" s="263"/>
      <c r="G558" s="263"/>
      <c r="H558" s="263"/>
      <c r="I558" s="264">
        <f>SUM(I557)</f>
        <v>286.90800000000002</v>
      </c>
    </row>
    <row r="559" spans="1:9" ht="15" thickTop="1" x14ac:dyDescent="0.3">
      <c r="A559" s="150" t="s">
        <v>307</v>
      </c>
      <c r="B559" s="247" t="s">
        <v>260</v>
      </c>
      <c r="C559" s="248"/>
      <c r="E559" s="265" t="s">
        <v>346</v>
      </c>
      <c r="F559" s="266"/>
      <c r="G559" s="266"/>
      <c r="H559" s="266"/>
      <c r="I559" s="267"/>
    </row>
    <row r="560" spans="1:9" x14ac:dyDescent="0.3">
      <c r="A560" s="150" t="s">
        <v>308</v>
      </c>
      <c r="B560" s="247" t="s">
        <v>1324</v>
      </c>
      <c r="C560" s="248"/>
      <c r="E560" s="254" t="s">
        <v>33</v>
      </c>
      <c r="F560" s="257" t="s">
        <v>555</v>
      </c>
      <c r="G560" s="257" t="s">
        <v>556</v>
      </c>
      <c r="H560" s="257"/>
      <c r="I560" s="258" t="s">
        <v>558</v>
      </c>
    </row>
    <row r="561" spans="1:9" x14ac:dyDescent="0.3">
      <c r="A561" s="150" t="s">
        <v>551</v>
      </c>
      <c r="B561" s="247" t="s">
        <v>260</v>
      </c>
      <c r="C561" s="248"/>
      <c r="E561" s="253" t="s">
        <v>1145</v>
      </c>
      <c r="F561" s="322">
        <v>0.5</v>
      </c>
      <c r="G561" s="285">
        <v>2</v>
      </c>
      <c r="H561" s="285"/>
      <c r="I561" s="286">
        <f>F561*G561*286.908</f>
        <v>286.90800000000002</v>
      </c>
    </row>
    <row r="562" spans="1:9" x14ac:dyDescent="0.3">
      <c r="A562" s="150" t="s">
        <v>311</v>
      </c>
      <c r="B562" s="247" t="s">
        <v>312</v>
      </c>
      <c r="C562" s="248"/>
      <c r="E562" s="256" t="s">
        <v>167</v>
      </c>
      <c r="F562" s="284">
        <v>2</v>
      </c>
      <c r="G562" s="259">
        <v>1</v>
      </c>
      <c r="H562" s="259"/>
      <c r="I562" s="260">
        <f>F562*G562*189.888</f>
        <v>379.77600000000001</v>
      </c>
    </row>
    <row r="563" spans="1:9" ht="15" thickBot="1" x14ac:dyDescent="0.35">
      <c r="A563" s="150" t="s">
        <v>314</v>
      </c>
      <c r="B563" s="247" t="s">
        <v>260</v>
      </c>
      <c r="C563" s="248"/>
      <c r="E563" s="141" t="s">
        <v>559</v>
      </c>
      <c r="F563" s="263"/>
      <c r="G563" s="263"/>
      <c r="H563" s="263"/>
      <c r="I563" s="264">
        <f>SUM(I561:I562)</f>
        <v>666.68399999999997</v>
      </c>
    </row>
    <row r="564" spans="1:9" ht="15" thickTop="1" x14ac:dyDescent="0.3">
      <c r="A564" s="150" t="s">
        <v>315</v>
      </c>
      <c r="B564" s="247" t="s">
        <v>260</v>
      </c>
      <c r="C564" s="248"/>
      <c r="E564" s="270" t="s">
        <v>387</v>
      </c>
      <c r="F564" s="271"/>
      <c r="G564" s="271"/>
      <c r="H564" s="271"/>
      <c r="I564" s="272"/>
    </row>
    <row r="565" spans="1:9" x14ac:dyDescent="0.3">
      <c r="A565" s="150" t="s">
        <v>771</v>
      </c>
      <c r="B565" s="247" t="s">
        <v>260</v>
      </c>
      <c r="C565" s="248"/>
      <c r="E565" s="150" t="s">
        <v>537</v>
      </c>
      <c r="F565" s="247"/>
      <c r="G565" s="247"/>
      <c r="H565" s="247"/>
      <c r="I565" s="248"/>
    </row>
    <row r="566" spans="1:9" x14ac:dyDescent="0.3">
      <c r="A566" s="150" t="s">
        <v>1341</v>
      </c>
      <c r="B566" s="247" t="s">
        <v>260</v>
      </c>
      <c r="C566" s="248"/>
      <c r="E566" s="150" t="s">
        <v>1331</v>
      </c>
      <c r="F566" s="247">
        <v>3</v>
      </c>
      <c r="G566" s="247"/>
      <c r="H566" s="247"/>
      <c r="I566" s="248">
        <f>I563*F566/100</f>
        <v>20.000519999999998</v>
      </c>
    </row>
    <row r="567" spans="1:9" x14ac:dyDescent="0.3">
      <c r="A567" s="150" t="s">
        <v>1336</v>
      </c>
      <c r="B567" s="247" t="s">
        <v>260</v>
      </c>
      <c r="C567" s="248"/>
      <c r="E567" s="150" t="s">
        <v>1332</v>
      </c>
      <c r="F567" s="247">
        <v>3</v>
      </c>
      <c r="G567" s="247"/>
      <c r="H567" s="247"/>
      <c r="I567" s="248">
        <f>I563*F567/100</f>
        <v>20.000519999999998</v>
      </c>
    </row>
    <row r="568" spans="1:9" x14ac:dyDescent="0.3">
      <c r="A568" s="150" t="s">
        <v>1337</v>
      </c>
      <c r="B568" s="247" t="s">
        <v>260</v>
      </c>
      <c r="C568" s="248"/>
      <c r="E568" s="150" t="s">
        <v>1189</v>
      </c>
      <c r="F568" s="247"/>
      <c r="G568" s="247"/>
      <c r="H568" s="247"/>
      <c r="I568" s="248"/>
    </row>
    <row r="569" spans="1:9" x14ac:dyDescent="0.3">
      <c r="A569" s="244" t="s">
        <v>1338</v>
      </c>
      <c r="B569" s="246" t="s">
        <v>260</v>
      </c>
      <c r="C569" s="249"/>
      <c r="E569" s="150" t="s">
        <v>1333</v>
      </c>
      <c r="F569" s="247">
        <v>1.85</v>
      </c>
      <c r="G569" s="247"/>
      <c r="H569" s="247"/>
      <c r="I569" s="248">
        <f>I563*F569/100</f>
        <v>12.333653999999999</v>
      </c>
    </row>
    <row r="570" spans="1:9" x14ac:dyDescent="0.3">
      <c r="E570" s="151" t="s">
        <v>1334</v>
      </c>
      <c r="F570" s="273">
        <v>1</v>
      </c>
      <c r="G570" s="273"/>
      <c r="H570" s="273"/>
      <c r="I570" s="274">
        <f>I563*F570/100</f>
        <v>6.6668399999999997</v>
      </c>
    </row>
    <row r="571" spans="1:9" ht="15" thickBot="1" x14ac:dyDescent="0.35">
      <c r="E571" s="141" t="s">
        <v>561</v>
      </c>
      <c r="F571" s="263"/>
      <c r="G571" s="263"/>
      <c r="H571" s="263"/>
      <c r="I571" s="264">
        <f>SUM(I565:I570)</f>
        <v>59.001533999999999</v>
      </c>
    </row>
    <row r="572" spans="1:9" ht="15" thickTop="1" x14ac:dyDescent="0.3">
      <c r="E572" s="270" t="s">
        <v>343</v>
      </c>
      <c r="F572" s="271"/>
      <c r="G572" s="271"/>
      <c r="H572" s="271"/>
      <c r="I572" s="272"/>
    </row>
    <row r="573" spans="1:9" x14ac:dyDescent="0.3">
      <c r="E573" s="151" t="s">
        <v>1335</v>
      </c>
      <c r="F573" s="273"/>
      <c r="G573" s="273"/>
      <c r="H573" s="273"/>
      <c r="I573" s="274">
        <v>100</v>
      </c>
    </row>
    <row r="574" spans="1:9" ht="15" thickBot="1" x14ac:dyDescent="0.35">
      <c r="E574" s="154" t="s">
        <v>562</v>
      </c>
      <c r="F574" s="261"/>
      <c r="G574" s="261"/>
      <c r="H574" s="261"/>
      <c r="I574" s="262">
        <f>SUM(I573)</f>
        <v>100</v>
      </c>
    </row>
    <row r="575" spans="1:9" ht="15" thickTop="1" x14ac:dyDescent="0.3"/>
    <row r="576" spans="1:9" x14ac:dyDescent="0.3">
      <c r="A576" s="250" t="s">
        <v>518</v>
      </c>
      <c r="B576" s="251"/>
      <c r="C576" s="251"/>
      <c r="D576" s="251"/>
      <c r="E576" s="251"/>
      <c r="F576" s="251"/>
      <c r="G576" s="251"/>
      <c r="H576" s="251"/>
      <c r="I576" s="252" t="s">
        <v>564</v>
      </c>
    </row>
    <row r="577" spans="1:18" x14ac:dyDescent="0.3">
      <c r="A577" s="276" t="s">
        <v>565</v>
      </c>
      <c r="B577" s="278"/>
      <c r="C577" s="278"/>
      <c r="D577" s="278"/>
      <c r="E577" s="278"/>
      <c r="F577" s="278"/>
      <c r="G577" s="278"/>
      <c r="H577" s="278"/>
      <c r="I577" s="277">
        <f>SUM(I563,-I571,I573)</f>
        <v>707.68246599999998</v>
      </c>
    </row>
    <row r="578" spans="1:18" x14ac:dyDescent="0.3">
      <c r="A578" s="275" t="s">
        <v>324</v>
      </c>
      <c r="B578" s="513" t="s">
        <v>1349</v>
      </c>
      <c r="C578" s="513"/>
      <c r="D578" s="513"/>
      <c r="E578" s="513"/>
      <c r="F578" s="513"/>
      <c r="G578" s="513"/>
      <c r="H578" s="513"/>
      <c r="I578" s="514"/>
    </row>
    <row r="579" spans="1:18" x14ac:dyDescent="0.3">
      <c r="A579" s="255"/>
      <c r="B579" s="515"/>
      <c r="C579" s="515"/>
      <c r="D579" s="515"/>
      <c r="E579" s="515"/>
      <c r="F579" s="515"/>
      <c r="G579" s="515"/>
      <c r="H579" s="515"/>
      <c r="I579" s="516"/>
    </row>
    <row r="582" spans="1:18" x14ac:dyDescent="0.3">
      <c r="A582" s="279" t="s">
        <v>325</v>
      </c>
      <c r="B582" s="279"/>
      <c r="E582" s="281" t="s">
        <v>326</v>
      </c>
      <c r="F582" s="281"/>
      <c r="H582" s="279" t="s">
        <v>306</v>
      </c>
      <c r="I582" s="279"/>
    </row>
    <row r="583" spans="1:18" x14ac:dyDescent="0.3">
      <c r="A583" s="280"/>
      <c r="B583" s="280"/>
      <c r="E583" s="280"/>
      <c r="F583" s="280"/>
      <c r="H583" s="280"/>
      <c r="I583" s="280"/>
    </row>
    <row r="585" spans="1:18" x14ac:dyDescent="0.3">
      <c r="A585" s="237"/>
      <c r="B585" s="238"/>
      <c r="C585" s="238"/>
      <c r="D585" s="238"/>
      <c r="E585" s="238" t="s">
        <v>334</v>
      </c>
      <c r="F585" s="238"/>
      <c r="G585" s="238"/>
      <c r="H585" s="238"/>
      <c r="I585" s="239"/>
      <c r="J585" s="237"/>
      <c r="K585" s="238"/>
      <c r="L585" s="238"/>
      <c r="M585" s="238"/>
      <c r="N585" s="238" t="s">
        <v>334</v>
      </c>
      <c r="O585" s="238"/>
      <c r="P585" s="238"/>
      <c r="Q585" s="238"/>
      <c r="R585" s="239"/>
    </row>
    <row r="586" spans="1:18" x14ac:dyDescent="0.3">
      <c r="A586" s="240"/>
      <c r="B586" s="241"/>
      <c r="C586" s="241"/>
      <c r="D586" s="241"/>
      <c r="E586" s="243" t="s">
        <v>301</v>
      </c>
      <c r="F586" s="241"/>
      <c r="G586" s="241"/>
      <c r="H586" s="241"/>
      <c r="I586" s="242"/>
      <c r="J586" s="240"/>
      <c r="K586" s="241"/>
      <c r="L586" s="241"/>
      <c r="M586" s="241"/>
      <c r="N586" s="243" t="s">
        <v>301</v>
      </c>
      <c r="O586" s="241"/>
      <c r="P586" s="241"/>
      <c r="Q586" s="241"/>
      <c r="R586" s="242"/>
    </row>
    <row r="588" spans="1:18" x14ac:dyDescent="0.3">
      <c r="A588" s="169" t="s">
        <v>548</v>
      </c>
      <c r="B588" s="161"/>
      <c r="C588" s="162"/>
      <c r="E588" s="250" t="s">
        <v>524</v>
      </c>
      <c r="F588" s="251"/>
      <c r="G588" s="251"/>
      <c r="H588" s="251"/>
      <c r="I588" s="251"/>
      <c r="J588" s="169" t="s">
        <v>548</v>
      </c>
      <c r="K588" s="161"/>
      <c r="L588" s="162"/>
      <c r="N588" s="250" t="s">
        <v>524</v>
      </c>
      <c r="O588" s="251"/>
      <c r="P588" s="251"/>
      <c r="Q588" s="251"/>
      <c r="R588" s="252"/>
    </row>
    <row r="589" spans="1:18" x14ac:dyDescent="0.3">
      <c r="A589" s="150" t="s">
        <v>393</v>
      </c>
      <c r="B589" s="163" t="s">
        <v>411</v>
      </c>
      <c r="C589" s="164"/>
      <c r="E589" s="254" t="s">
        <v>376</v>
      </c>
      <c r="F589" s="499" t="s">
        <v>377</v>
      </c>
      <c r="G589" s="257" t="s">
        <v>443</v>
      </c>
      <c r="H589" s="257" t="s">
        <v>375</v>
      </c>
      <c r="I589" s="282" t="s">
        <v>616</v>
      </c>
      <c r="J589" s="150" t="s">
        <v>393</v>
      </c>
      <c r="K589" s="163" t="s">
        <v>411</v>
      </c>
      <c r="L589" s="164"/>
      <c r="N589" s="254" t="s">
        <v>376</v>
      </c>
      <c r="O589" s="499" t="s">
        <v>377</v>
      </c>
      <c r="P589" s="257" t="s">
        <v>443</v>
      </c>
      <c r="Q589" s="257" t="s">
        <v>375</v>
      </c>
      <c r="R589" s="258" t="s">
        <v>616</v>
      </c>
    </row>
    <row r="590" spans="1:18" x14ac:dyDescent="0.3">
      <c r="A590" s="150" t="s">
        <v>316</v>
      </c>
      <c r="B590" s="163" t="s">
        <v>770</v>
      </c>
      <c r="C590" s="164"/>
      <c r="E590" s="256" t="s">
        <v>460</v>
      </c>
      <c r="F590" s="500">
        <v>44454</v>
      </c>
      <c r="G590" s="259" t="s">
        <v>159</v>
      </c>
      <c r="H590" s="259" t="s">
        <v>457</v>
      </c>
      <c r="I590" s="283">
        <v>100</v>
      </c>
      <c r="J590" s="150" t="s">
        <v>316</v>
      </c>
      <c r="K590" s="163" t="s">
        <v>770</v>
      </c>
      <c r="L590" s="164"/>
      <c r="N590" s="256" t="s">
        <v>454</v>
      </c>
      <c r="O590" s="500">
        <v>44454</v>
      </c>
      <c r="P590" s="259" t="s">
        <v>462</v>
      </c>
      <c r="Q590" s="259" t="s">
        <v>458</v>
      </c>
      <c r="R590" s="260">
        <v>200</v>
      </c>
    </row>
    <row r="591" spans="1:18" ht="15" thickBot="1" x14ac:dyDescent="0.35">
      <c r="A591" s="150" t="s">
        <v>396</v>
      </c>
      <c r="B591" s="498">
        <v>44460</v>
      </c>
      <c r="C591" s="164"/>
      <c r="E591" s="141" t="s">
        <v>523</v>
      </c>
      <c r="F591" s="263"/>
      <c r="G591" s="263"/>
      <c r="H591" s="263"/>
      <c r="I591" s="263">
        <f>SUM(I590)</f>
        <v>100</v>
      </c>
      <c r="J591" s="150" t="s">
        <v>396</v>
      </c>
      <c r="K591" s="498">
        <v>44460</v>
      </c>
      <c r="L591" s="164"/>
      <c r="N591" s="141" t="s">
        <v>523</v>
      </c>
      <c r="O591" s="263"/>
      <c r="P591" s="263"/>
      <c r="Q591" s="263"/>
      <c r="R591" s="264">
        <f>SUM(R590)</f>
        <v>200</v>
      </c>
    </row>
    <row r="592" spans="1:18" ht="15" thickTop="1" x14ac:dyDescent="0.3">
      <c r="A592" s="150" t="s">
        <v>394</v>
      </c>
      <c r="B592" s="163" t="s">
        <v>303</v>
      </c>
      <c r="C592" s="164"/>
      <c r="E592" s="265" t="s">
        <v>391</v>
      </c>
      <c r="F592" s="266"/>
      <c r="G592" s="266"/>
      <c r="H592" s="266"/>
      <c r="I592" s="266"/>
      <c r="J592" s="150" t="s">
        <v>394</v>
      </c>
      <c r="K592" s="163" t="s">
        <v>303</v>
      </c>
      <c r="L592" s="164"/>
      <c r="N592" s="265" t="s">
        <v>391</v>
      </c>
      <c r="O592" s="266"/>
      <c r="P592" s="266"/>
      <c r="Q592" s="266"/>
      <c r="R592" s="267"/>
    </row>
    <row r="593" spans="1:18" x14ac:dyDescent="0.3">
      <c r="A593" s="150" t="s">
        <v>395</v>
      </c>
      <c r="B593" s="163" t="s">
        <v>303</v>
      </c>
      <c r="C593" s="164"/>
      <c r="E593" s="254" t="s">
        <v>33</v>
      </c>
      <c r="F593" s="257" t="s">
        <v>529</v>
      </c>
      <c r="G593" s="257" t="s">
        <v>553</v>
      </c>
      <c r="H593" s="257" t="s">
        <v>528</v>
      </c>
      <c r="I593" s="282" t="s">
        <v>386</v>
      </c>
      <c r="J593" s="150" t="s">
        <v>395</v>
      </c>
      <c r="K593" s="163" t="s">
        <v>303</v>
      </c>
      <c r="L593" s="164"/>
      <c r="N593" s="254" t="s">
        <v>33</v>
      </c>
      <c r="O593" s="257" t="s">
        <v>529</v>
      </c>
      <c r="P593" s="257" t="s">
        <v>553</v>
      </c>
      <c r="Q593" s="257" t="s">
        <v>528</v>
      </c>
      <c r="R593" s="258" t="s">
        <v>386</v>
      </c>
    </row>
    <row r="594" spans="1:18" x14ac:dyDescent="0.3">
      <c r="A594" s="244" t="s">
        <v>550</v>
      </c>
      <c r="B594" s="246">
        <v>1</v>
      </c>
      <c r="C594" s="245" t="s">
        <v>359</v>
      </c>
      <c r="E594" s="256" t="s">
        <v>1345</v>
      </c>
      <c r="F594" s="259">
        <v>2</v>
      </c>
      <c r="G594" s="259">
        <f>I590*(1-(F594/100))</f>
        <v>98</v>
      </c>
      <c r="H594" s="259">
        <v>1</v>
      </c>
      <c r="I594" s="283">
        <f>G594*(1-(H594/100))</f>
        <v>97.02</v>
      </c>
      <c r="J594" s="244" t="s">
        <v>550</v>
      </c>
      <c r="K594" s="246">
        <v>1</v>
      </c>
      <c r="L594" s="245" t="s">
        <v>359</v>
      </c>
      <c r="N594" s="256" t="s">
        <v>1345</v>
      </c>
      <c r="O594" s="259">
        <v>4</v>
      </c>
      <c r="P594" s="259">
        <f>R590*(1-(O594/100))</f>
        <v>192</v>
      </c>
      <c r="Q594" s="259">
        <v>1.1000000000000001</v>
      </c>
      <c r="R594" s="260">
        <f>P594*(1-(Q594/100))</f>
        <v>189.88800000000001</v>
      </c>
    </row>
    <row r="595" spans="1:18" ht="15" thickBot="1" x14ac:dyDescent="0.35">
      <c r="E595" s="141" t="s">
        <v>525</v>
      </c>
      <c r="F595" s="263"/>
      <c r="G595" s="263"/>
      <c r="H595" s="263"/>
      <c r="I595" s="264">
        <f>SUM(I594)</f>
        <v>97.02</v>
      </c>
      <c r="N595" s="141" t="s">
        <v>525</v>
      </c>
      <c r="O595" s="263"/>
      <c r="P595" s="263"/>
      <c r="Q595" s="263"/>
      <c r="R595" s="264">
        <f>SUM(R594)</f>
        <v>189.88800000000001</v>
      </c>
    </row>
    <row r="596" spans="1:18" ht="15" thickTop="1" x14ac:dyDescent="0.3">
      <c r="A596" s="169" t="s">
        <v>339</v>
      </c>
      <c r="B596" s="161"/>
      <c r="C596" s="162"/>
      <c r="E596" s="265" t="s">
        <v>346</v>
      </c>
      <c r="F596" s="266"/>
      <c r="G596" s="266"/>
      <c r="H596" s="266"/>
      <c r="I596" s="266"/>
      <c r="J596" s="169" t="s">
        <v>339</v>
      </c>
      <c r="K596" s="161"/>
      <c r="L596" s="162"/>
      <c r="N596" s="265" t="s">
        <v>346</v>
      </c>
      <c r="O596" s="266"/>
      <c r="P596" s="266"/>
      <c r="Q596" s="266"/>
      <c r="R596" s="267"/>
    </row>
    <row r="597" spans="1:18" x14ac:dyDescent="0.3">
      <c r="A597" s="150" t="s">
        <v>307</v>
      </c>
      <c r="B597" s="247" t="s">
        <v>260</v>
      </c>
      <c r="C597" s="248"/>
      <c r="E597" s="254" t="s">
        <v>33</v>
      </c>
      <c r="F597" s="257" t="s">
        <v>555</v>
      </c>
      <c r="G597" s="257" t="s">
        <v>556</v>
      </c>
      <c r="H597" s="257"/>
      <c r="I597" s="282" t="s">
        <v>558</v>
      </c>
      <c r="J597" s="150" t="s">
        <v>307</v>
      </c>
      <c r="K597" s="247" t="s">
        <v>260</v>
      </c>
      <c r="L597" s="248"/>
      <c r="N597" s="254" t="s">
        <v>33</v>
      </c>
      <c r="O597" s="257" t="s">
        <v>555</v>
      </c>
      <c r="P597" s="257" t="s">
        <v>556</v>
      </c>
      <c r="Q597" s="257"/>
      <c r="R597" s="258" t="s">
        <v>558</v>
      </c>
    </row>
    <row r="598" spans="1:18" x14ac:dyDescent="0.3">
      <c r="A598" s="150" t="s">
        <v>308</v>
      </c>
      <c r="B598" s="247" t="s">
        <v>1324</v>
      </c>
      <c r="C598" s="248"/>
      <c r="E598" s="256" t="s">
        <v>159</v>
      </c>
      <c r="F598" s="284">
        <v>1</v>
      </c>
      <c r="G598" s="259">
        <v>1</v>
      </c>
      <c r="H598" s="259"/>
      <c r="I598" s="283">
        <f>F598*G598*I594</f>
        <v>97.02</v>
      </c>
      <c r="J598" s="150" t="s">
        <v>308</v>
      </c>
      <c r="K598" s="247" t="s">
        <v>1324</v>
      </c>
      <c r="L598" s="248"/>
      <c r="N598" s="253" t="s">
        <v>159</v>
      </c>
      <c r="O598" s="322">
        <v>1</v>
      </c>
      <c r="P598" s="285">
        <v>1</v>
      </c>
      <c r="Q598" s="285"/>
      <c r="R598" s="286">
        <f>O598*P598*R594</f>
        <v>189.88800000000001</v>
      </c>
    </row>
    <row r="599" spans="1:18" ht="15" thickBot="1" x14ac:dyDescent="0.35">
      <c r="A599" s="150" t="s">
        <v>551</v>
      </c>
      <c r="B599" s="247" t="s">
        <v>260</v>
      </c>
      <c r="C599" s="248"/>
      <c r="E599" s="141" t="s">
        <v>559</v>
      </c>
      <c r="F599" s="263"/>
      <c r="G599" s="263"/>
      <c r="H599" s="263"/>
      <c r="I599" s="263">
        <f>SUM(I598)</f>
        <v>97.02</v>
      </c>
      <c r="J599" s="150" t="s">
        <v>551</v>
      </c>
      <c r="K599" s="247" t="s">
        <v>260</v>
      </c>
      <c r="L599" s="248"/>
      <c r="N599" s="256" t="s">
        <v>1342</v>
      </c>
      <c r="O599" s="284">
        <v>2</v>
      </c>
      <c r="P599" s="259">
        <v>1</v>
      </c>
      <c r="Q599" s="259"/>
      <c r="R599" s="260">
        <f>O599*P599*R594</f>
        <v>379.77600000000001</v>
      </c>
    </row>
    <row r="600" spans="1:18" ht="15.6" thickTop="1" thickBot="1" x14ac:dyDescent="0.35">
      <c r="A600" s="150" t="s">
        <v>311</v>
      </c>
      <c r="B600" s="247" t="s">
        <v>453</v>
      </c>
      <c r="C600" s="248"/>
      <c r="E600" s="270" t="s">
        <v>387</v>
      </c>
      <c r="F600" s="271"/>
      <c r="G600" s="271"/>
      <c r="H600" s="271"/>
      <c r="I600" s="271"/>
      <c r="J600" s="150" t="s">
        <v>311</v>
      </c>
      <c r="K600" s="247" t="s">
        <v>1343</v>
      </c>
      <c r="L600" s="248"/>
      <c r="N600" s="141" t="s">
        <v>559</v>
      </c>
      <c r="O600" s="263"/>
      <c r="P600" s="263"/>
      <c r="Q600" s="263"/>
      <c r="R600" s="264">
        <f>SUM(R598:R599)</f>
        <v>569.66399999999999</v>
      </c>
    </row>
    <row r="601" spans="1:18" ht="15" thickTop="1" x14ac:dyDescent="0.3">
      <c r="A601" s="150" t="s">
        <v>314</v>
      </c>
      <c r="B601" s="247" t="s">
        <v>260</v>
      </c>
      <c r="C601" s="248"/>
      <c r="E601" s="150" t="s">
        <v>537</v>
      </c>
      <c r="F601" s="247"/>
      <c r="G601" s="247"/>
      <c r="H601" s="247"/>
      <c r="I601" s="247"/>
      <c r="J601" s="150" t="s">
        <v>314</v>
      </c>
      <c r="K601" s="247" t="s">
        <v>260</v>
      </c>
      <c r="L601" s="248"/>
      <c r="N601" s="270" t="s">
        <v>387</v>
      </c>
      <c r="O601" s="271"/>
      <c r="P601" s="271"/>
      <c r="Q601" s="271"/>
      <c r="R601" s="272"/>
    </row>
    <row r="602" spans="1:18" x14ac:dyDescent="0.3">
      <c r="A602" s="150" t="s">
        <v>315</v>
      </c>
      <c r="B602" s="247" t="s">
        <v>260</v>
      </c>
      <c r="C602" s="248"/>
      <c r="E602" s="150" t="s">
        <v>1331</v>
      </c>
      <c r="F602" s="247">
        <v>3</v>
      </c>
      <c r="G602" s="247"/>
      <c r="H602" s="247"/>
      <c r="I602" s="247">
        <f>I599*F602/100</f>
        <v>2.9106000000000001</v>
      </c>
      <c r="J602" s="150" t="s">
        <v>315</v>
      </c>
      <c r="K602" s="247" t="s">
        <v>260</v>
      </c>
      <c r="L602" s="248"/>
      <c r="N602" s="150" t="s">
        <v>537</v>
      </c>
      <c r="O602" s="247"/>
      <c r="P602" s="247"/>
      <c r="Q602" s="247"/>
      <c r="R602" s="248"/>
    </row>
    <row r="603" spans="1:18" x14ac:dyDescent="0.3">
      <c r="A603" s="150" t="s">
        <v>771</v>
      </c>
      <c r="B603" s="247" t="s">
        <v>260</v>
      </c>
      <c r="C603" s="248"/>
      <c r="E603" s="150" t="s">
        <v>1189</v>
      </c>
      <c r="F603" s="247"/>
      <c r="G603" s="247"/>
      <c r="H603" s="247"/>
      <c r="I603" s="247"/>
      <c r="J603" s="150" t="s">
        <v>771</v>
      </c>
      <c r="K603" s="247" t="s">
        <v>260</v>
      </c>
      <c r="L603" s="248"/>
      <c r="N603" s="150" t="s">
        <v>1331</v>
      </c>
      <c r="O603" s="247">
        <v>3</v>
      </c>
      <c r="P603" s="247"/>
      <c r="Q603" s="247"/>
      <c r="R603" s="248">
        <f>R600*O603/100</f>
        <v>17.089919999999999</v>
      </c>
    </row>
    <row r="604" spans="1:18" x14ac:dyDescent="0.3">
      <c r="A604" s="150" t="s">
        <v>1336</v>
      </c>
      <c r="B604" s="247" t="s">
        <v>260</v>
      </c>
      <c r="C604" s="248"/>
      <c r="E604" s="150" t="s">
        <v>1333</v>
      </c>
      <c r="F604" s="247">
        <v>1.85</v>
      </c>
      <c r="G604" s="247"/>
      <c r="H604" s="247"/>
      <c r="I604" s="247">
        <f>I599*F604/100</f>
        <v>1.79487</v>
      </c>
      <c r="J604" s="150" t="s">
        <v>1341</v>
      </c>
      <c r="K604" s="247" t="s">
        <v>260</v>
      </c>
      <c r="L604" s="248"/>
      <c r="N604" s="150" t="s">
        <v>1332</v>
      </c>
      <c r="O604" s="247">
        <v>3</v>
      </c>
      <c r="P604" s="247"/>
      <c r="Q604" s="247"/>
      <c r="R604" s="248">
        <f>R600*O604/100</f>
        <v>17.089919999999999</v>
      </c>
    </row>
    <row r="605" spans="1:18" x14ac:dyDescent="0.3">
      <c r="A605" s="150" t="s">
        <v>1337</v>
      </c>
      <c r="B605" s="247" t="s">
        <v>260</v>
      </c>
      <c r="C605" s="248"/>
      <c r="E605" s="151" t="s">
        <v>1334</v>
      </c>
      <c r="F605" s="273">
        <v>1</v>
      </c>
      <c r="G605" s="273"/>
      <c r="H605" s="273"/>
      <c r="I605" s="273">
        <f>I599*F605/100</f>
        <v>0.97019999999999995</v>
      </c>
      <c r="J605" s="150" t="s">
        <v>1336</v>
      </c>
      <c r="K605" s="247" t="s">
        <v>260</v>
      </c>
      <c r="L605" s="248"/>
      <c r="N605" s="150" t="s">
        <v>1189</v>
      </c>
      <c r="O605" s="247"/>
      <c r="P605" s="247"/>
      <c r="Q605" s="247"/>
      <c r="R605" s="248"/>
    </row>
    <row r="606" spans="1:18" ht="15" thickBot="1" x14ac:dyDescent="0.35">
      <c r="A606" s="244" t="s">
        <v>1338</v>
      </c>
      <c r="B606" s="246" t="s">
        <v>260</v>
      </c>
      <c r="C606" s="249"/>
      <c r="E606" s="141" t="s">
        <v>561</v>
      </c>
      <c r="F606" s="263"/>
      <c r="G606" s="263"/>
      <c r="H606" s="263"/>
      <c r="I606" s="263">
        <f>SUM(I601:I605)</f>
        <v>5.6756700000000002</v>
      </c>
      <c r="J606" s="150" t="s">
        <v>1337</v>
      </c>
      <c r="K606" s="247" t="s">
        <v>260</v>
      </c>
      <c r="L606" s="248"/>
      <c r="N606" s="150" t="s">
        <v>1333</v>
      </c>
      <c r="O606" s="247">
        <v>1.85</v>
      </c>
      <c r="P606" s="247"/>
      <c r="Q606" s="247"/>
      <c r="R606" s="248">
        <f>R600*O606/100</f>
        <v>10.538784</v>
      </c>
    </row>
    <row r="607" spans="1:18" ht="15" thickTop="1" x14ac:dyDescent="0.3">
      <c r="E607" s="270" t="s">
        <v>343</v>
      </c>
      <c r="F607" s="271"/>
      <c r="G607" s="271"/>
      <c r="H607" s="271"/>
      <c r="I607" s="271"/>
      <c r="J607" s="244" t="s">
        <v>1338</v>
      </c>
      <c r="K607" s="246" t="s">
        <v>260</v>
      </c>
      <c r="L607" s="249"/>
      <c r="N607" s="151" t="s">
        <v>1344</v>
      </c>
      <c r="O607" s="273">
        <v>0.7</v>
      </c>
      <c r="P607" s="273"/>
      <c r="Q607" s="273"/>
      <c r="R607" s="274">
        <f>R600*O607/100</f>
        <v>3.9876479999999996</v>
      </c>
    </row>
    <row r="608" spans="1:18" ht="15" thickBot="1" x14ac:dyDescent="0.35">
      <c r="E608" s="151" t="s">
        <v>1335</v>
      </c>
      <c r="F608" s="273"/>
      <c r="G608" s="273"/>
      <c r="H608" s="273"/>
      <c r="I608" s="274">
        <v>100</v>
      </c>
      <c r="N608" s="154" t="s">
        <v>561</v>
      </c>
      <c r="O608" s="261"/>
      <c r="P608" s="261"/>
      <c r="Q608" s="261"/>
      <c r="R608" s="262">
        <f>SUM(R602:R607)</f>
        <v>48.706271999999998</v>
      </c>
    </row>
    <row r="609" spans="1:19" ht="15.6" thickTop="1" thickBot="1" x14ac:dyDescent="0.35">
      <c r="E609" s="154" t="s">
        <v>562</v>
      </c>
      <c r="F609" s="261"/>
      <c r="G609" s="261"/>
      <c r="H609" s="261"/>
      <c r="I609" s="262">
        <f>SUM(I608)</f>
        <v>100</v>
      </c>
    </row>
    <row r="610" spans="1:19" ht="15" thickTop="1" x14ac:dyDescent="0.3">
      <c r="J610" s="250" t="s">
        <v>566</v>
      </c>
      <c r="K610" s="251"/>
      <c r="L610" s="251"/>
      <c r="M610" s="251"/>
      <c r="N610" s="251"/>
      <c r="O610" s="251"/>
      <c r="P610" s="251"/>
      <c r="Q610" s="251"/>
      <c r="R610" s="252" t="s">
        <v>564</v>
      </c>
    </row>
    <row r="611" spans="1:19" x14ac:dyDescent="0.3">
      <c r="A611" s="250" t="s">
        <v>518</v>
      </c>
      <c r="B611" s="251"/>
      <c r="C611" s="251"/>
      <c r="D611" s="251"/>
      <c r="E611" s="251"/>
      <c r="F611" s="251"/>
      <c r="G611" s="251"/>
      <c r="H611" s="251"/>
      <c r="I611" s="252" t="s">
        <v>564</v>
      </c>
      <c r="J611" s="276" t="s">
        <v>567</v>
      </c>
      <c r="K611" s="278"/>
      <c r="L611" s="278"/>
      <c r="M611" s="278"/>
      <c r="N611" s="278"/>
      <c r="O611" s="278"/>
      <c r="P611" s="278"/>
      <c r="Q611" s="278"/>
      <c r="R611" s="277">
        <f>SUM(R600,-R608)</f>
        <v>520.95772799999997</v>
      </c>
    </row>
    <row r="612" spans="1:19" x14ac:dyDescent="0.3">
      <c r="A612" s="276" t="s">
        <v>565</v>
      </c>
      <c r="B612" s="278"/>
      <c r="C612" s="278"/>
      <c r="D612" s="278"/>
      <c r="E612" s="278"/>
      <c r="F612" s="278"/>
      <c r="G612" s="278"/>
      <c r="H612" s="278"/>
      <c r="I612" s="277">
        <f>SUM(I599,-I606,I608)</f>
        <v>191.34433000000001</v>
      </c>
      <c r="J612" s="275" t="s">
        <v>324</v>
      </c>
      <c r="K612" s="513" t="s">
        <v>1351</v>
      </c>
      <c r="L612" s="513"/>
      <c r="M612" s="513"/>
      <c r="N612" s="513"/>
      <c r="O612" s="513"/>
      <c r="P612" s="513"/>
      <c r="Q612" s="513"/>
      <c r="R612" s="514"/>
    </row>
    <row r="613" spans="1:19" x14ac:dyDescent="0.3">
      <c r="A613" s="275" t="s">
        <v>324</v>
      </c>
      <c r="B613" s="513" t="s">
        <v>1350</v>
      </c>
      <c r="C613" s="513"/>
      <c r="D613" s="513"/>
      <c r="E613" s="513"/>
      <c r="F613" s="513"/>
      <c r="G613" s="513"/>
      <c r="H613" s="513"/>
      <c r="I613" s="514"/>
      <c r="J613" s="255"/>
      <c r="K613" s="515"/>
      <c r="L613" s="515"/>
      <c r="M613" s="515"/>
      <c r="N613" s="515"/>
      <c r="O613" s="515"/>
      <c r="P613" s="515"/>
      <c r="Q613" s="515"/>
      <c r="R613" s="516"/>
    </row>
    <row r="614" spans="1:19" x14ac:dyDescent="0.3">
      <c r="A614" s="255"/>
      <c r="B614" s="515"/>
      <c r="C614" s="515"/>
      <c r="D614" s="515"/>
      <c r="E614" s="515"/>
      <c r="F614" s="515"/>
      <c r="G614" s="515"/>
      <c r="H614" s="515"/>
      <c r="I614" s="516"/>
    </row>
    <row r="616" spans="1:19" x14ac:dyDescent="0.3">
      <c r="J616" s="279" t="s">
        <v>325</v>
      </c>
      <c r="K616" s="279"/>
      <c r="N616" s="281" t="s">
        <v>326</v>
      </c>
      <c r="O616" s="281"/>
      <c r="Q616" s="279" t="s">
        <v>306</v>
      </c>
      <c r="R616" s="279"/>
    </row>
    <row r="617" spans="1:19" x14ac:dyDescent="0.3">
      <c r="A617" s="279" t="s">
        <v>325</v>
      </c>
      <c r="B617" s="279"/>
      <c r="E617" s="281" t="s">
        <v>326</v>
      </c>
      <c r="F617" s="281"/>
      <c r="H617" s="279" t="s">
        <v>306</v>
      </c>
      <c r="I617" s="279"/>
      <c r="J617" s="280"/>
      <c r="K617" s="280"/>
      <c r="N617" s="280"/>
      <c r="O617" s="280"/>
      <c r="Q617" s="280"/>
      <c r="R617" s="280"/>
    </row>
    <row r="618" spans="1:19" x14ac:dyDescent="0.3">
      <c r="A618" s="280"/>
      <c r="B618" s="280"/>
      <c r="E618" s="280"/>
      <c r="F618" s="280"/>
      <c r="H618" s="280"/>
      <c r="I618" s="280"/>
    </row>
    <row r="620" spans="1:19" x14ac:dyDescent="0.3">
      <c r="A620" s="237"/>
      <c r="B620" s="238"/>
      <c r="C620" s="238"/>
      <c r="D620" s="238"/>
      <c r="E620" s="238" t="s">
        <v>334</v>
      </c>
      <c r="F620" s="238"/>
      <c r="G620" s="238"/>
      <c r="H620" s="238"/>
      <c r="I620" s="239"/>
      <c r="K620" s="237"/>
      <c r="L620" s="238"/>
      <c r="M620" s="238"/>
      <c r="N620" s="238"/>
      <c r="O620" s="238" t="s">
        <v>334</v>
      </c>
      <c r="P620" s="238"/>
      <c r="Q620" s="238"/>
      <c r="R620" s="238"/>
      <c r="S620" s="239"/>
    </row>
    <row r="621" spans="1:19" x14ac:dyDescent="0.3">
      <c r="A621" s="240"/>
      <c r="B621" s="241"/>
      <c r="C621" s="241"/>
      <c r="D621" s="241"/>
      <c r="E621" s="243" t="s">
        <v>301</v>
      </c>
      <c r="F621" s="241"/>
      <c r="G621" s="241"/>
      <c r="H621" s="241"/>
      <c r="I621" s="242"/>
      <c r="K621" s="240"/>
      <c r="L621" s="241"/>
      <c r="M621" s="241"/>
      <c r="N621" s="241"/>
      <c r="O621" s="243" t="s">
        <v>301</v>
      </c>
      <c r="P621" s="241"/>
      <c r="Q621" s="241"/>
      <c r="R621" s="241"/>
      <c r="S621" s="242"/>
    </row>
    <row r="623" spans="1:19" x14ac:dyDescent="0.3">
      <c r="A623" s="169" t="s">
        <v>548</v>
      </c>
      <c r="B623" s="161"/>
      <c r="C623" s="162"/>
      <c r="E623" s="250" t="s">
        <v>524</v>
      </c>
      <c r="F623" s="251"/>
      <c r="G623" s="251"/>
      <c r="H623" s="251"/>
      <c r="I623" s="252"/>
      <c r="K623" s="169" t="s">
        <v>548</v>
      </c>
      <c r="L623" s="161"/>
      <c r="M623" s="162"/>
      <c r="O623" s="250" t="s">
        <v>524</v>
      </c>
      <c r="P623" s="251"/>
      <c r="Q623" s="251"/>
      <c r="R623" s="251"/>
      <c r="S623" s="252"/>
    </row>
    <row r="624" spans="1:19" x14ac:dyDescent="0.3">
      <c r="A624" s="150" t="s">
        <v>393</v>
      </c>
      <c r="B624" s="163" t="s">
        <v>411</v>
      </c>
      <c r="C624" s="164"/>
      <c r="E624" s="254" t="s">
        <v>615</v>
      </c>
      <c r="F624" s="499" t="s">
        <v>377</v>
      </c>
      <c r="G624" s="257" t="s">
        <v>443</v>
      </c>
      <c r="H624" s="257" t="s">
        <v>375</v>
      </c>
      <c r="I624" s="258" t="s">
        <v>616</v>
      </c>
      <c r="K624" s="150" t="s">
        <v>393</v>
      </c>
      <c r="L624" s="163" t="s">
        <v>411</v>
      </c>
      <c r="M624" s="164"/>
      <c r="O624" s="254" t="s">
        <v>615</v>
      </c>
      <c r="P624" s="499" t="s">
        <v>377</v>
      </c>
      <c r="Q624" s="257" t="s">
        <v>443</v>
      </c>
      <c r="R624" s="257" t="s">
        <v>375</v>
      </c>
      <c r="S624" s="258" t="s">
        <v>616</v>
      </c>
    </row>
    <row r="625" spans="1:19" x14ac:dyDescent="0.3">
      <c r="A625" s="150" t="s">
        <v>316</v>
      </c>
      <c r="B625" s="163" t="s">
        <v>770</v>
      </c>
      <c r="C625" s="164"/>
      <c r="E625" s="253" t="s">
        <v>1339</v>
      </c>
      <c r="F625" s="501">
        <v>44454</v>
      </c>
      <c r="G625" s="285" t="s">
        <v>159</v>
      </c>
      <c r="H625" s="285" t="s">
        <v>457</v>
      </c>
      <c r="I625" s="286">
        <v>100</v>
      </c>
      <c r="K625" s="150" t="s">
        <v>316</v>
      </c>
      <c r="L625" s="163" t="s">
        <v>770</v>
      </c>
      <c r="M625" s="164"/>
      <c r="O625" s="253" t="s">
        <v>1339</v>
      </c>
      <c r="P625" s="501">
        <v>44454</v>
      </c>
      <c r="Q625" s="285" t="s">
        <v>159</v>
      </c>
      <c r="R625" s="285" t="s">
        <v>457</v>
      </c>
      <c r="S625" s="286">
        <v>100</v>
      </c>
    </row>
    <row r="626" spans="1:19" x14ac:dyDescent="0.3">
      <c r="A626" s="150" t="s">
        <v>396</v>
      </c>
      <c r="B626" s="498">
        <v>44460</v>
      </c>
      <c r="C626" s="164"/>
      <c r="E626" s="256" t="s">
        <v>1340</v>
      </c>
      <c r="F626" s="500">
        <v>44454</v>
      </c>
      <c r="G626" s="259" t="s">
        <v>462</v>
      </c>
      <c r="H626" s="259" t="s">
        <v>458</v>
      </c>
      <c r="I626" s="260">
        <v>200</v>
      </c>
      <c r="K626" s="150" t="s">
        <v>396</v>
      </c>
      <c r="L626" s="498">
        <v>44460</v>
      </c>
      <c r="M626" s="164"/>
      <c r="O626" s="256" t="s">
        <v>1340</v>
      </c>
      <c r="P626" s="500">
        <v>44454</v>
      </c>
      <c r="Q626" s="259" t="s">
        <v>462</v>
      </c>
      <c r="R626" s="259" t="s">
        <v>458</v>
      </c>
      <c r="S626" s="260">
        <v>200</v>
      </c>
    </row>
    <row r="627" spans="1:19" ht="15" thickBot="1" x14ac:dyDescent="0.35">
      <c r="A627" s="150" t="s">
        <v>394</v>
      </c>
      <c r="B627" s="163" t="s">
        <v>303</v>
      </c>
      <c r="C627" s="164"/>
      <c r="E627" s="141" t="s">
        <v>523</v>
      </c>
      <c r="F627" s="263"/>
      <c r="G627" s="263"/>
      <c r="H627" s="263"/>
      <c r="I627" s="264">
        <v>300</v>
      </c>
      <c r="K627" s="150" t="s">
        <v>394</v>
      </c>
      <c r="L627" s="163" t="s">
        <v>303</v>
      </c>
      <c r="M627" s="164"/>
      <c r="O627" s="141" t="s">
        <v>523</v>
      </c>
      <c r="P627" s="263"/>
      <c r="Q627" s="263"/>
      <c r="R627" s="263"/>
      <c r="S627" s="264">
        <v>300</v>
      </c>
    </row>
    <row r="628" spans="1:19" ht="15" thickTop="1" x14ac:dyDescent="0.3">
      <c r="A628" s="150" t="s">
        <v>395</v>
      </c>
      <c r="B628" s="163" t="s">
        <v>303</v>
      </c>
      <c r="C628" s="164"/>
      <c r="E628" s="265" t="s">
        <v>391</v>
      </c>
      <c r="F628" s="266"/>
      <c r="G628" s="266"/>
      <c r="H628" s="266"/>
      <c r="I628" s="267"/>
      <c r="K628" s="150" t="s">
        <v>395</v>
      </c>
      <c r="L628" s="163" t="s">
        <v>303</v>
      </c>
      <c r="M628" s="164"/>
      <c r="O628" s="265" t="s">
        <v>391</v>
      </c>
      <c r="P628" s="266"/>
      <c r="Q628" s="266"/>
      <c r="R628" s="266"/>
      <c r="S628" s="267"/>
    </row>
    <row r="629" spans="1:19" x14ac:dyDescent="0.3">
      <c r="A629" s="244" t="s">
        <v>550</v>
      </c>
      <c r="B629" s="246">
        <v>1</v>
      </c>
      <c r="C629" s="245" t="s">
        <v>359</v>
      </c>
      <c r="E629" s="254" t="s">
        <v>33</v>
      </c>
      <c r="F629" s="257" t="s">
        <v>529</v>
      </c>
      <c r="G629" s="257" t="s">
        <v>553</v>
      </c>
      <c r="H629" s="257" t="s">
        <v>528</v>
      </c>
      <c r="I629" s="258" t="s">
        <v>386</v>
      </c>
      <c r="K629" s="244" t="s">
        <v>550</v>
      </c>
      <c r="L629" s="246">
        <v>1</v>
      </c>
      <c r="M629" s="245" t="s">
        <v>359</v>
      </c>
      <c r="O629" s="254" t="s">
        <v>33</v>
      </c>
      <c r="P629" s="257" t="s">
        <v>529</v>
      </c>
      <c r="Q629" s="257" t="s">
        <v>553</v>
      </c>
      <c r="R629" s="257" t="s">
        <v>528</v>
      </c>
      <c r="S629" s="258" t="s">
        <v>386</v>
      </c>
    </row>
    <row r="630" spans="1:19" x14ac:dyDescent="0.3">
      <c r="E630" s="253" t="s">
        <v>1345</v>
      </c>
      <c r="F630" s="285">
        <v>2</v>
      </c>
      <c r="G630" s="285">
        <v>98</v>
      </c>
      <c r="H630" s="285">
        <v>1</v>
      </c>
      <c r="I630" s="286">
        <v>97.02</v>
      </c>
      <c r="O630" s="256" t="s">
        <v>527</v>
      </c>
      <c r="P630" s="259">
        <v>3.3333333333333333E-2</v>
      </c>
      <c r="Q630" s="259">
        <v>290</v>
      </c>
      <c r="R630" s="259">
        <v>4.363999999999995E-2</v>
      </c>
      <c r="S630" s="260">
        <v>286.90800000000002</v>
      </c>
    </row>
    <row r="631" spans="1:19" ht="15" thickBot="1" x14ac:dyDescent="0.35">
      <c r="A631" s="169" t="s">
        <v>339</v>
      </c>
      <c r="B631" s="161"/>
      <c r="C631" s="162"/>
      <c r="E631" s="256" t="s">
        <v>1346</v>
      </c>
      <c r="F631" s="259">
        <v>4</v>
      </c>
      <c r="G631" s="259">
        <v>192</v>
      </c>
      <c r="H631" s="259">
        <v>1.1000000000000001</v>
      </c>
      <c r="I631" s="260">
        <v>189.88800000000001</v>
      </c>
      <c r="K631" s="169" t="s">
        <v>339</v>
      </c>
      <c r="L631" s="161"/>
      <c r="M631" s="162"/>
      <c r="O631" s="141" t="s">
        <v>525</v>
      </c>
      <c r="P631" s="263"/>
      <c r="Q631" s="263"/>
      <c r="R631" s="263"/>
      <c r="S631" s="264">
        <v>286.90800000000002</v>
      </c>
    </row>
    <row r="632" spans="1:19" ht="15.6" thickTop="1" thickBot="1" x14ac:dyDescent="0.35">
      <c r="A632" s="150" t="s">
        <v>307</v>
      </c>
      <c r="B632" s="247" t="s">
        <v>260</v>
      </c>
      <c r="C632" s="248"/>
      <c r="E632" s="141" t="s">
        <v>525</v>
      </c>
      <c r="F632" s="263"/>
      <c r="G632" s="263"/>
      <c r="H632" s="263"/>
      <c r="I632" s="264">
        <v>286.90800000000002</v>
      </c>
      <c r="K632" s="150" t="s">
        <v>307</v>
      </c>
      <c r="L632" s="247" t="s">
        <v>260</v>
      </c>
      <c r="M632" s="248"/>
      <c r="O632" s="265" t="s">
        <v>346</v>
      </c>
      <c r="P632" s="266"/>
      <c r="Q632" s="266"/>
      <c r="R632" s="266"/>
      <c r="S632" s="267"/>
    </row>
    <row r="633" spans="1:19" ht="15" thickTop="1" x14ac:dyDescent="0.3">
      <c r="A633" s="150" t="s">
        <v>308</v>
      </c>
      <c r="B633" s="247" t="s">
        <v>1324</v>
      </c>
      <c r="C633" s="248"/>
      <c r="E633" s="265" t="s">
        <v>346</v>
      </c>
      <c r="F633" s="266"/>
      <c r="G633" s="266"/>
      <c r="H633" s="266"/>
      <c r="I633" s="267"/>
      <c r="K633" s="150" t="s">
        <v>308</v>
      </c>
      <c r="L633" s="247" t="s">
        <v>1324</v>
      </c>
      <c r="M633" s="248"/>
      <c r="O633" s="254" t="s">
        <v>33</v>
      </c>
      <c r="P633" s="257" t="s">
        <v>555</v>
      </c>
      <c r="Q633" s="257" t="s">
        <v>556</v>
      </c>
      <c r="R633" s="257"/>
      <c r="S633" s="258" t="s">
        <v>558</v>
      </c>
    </row>
    <row r="634" spans="1:19" x14ac:dyDescent="0.3">
      <c r="A634" s="150" t="s">
        <v>551</v>
      </c>
      <c r="B634" s="247" t="s">
        <v>260</v>
      </c>
      <c r="C634" s="248"/>
      <c r="E634" s="254" t="s">
        <v>33</v>
      </c>
      <c r="F634" s="257" t="s">
        <v>555</v>
      </c>
      <c r="G634" s="257" t="s">
        <v>556</v>
      </c>
      <c r="H634" s="257"/>
      <c r="I634" s="258" t="s">
        <v>558</v>
      </c>
      <c r="K634" s="150" t="s">
        <v>551</v>
      </c>
      <c r="L634" s="247" t="s">
        <v>260</v>
      </c>
      <c r="M634" s="248"/>
      <c r="O634" s="253" t="s">
        <v>1145</v>
      </c>
      <c r="P634" s="322">
        <v>0.5</v>
      </c>
      <c r="Q634" s="285">
        <v>2</v>
      </c>
      <c r="R634" s="285"/>
      <c r="S634" s="286">
        <v>286.90800000000002</v>
      </c>
    </row>
    <row r="635" spans="1:19" x14ac:dyDescent="0.3">
      <c r="A635" s="150" t="s">
        <v>311</v>
      </c>
      <c r="B635" s="247" t="s">
        <v>312</v>
      </c>
      <c r="C635" s="248"/>
      <c r="E635" s="253" t="s">
        <v>159</v>
      </c>
      <c r="F635" s="322">
        <v>1</v>
      </c>
      <c r="G635" s="285">
        <v>1</v>
      </c>
      <c r="H635" s="285"/>
      <c r="I635" s="286">
        <v>97.02</v>
      </c>
      <c r="K635" s="150" t="s">
        <v>311</v>
      </c>
      <c r="L635" s="247" t="s">
        <v>312</v>
      </c>
      <c r="M635" s="248"/>
      <c r="O635" s="256" t="s">
        <v>167</v>
      </c>
      <c r="P635" s="284">
        <v>2</v>
      </c>
      <c r="Q635" s="259">
        <v>1</v>
      </c>
      <c r="R635" s="259"/>
      <c r="S635" s="260">
        <v>379.77600000000001</v>
      </c>
    </row>
    <row r="636" spans="1:19" ht="15" thickBot="1" x14ac:dyDescent="0.35">
      <c r="A636" s="150" t="s">
        <v>314</v>
      </c>
      <c r="B636" s="247" t="s">
        <v>260</v>
      </c>
      <c r="C636" s="248"/>
      <c r="E636" s="253" t="s">
        <v>159</v>
      </c>
      <c r="F636" s="322">
        <v>1</v>
      </c>
      <c r="G636" s="285">
        <v>1</v>
      </c>
      <c r="H636" s="285"/>
      <c r="I636" s="286">
        <v>189.88800000000001</v>
      </c>
      <c r="K636" s="150" t="s">
        <v>314</v>
      </c>
      <c r="L636" s="247" t="s">
        <v>260</v>
      </c>
      <c r="M636" s="248"/>
      <c r="O636" s="141" t="s">
        <v>559</v>
      </c>
      <c r="P636" s="263"/>
      <c r="Q636" s="263"/>
      <c r="R636" s="263"/>
      <c r="S636" s="264">
        <v>666.68399999999997</v>
      </c>
    </row>
    <row r="637" spans="1:19" ht="15" thickTop="1" x14ac:dyDescent="0.3">
      <c r="A637" s="150" t="s">
        <v>315</v>
      </c>
      <c r="B637" s="247" t="s">
        <v>260</v>
      </c>
      <c r="C637" s="248"/>
      <c r="E637" s="256" t="s">
        <v>1342</v>
      </c>
      <c r="F637" s="284">
        <v>2</v>
      </c>
      <c r="G637" s="259">
        <v>1</v>
      </c>
      <c r="H637" s="259"/>
      <c r="I637" s="260">
        <v>379.77600000000001</v>
      </c>
      <c r="K637" s="150" t="s">
        <v>315</v>
      </c>
      <c r="L637" s="247" t="s">
        <v>260</v>
      </c>
      <c r="M637" s="248"/>
      <c r="O637" s="270" t="s">
        <v>387</v>
      </c>
      <c r="P637" s="271"/>
      <c r="Q637" s="271"/>
      <c r="R637" s="271"/>
      <c r="S637" s="272"/>
    </row>
    <row r="638" spans="1:19" ht="15" thickBot="1" x14ac:dyDescent="0.35">
      <c r="A638" s="150" t="s">
        <v>771</v>
      </c>
      <c r="B638" s="247" t="s">
        <v>260</v>
      </c>
      <c r="C638" s="248"/>
      <c r="E638" s="141" t="s">
        <v>559</v>
      </c>
      <c r="F638" s="263"/>
      <c r="G638" s="263"/>
      <c r="H638" s="263"/>
      <c r="I638" s="264">
        <v>666.68399999999997</v>
      </c>
      <c r="K638" s="150" t="s">
        <v>771</v>
      </c>
      <c r="L638" s="247" t="s">
        <v>260</v>
      </c>
      <c r="M638" s="248"/>
      <c r="O638" s="150" t="s">
        <v>537</v>
      </c>
      <c r="P638" s="247"/>
      <c r="Q638" s="247"/>
      <c r="R638" s="247"/>
      <c r="S638" s="248"/>
    </row>
    <row r="639" spans="1:19" ht="15" thickTop="1" x14ac:dyDescent="0.3">
      <c r="A639" s="150" t="s">
        <v>1341</v>
      </c>
      <c r="B639" s="247" t="s">
        <v>260</v>
      </c>
      <c r="C639" s="248"/>
      <c r="E639" s="270" t="s">
        <v>387</v>
      </c>
      <c r="F639" s="271"/>
      <c r="G639" s="271"/>
      <c r="H639" s="271"/>
      <c r="I639" s="272"/>
      <c r="K639" s="150" t="s">
        <v>1341</v>
      </c>
      <c r="L639" s="247" t="s">
        <v>260</v>
      </c>
      <c r="M639" s="248"/>
      <c r="O639" s="150" t="s">
        <v>1331</v>
      </c>
      <c r="P639" s="247">
        <v>3</v>
      </c>
      <c r="Q639" s="247"/>
      <c r="R639" s="247"/>
      <c r="S639" s="248">
        <v>20.000520000000002</v>
      </c>
    </row>
    <row r="640" spans="1:19" x14ac:dyDescent="0.3">
      <c r="A640" s="150" t="s">
        <v>1336</v>
      </c>
      <c r="B640" s="247" t="s">
        <v>260</v>
      </c>
      <c r="C640" s="248"/>
      <c r="E640" s="150" t="s">
        <v>537</v>
      </c>
      <c r="F640" s="247"/>
      <c r="G640" s="247"/>
      <c r="H640" s="247"/>
      <c r="I640" s="248"/>
      <c r="K640" s="150" t="s">
        <v>1336</v>
      </c>
      <c r="L640" s="247" t="s">
        <v>260</v>
      </c>
      <c r="M640" s="248"/>
      <c r="O640" s="150" t="s">
        <v>1332</v>
      </c>
      <c r="P640" s="247">
        <v>3</v>
      </c>
      <c r="Q640" s="247"/>
      <c r="R640" s="247"/>
      <c r="S640" s="248">
        <v>20.000520000000002</v>
      </c>
    </row>
    <row r="641" spans="1:19" x14ac:dyDescent="0.3">
      <c r="A641" s="150" t="s">
        <v>1337</v>
      </c>
      <c r="B641" s="247" t="s">
        <v>260</v>
      </c>
      <c r="C641" s="248"/>
      <c r="E641" s="150" t="s">
        <v>1331</v>
      </c>
      <c r="F641" s="247">
        <v>3</v>
      </c>
      <c r="G641" s="247"/>
      <c r="H641" s="247"/>
      <c r="I641" s="248">
        <v>20.000520000000002</v>
      </c>
      <c r="K641" s="150" t="s">
        <v>1337</v>
      </c>
      <c r="L641" s="247" t="s">
        <v>260</v>
      </c>
      <c r="M641" s="248"/>
      <c r="O641" s="150" t="s">
        <v>1189</v>
      </c>
      <c r="P641" s="247"/>
      <c r="Q641" s="247"/>
      <c r="R641" s="247"/>
      <c r="S641" s="248"/>
    </row>
    <row r="642" spans="1:19" x14ac:dyDescent="0.3">
      <c r="A642" s="244" t="s">
        <v>1338</v>
      </c>
      <c r="B642" s="246" t="s">
        <v>260</v>
      </c>
      <c r="C642" s="249"/>
      <c r="E642" s="150" t="s">
        <v>1332</v>
      </c>
      <c r="F642" s="247">
        <v>3</v>
      </c>
      <c r="G642" s="247"/>
      <c r="H642" s="247"/>
      <c r="I642" s="248">
        <v>20.000520000000002</v>
      </c>
      <c r="K642" s="244" t="s">
        <v>1338</v>
      </c>
      <c r="L642" s="246" t="s">
        <v>260</v>
      </c>
      <c r="M642" s="249"/>
      <c r="O642" s="150" t="s">
        <v>1333</v>
      </c>
      <c r="P642" s="247">
        <v>1.85</v>
      </c>
      <c r="Q642" s="247"/>
      <c r="R642" s="247"/>
      <c r="S642" s="248">
        <v>12.333653999999999</v>
      </c>
    </row>
    <row r="643" spans="1:19" x14ac:dyDescent="0.3">
      <c r="E643" s="150" t="s">
        <v>1189</v>
      </c>
      <c r="F643" s="247"/>
      <c r="G643" s="247"/>
      <c r="H643" s="247"/>
      <c r="I643" s="248"/>
      <c r="O643" s="151" t="s">
        <v>1334</v>
      </c>
      <c r="P643" s="273">
        <v>1</v>
      </c>
      <c r="Q643" s="273"/>
      <c r="R643" s="273"/>
      <c r="S643" s="274">
        <v>6.6668399999999997</v>
      </c>
    </row>
    <row r="644" spans="1:19" ht="15" thickBot="1" x14ac:dyDescent="0.35">
      <c r="E644" s="150" t="s">
        <v>1333</v>
      </c>
      <c r="F644" s="247">
        <v>1.85</v>
      </c>
      <c r="G644" s="247"/>
      <c r="H644" s="247"/>
      <c r="I644" s="248">
        <v>12.333653999999999</v>
      </c>
      <c r="O644" s="141" t="s">
        <v>561</v>
      </c>
      <c r="P644" s="263"/>
      <c r="Q644" s="263"/>
      <c r="R644" s="263"/>
      <c r="S644" s="264">
        <v>59.001533999999999</v>
      </c>
    </row>
    <row r="645" spans="1:19" ht="15" thickTop="1" x14ac:dyDescent="0.3">
      <c r="E645" s="151" t="s">
        <v>1334</v>
      </c>
      <c r="F645" s="273">
        <v>1</v>
      </c>
      <c r="G645" s="273"/>
      <c r="H645" s="273"/>
      <c r="I645" s="274">
        <v>6.6668399999999997</v>
      </c>
      <c r="O645" s="270" t="s">
        <v>343</v>
      </c>
      <c r="P645" s="271"/>
      <c r="Q645" s="271"/>
      <c r="R645" s="271"/>
      <c r="S645" s="272"/>
    </row>
    <row r="646" spans="1:19" ht="15" thickBot="1" x14ac:dyDescent="0.35">
      <c r="E646" s="141" t="s">
        <v>561</v>
      </c>
      <c r="F646" s="263"/>
      <c r="G646" s="263"/>
      <c r="H646" s="263"/>
      <c r="I646" s="264">
        <v>59.001533999999999</v>
      </c>
      <c r="O646" s="151" t="s">
        <v>1335</v>
      </c>
      <c r="P646" s="273"/>
      <c r="Q646" s="273"/>
      <c r="R646" s="273"/>
      <c r="S646" s="274">
        <v>100</v>
      </c>
    </row>
    <row r="647" spans="1:19" ht="15.6" thickTop="1" thickBot="1" x14ac:dyDescent="0.35">
      <c r="E647" s="270" t="s">
        <v>343</v>
      </c>
      <c r="F647" s="271"/>
      <c r="G647" s="271"/>
      <c r="H647" s="271"/>
      <c r="I647" s="272"/>
      <c r="O647" s="154" t="s">
        <v>562</v>
      </c>
      <c r="P647" s="261"/>
      <c r="Q647" s="261"/>
      <c r="R647" s="261"/>
      <c r="S647" s="262">
        <v>100</v>
      </c>
    </row>
    <row r="648" spans="1:19" ht="15" thickTop="1" x14ac:dyDescent="0.3">
      <c r="E648" s="151" t="s">
        <v>1335</v>
      </c>
      <c r="F648" s="273"/>
      <c r="G648" s="273"/>
      <c r="H648" s="273"/>
      <c r="I648" s="274">
        <v>100</v>
      </c>
    </row>
    <row r="649" spans="1:19" ht="15" thickBot="1" x14ac:dyDescent="0.35">
      <c r="E649" s="154" t="s">
        <v>562</v>
      </c>
      <c r="F649" s="261"/>
      <c r="G649" s="261"/>
      <c r="H649" s="261"/>
      <c r="I649" s="262">
        <v>100</v>
      </c>
      <c r="K649" s="250" t="s">
        <v>518</v>
      </c>
      <c r="L649" s="251"/>
      <c r="M649" s="251"/>
      <c r="N649" s="251"/>
      <c r="O649" s="251"/>
      <c r="P649" s="251"/>
      <c r="Q649" s="251"/>
      <c r="R649" s="251"/>
      <c r="S649" s="252" t="s">
        <v>564</v>
      </c>
    </row>
    <row r="650" spans="1:19" ht="15" thickTop="1" x14ac:dyDescent="0.3">
      <c r="K650" s="276" t="s">
        <v>565</v>
      </c>
      <c r="L650" s="278"/>
      <c r="M650" s="278"/>
      <c r="N650" s="278"/>
      <c r="O650" s="278"/>
      <c r="P650" s="278"/>
      <c r="Q650" s="278"/>
      <c r="R650" s="278"/>
      <c r="S650" s="277">
        <v>707.68246599999998</v>
      </c>
    </row>
    <row r="651" spans="1:19" x14ac:dyDescent="0.3">
      <c r="A651" s="250" t="s">
        <v>518</v>
      </c>
      <c r="B651" s="251"/>
      <c r="C651" s="251"/>
      <c r="D651" s="251"/>
      <c r="E651" s="251"/>
      <c r="F651" s="251"/>
      <c r="G651" s="251"/>
      <c r="H651" s="251"/>
      <c r="I651" s="252" t="s">
        <v>564</v>
      </c>
      <c r="K651" s="275" t="s">
        <v>324</v>
      </c>
      <c r="L651" s="513" t="s">
        <v>1352</v>
      </c>
      <c r="M651" s="513"/>
      <c r="N651" s="513"/>
      <c r="O651" s="513"/>
      <c r="P651" s="513"/>
      <c r="Q651" s="513"/>
      <c r="R651" s="513"/>
      <c r="S651" s="514"/>
    </row>
    <row r="652" spans="1:19" x14ac:dyDescent="0.3">
      <c r="A652" s="276" t="s">
        <v>565</v>
      </c>
      <c r="B652" s="278"/>
      <c r="C652" s="278"/>
      <c r="D652" s="278"/>
      <c r="E652" s="278"/>
      <c r="F652" s="278"/>
      <c r="G652" s="278"/>
      <c r="H652" s="278"/>
      <c r="I652" s="277">
        <v>707.68246599999998</v>
      </c>
      <c r="K652" s="255"/>
      <c r="L652" s="515"/>
      <c r="M652" s="515"/>
      <c r="N652" s="515"/>
      <c r="O652" s="515"/>
      <c r="P652" s="515"/>
      <c r="Q652" s="515"/>
      <c r="R652" s="515"/>
      <c r="S652" s="516"/>
    </row>
    <row r="653" spans="1:19" x14ac:dyDescent="0.3">
      <c r="A653" s="275" t="s">
        <v>324</v>
      </c>
      <c r="B653" s="513" t="s">
        <v>1352</v>
      </c>
      <c r="C653" s="513"/>
      <c r="D653" s="513"/>
      <c r="E653" s="513"/>
      <c r="F653" s="513"/>
      <c r="G653" s="513"/>
      <c r="H653" s="513"/>
      <c r="I653" s="514"/>
    </row>
    <row r="654" spans="1:19" x14ac:dyDescent="0.3">
      <c r="A654" s="255"/>
      <c r="B654" s="515"/>
      <c r="C654" s="515"/>
      <c r="D654" s="515"/>
      <c r="E654" s="515"/>
      <c r="F654" s="515"/>
      <c r="G654" s="515"/>
      <c r="H654" s="515"/>
      <c r="I654" s="516"/>
    </row>
    <row r="655" spans="1:19" x14ac:dyDescent="0.3">
      <c r="K655" s="279" t="s">
        <v>325</v>
      </c>
      <c r="L655" s="279"/>
      <c r="O655" s="281" t="s">
        <v>326</v>
      </c>
      <c r="P655" s="281"/>
      <c r="R655" s="279" t="s">
        <v>306</v>
      </c>
      <c r="S655" s="279"/>
    </row>
    <row r="656" spans="1:19" x14ac:dyDescent="0.3">
      <c r="K656" s="280"/>
      <c r="L656" s="280"/>
      <c r="O656" s="280"/>
      <c r="P656" s="280"/>
      <c r="R656" s="280"/>
      <c r="S656" s="280"/>
    </row>
    <row r="657" spans="1:18" x14ac:dyDescent="0.3">
      <c r="A657" s="279" t="s">
        <v>325</v>
      </c>
      <c r="B657" s="279"/>
      <c r="E657" s="281" t="s">
        <v>326</v>
      </c>
      <c r="F657" s="281"/>
      <c r="H657" s="279" t="s">
        <v>306</v>
      </c>
      <c r="I657" s="279"/>
    </row>
    <row r="658" spans="1:18" x14ac:dyDescent="0.3">
      <c r="A658" s="280"/>
      <c r="B658" s="280"/>
      <c r="E658" s="280"/>
      <c r="F658" s="280"/>
      <c r="H658" s="280"/>
      <c r="I658" s="280"/>
    </row>
    <row r="662" spans="1:18" x14ac:dyDescent="0.3">
      <c r="A662" s="237"/>
      <c r="B662" s="238"/>
      <c r="C662" s="238"/>
      <c r="D662" s="238"/>
      <c r="E662" s="238" t="s">
        <v>334</v>
      </c>
      <c r="F662" s="238"/>
      <c r="G662" s="238"/>
      <c r="H662" s="238"/>
      <c r="I662" s="239"/>
      <c r="J662" s="237"/>
      <c r="K662" s="238"/>
      <c r="L662" s="238"/>
      <c r="M662" s="238"/>
      <c r="N662" s="238" t="s">
        <v>334</v>
      </c>
      <c r="O662" s="238"/>
      <c r="P662" s="238"/>
      <c r="Q662" s="238"/>
      <c r="R662" s="239"/>
    </row>
    <row r="663" spans="1:18" x14ac:dyDescent="0.3">
      <c r="A663" s="240"/>
      <c r="B663" s="241"/>
      <c r="C663" s="241"/>
      <c r="D663" s="241"/>
      <c r="E663" s="243" t="s">
        <v>301</v>
      </c>
      <c r="F663" s="241"/>
      <c r="G663" s="241"/>
      <c r="H663" s="241"/>
      <c r="I663" s="242"/>
      <c r="J663" s="240"/>
      <c r="K663" s="241"/>
      <c r="L663" s="241"/>
      <c r="M663" s="241"/>
      <c r="N663" s="243" t="s">
        <v>301</v>
      </c>
      <c r="O663" s="241"/>
      <c r="P663" s="241"/>
      <c r="Q663" s="241"/>
      <c r="R663" s="242"/>
    </row>
    <row r="665" spans="1:18" x14ac:dyDescent="0.3">
      <c r="A665" s="169" t="s">
        <v>548</v>
      </c>
      <c r="B665" s="161"/>
      <c r="C665" s="162"/>
      <c r="E665" s="250" t="s">
        <v>524</v>
      </c>
      <c r="F665" s="251"/>
      <c r="G665" s="251"/>
      <c r="H665" s="251"/>
      <c r="I665" s="251"/>
      <c r="J665" s="169" t="s">
        <v>548</v>
      </c>
      <c r="K665" s="161"/>
      <c r="L665" s="162"/>
      <c r="N665" s="250" t="s">
        <v>524</v>
      </c>
      <c r="O665" s="251"/>
      <c r="P665" s="251"/>
      <c r="Q665" s="251"/>
      <c r="R665" s="252"/>
    </row>
    <row r="666" spans="1:18" x14ac:dyDescent="0.3">
      <c r="A666" s="150" t="s">
        <v>393</v>
      </c>
      <c r="B666" s="163" t="s">
        <v>411</v>
      </c>
      <c r="C666" s="164"/>
      <c r="E666" s="254" t="s">
        <v>376</v>
      </c>
      <c r="F666" s="499" t="s">
        <v>377</v>
      </c>
      <c r="G666" s="257" t="s">
        <v>443</v>
      </c>
      <c r="H666" s="257" t="s">
        <v>375</v>
      </c>
      <c r="I666" s="282" t="s">
        <v>616</v>
      </c>
      <c r="J666" s="150" t="s">
        <v>393</v>
      </c>
      <c r="K666" s="163" t="s">
        <v>411</v>
      </c>
      <c r="L666" s="164"/>
      <c r="N666" s="254" t="s">
        <v>376</v>
      </c>
      <c r="O666" s="499" t="s">
        <v>377</v>
      </c>
      <c r="P666" s="257" t="s">
        <v>443</v>
      </c>
      <c r="Q666" s="257" t="s">
        <v>375</v>
      </c>
      <c r="R666" s="258" t="s">
        <v>616</v>
      </c>
    </row>
    <row r="667" spans="1:18" x14ac:dyDescent="0.3">
      <c r="A667" s="150" t="s">
        <v>316</v>
      </c>
      <c r="B667" s="163" t="s">
        <v>770</v>
      </c>
      <c r="C667" s="164"/>
      <c r="E667" s="256" t="s">
        <v>460</v>
      </c>
      <c r="F667" s="500">
        <v>44454</v>
      </c>
      <c r="G667" s="259" t="s">
        <v>159</v>
      </c>
      <c r="H667" s="259" t="s">
        <v>457</v>
      </c>
      <c r="I667" s="283">
        <v>100</v>
      </c>
      <c r="J667" s="150" t="s">
        <v>316</v>
      </c>
      <c r="K667" s="163" t="s">
        <v>770</v>
      </c>
      <c r="L667" s="164"/>
      <c r="N667" s="256" t="s">
        <v>454</v>
      </c>
      <c r="O667" s="500">
        <v>44454</v>
      </c>
      <c r="P667" s="259" t="s">
        <v>462</v>
      </c>
      <c r="Q667" s="259" t="s">
        <v>458</v>
      </c>
      <c r="R667" s="260">
        <v>200</v>
      </c>
    </row>
    <row r="668" spans="1:18" ht="15" thickBot="1" x14ac:dyDescent="0.35">
      <c r="A668" s="150" t="s">
        <v>396</v>
      </c>
      <c r="B668" s="498">
        <v>44460</v>
      </c>
      <c r="C668" s="164"/>
      <c r="E668" s="141" t="s">
        <v>523</v>
      </c>
      <c r="F668" s="263"/>
      <c r="G668" s="263"/>
      <c r="H668" s="263"/>
      <c r="I668" s="263">
        <v>100</v>
      </c>
      <c r="J668" s="150" t="s">
        <v>396</v>
      </c>
      <c r="K668" s="498">
        <v>44460</v>
      </c>
      <c r="L668" s="164"/>
      <c r="N668" s="141" t="s">
        <v>523</v>
      </c>
      <c r="O668" s="263"/>
      <c r="P668" s="263"/>
      <c r="Q668" s="263"/>
      <c r="R668" s="264">
        <v>200</v>
      </c>
    </row>
    <row r="669" spans="1:18" ht="15" thickTop="1" x14ac:dyDescent="0.3">
      <c r="A669" s="150" t="s">
        <v>394</v>
      </c>
      <c r="B669" s="163" t="s">
        <v>303</v>
      </c>
      <c r="C669" s="164"/>
      <c r="E669" s="265" t="s">
        <v>391</v>
      </c>
      <c r="F669" s="266"/>
      <c r="G669" s="266"/>
      <c r="H669" s="266"/>
      <c r="I669" s="266"/>
      <c r="J669" s="150" t="s">
        <v>394</v>
      </c>
      <c r="K669" s="163" t="s">
        <v>303</v>
      </c>
      <c r="L669" s="164"/>
      <c r="N669" s="265" t="s">
        <v>391</v>
      </c>
      <c r="O669" s="266"/>
      <c r="P669" s="266"/>
      <c r="Q669" s="266"/>
      <c r="R669" s="267"/>
    </row>
    <row r="670" spans="1:18" x14ac:dyDescent="0.3">
      <c r="A670" s="150" t="s">
        <v>395</v>
      </c>
      <c r="B670" s="163" t="s">
        <v>303</v>
      </c>
      <c r="C670" s="164"/>
      <c r="E670" s="254" t="s">
        <v>33</v>
      </c>
      <c r="F670" s="257" t="s">
        <v>529</v>
      </c>
      <c r="G670" s="257" t="s">
        <v>553</v>
      </c>
      <c r="H670" s="257" t="s">
        <v>528</v>
      </c>
      <c r="I670" s="282" t="s">
        <v>386</v>
      </c>
      <c r="J670" s="150" t="s">
        <v>395</v>
      </c>
      <c r="K670" s="163" t="s">
        <v>303</v>
      </c>
      <c r="L670" s="164"/>
      <c r="N670" s="254" t="s">
        <v>33</v>
      </c>
      <c r="O670" s="257" t="s">
        <v>529</v>
      </c>
      <c r="P670" s="257" t="s">
        <v>553</v>
      </c>
      <c r="Q670" s="257" t="s">
        <v>528</v>
      </c>
      <c r="R670" s="258" t="s">
        <v>386</v>
      </c>
    </row>
    <row r="671" spans="1:18" x14ac:dyDescent="0.3">
      <c r="A671" s="244" t="s">
        <v>550</v>
      </c>
      <c r="B671" s="246">
        <v>1</v>
      </c>
      <c r="C671" s="245" t="s">
        <v>359</v>
      </c>
      <c r="E671" s="256" t="s">
        <v>1345</v>
      </c>
      <c r="F671" s="259">
        <v>2</v>
      </c>
      <c r="G671" s="259">
        <v>98</v>
      </c>
      <c r="H671" s="259">
        <v>1</v>
      </c>
      <c r="I671" s="283">
        <v>97.02</v>
      </c>
      <c r="J671" s="244" t="s">
        <v>550</v>
      </c>
      <c r="K671" s="246">
        <v>1</v>
      </c>
      <c r="L671" s="245" t="s">
        <v>359</v>
      </c>
      <c r="N671" s="256" t="s">
        <v>1345</v>
      </c>
      <c r="O671" s="259">
        <v>4</v>
      </c>
      <c r="P671" s="259">
        <v>192</v>
      </c>
      <c r="Q671" s="259">
        <v>1.1000000000000001</v>
      </c>
      <c r="R671" s="260">
        <v>189.88800000000001</v>
      </c>
    </row>
    <row r="672" spans="1:18" ht="15" thickBot="1" x14ac:dyDescent="0.35">
      <c r="E672" s="141" t="s">
        <v>525</v>
      </c>
      <c r="F672" s="263"/>
      <c r="G672" s="263"/>
      <c r="H672" s="263"/>
      <c r="I672" s="264">
        <v>97.02</v>
      </c>
      <c r="N672" s="141" t="s">
        <v>525</v>
      </c>
      <c r="O672" s="263"/>
      <c r="P672" s="263"/>
      <c r="Q672" s="263"/>
      <c r="R672" s="264">
        <v>189.88800000000001</v>
      </c>
    </row>
    <row r="673" spans="1:18" ht="15" thickTop="1" x14ac:dyDescent="0.3">
      <c r="A673" s="169" t="s">
        <v>339</v>
      </c>
      <c r="B673" s="161"/>
      <c r="C673" s="162"/>
      <c r="E673" s="265" t="s">
        <v>346</v>
      </c>
      <c r="F673" s="266"/>
      <c r="G673" s="266"/>
      <c r="H673" s="266"/>
      <c r="I673" s="266"/>
      <c r="J673" s="169" t="s">
        <v>339</v>
      </c>
      <c r="K673" s="161"/>
      <c r="L673" s="162"/>
      <c r="N673" s="265" t="s">
        <v>346</v>
      </c>
      <c r="O673" s="266"/>
      <c r="P673" s="266"/>
      <c r="Q673" s="266"/>
      <c r="R673" s="267"/>
    </row>
    <row r="674" spans="1:18" x14ac:dyDescent="0.3">
      <c r="A674" s="150" t="s">
        <v>307</v>
      </c>
      <c r="B674" s="247" t="s">
        <v>260</v>
      </c>
      <c r="C674" s="248"/>
      <c r="E674" s="254" t="s">
        <v>33</v>
      </c>
      <c r="F674" s="257" t="s">
        <v>555</v>
      </c>
      <c r="G674" s="257" t="s">
        <v>556</v>
      </c>
      <c r="H674" s="257"/>
      <c r="I674" s="282" t="s">
        <v>558</v>
      </c>
      <c r="J674" s="150" t="s">
        <v>307</v>
      </c>
      <c r="K674" s="247" t="s">
        <v>260</v>
      </c>
      <c r="L674" s="248"/>
      <c r="N674" s="254" t="s">
        <v>33</v>
      </c>
      <c r="O674" s="257" t="s">
        <v>555</v>
      </c>
      <c r="P674" s="257" t="s">
        <v>556</v>
      </c>
      <c r="Q674" s="257"/>
      <c r="R674" s="258" t="s">
        <v>558</v>
      </c>
    </row>
    <row r="675" spans="1:18" x14ac:dyDescent="0.3">
      <c r="A675" s="150" t="s">
        <v>308</v>
      </c>
      <c r="B675" s="247" t="s">
        <v>1324</v>
      </c>
      <c r="C675" s="248"/>
      <c r="E675" s="256" t="s">
        <v>159</v>
      </c>
      <c r="F675" s="284">
        <v>1</v>
      </c>
      <c r="G675" s="259">
        <v>1</v>
      </c>
      <c r="H675" s="259"/>
      <c r="I675" s="283">
        <v>97.02</v>
      </c>
      <c r="J675" s="150" t="s">
        <v>308</v>
      </c>
      <c r="K675" s="247" t="s">
        <v>1324</v>
      </c>
      <c r="L675" s="248"/>
      <c r="N675" s="253" t="s">
        <v>159</v>
      </c>
      <c r="O675" s="322">
        <v>1</v>
      </c>
      <c r="P675" s="285">
        <v>1</v>
      </c>
      <c r="Q675" s="285"/>
      <c r="R675" s="286">
        <v>189.88800000000001</v>
      </c>
    </row>
    <row r="676" spans="1:18" ht="15" thickBot="1" x14ac:dyDescent="0.35">
      <c r="A676" s="150" t="s">
        <v>551</v>
      </c>
      <c r="B676" s="247" t="s">
        <v>260</v>
      </c>
      <c r="C676" s="248"/>
      <c r="E676" s="141" t="s">
        <v>559</v>
      </c>
      <c r="F676" s="263"/>
      <c r="G676" s="263"/>
      <c r="H676" s="263"/>
      <c r="I676" s="263">
        <v>97.02</v>
      </c>
      <c r="J676" s="150" t="s">
        <v>551</v>
      </c>
      <c r="K676" s="247" t="s">
        <v>260</v>
      </c>
      <c r="L676" s="248"/>
      <c r="N676" s="256" t="s">
        <v>1342</v>
      </c>
      <c r="O676" s="284">
        <v>2</v>
      </c>
      <c r="P676" s="259">
        <v>1</v>
      </c>
      <c r="Q676" s="259"/>
      <c r="R676" s="260">
        <v>379.77600000000001</v>
      </c>
    </row>
    <row r="677" spans="1:18" ht="15.6" thickTop="1" thickBot="1" x14ac:dyDescent="0.35">
      <c r="A677" s="150" t="s">
        <v>311</v>
      </c>
      <c r="B677" s="247" t="s">
        <v>1343</v>
      </c>
      <c r="C677" s="248"/>
      <c r="E677" s="270" t="s">
        <v>387</v>
      </c>
      <c r="F677" s="271"/>
      <c r="G677" s="271"/>
      <c r="H677" s="271"/>
      <c r="I677" s="271"/>
      <c r="J677" s="150" t="s">
        <v>311</v>
      </c>
      <c r="K677" s="247" t="s">
        <v>453</v>
      </c>
      <c r="L677" s="248"/>
      <c r="N677" s="141" t="s">
        <v>559</v>
      </c>
      <c r="O677" s="263"/>
      <c r="P677" s="263"/>
      <c r="Q677" s="263"/>
      <c r="R677" s="264">
        <v>569.66399999999999</v>
      </c>
    </row>
    <row r="678" spans="1:18" ht="15" thickTop="1" x14ac:dyDescent="0.3">
      <c r="A678" s="150" t="s">
        <v>314</v>
      </c>
      <c r="B678" s="247" t="s">
        <v>260</v>
      </c>
      <c r="C678" s="248"/>
      <c r="E678" s="150" t="s">
        <v>537</v>
      </c>
      <c r="F678" s="247"/>
      <c r="G678" s="247"/>
      <c r="H678" s="247"/>
      <c r="I678" s="247"/>
      <c r="J678" s="150" t="s">
        <v>314</v>
      </c>
      <c r="K678" s="247" t="s">
        <v>260</v>
      </c>
      <c r="L678" s="248"/>
      <c r="N678" s="270" t="s">
        <v>387</v>
      </c>
      <c r="O678" s="271"/>
      <c r="P678" s="271"/>
      <c r="Q678" s="271"/>
      <c r="R678" s="272"/>
    </row>
    <row r="679" spans="1:18" x14ac:dyDescent="0.3">
      <c r="A679" s="150" t="s">
        <v>315</v>
      </c>
      <c r="B679" s="247" t="s">
        <v>260</v>
      </c>
      <c r="C679" s="248"/>
      <c r="E679" s="150" t="s">
        <v>1331</v>
      </c>
      <c r="F679" s="247">
        <v>3</v>
      </c>
      <c r="G679" s="247"/>
      <c r="H679" s="247"/>
      <c r="I679" s="247">
        <v>2.9106000000000001</v>
      </c>
      <c r="J679" s="150" t="s">
        <v>315</v>
      </c>
      <c r="K679" s="247" t="s">
        <v>260</v>
      </c>
      <c r="L679" s="248"/>
      <c r="N679" s="150" t="s">
        <v>537</v>
      </c>
      <c r="O679" s="247"/>
      <c r="P679" s="247"/>
      <c r="Q679" s="247"/>
      <c r="R679" s="248"/>
    </row>
    <row r="680" spans="1:18" x14ac:dyDescent="0.3">
      <c r="A680" s="150" t="s">
        <v>771</v>
      </c>
      <c r="B680" s="247" t="s">
        <v>260</v>
      </c>
      <c r="C680" s="248"/>
      <c r="E680" s="150" t="s">
        <v>1189</v>
      </c>
      <c r="F680" s="247"/>
      <c r="G680" s="247"/>
      <c r="H680" s="247"/>
      <c r="I680" s="247"/>
      <c r="J680" s="150" t="s">
        <v>771</v>
      </c>
      <c r="K680" s="247" t="s">
        <v>260</v>
      </c>
      <c r="L680" s="248"/>
      <c r="N680" s="150" t="s">
        <v>1331</v>
      </c>
      <c r="O680" s="247">
        <v>3</v>
      </c>
      <c r="P680" s="247"/>
      <c r="Q680" s="247"/>
      <c r="R680" s="248">
        <v>17.089919999999999</v>
      </c>
    </row>
    <row r="681" spans="1:18" x14ac:dyDescent="0.3">
      <c r="A681" s="150" t="s">
        <v>1341</v>
      </c>
      <c r="B681" s="247" t="s">
        <v>260</v>
      </c>
      <c r="C681" s="248"/>
      <c r="E681" s="150" t="s">
        <v>1333</v>
      </c>
      <c r="F681" s="247">
        <v>1.85</v>
      </c>
      <c r="G681" s="247"/>
      <c r="H681" s="247"/>
      <c r="I681" s="247">
        <v>1.79487</v>
      </c>
      <c r="J681" s="150" t="s">
        <v>1336</v>
      </c>
      <c r="K681" s="247" t="s">
        <v>260</v>
      </c>
      <c r="L681" s="248"/>
      <c r="N681" s="150" t="s">
        <v>1332</v>
      </c>
      <c r="O681" s="247">
        <v>3</v>
      </c>
      <c r="P681" s="247"/>
      <c r="Q681" s="247"/>
      <c r="R681" s="248">
        <v>17.089919999999999</v>
      </c>
    </row>
    <row r="682" spans="1:18" x14ac:dyDescent="0.3">
      <c r="A682" s="150" t="s">
        <v>1336</v>
      </c>
      <c r="B682" s="247" t="s">
        <v>260</v>
      </c>
      <c r="C682" s="248"/>
      <c r="E682" s="151" t="s">
        <v>1334</v>
      </c>
      <c r="F682" s="273">
        <v>1</v>
      </c>
      <c r="G682" s="273"/>
      <c r="H682" s="273"/>
      <c r="I682" s="273">
        <v>0.97019999999999995</v>
      </c>
      <c r="J682" s="150" t="s">
        <v>1337</v>
      </c>
      <c r="K682" s="247" t="s">
        <v>260</v>
      </c>
      <c r="L682" s="248"/>
      <c r="N682" s="150" t="s">
        <v>1189</v>
      </c>
      <c r="O682" s="247"/>
      <c r="P682" s="247"/>
      <c r="Q682" s="247"/>
      <c r="R682" s="248"/>
    </row>
    <row r="683" spans="1:18" ht="15" thickBot="1" x14ac:dyDescent="0.35">
      <c r="A683" s="150" t="s">
        <v>1337</v>
      </c>
      <c r="B683" s="247" t="s">
        <v>260</v>
      </c>
      <c r="C683" s="248"/>
      <c r="E683" s="141" t="s">
        <v>561</v>
      </c>
      <c r="F683" s="263"/>
      <c r="G683" s="263"/>
      <c r="H683" s="263"/>
      <c r="I683" s="263">
        <v>5.6756700000000002</v>
      </c>
      <c r="J683" s="244" t="s">
        <v>1338</v>
      </c>
      <c r="K683" s="246" t="s">
        <v>260</v>
      </c>
      <c r="L683" s="249"/>
      <c r="N683" s="150" t="s">
        <v>1333</v>
      </c>
      <c r="O683" s="247">
        <v>1.85</v>
      </c>
      <c r="P683" s="247"/>
      <c r="Q683" s="247"/>
      <c r="R683" s="248">
        <v>10.538784</v>
      </c>
    </row>
    <row r="684" spans="1:18" ht="15" thickTop="1" x14ac:dyDescent="0.3">
      <c r="A684" s="244" t="s">
        <v>1338</v>
      </c>
      <c r="B684" s="246" t="s">
        <v>260</v>
      </c>
      <c r="C684" s="249"/>
      <c r="E684" s="270" t="s">
        <v>343</v>
      </c>
      <c r="F684" s="271"/>
      <c r="G684" s="271"/>
      <c r="H684" s="271"/>
      <c r="I684" s="272"/>
      <c r="N684" s="151" t="s">
        <v>1344</v>
      </c>
      <c r="O684" s="273">
        <v>0.7</v>
      </c>
      <c r="P684" s="273"/>
      <c r="Q684" s="273"/>
      <c r="R684" s="274">
        <v>3.9876480000000001</v>
      </c>
    </row>
    <row r="685" spans="1:18" ht="15" thickBot="1" x14ac:dyDescent="0.35">
      <c r="E685" s="151" t="s">
        <v>1335</v>
      </c>
      <c r="F685" s="273"/>
      <c r="G685" s="273"/>
      <c r="H685" s="273"/>
      <c r="I685" s="274">
        <v>100</v>
      </c>
      <c r="N685" s="154" t="s">
        <v>561</v>
      </c>
      <c r="O685" s="261"/>
      <c r="P685" s="261"/>
      <c r="Q685" s="261"/>
      <c r="R685" s="262">
        <v>48.706271999999998</v>
      </c>
    </row>
    <row r="686" spans="1:18" ht="15.6" thickTop="1" thickBot="1" x14ac:dyDescent="0.35">
      <c r="E686" s="154" t="s">
        <v>562</v>
      </c>
      <c r="F686" s="261"/>
      <c r="G686" s="261"/>
      <c r="H686" s="261"/>
      <c r="I686" s="262">
        <v>100</v>
      </c>
    </row>
    <row r="687" spans="1:18" ht="15" thickTop="1" x14ac:dyDescent="0.3">
      <c r="J687" s="250" t="s">
        <v>566</v>
      </c>
      <c r="K687" s="251"/>
      <c r="L687" s="251"/>
      <c r="M687" s="251"/>
      <c r="N687" s="251"/>
      <c r="O687" s="251"/>
      <c r="P687" s="251"/>
      <c r="Q687" s="251"/>
      <c r="R687" s="252" t="s">
        <v>564</v>
      </c>
    </row>
    <row r="688" spans="1:18" x14ac:dyDescent="0.3">
      <c r="A688" s="250" t="s">
        <v>518</v>
      </c>
      <c r="B688" s="251"/>
      <c r="C688" s="251"/>
      <c r="D688" s="251"/>
      <c r="E688" s="251"/>
      <c r="F688" s="251"/>
      <c r="G688" s="251"/>
      <c r="H688" s="251"/>
      <c r="I688" s="252" t="s">
        <v>564</v>
      </c>
      <c r="J688" s="276" t="s">
        <v>565</v>
      </c>
      <c r="K688" s="278"/>
      <c r="L688" s="278"/>
      <c r="M688" s="278"/>
      <c r="N688" s="278"/>
      <c r="O688" s="278"/>
      <c r="P688" s="278"/>
      <c r="Q688" s="278"/>
      <c r="R688" s="277">
        <v>520.95772799999997</v>
      </c>
    </row>
    <row r="689" spans="1:18" x14ac:dyDescent="0.3">
      <c r="A689" s="276" t="s">
        <v>565</v>
      </c>
      <c r="B689" s="278"/>
      <c r="C689" s="278"/>
      <c r="D689" s="278"/>
      <c r="E689" s="278"/>
      <c r="F689" s="278"/>
      <c r="G689" s="278"/>
      <c r="H689" s="278"/>
      <c r="I689" s="277">
        <v>191.34433000000001</v>
      </c>
      <c r="J689" s="275" t="s">
        <v>324</v>
      </c>
      <c r="K689" s="513" t="s">
        <v>1354</v>
      </c>
      <c r="L689" s="513"/>
      <c r="M689" s="513"/>
      <c r="N689" s="513"/>
      <c r="O689" s="513"/>
      <c r="P689" s="513"/>
      <c r="Q689" s="513"/>
      <c r="R689" s="514"/>
    </row>
    <row r="690" spans="1:18" x14ac:dyDescent="0.3">
      <c r="A690" s="275" t="s">
        <v>324</v>
      </c>
      <c r="B690" s="513" t="s">
        <v>1353</v>
      </c>
      <c r="C690" s="513"/>
      <c r="D690" s="513"/>
      <c r="E690" s="513"/>
      <c r="F690" s="513"/>
      <c r="G690" s="513"/>
      <c r="H690" s="513"/>
      <c r="I690" s="514"/>
      <c r="J690" s="255"/>
      <c r="K690" s="515"/>
      <c r="L690" s="515"/>
      <c r="M690" s="515"/>
      <c r="N690" s="515"/>
      <c r="O690" s="515"/>
      <c r="P690" s="515"/>
      <c r="Q690" s="515"/>
      <c r="R690" s="516"/>
    </row>
    <row r="691" spans="1:18" x14ac:dyDescent="0.3">
      <c r="A691" s="255"/>
      <c r="B691" s="515"/>
      <c r="C691" s="515"/>
      <c r="D691" s="515"/>
      <c r="E691" s="515"/>
      <c r="F691" s="515"/>
      <c r="G691" s="515"/>
      <c r="H691" s="515"/>
      <c r="I691" s="516"/>
    </row>
    <row r="693" spans="1:18" x14ac:dyDescent="0.3">
      <c r="J693" s="279" t="s">
        <v>325</v>
      </c>
      <c r="K693" s="279"/>
      <c r="N693" s="281" t="s">
        <v>326</v>
      </c>
      <c r="O693" s="281"/>
      <c r="Q693" s="279" t="s">
        <v>306</v>
      </c>
      <c r="R693" s="279"/>
    </row>
    <row r="694" spans="1:18" x14ac:dyDescent="0.3">
      <c r="A694" s="279" t="s">
        <v>325</v>
      </c>
      <c r="B694" s="279"/>
      <c r="E694" s="281" t="s">
        <v>326</v>
      </c>
      <c r="F694" s="281"/>
      <c r="H694" s="279" t="s">
        <v>306</v>
      </c>
      <c r="I694" s="279"/>
      <c r="J694" s="280"/>
      <c r="K694" s="280"/>
      <c r="N694" s="280"/>
      <c r="O694" s="280"/>
      <c r="Q694" s="280"/>
      <c r="R694" s="280"/>
    </row>
    <row r="695" spans="1:18" x14ac:dyDescent="0.3">
      <c r="A695" s="280"/>
      <c r="B695" s="280"/>
      <c r="E695" s="280"/>
      <c r="F695" s="280"/>
      <c r="H695" s="280"/>
      <c r="I695" s="280"/>
    </row>
    <row r="699" spans="1:18" x14ac:dyDescent="0.3">
      <c r="J699" t="str">
        <f>+EQL_VERSION()</f>
        <v>Excliq Lite v1.1.1</v>
      </c>
    </row>
    <row r="708" spans="1:29" x14ac:dyDescent="0.3">
      <c r="A708" s="237"/>
      <c r="B708" s="238"/>
      <c r="C708" s="238"/>
      <c r="D708" s="238"/>
      <c r="E708" s="238" t="s">
        <v>334</v>
      </c>
      <c r="F708" s="238"/>
      <c r="G708" s="238"/>
      <c r="H708" s="238"/>
      <c r="I708" s="239"/>
      <c r="K708" s="237"/>
      <c r="L708" s="238"/>
      <c r="M708" s="238"/>
      <c r="N708" s="238"/>
      <c r="O708" s="238" t="s">
        <v>334</v>
      </c>
      <c r="P708" s="238"/>
      <c r="Q708" s="238"/>
      <c r="R708" s="238"/>
      <c r="S708" s="239"/>
      <c r="U708" s="237"/>
      <c r="V708" s="238"/>
      <c r="W708" s="238"/>
      <c r="X708" s="238"/>
      <c r="Y708" s="238" t="s">
        <v>334</v>
      </c>
      <c r="Z708" s="238"/>
      <c r="AA708" s="238"/>
      <c r="AB708" s="238"/>
      <c r="AC708" s="239"/>
    </row>
    <row r="709" spans="1:29" x14ac:dyDescent="0.3">
      <c r="A709" s="240"/>
      <c r="B709" s="241"/>
      <c r="C709" s="241"/>
      <c r="D709" s="241"/>
      <c r="E709" s="243" t="s">
        <v>301</v>
      </c>
      <c r="F709" s="241"/>
      <c r="G709" s="241"/>
      <c r="H709" s="241"/>
      <c r="I709" s="242"/>
      <c r="K709" s="240"/>
      <c r="L709" s="241"/>
      <c r="M709" s="241"/>
      <c r="N709" s="241"/>
      <c r="O709" s="243" t="s">
        <v>301</v>
      </c>
      <c r="P709" s="241"/>
      <c r="Q709" s="241"/>
      <c r="R709" s="241"/>
      <c r="S709" s="242"/>
      <c r="U709" s="240"/>
      <c r="V709" s="241"/>
      <c r="W709" s="241"/>
      <c r="X709" s="241"/>
      <c r="Y709" s="243" t="s">
        <v>301</v>
      </c>
      <c r="Z709" s="241"/>
      <c r="AA709" s="241"/>
      <c r="AB709" s="241"/>
      <c r="AC709" s="242"/>
    </row>
    <row r="711" spans="1:29" x14ac:dyDescent="0.3">
      <c r="A711" s="169" t="s">
        <v>548</v>
      </c>
      <c r="B711" s="161"/>
      <c r="C711" s="162"/>
      <c r="E711" s="250" t="s">
        <v>524</v>
      </c>
      <c r="F711" s="251"/>
      <c r="G711" s="251"/>
      <c r="H711" s="251"/>
      <c r="I711" s="252"/>
      <c r="K711" s="169" t="s">
        <v>548</v>
      </c>
      <c r="L711" s="161"/>
      <c r="M711" s="162"/>
      <c r="O711" s="250" t="s">
        <v>524</v>
      </c>
      <c r="P711" s="251"/>
      <c r="Q711" s="251"/>
      <c r="R711" s="251"/>
      <c r="S711" s="252"/>
      <c r="U711" s="169" t="s">
        <v>548</v>
      </c>
      <c r="V711" s="161"/>
      <c r="W711" s="162"/>
      <c r="Y711" s="250" t="s">
        <v>524</v>
      </c>
      <c r="Z711" s="251"/>
      <c r="AA711" s="251"/>
      <c r="AB711" s="251"/>
      <c r="AC711" s="252"/>
    </row>
    <row r="712" spans="1:29" x14ac:dyDescent="0.3">
      <c r="A712" s="150" t="s">
        <v>393</v>
      </c>
      <c r="B712" s="163" t="s">
        <v>411</v>
      </c>
      <c r="C712" s="164"/>
      <c r="E712" s="254" t="s">
        <v>376</v>
      </c>
      <c r="F712" s="581" t="s">
        <v>377</v>
      </c>
      <c r="G712" s="257" t="s">
        <v>443</v>
      </c>
      <c r="H712" s="257" t="s">
        <v>375</v>
      </c>
      <c r="I712" s="258" t="s">
        <v>616</v>
      </c>
      <c r="K712" s="150" t="s">
        <v>393</v>
      </c>
      <c r="L712" s="163" t="s">
        <v>411</v>
      </c>
      <c r="M712" s="164"/>
      <c r="O712" s="254" t="s">
        <v>376</v>
      </c>
      <c r="P712" s="581" t="s">
        <v>377</v>
      </c>
      <c r="Q712" s="257" t="s">
        <v>443</v>
      </c>
      <c r="R712" s="257" t="s">
        <v>375</v>
      </c>
      <c r="S712" s="258" t="s">
        <v>616</v>
      </c>
      <c r="U712" s="150" t="s">
        <v>393</v>
      </c>
      <c r="V712" s="163" t="s">
        <v>411</v>
      </c>
      <c r="W712" s="164"/>
      <c r="Y712" s="254" t="s">
        <v>376</v>
      </c>
      <c r="Z712" s="581" t="s">
        <v>377</v>
      </c>
      <c r="AA712" s="257" t="s">
        <v>443</v>
      </c>
      <c r="AB712" s="257" t="s">
        <v>375</v>
      </c>
      <c r="AC712" s="258" t="s">
        <v>616</v>
      </c>
    </row>
    <row r="713" spans="1:29" x14ac:dyDescent="0.3">
      <c r="A713" s="150" t="s">
        <v>316</v>
      </c>
      <c r="B713" s="163" t="s">
        <v>770</v>
      </c>
      <c r="C713" s="164"/>
      <c r="E713" s="256" t="s">
        <v>1419</v>
      </c>
      <c r="F713" s="582">
        <v>44478</v>
      </c>
      <c r="G713" s="259" t="s">
        <v>1414</v>
      </c>
      <c r="H713" s="259" t="s">
        <v>1413</v>
      </c>
      <c r="I713" s="260">
        <v>16.329999999999998</v>
      </c>
      <c r="K713" s="150" t="s">
        <v>316</v>
      </c>
      <c r="L713" s="163" t="s">
        <v>770</v>
      </c>
      <c r="M713" s="164"/>
      <c r="O713" s="256" t="s">
        <v>1419</v>
      </c>
      <c r="P713" s="582">
        <v>44478</v>
      </c>
      <c r="Q713" s="259" t="s">
        <v>1414</v>
      </c>
      <c r="R713" s="259" t="s">
        <v>1413</v>
      </c>
      <c r="S713" s="260">
        <v>16.329999999999998</v>
      </c>
      <c r="U713" s="150" t="s">
        <v>316</v>
      </c>
      <c r="V713" s="163" t="s">
        <v>770</v>
      </c>
      <c r="W713" s="164"/>
      <c r="Y713" s="256" t="s">
        <v>1419</v>
      </c>
      <c r="Z713" s="582">
        <v>44478</v>
      </c>
      <c r="AA713" s="259" t="s">
        <v>1414</v>
      </c>
      <c r="AB713" s="259" t="s">
        <v>1413</v>
      </c>
      <c r="AC713" s="260">
        <v>16.329999999999998</v>
      </c>
    </row>
    <row r="714" spans="1:29" ht="15" thickBot="1" x14ac:dyDescent="0.35">
      <c r="A714" s="150" t="s">
        <v>396</v>
      </c>
      <c r="B714" s="580">
        <v>44480</v>
      </c>
      <c r="C714" s="164"/>
      <c r="E714" s="141" t="s">
        <v>523</v>
      </c>
      <c r="F714" s="263"/>
      <c r="G714" s="263"/>
      <c r="H714" s="263"/>
      <c r="I714" s="264">
        <f>SUM(I713)</f>
        <v>16.329999999999998</v>
      </c>
      <c r="K714" s="150" t="s">
        <v>396</v>
      </c>
      <c r="L714" s="580">
        <v>44480</v>
      </c>
      <c r="M714" s="164"/>
      <c r="O714" s="141" t="s">
        <v>523</v>
      </c>
      <c r="P714" s="263"/>
      <c r="Q714" s="263"/>
      <c r="R714" s="263"/>
      <c r="S714" s="264">
        <f>SUM(S713)</f>
        <v>16.329999999999998</v>
      </c>
      <c r="U714" s="150" t="s">
        <v>396</v>
      </c>
      <c r="V714" s="580">
        <v>44480</v>
      </c>
      <c r="W714" s="164"/>
      <c r="Y714" s="141" t="s">
        <v>523</v>
      </c>
      <c r="Z714" s="263"/>
      <c r="AA714" s="263"/>
      <c r="AB714" s="263"/>
      <c r="AC714" s="264">
        <v>16.329999999999998</v>
      </c>
    </row>
    <row r="715" spans="1:29" ht="15" thickTop="1" x14ac:dyDescent="0.3">
      <c r="A715" s="150" t="s">
        <v>394</v>
      </c>
      <c r="B715" s="163" t="s">
        <v>303</v>
      </c>
      <c r="C715" s="164"/>
      <c r="E715" s="265" t="s">
        <v>391</v>
      </c>
      <c r="F715" s="266"/>
      <c r="G715" s="266"/>
      <c r="H715" s="266"/>
      <c r="I715" s="267"/>
      <c r="K715" s="150" t="s">
        <v>394</v>
      </c>
      <c r="L715" s="163" t="s">
        <v>303</v>
      </c>
      <c r="M715" s="164"/>
      <c r="O715" s="265" t="s">
        <v>391</v>
      </c>
      <c r="P715" s="266"/>
      <c r="Q715" s="266"/>
      <c r="R715" s="266"/>
      <c r="S715" s="267"/>
      <c r="U715" s="150" t="s">
        <v>394</v>
      </c>
      <c r="V715" s="163" t="s">
        <v>303</v>
      </c>
      <c r="W715" s="164"/>
      <c r="Y715" s="265" t="s">
        <v>391</v>
      </c>
      <c r="Z715" s="266"/>
      <c r="AA715" s="266"/>
      <c r="AB715" s="266"/>
      <c r="AC715" s="267"/>
    </row>
    <row r="716" spans="1:29" x14ac:dyDescent="0.3">
      <c r="A716" s="150" t="s">
        <v>395</v>
      </c>
      <c r="B716" s="163" t="s">
        <v>303</v>
      </c>
      <c r="C716" s="164"/>
      <c r="E716" s="254" t="s">
        <v>33</v>
      </c>
      <c r="F716" s="257" t="s">
        <v>529</v>
      </c>
      <c r="G716" s="257" t="s">
        <v>553</v>
      </c>
      <c r="H716" s="257" t="s">
        <v>528</v>
      </c>
      <c r="I716" s="258" t="s">
        <v>386</v>
      </c>
      <c r="K716" s="150" t="s">
        <v>395</v>
      </c>
      <c r="L716" s="163" t="s">
        <v>303</v>
      </c>
      <c r="M716" s="164"/>
      <c r="O716" s="254" t="s">
        <v>33</v>
      </c>
      <c r="P716" s="257" t="s">
        <v>529</v>
      </c>
      <c r="Q716" s="257" t="s">
        <v>553</v>
      </c>
      <c r="R716" s="257" t="s">
        <v>528</v>
      </c>
      <c r="S716" s="258" t="s">
        <v>386</v>
      </c>
      <c r="U716" s="150" t="s">
        <v>395</v>
      </c>
      <c r="V716" s="163" t="s">
        <v>303</v>
      </c>
      <c r="W716" s="164"/>
      <c r="Y716" s="254" t="s">
        <v>33</v>
      </c>
      <c r="Z716" s="257" t="s">
        <v>529</v>
      </c>
      <c r="AA716" s="257" t="s">
        <v>553</v>
      </c>
      <c r="AB716" s="257" t="s">
        <v>528</v>
      </c>
      <c r="AC716" s="258" t="s">
        <v>386</v>
      </c>
    </row>
    <row r="717" spans="1:29" x14ac:dyDescent="0.3">
      <c r="A717" s="244" t="s">
        <v>550</v>
      </c>
      <c r="B717" s="246">
        <v>6.96</v>
      </c>
      <c r="C717" s="245" t="s">
        <v>359</v>
      </c>
      <c r="E717" s="256" t="s">
        <v>1345</v>
      </c>
      <c r="F717" s="259">
        <v>6</v>
      </c>
      <c r="G717" s="259">
        <f>I713*(1-(F717/100))</f>
        <v>15.350199999999997</v>
      </c>
      <c r="H717" s="259">
        <v>0</v>
      </c>
      <c r="I717" s="260">
        <f>G717*(1-(H717/100))</f>
        <v>15.350199999999997</v>
      </c>
      <c r="K717" s="244" t="s">
        <v>550</v>
      </c>
      <c r="L717" s="246">
        <v>6.86</v>
      </c>
      <c r="M717" s="245" t="s">
        <v>359</v>
      </c>
      <c r="O717" s="256" t="s">
        <v>1345</v>
      </c>
      <c r="P717" s="259">
        <v>6</v>
      </c>
      <c r="Q717" s="259">
        <f>S713*(1-(P717/100))</f>
        <v>15.350199999999997</v>
      </c>
      <c r="R717" s="259">
        <v>0</v>
      </c>
      <c r="S717" s="260">
        <f>Q717*(1-(R717/100))</f>
        <v>15.350199999999997</v>
      </c>
      <c r="U717" s="244" t="s">
        <v>550</v>
      </c>
      <c r="V717" s="246">
        <v>6.86</v>
      </c>
      <c r="W717" s="245" t="s">
        <v>359</v>
      </c>
      <c r="Y717" s="256" t="s">
        <v>1345</v>
      </c>
      <c r="Z717" s="259">
        <v>6</v>
      </c>
      <c r="AA717" s="259">
        <v>15.350199999999999</v>
      </c>
      <c r="AB717" s="259">
        <v>0</v>
      </c>
      <c r="AC717" s="260">
        <v>15.350199999999999</v>
      </c>
    </row>
    <row r="718" spans="1:29" ht="15" thickBot="1" x14ac:dyDescent="0.35">
      <c r="E718" s="141" t="s">
        <v>525</v>
      </c>
      <c r="F718" s="263"/>
      <c r="G718" s="263"/>
      <c r="H718" s="263"/>
      <c r="I718" s="264">
        <f>SUM(I717)</f>
        <v>15.350199999999997</v>
      </c>
      <c r="O718" s="141" t="s">
        <v>525</v>
      </c>
      <c r="P718" s="263"/>
      <c r="Q718" s="263"/>
      <c r="R718" s="263"/>
      <c r="S718" s="264">
        <f>SUM(S717)</f>
        <v>15.350199999999997</v>
      </c>
      <c r="Y718" s="141" t="s">
        <v>525</v>
      </c>
      <c r="Z718" s="263"/>
      <c r="AA718" s="263"/>
      <c r="AB718" s="263"/>
      <c r="AC718" s="264">
        <v>15.350199999999999</v>
      </c>
    </row>
    <row r="719" spans="1:29" ht="15" thickTop="1" x14ac:dyDescent="0.3">
      <c r="A719" s="169" t="s">
        <v>339</v>
      </c>
      <c r="B719" s="161"/>
      <c r="C719" s="162"/>
      <c r="E719" s="265" t="s">
        <v>346</v>
      </c>
      <c r="F719" s="266"/>
      <c r="G719" s="266"/>
      <c r="H719" s="266"/>
      <c r="I719" s="267"/>
      <c r="K719" s="169" t="s">
        <v>339</v>
      </c>
      <c r="L719" s="161"/>
      <c r="M719" s="162"/>
      <c r="O719" s="265" t="s">
        <v>346</v>
      </c>
      <c r="P719" s="266"/>
      <c r="Q719" s="266"/>
      <c r="R719" s="266"/>
      <c r="S719" s="267"/>
      <c r="U719" s="169" t="s">
        <v>339</v>
      </c>
      <c r="V719" s="161"/>
      <c r="W719" s="162"/>
      <c r="Y719" s="265" t="s">
        <v>346</v>
      </c>
      <c r="Z719" s="266"/>
      <c r="AA719" s="266"/>
      <c r="AB719" s="266"/>
      <c r="AC719" s="267"/>
    </row>
    <row r="720" spans="1:29" x14ac:dyDescent="0.3">
      <c r="A720" s="150" t="s">
        <v>307</v>
      </c>
      <c r="B720" s="247" t="s">
        <v>260</v>
      </c>
      <c r="C720" s="248"/>
      <c r="E720" s="254" t="s">
        <v>33</v>
      </c>
      <c r="F720" s="257" t="s">
        <v>555</v>
      </c>
      <c r="G720" s="257" t="s">
        <v>556</v>
      </c>
      <c r="H720" s="257" t="s">
        <v>557</v>
      </c>
      <c r="I720" s="258" t="s">
        <v>558</v>
      </c>
      <c r="K720" s="150" t="s">
        <v>307</v>
      </c>
      <c r="L720" s="247" t="s">
        <v>260</v>
      </c>
      <c r="M720" s="248"/>
      <c r="O720" s="254" t="s">
        <v>33</v>
      </c>
      <c r="P720" s="257" t="s">
        <v>555</v>
      </c>
      <c r="Q720" s="257" t="s">
        <v>556</v>
      </c>
      <c r="R720" s="257" t="s">
        <v>557</v>
      </c>
      <c r="S720" s="258" t="s">
        <v>558</v>
      </c>
      <c r="U720" s="150" t="s">
        <v>307</v>
      </c>
      <c r="V720" s="247" t="s">
        <v>260</v>
      </c>
      <c r="W720" s="248"/>
      <c r="Y720" s="254" t="s">
        <v>33</v>
      </c>
      <c r="Z720" s="257" t="s">
        <v>555</v>
      </c>
      <c r="AA720" s="257" t="s">
        <v>556</v>
      </c>
      <c r="AB720" s="257" t="s">
        <v>557</v>
      </c>
      <c r="AC720" s="258" t="s">
        <v>558</v>
      </c>
    </row>
    <row r="721" spans="1:29" x14ac:dyDescent="0.3">
      <c r="A721" s="150" t="s">
        <v>308</v>
      </c>
      <c r="B721" s="247" t="s">
        <v>1418</v>
      </c>
      <c r="C721" s="248"/>
      <c r="E721" s="253" t="s">
        <v>159</v>
      </c>
      <c r="F721" s="322">
        <v>9.1999999999999993</v>
      </c>
      <c r="G721" s="285">
        <v>11.8</v>
      </c>
      <c r="H721" s="285">
        <f>I721/B717</f>
        <v>1666.4177119999997</v>
      </c>
      <c r="I721" s="286">
        <f>F721*G721*I717*B717</f>
        <v>11598.267275519998</v>
      </c>
      <c r="K721" s="150" t="s">
        <v>308</v>
      </c>
      <c r="L721" s="247" t="s">
        <v>1324</v>
      </c>
      <c r="M721" s="248"/>
      <c r="O721" s="253" t="s">
        <v>159</v>
      </c>
      <c r="P721" s="322">
        <v>9.1999999999999993</v>
      </c>
      <c r="Q721" s="285">
        <v>6.0140000000000002</v>
      </c>
      <c r="R721" s="285">
        <f>S721/L717</f>
        <v>849.30814575999989</v>
      </c>
      <c r="S721" s="286">
        <f>P721*Q721*S717*L717</f>
        <v>5826.2538799135991</v>
      </c>
      <c r="U721" s="150" t="s">
        <v>308</v>
      </c>
      <c r="V721" s="247" t="s">
        <v>1324</v>
      </c>
      <c r="W721" s="248"/>
      <c r="Y721" s="253" t="s">
        <v>159</v>
      </c>
      <c r="Z721" s="322">
        <v>9.1999999999999993</v>
      </c>
      <c r="AA721" s="285">
        <v>6.0140000000000002</v>
      </c>
      <c r="AB721" s="285">
        <v>849.30814576</v>
      </c>
      <c r="AC721" s="286">
        <v>5826.2538799136</v>
      </c>
    </row>
    <row r="722" spans="1:29" x14ac:dyDescent="0.3">
      <c r="A722" s="150" t="s">
        <v>551</v>
      </c>
      <c r="B722" s="247" t="s">
        <v>260</v>
      </c>
      <c r="C722" s="248"/>
      <c r="E722" s="256" t="s">
        <v>1420</v>
      </c>
      <c r="F722" s="269">
        <v>5</v>
      </c>
      <c r="G722" s="259">
        <v>9.0500000000000007</v>
      </c>
      <c r="H722" s="259">
        <f>I722/B717</f>
        <v>694.59654999999987</v>
      </c>
      <c r="I722" s="260">
        <f>F722*G722*I717*B717</f>
        <v>4834.3919879999994</v>
      </c>
      <c r="K722" s="150" t="s">
        <v>551</v>
      </c>
      <c r="L722" s="247" t="s">
        <v>260</v>
      </c>
      <c r="M722" s="248"/>
      <c r="O722" s="256" t="s">
        <v>1420</v>
      </c>
      <c r="P722" s="269">
        <v>5</v>
      </c>
      <c r="Q722" s="259">
        <v>8.0500000000000007</v>
      </c>
      <c r="R722" s="259">
        <f>S722/L717</f>
        <v>617.84554999999989</v>
      </c>
      <c r="S722" s="260">
        <f>P722*Q722*S717*L717</f>
        <v>4238.4204729999992</v>
      </c>
      <c r="U722" s="150" t="s">
        <v>551</v>
      </c>
      <c r="V722" s="247" t="s">
        <v>260</v>
      </c>
      <c r="W722" s="248"/>
      <c r="Y722" s="256" t="s">
        <v>1420</v>
      </c>
      <c r="Z722" s="269">
        <v>5</v>
      </c>
      <c r="AA722" s="259">
        <v>8.0500000000000007</v>
      </c>
      <c r="AB722" s="259">
        <v>617.84555</v>
      </c>
      <c r="AC722" s="260">
        <v>4238.4204730000001</v>
      </c>
    </row>
    <row r="723" spans="1:29" ht="15" thickBot="1" x14ac:dyDescent="0.35">
      <c r="A723" s="150" t="s">
        <v>311</v>
      </c>
      <c r="B723" s="247" t="s">
        <v>312</v>
      </c>
      <c r="C723" s="248"/>
      <c r="E723" s="141" t="s">
        <v>559</v>
      </c>
      <c r="F723" s="263"/>
      <c r="G723" s="263"/>
      <c r="H723" s="263">
        <f>SUM(H721:H722)</f>
        <v>2361.0142619999997</v>
      </c>
      <c r="I723" s="264">
        <f>SUM(I721:I722)</f>
        <v>16432.65926352</v>
      </c>
      <c r="K723" s="150" t="s">
        <v>311</v>
      </c>
      <c r="L723" s="247" t="s">
        <v>312</v>
      </c>
      <c r="M723" s="248"/>
      <c r="O723" s="141" t="s">
        <v>559</v>
      </c>
      <c r="P723" s="263"/>
      <c r="Q723" s="263"/>
      <c r="R723" s="263">
        <f>SUM(R721:R722)</f>
        <v>1467.1536957599997</v>
      </c>
      <c r="S723" s="264">
        <f>SUM(S721:S722)</f>
        <v>10064.674352913598</v>
      </c>
      <c r="U723" s="150" t="s">
        <v>311</v>
      </c>
      <c r="V723" s="247" t="s">
        <v>312</v>
      </c>
      <c r="W723" s="248"/>
      <c r="Y723" s="141" t="s">
        <v>559</v>
      </c>
      <c r="Z723" s="263"/>
      <c r="AA723" s="263"/>
      <c r="AB723" s="263">
        <v>1467.1536957599999</v>
      </c>
      <c r="AC723" s="264">
        <v>10064.6743529136</v>
      </c>
    </row>
    <row r="724" spans="1:29" ht="15" thickTop="1" x14ac:dyDescent="0.3">
      <c r="A724" s="150" t="s">
        <v>314</v>
      </c>
      <c r="B724" s="247" t="s">
        <v>260</v>
      </c>
      <c r="C724" s="248"/>
      <c r="E724" s="270" t="s">
        <v>387</v>
      </c>
      <c r="F724" s="271"/>
      <c r="G724" s="271"/>
      <c r="H724" s="271"/>
      <c r="I724" s="272"/>
      <c r="K724" s="150" t="s">
        <v>314</v>
      </c>
      <c r="L724" s="247" t="s">
        <v>260</v>
      </c>
      <c r="M724" s="248"/>
      <c r="O724" s="270" t="s">
        <v>387</v>
      </c>
      <c r="P724" s="271"/>
      <c r="Q724" s="271"/>
      <c r="R724" s="271"/>
      <c r="S724" s="272"/>
      <c r="U724" s="150" t="s">
        <v>314</v>
      </c>
      <c r="V724" s="247" t="s">
        <v>260</v>
      </c>
      <c r="W724" s="248"/>
      <c r="Y724" s="270" t="s">
        <v>387</v>
      </c>
      <c r="Z724" s="271"/>
      <c r="AA724" s="271"/>
      <c r="AB724" s="271"/>
      <c r="AC724" s="272"/>
    </row>
    <row r="725" spans="1:29" x14ac:dyDescent="0.3">
      <c r="A725" s="150" t="s">
        <v>315</v>
      </c>
      <c r="B725" s="247" t="s">
        <v>260</v>
      </c>
      <c r="C725" s="248"/>
      <c r="E725" s="150" t="s">
        <v>537</v>
      </c>
      <c r="F725" s="247"/>
      <c r="G725" s="247"/>
      <c r="H725" s="247"/>
      <c r="I725" s="248"/>
      <c r="K725" s="150" t="s">
        <v>315</v>
      </c>
      <c r="L725" s="247" t="s">
        <v>260</v>
      </c>
      <c r="M725" s="248"/>
      <c r="O725" s="150" t="s">
        <v>537</v>
      </c>
      <c r="P725" s="247"/>
      <c r="Q725" s="247"/>
      <c r="R725" s="247"/>
      <c r="S725" s="248"/>
      <c r="U725" s="150" t="s">
        <v>315</v>
      </c>
      <c r="V725" s="247" t="s">
        <v>260</v>
      </c>
      <c r="W725" s="248"/>
      <c r="Y725" s="150" t="s">
        <v>537</v>
      </c>
      <c r="Z725" s="247"/>
      <c r="AA725" s="247"/>
      <c r="AB725" s="247"/>
      <c r="AC725" s="248"/>
    </row>
    <row r="726" spans="1:29" x14ac:dyDescent="0.3">
      <c r="A726" s="150" t="s">
        <v>771</v>
      </c>
      <c r="B726" s="247" t="s">
        <v>260</v>
      </c>
      <c r="C726" s="248"/>
      <c r="E726" s="150" t="s">
        <v>1331</v>
      </c>
      <c r="F726" s="247"/>
      <c r="G726" s="247">
        <v>3</v>
      </c>
      <c r="H726" s="247">
        <f>I726/B717</f>
        <v>70.83042786</v>
      </c>
      <c r="I726" s="248">
        <f>I723*G726/100</f>
        <v>492.97977790559997</v>
      </c>
      <c r="K726" s="150" t="s">
        <v>771</v>
      </c>
      <c r="L726" s="247" t="s">
        <v>260</v>
      </c>
      <c r="M726" s="248"/>
      <c r="O726" s="150" t="s">
        <v>1331</v>
      </c>
      <c r="P726" s="247"/>
      <c r="Q726" s="247">
        <v>3</v>
      </c>
      <c r="R726" s="247">
        <f>S726/L717</f>
        <v>44.014610872799992</v>
      </c>
      <c r="S726" s="248">
        <f>S723*Q726/100</f>
        <v>301.94023058740794</v>
      </c>
      <c r="U726" s="150" t="s">
        <v>771</v>
      </c>
      <c r="V726" s="247" t="s">
        <v>260</v>
      </c>
      <c r="W726" s="248"/>
      <c r="Y726" s="150" t="s">
        <v>1331</v>
      </c>
      <c r="Z726" s="247"/>
      <c r="AA726" s="247">
        <v>3</v>
      </c>
      <c r="AB726" s="247">
        <v>44.014610872799999</v>
      </c>
      <c r="AC726" s="248">
        <v>301.940230587408</v>
      </c>
    </row>
    <row r="727" spans="1:29" x14ac:dyDescent="0.3">
      <c r="A727" s="150" t="s">
        <v>1341</v>
      </c>
      <c r="B727" s="247" t="s">
        <v>260</v>
      </c>
      <c r="C727" s="248"/>
      <c r="E727" s="150" t="s">
        <v>1421</v>
      </c>
      <c r="F727" s="247"/>
      <c r="G727" s="247">
        <v>3.6</v>
      </c>
      <c r="H727" s="247">
        <f>I727/B717</f>
        <v>84.996513432</v>
      </c>
      <c r="I727" s="248">
        <f>I723*G727/100</f>
        <v>591.57573348671997</v>
      </c>
      <c r="K727" s="150" t="s">
        <v>1341</v>
      </c>
      <c r="L727" s="247" t="s">
        <v>260</v>
      </c>
      <c r="M727" s="248"/>
      <c r="O727" s="150" t="s">
        <v>1421</v>
      </c>
      <c r="P727" s="247"/>
      <c r="Q727" s="247">
        <v>3.6</v>
      </c>
      <c r="R727" s="247">
        <f>S727/L717</f>
        <v>52.817533047359994</v>
      </c>
      <c r="S727" s="248">
        <f>S723*Q727/100</f>
        <v>362.32827670488956</v>
      </c>
      <c r="U727" s="150" t="s">
        <v>1341</v>
      </c>
      <c r="V727" s="247" t="s">
        <v>260</v>
      </c>
      <c r="W727" s="248"/>
      <c r="Y727" s="150" t="s">
        <v>1421</v>
      </c>
      <c r="Z727" s="247"/>
      <c r="AA727" s="247">
        <v>3.6</v>
      </c>
      <c r="AB727" s="247">
        <v>52.817533047360001</v>
      </c>
      <c r="AC727" s="248">
        <v>362.32827670489002</v>
      </c>
    </row>
    <row r="728" spans="1:29" x14ac:dyDescent="0.3">
      <c r="A728" s="150" t="s">
        <v>1336</v>
      </c>
      <c r="B728" s="247" t="s">
        <v>260</v>
      </c>
      <c r="C728" s="248"/>
      <c r="E728" s="150" t="s">
        <v>1189</v>
      </c>
      <c r="F728" s="247"/>
      <c r="G728" s="247"/>
      <c r="H728" s="247"/>
      <c r="I728" s="248"/>
      <c r="K728" s="150" t="s">
        <v>1336</v>
      </c>
      <c r="L728" s="247" t="s">
        <v>260</v>
      </c>
      <c r="M728" s="248"/>
      <c r="O728" s="150" t="s">
        <v>1189</v>
      </c>
      <c r="P728" s="247"/>
      <c r="Q728" s="247"/>
      <c r="R728" s="247"/>
      <c r="S728" s="248"/>
      <c r="U728" s="150" t="s">
        <v>1336</v>
      </c>
      <c r="V728" s="247" t="s">
        <v>260</v>
      </c>
      <c r="W728" s="248"/>
      <c r="Y728" s="150" t="s">
        <v>1189</v>
      </c>
      <c r="Z728" s="247"/>
      <c r="AA728" s="247"/>
      <c r="AB728" s="247"/>
      <c r="AC728" s="248"/>
    </row>
    <row r="729" spans="1:29" x14ac:dyDescent="0.3">
      <c r="A729" s="150" t="s">
        <v>1337</v>
      </c>
      <c r="B729" s="247" t="s">
        <v>260</v>
      </c>
      <c r="C729" s="248"/>
      <c r="E729" s="150" t="s">
        <v>1333</v>
      </c>
      <c r="F729" s="247"/>
      <c r="G729" s="247">
        <v>1.85</v>
      </c>
      <c r="H729" s="247">
        <f>I726/B717</f>
        <v>70.83042786</v>
      </c>
      <c r="I729" s="248">
        <f>I723*G729/100</f>
        <v>304.00419637511999</v>
      </c>
      <c r="K729" s="150" t="s">
        <v>1337</v>
      </c>
      <c r="L729" s="247" t="s">
        <v>260</v>
      </c>
      <c r="M729" s="248"/>
      <c r="O729" s="150" t="s">
        <v>1333</v>
      </c>
      <c r="P729" s="247"/>
      <c r="Q729" s="247">
        <v>1.85</v>
      </c>
      <c r="R729" s="247">
        <f>S726/L717</f>
        <v>44.014610872799992</v>
      </c>
      <c r="S729" s="248">
        <f>S723*Q729/100</f>
        <v>186.19647552890157</v>
      </c>
      <c r="U729" s="150" t="s">
        <v>1337</v>
      </c>
      <c r="V729" s="247" t="s">
        <v>260</v>
      </c>
      <c r="W729" s="248"/>
      <c r="Y729" s="150" t="s">
        <v>1333</v>
      </c>
      <c r="Z729" s="247"/>
      <c r="AA729" s="247">
        <v>1.85</v>
      </c>
      <c r="AB729" s="247">
        <v>27.142343371559999</v>
      </c>
      <c r="AC729" s="248">
        <v>186.196475528902</v>
      </c>
    </row>
    <row r="730" spans="1:29" x14ac:dyDescent="0.3">
      <c r="A730" s="244" t="s">
        <v>1338</v>
      </c>
      <c r="B730" s="246" t="s">
        <v>260</v>
      </c>
      <c r="C730" s="249"/>
      <c r="E730" s="150" t="s">
        <v>1334</v>
      </c>
      <c r="F730" s="247"/>
      <c r="G730" s="247">
        <v>1</v>
      </c>
      <c r="H730" s="247">
        <f>I727/B717</f>
        <v>84.996513432</v>
      </c>
      <c r="I730" s="248">
        <f>I723*G730/100</f>
        <v>164.3265926352</v>
      </c>
      <c r="K730" s="244" t="s">
        <v>1338</v>
      </c>
      <c r="L730" s="246" t="s">
        <v>260</v>
      </c>
      <c r="M730" s="249"/>
      <c r="O730" s="150" t="s">
        <v>1334</v>
      </c>
      <c r="P730" s="247"/>
      <c r="Q730" s="247">
        <v>1</v>
      </c>
      <c r="R730" s="247">
        <f>S727/L717</f>
        <v>52.817533047359994</v>
      </c>
      <c r="S730" s="248">
        <f>S723*Q730/100</f>
        <v>100.64674352913599</v>
      </c>
      <c r="U730" s="244" t="s">
        <v>1338</v>
      </c>
      <c r="V730" s="246" t="s">
        <v>260</v>
      </c>
      <c r="W730" s="249"/>
      <c r="Y730" s="150" t="s">
        <v>1334</v>
      </c>
      <c r="Z730" s="247"/>
      <c r="AA730" s="247">
        <v>1</v>
      </c>
      <c r="AB730" s="247">
        <v>14.671536957600001</v>
      </c>
      <c r="AC730" s="248">
        <v>100.646743529136</v>
      </c>
    </row>
    <row r="731" spans="1:29" x14ac:dyDescent="0.3">
      <c r="E731" s="150" t="s">
        <v>1188</v>
      </c>
      <c r="F731" s="247"/>
      <c r="G731" s="247"/>
      <c r="H731" s="247"/>
      <c r="I731" s="248"/>
      <c r="O731" s="150" t="s">
        <v>1188</v>
      </c>
      <c r="P731" s="247"/>
      <c r="Q731" s="247"/>
      <c r="R731" s="247"/>
      <c r="S731" s="248"/>
      <c r="Y731" s="150" t="s">
        <v>1188</v>
      </c>
      <c r="Z731" s="247"/>
      <c r="AA731" s="247"/>
      <c r="AB731" s="247"/>
      <c r="AC731" s="248"/>
    </row>
    <row r="732" spans="1:29" x14ac:dyDescent="0.3">
      <c r="E732" s="150" t="s">
        <v>1422</v>
      </c>
      <c r="F732" s="247"/>
      <c r="G732" s="247">
        <v>0.7</v>
      </c>
      <c r="H732" s="247">
        <f>I732/B717</f>
        <v>16.527099834000001</v>
      </c>
      <c r="I732" s="248">
        <f>I723*G732/100</f>
        <v>115.02861484464</v>
      </c>
      <c r="O732" s="150" t="s">
        <v>1422</v>
      </c>
      <c r="P732" s="247"/>
      <c r="Q732" s="247">
        <v>0.7</v>
      </c>
      <c r="R732" s="247">
        <f>S732/L717</f>
        <v>10.270075870319998</v>
      </c>
      <c r="S732" s="248">
        <f>S723*Q732/100</f>
        <v>70.452720470395192</v>
      </c>
      <c r="Y732" s="150" t="s">
        <v>1422</v>
      </c>
      <c r="Z732" s="247"/>
      <c r="AA732" s="247">
        <v>0.7</v>
      </c>
      <c r="AB732" s="247">
        <v>10.270075870319999</v>
      </c>
      <c r="AC732" s="248">
        <v>70.452720470395207</v>
      </c>
    </row>
    <row r="733" spans="1:29" x14ac:dyDescent="0.3">
      <c r="E733" s="150" t="s">
        <v>1423</v>
      </c>
      <c r="F733" s="247"/>
      <c r="G733" s="247">
        <v>0.1</v>
      </c>
      <c r="H733" s="247">
        <f>I733/B717</f>
        <v>2.3610142619999999</v>
      </c>
      <c r="I733" s="248">
        <f>I723*G733/100</f>
        <v>16.432659263519998</v>
      </c>
      <c r="O733" s="150" t="s">
        <v>1423</v>
      </c>
      <c r="P733" s="247"/>
      <c r="Q733" s="247">
        <v>0.1</v>
      </c>
      <c r="R733" s="247">
        <f>S733/L717</f>
        <v>1.4671536957599998</v>
      </c>
      <c r="S733" s="248">
        <f>S723*Q733/100</f>
        <v>10.064674352913599</v>
      </c>
      <c r="Y733" s="150" t="s">
        <v>1423</v>
      </c>
      <c r="Z733" s="247"/>
      <c r="AA733" s="247">
        <v>0.1</v>
      </c>
      <c r="AB733" s="247">
        <v>1.46715369576</v>
      </c>
      <c r="AC733" s="248">
        <v>10.064674352913601</v>
      </c>
    </row>
    <row r="734" spans="1:29" x14ac:dyDescent="0.3">
      <c r="E734" s="150" t="s">
        <v>1424</v>
      </c>
      <c r="F734" s="247"/>
      <c r="G734" s="247">
        <v>0.3</v>
      </c>
      <c r="H734" s="247">
        <f>I734/B717</f>
        <v>7.083042786</v>
      </c>
      <c r="I734" s="248">
        <f>I723*G734/100</f>
        <v>49.297977790559997</v>
      </c>
      <c r="O734" s="150" t="s">
        <v>1424</v>
      </c>
      <c r="P734" s="247"/>
      <c r="Q734" s="247">
        <v>0.3</v>
      </c>
      <c r="R734" s="247">
        <f>S734/L717</f>
        <v>4.4014610872799995</v>
      </c>
      <c r="S734" s="248">
        <f>S723*Q734/100</f>
        <v>30.194023058740797</v>
      </c>
      <c r="Y734" s="150" t="s">
        <v>1424</v>
      </c>
      <c r="Z734" s="247"/>
      <c r="AA734" s="247">
        <v>0.3</v>
      </c>
      <c r="AB734" s="247">
        <v>4.4014610872800004</v>
      </c>
      <c r="AC734" s="248">
        <v>30.1940230587408</v>
      </c>
    </row>
    <row r="735" spans="1:29" x14ac:dyDescent="0.3">
      <c r="E735" s="150" t="s">
        <v>1425</v>
      </c>
      <c r="F735" s="247"/>
      <c r="G735" s="247">
        <v>1</v>
      </c>
      <c r="H735" s="247">
        <f>I735/B717</f>
        <v>23.610142620000001</v>
      </c>
      <c r="I735" s="248">
        <f>I723*G735/100</f>
        <v>164.3265926352</v>
      </c>
      <c r="O735" s="150" t="s">
        <v>1425</v>
      </c>
      <c r="P735" s="247"/>
      <c r="Q735" s="247">
        <v>1</v>
      </c>
      <c r="R735" s="247">
        <f>S735/L717</f>
        <v>14.671536957599997</v>
      </c>
      <c r="S735" s="248">
        <f>S723*Q735/100</f>
        <v>100.64674352913599</v>
      </c>
      <c r="Y735" s="150" t="s">
        <v>1425</v>
      </c>
      <c r="Z735" s="247"/>
      <c r="AA735" s="247">
        <v>1</v>
      </c>
      <c r="AB735" s="247">
        <v>14.671536957600001</v>
      </c>
      <c r="AC735" s="248">
        <v>100.646743529136</v>
      </c>
    </row>
    <row r="736" spans="1:29" x14ac:dyDescent="0.3">
      <c r="E736" s="150" t="s">
        <v>535</v>
      </c>
      <c r="F736" s="247"/>
      <c r="G736" s="247"/>
      <c r="H736" s="247"/>
      <c r="I736" s="248"/>
      <c r="O736" s="150" t="s">
        <v>535</v>
      </c>
      <c r="P736" s="247"/>
      <c r="Q736" s="247"/>
      <c r="R736" s="247"/>
      <c r="S736" s="248"/>
      <c r="Y736" s="150" t="s">
        <v>535</v>
      </c>
      <c r="Z736" s="247"/>
      <c r="AA736" s="247"/>
      <c r="AB736" s="247"/>
      <c r="AC736" s="248"/>
    </row>
    <row r="737" spans="1:29" x14ac:dyDescent="0.3">
      <c r="E737" s="151" t="s">
        <v>1426</v>
      </c>
      <c r="F737" s="273"/>
      <c r="G737" s="273"/>
      <c r="H737" s="273">
        <f>I737/B717</f>
        <v>35.919540229885058</v>
      </c>
      <c r="I737" s="274">
        <v>250</v>
      </c>
      <c r="O737" s="151" t="s">
        <v>1426</v>
      </c>
      <c r="P737" s="273"/>
      <c r="Q737" s="273"/>
      <c r="R737" s="273">
        <f>S737/L717</f>
        <v>36.443148688046648</v>
      </c>
      <c r="S737" s="274">
        <v>250</v>
      </c>
      <c r="Y737" s="151" t="s">
        <v>1426</v>
      </c>
      <c r="Z737" s="273"/>
      <c r="AA737" s="273"/>
      <c r="AB737" s="273">
        <v>36.443148688046598</v>
      </c>
      <c r="AC737" s="274">
        <v>250</v>
      </c>
    </row>
    <row r="738" spans="1:29" ht="15" thickBot="1" x14ac:dyDescent="0.35">
      <c r="E738" s="154" t="s">
        <v>561</v>
      </c>
      <c r="F738" s="261"/>
      <c r="G738" s="261"/>
      <c r="H738" s="261">
        <f>SUM(H725:H737)</f>
        <v>397.15472231588512</v>
      </c>
      <c r="I738" s="262">
        <f>SUM(I725:I737)</f>
        <v>2147.9721449365602</v>
      </c>
      <c r="O738" s="154" t="s">
        <v>561</v>
      </c>
      <c r="P738" s="261"/>
      <c r="Q738" s="261"/>
      <c r="R738" s="261">
        <f>SUM(R725:R737)</f>
        <v>260.91766413932669</v>
      </c>
      <c r="S738" s="262">
        <f>SUM(S725:S737)</f>
        <v>1412.4698877615208</v>
      </c>
      <c r="Y738" s="154" t="s">
        <v>561</v>
      </c>
      <c r="Z738" s="261"/>
      <c r="AA738" s="261"/>
      <c r="AB738" s="261">
        <v>205.89940054832701</v>
      </c>
      <c r="AC738" s="262">
        <v>1412.4698877615201</v>
      </c>
    </row>
    <row r="739" spans="1:29" ht="15" thickTop="1" x14ac:dyDescent="0.3"/>
    <row r="740" spans="1:29" x14ac:dyDescent="0.3">
      <c r="A740" s="250" t="s">
        <v>566</v>
      </c>
      <c r="B740" s="251"/>
      <c r="C740" s="251"/>
      <c r="D740" s="251"/>
      <c r="E740" s="251"/>
      <c r="F740" s="251"/>
      <c r="G740" s="251"/>
      <c r="H740" s="251" t="s">
        <v>563</v>
      </c>
      <c r="I740" s="252" t="s">
        <v>564</v>
      </c>
      <c r="K740" s="250" t="s">
        <v>566</v>
      </c>
      <c r="L740" s="251"/>
      <c r="M740" s="251"/>
      <c r="N740" s="251"/>
      <c r="O740" s="251"/>
      <c r="P740" s="251"/>
      <c r="Q740" s="251"/>
      <c r="R740" s="251" t="s">
        <v>563</v>
      </c>
      <c r="S740" s="252" t="s">
        <v>564</v>
      </c>
      <c r="U740" s="250" t="s">
        <v>566</v>
      </c>
      <c r="V740" s="251"/>
      <c r="W740" s="251"/>
      <c r="X740" s="251"/>
      <c r="Y740" s="251"/>
      <c r="Z740" s="251"/>
      <c r="AA740" s="251"/>
      <c r="AB740" s="251" t="s">
        <v>563</v>
      </c>
      <c r="AC740" s="252" t="s">
        <v>564</v>
      </c>
    </row>
    <row r="741" spans="1:29" x14ac:dyDescent="0.3">
      <c r="A741" s="276" t="s">
        <v>1410</v>
      </c>
      <c r="B741" s="278"/>
      <c r="C741" s="278"/>
      <c r="D741" s="278"/>
      <c r="E741" s="278"/>
      <c r="F741" s="278"/>
      <c r="G741" s="278"/>
      <c r="H741" s="278">
        <f>I741/B717</f>
        <v>2052.3975745091147</v>
      </c>
      <c r="I741" s="277">
        <f>SUM(I723,-I738)</f>
        <v>14284.687118583439</v>
      </c>
      <c r="K741" s="276" t="s">
        <v>1410</v>
      </c>
      <c r="L741" s="278"/>
      <c r="M741" s="278"/>
      <c r="N741" s="278"/>
      <c r="O741" s="278"/>
      <c r="P741" s="278"/>
      <c r="Q741" s="278"/>
      <c r="R741" s="278">
        <f>S741/L717</f>
        <v>1261.254295211673</v>
      </c>
      <c r="S741" s="277">
        <f>SUM(S723,-S738)</f>
        <v>8652.2044651520773</v>
      </c>
      <c r="U741" s="276" t="s">
        <v>565</v>
      </c>
      <c r="V741" s="278"/>
      <c r="W741" s="278"/>
      <c r="X741" s="278"/>
      <c r="Y741" s="278"/>
      <c r="Z741" s="278"/>
      <c r="AA741" s="278"/>
      <c r="AB741" s="278">
        <v>1261.2542952116701</v>
      </c>
      <c r="AC741" s="277">
        <v>8652.2044651520791</v>
      </c>
    </row>
    <row r="742" spans="1:29" x14ac:dyDescent="0.3">
      <c r="A742" s="275" t="s">
        <v>324</v>
      </c>
      <c r="B742" s="513" t="str">
        <f ca="1">EQL_NUMERO_A_TEXTO(I741,"BOLIVIANO","BOLIVIANOS",0)</f>
        <v>CATORCE MIL DOSCIENTOS OCHENTA Y CUATRO 69/100 BOLIVIANOS</v>
      </c>
      <c r="C742" s="513"/>
      <c r="D742" s="513"/>
      <c r="E742" s="513"/>
      <c r="F742" s="513"/>
      <c r="G742" s="513"/>
      <c r="H742" s="513"/>
      <c r="I742" s="514"/>
      <c r="K742" s="275" t="s">
        <v>324</v>
      </c>
      <c r="L742" s="513" t="str">
        <f ca="1">EQL_NUMERO_A_TEXTO(S741,"BOLIVIANO","BOLIVIANOS",0)</f>
        <v>OCHO MIL SEISCIENTOS CINCUENTA Y DOS 20/100 BOLIVIANOS</v>
      </c>
      <c r="M742" s="513"/>
      <c r="N742" s="513"/>
      <c r="O742" s="513"/>
      <c r="P742" s="513"/>
      <c r="Q742" s="513"/>
      <c r="R742" s="513"/>
      <c r="S742" s="514"/>
      <c r="U742" s="275" t="s">
        <v>324</v>
      </c>
      <c r="V742" s="513" t="s">
        <v>1428</v>
      </c>
      <c r="W742" s="513"/>
      <c r="X742" s="513"/>
      <c r="Y742" s="513"/>
      <c r="Z742" s="513"/>
      <c r="AA742" s="513"/>
      <c r="AB742" s="513"/>
      <c r="AC742" s="514"/>
    </row>
    <row r="743" spans="1:29" x14ac:dyDescent="0.3">
      <c r="A743" s="255"/>
      <c r="B743" s="515"/>
      <c r="C743" s="515"/>
      <c r="D743" s="515"/>
      <c r="E743" s="515"/>
      <c r="F743" s="515"/>
      <c r="G743" s="515"/>
      <c r="H743" s="515"/>
      <c r="I743" s="516"/>
      <c r="K743" s="255"/>
      <c r="L743" s="515"/>
      <c r="M743" s="515"/>
      <c r="N743" s="515"/>
      <c r="O743" s="515"/>
      <c r="P743" s="515"/>
      <c r="Q743" s="515"/>
      <c r="R743" s="515"/>
      <c r="S743" s="516"/>
      <c r="U743" s="255"/>
      <c r="V743" s="515"/>
      <c r="W743" s="515"/>
      <c r="X743" s="515"/>
      <c r="Y743" s="515"/>
      <c r="Z743" s="515"/>
      <c r="AA743" s="515"/>
      <c r="AB743" s="515"/>
      <c r="AC743" s="516"/>
    </row>
    <row r="746" spans="1:29" x14ac:dyDescent="0.3">
      <c r="A746" s="279" t="s">
        <v>325</v>
      </c>
      <c r="B746" s="279"/>
      <c r="E746" s="281" t="s">
        <v>326</v>
      </c>
      <c r="F746" s="281"/>
      <c r="H746" s="279" t="s">
        <v>306</v>
      </c>
      <c r="I746" s="279"/>
      <c r="K746" s="279" t="s">
        <v>325</v>
      </c>
      <c r="L746" s="279"/>
      <c r="O746" s="281" t="s">
        <v>326</v>
      </c>
      <c r="P746" s="281"/>
      <c r="R746" s="279" t="s">
        <v>306</v>
      </c>
      <c r="S746" s="279"/>
      <c r="U746" s="279" t="s">
        <v>325</v>
      </c>
      <c r="V746" s="279"/>
      <c r="Y746" s="281" t="s">
        <v>326</v>
      </c>
      <c r="Z746" s="281"/>
      <c r="AB746" s="279" t="s">
        <v>306</v>
      </c>
      <c r="AC746" s="279"/>
    </row>
    <row r="747" spans="1:29" x14ac:dyDescent="0.3">
      <c r="A747" s="280"/>
      <c r="B747" s="280"/>
      <c r="E747" s="280"/>
      <c r="F747" s="280"/>
      <c r="H747" s="280"/>
      <c r="I747" s="280"/>
      <c r="K747" s="280"/>
      <c r="L747" s="280"/>
      <c r="O747" s="280"/>
      <c r="P747" s="280"/>
      <c r="R747" s="280"/>
      <c r="S747" s="280"/>
      <c r="U747" s="280"/>
      <c r="V747" s="280"/>
      <c r="Y747" s="280"/>
      <c r="Z747" s="280"/>
      <c r="AB747" s="280"/>
      <c r="AC747" s="280"/>
    </row>
  </sheetData>
  <mergeCells count="23">
    <mergeCell ref="B742:I743"/>
    <mergeCell ref="L742:S743"/>
    <mergeCell ref="V742:AC743"/>
    <mergeCell ref="B653:I654"/>
    <mergeCell ref="L651:S652"/>
    <mergeCell ref="B690:I691"/>
    <mergeCell ref="K689:R690"/>
    <mergeCell ref="AE243:AL244"/>
    <mergeCell ref="B540:I541"/>
    <mergeCell ref="B500:I501"/>
    <mergeCell ref="B578:I579"/>
    <mergeCell ref="B613:I614"/>
    <mergeCell ref="K612:R613"/>
    <mergeCell ref="T185:AA186"/>
    <mergeCell ref="D243:K244"/>
    <mergeCell ref="M243:T244"/>
    <mergeCell ref="V243:AC244"/>
    <mergeCell ref="B189:I190"/>
    <mergeCell ref="K179:R180"/>
    <mergeCell ref="B448:I449"/>
    <mergeCell ref="B402:I403"/>
    <mergeCell ref="B349:I350"/>
    <mergeCell ref="B294:I295"/>
  </mergeCells>
  <dataValidations disablePrompts="1" count="14">
    <dataValidation type="list" allowBlank="1" showInputMessage="1" sqref="E40 E92 W189 N183 E193 G247 P247 Y247 AH247 E298 E353 E406 E452 E504 E544 N693 E694 O655 E657 N616 E617 E582" xr:uid="{2F9F7A44-A4C9-4F2D-89AF-FC5557024614}">
      <formula1>"CAJERO, PAGADO POR"</formula1>
    </dataValidation>
    <dataValidation type="list" allowBlank="1" showInputMessage="1" sqref="A40 A92 S189 J183 A193 C247 L247 U247 AD247 A298 A353 A406 A452 A504 A544 J693 A694 K655 A657 J616 A617 A582" xr:uid="{A93FCF73-FCCB-4465-BC6E-4A8DAD0827AB}">
      <formula1>"DPTO. COMPRAS, REVISADO POR"</formula1>
    </dataValidation>
    <dataValidation type="list" allowBlank="1" showInputMessage="1" sqref="B158 T158 K158" xr:uid="{0BD5761D-E5E3-49BD-AA7A-82E25BED3A4D}">
      <formula1>"Simulación, Cliente, Archivo Empresa"</formula1>
    </dataValidation>
    <dataValidation type="list" allowBlank="1" showInputMessage="1" sqref="D205 M205 V205 AE205 B256 B311" xr:uid="{FF4C3D34-BEB9-4550-BC5F-BDDA5A8DFEF4}">
      <formula1>"SIMULACIÓN,CLIENTE,PROVEDOR,EMPRESA"</formula1>
    </dataValidation>
    <dataValidation type="list" allowBlank="1" showInputMessage="1" sqref="B369 B415 B473 B511 K666 B666 L624 B624 K589 B589 B551" xr:uid="{763E0A4D-EC70-4755-92EF-44E84EDDABDE}">
      <formula1>"SIMULACIÓN,PROVEDOR,EMPRESA,CLIENTE"</formula1>
    </dataValidation>
    <dataValidation type="list" allowBlank="1" showInputMessage="1" sqref="B712" xr:uid="{DD07FFF4-662A-42B7-8FE5-0C598369F1CD}">
      <formula1>"SIMULACIÓN,PROVEDOR,EMPRESA,CLIENTE"</formula1>
    </dataValidation>
    <dataValidation type="list" allowBlank="1" showInputMessage="1" sqref="A746" xr:uid="{EF547D93-F9E2-4ED2-A94C-3CAE173D845C}">
      <formula1>"DPTO. COMPRAS, REVISADO POR"</formula1>
    </dataValidation>
    <dataValidation type="list" allowBlank="1" showInputMessage="1" sqref="E746" xr:uid="{3E557033-1BF1-4B8F-B5D9-B01B370E73AB}">
      <formula1>"CAJERO, PAGADO POR"</formula1>
    </dataValidation>
    <dataValidation type="list" allowBlank="1" showInputMessage="1" sqref="L712" xr:uid="{8C19CD1F-FCB7-440F-BC95-AE569D358583}">
      <formula1>"SIMULACIÓN,PROVEDOR,EMPRESA,CLIENTE"</formula1>
    </dataValidation>
    <dataValidation type="list" allowBlank="1" showInputMessage="1" sqref="K746" xr:uid="{B14ED9BD-14CF-4B3C-9BD5-EBC0D0595B66}">
      <formula1>"DPTO. COMPRAS, REVISADO POR"</formula1>
    </dataValidation>
    <dataValidation type="list" allowBlank="1" showInputMessage="1" sqref="O746" xr:uid="{6D5D29D5-49F4-4365-905D-28B7EBA52EF0}">
      <formula1>"CAJERO, PAGADO POR"</formula1>
    </dataValidation>
    <dataValidation type="list" allowBlank="1" showInputMessage="1" sqref="V712" xr:uid="{2C952EB0-992C-4800-82DB-E38C2CB490EB}">
      <formula1>"SIMULACIÓN,PROVEDOR,EMPRESA,CLIENTE"</formula1>
    </dataValidation>
    <dataValidation type="list" allowBlank="1" showInputMessage="1" sqref="U746" xr:uid="{43664A7A-3CB6-45E9-A93E-522C2170EED6}">
      <formula1>"DPTO. COMPRAS, REVISADO POR"</formula1>
    </dataValidation>
    <dataValidation type="list" allowBlank="1" showInputMessage="1" sqref="Y746" xr:uid="{60B8A94B-6886-4B9E-B512-0D85765855A6}">
      <formula1>"CAJERO, PAGADO POR"</formula1>
    </dataValidation>
  </dataValidations>
  <pageMargins left="0.78740157480314965" right="0.39370078740157483" top="0.98425196850393704" bottom="0.78740157480314965" header="0.39370078740157483" footer="0.39370078740157483"/>
  <pageSetup scale="89" orientation="portrait" horizontalDpi="0" verticalDpi="0" r:id="rId1"/>
  <headerFooter>
    <oddHeader>&amp;LLOGO
&amp;CDatos Empresa</oddHeader>
    <oddFooter>&amp;LDatos Empresa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2" id="{F28B1C37-C94D-41A9-A080-BEA7DDCAB690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</x14:iconSet>
          </x14:cfRule>
          <xm:sqref>J12</xm:sqref>
        </x14:conditionalFormatting>
        <x14:conditionalFormatting xmlns:xm="http://schemas.microsoft.com/office/excel/2006/main">
          <x14:cfRule type="iconSet" priority="21" id="{5774DD1F-110B-49A2-8F8B-5BC86991473E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</x14:iconSet>
          </x14:cfRule>
          <xm:sqref>J17:J18</xm:sqref>
        </x14:conditionalFormatting>
        <x14:conditionalFormatting xmlns:xm="http://schemas.microsoft.com/office/excel/2006/main">
          <x14:cfRule type="iconSet" priority="20" id="{F5BF6357-AF8A-484C-877F-63AF4875A961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</x14:iconSet>
          </x14:cfRule>
          <xm:sqref>J29:J30</xm:sqref>
        </x14:conditionalFormatting>
        <x14:conditionalFormatting xmlns:xm="http://schemas.microsoft.com/office/excel/2006/main">
          <x14:cfRule type="iconSet" priority="19" id="{3F4C7EFA-58F5-43C3-A793-3F19A368B26F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</x14:iconSet>
          </x14:cfRule>
          <xm:sqref>U21:U22</xm:sqref>
        </x14:conditionalFormatting>
        <x14:conditionalFormatting xmlns:xm="http://schemas.microsoft.com/office/excel/2006/main">
          <x14:cfRule type="iconSet" priority="18" id="{836F4EE8-45FF-45CD-ADEE-9DF90786EC54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</x14:iconSet>
          </x14:cfRule>
          <xm:sqref>J10:J11</xm:sqref>
        </x14:conditionalFormatting>
        <x14:conditionalFormatting xmlns:xm="http://schemas.microsoft.com/office/excel/2006/main">
          <x14:cfRule type="iconSet" priority="17" id="{B2D26CE6-C051-425F-B020-EEC7FAB36BDA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</x14:iconSet>
          </x14:cfRule>
          <xm:sqref>J14:J15</xm:sqref>
        </x14:conditionalFormatting>
        <x14:conditionalFormatting xmlns:xm="http://schemas.microsoft.com/office/excel/2006/main">
          <x14:cfRule type="iconSet" priority="16" id="{F2DFD60F-71E3-4BBE-9343-FBBE7703D1BD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</x14:iconSet>
          </x14:cfRule>
          <xm:sqref>J32:J33</xm:sqref>
        </x14:conditionalFormatting>
        <x14:conditionalFormatting xmlns:xm="http://schemas.microsoft.com/office/excel/2006/main">
          <x14:cfRule type="iconSet" priority="14" id="{6A152238-049D-4CD2-9ED9-4C132D23B894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</x14:iconSet>
          </x14:cfRule>
          <xm:sqref>J65:J66</xm:sqref>
        </x14:conditionalFormatting>
        <x14:conditionalFormatting xmlns:xm="http://schemas.microsoft.com/office/excel/2006/main">
          <x14:cfRule type="iconSet" priority="13" id="{ADBD229D-BDCF-4C55-BF88-4331F3987C0E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</x14:iconSet>
          </x14:cfRule>
          <xm:sqref>J72:J73</xm:sqref>
        </x14:conditionalFormatting>
        <x14:conditionalFormatting xmlns:xm="http://schemas.microsoft.com/office/excel/2006/main">
          <x14:cfRule type="iconSet" priority="12" id="{B4FF964B-8546-4F7B-A1E7-910F9B4370AC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</x14:iconSet>
          </x14:cfRule>
          <xm:sqref>J56:J57</xm:sqref>
        </x14:conditionalFormatting>
        <x14:conditionalFormatting xmlns:xm="http://schemas.microsoft.com/office/excel/2006/main">
          <x14:cfRule type="iconSet" priority="11" id="{1FC2993B-2A3A-4972-A01E-BF110FBF5E4E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</x14:iconSet>
          </x14:cfRule>
          <xm:sqref>J60:J61</xm:sqref>
        </x14:conditionalFormatting>
        <x14:conditionalFormatting xmlns:xm="http://schemas.microsoft.com/office/excel/2006/main">
          <x14:cfRule type="iconSet" priority="10" id="{651C9699-CE66-4ADA-9740-FC81B9E25BC7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</x14:iconSet>
          </x14:cfRule>
          <xm:sqref>J77:J78</xm:sqref>
        </x14:conditionalFormatting>
        <x14:conditionalFormatting xmlns:xm="http://schemas.microsoft.com/office/excel/2006/main">
          <x14:cfRule type="iconSet" priority="9" id="{6EC171FF-DE55-4A49-8F1C-B96A46016046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</x14:iconSet>
          </x14:cfRule>
          <xm:sqref>J69:J70</xm:sqref>
        </x14:conditionalFormatting>
        <x14:conditionalFormatting xmlns:xm="http://schemas.microsoft.com/office/excel/2006/main">
          <x14:cfRule type="iconSet" priority="8" id="{E94C83FC-083C-4DC3-8877-AFCE00C9C0E6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</x14:iconSet>
          </x14:cfRule>
          <xm:sqref>J80:J81</xm:sqref>
        </x14:conditionalFormatting>
        <x14:conditionalFormatting xmlns:xm="http://schemas.microsoft.com/office/excel/2006/main">
          <x14:cfRule type="iconSet" priority="6" id="{F55BA731-BFD7-4F0F-AEF1-00606F38B32E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</x14:iconSet>
          </x14:cfRule>
          <xm:sqref>J109:J110</xm:sqref>
        </x14:conditionalFormatting>
        <x14:conditionalFormatting xmlns:xm="http://schemas.microsoft.com/office/excel/2006/main">
          <x14:cfRule type="iconSet" priority="5" id="{FCE5CE16-1740-47B1-89DF-1B7EE2E65BA5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</x14:iconSet>
          </x14:cfRule>
          <xm:sqref>J112:J113</xm:sqref>
        </x14:conditionalFormatting>
        <x14:conditionalFormatting xmlns:xm="http://schemas.microsoft.com/office/excel/2006/main">
          <x14:cfRule type="iconSet" priority="4" id="{C4290B90-19E3-4E89-B8EC-989E185ECB5F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</x14:iconSet>
          </x14:cfRule>
          <xm:sqref>J123:J124</xm:sqref>
        </x14:conditionalFormatting>
        <x14:conditionalFormatting xmlns:xm="http://schemas.microsoft.com/office/excel/2006/main">
          <x14:cfRule type="iconSet" priority="3" id="{4AD2F831-FD73-4295-9F2A-967938EB8DB9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</x14:iconSet>
          </x14:cfRule>
          <xm:sqref>J126:J127</xm:sqref>
        </x14:conditionalFormatting>
        <x14:conditionalFormatting xmlns:xm="http://schemas.microsoft.com/office/excel/2006/main">
          <x14:cfRule type="iconSet" priority="2" id="{8D6B1AA4-81C0-4D20-BA8A-E4D555EABCF3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</x14:iconSet>
          </x14:cfRule>
          <xm:sqref>J137:J138</xm:sqref>
        </x14:conditionalFormatting>
        <x14:conditionalFormatting xmlns:xm="http://schemas.microsoft.com/office/excel/2006/main">
          <x14:cfRule type="iconSet" priority="1" id="{3BCCCD04-BFB8-4FB5-9E28-67D8194146CA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</x14:iconSet>
          </x14:cfRule>
          <xm:sqref>J140:J141</xm:sqref>
        </x14:conditionalFormatting>
        <x14:conditionalFormatting xmlns:xm="http://schemas.microsoft.com/office/excel/2006/main">
          <x14:cfRule type="iconSet" priority="83" id="{65821115-6D78-4F70-B346-6D45F960AFE3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</x14:iconSet>
          </x14:cfRule>
          <xm:sqref>J84:J85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DE4CB-71AB-4393-AA17-0C7453110A15}">
  <sheetPr codeName="Hoja4"/>
  <dimension ref="A1:AI401"/>
  <sheetViews>
    <sheetView topLeftCell="A354" zoomScale="80" zoomScaleNormal="80" workbookViewId="0">
      <selection activeCell="AI384" sqref="AI384"/>
    </sheetView>
  </sheetViews>
  <sheetFormatPr baseColWidth="10" defaultRowHeight="14.4" x14ac:dyDescent="0.3"/>
  <cols>
    <col min="7" max="10" width="11.6640625" bestFit="1" customWidth="1"/>
    <col min="11" max="11" width="12.21875" bestFit="1" customWidth="1"/>
  </cols>
  <sheetData>
    <row r="1" spans="1:28" ht="15.6" x14ac:dyDescent="0.3">
      <c r="A1" s="562" t="s">
        <v>322</v>
      </c>
      <c r="B1" s="562"/>
      <c r="C1" s="562"/>
      <c r="D1" s="562"/>
      <c r="E1" s="562"/>
      <c r="F1" s="562"/>
      <c r="G1" s="562"/>
      <c r="H1" s="562"/>
      <c r="I1" s="562"/>
      <c r="J1" s="562"/>
      <c r="L1" s="46" t="s">
        <v>640</v>
      </c>
      <c r="M1" t="s">
        <v>306</v>
      </c>
      <c r="N1" t="s">
        <v>354</v>
      </c>
      <c r="O1" t="s">
        <v>634</v>
      </c>
      <c r="P1" t="s">
        <v>635</v>
      </c>
      <c r="U1" t="s">
        <v>657</v>
      </c>
    </row>
    <row r="2" spans="1:28" x14ac:dyDescent="0.3">
      <c r="A2" s="563" t="s">
        <v>571</v>
      </c>
      <c r="B2" s="563"/>
      <c r="C2" s="563"/>
      <c r="D2" s="563"/>
      <c r="E2" s="563"/>
      <c r="F2" s="563"/>
      <c r="G2" s="563"/>
      <c r="H2" s="563"/>
      <c r="I2" s="563"/>
      <c r="J2" s="563"/>
      <c r="L2" s="46" t="s">
        <v>641</v>
      </c>
      <c r="M2" t="s">
        <v>305</v>
      </c>
      <c r="N2" t="s">
        <v>637</v>
      </c>
    </row>
    <row r="3" spans="1:28" x14ac:dyDescent="0.3">
      <c r="L3" s="46" t="s">
        <v>642</v>
      </c>
      <c r="M3" t="s">
        <v>638</v>
      </c>
      <c r="N3" t="s">
        <v>639</v>
      </c>
      <c r="R3" s="337" t="s">
        <v>548</v>
      </c>
      <c r="S3" s="337"/>
      <c r="T3" s="337"/>
      <c r="U3" s="337"/>
      <c r="W3" s="337" t="s">
        <v>662</v>
      </c>
      <c r="X3" s="337"/>
      <c r="Y3" s="337"/>
      <c r="Z3" s="337"/>
      <c r="AA3" s="337"/>
      <c r="AB3" s="337"/>
    </row>
    <row r="4" spans="1:28" x14ac:dyDescent="0.3">
      <c r="A4" s="294" t="s">
        <v>572</v>
      </c>
      <c r="B4" s="295" t="s">
        <v>303</v>
      </c>
      <c r="C4" s="296" t="s">
        <v>573</v>
      </c>
      <c r="D4" s="564" t="s">
        <v>303</v>
      </c>
      <c r="E4" s="564"/>
      <c r="F4" s="295"/>
      <c r="G4" s="295"/>
      <c r="H4" s="295"/>
      <c r="I4" s="565" t="s">
        <v>411</v>
      </c>
      <c r="J4" s="566"/>
      <c r="R4" t="s">
        <v>302</v>
      </c>
      <c r="W4" t="s">
        <v>636</v>
      </c>
      <c r="X4" t="s">
        <v>644</v>
      </c>
      <c r="Y4" t="s">
        <v>663</v>
      </c>
      <c r="Z4" t="s">
        <v>664</v>
      </c>
      <c r="AA4" t="s">
        <v>473</v>
      </c>
      <c r="AB4" t="s">
        <v>665</v>
      </c>
    </row>
    <row r="5" spans="1:28" x14ac:dyDescent="0.3">
      <c r="A5" s="297" t="s">
        <v>574</v>
      </c>
      <c r="B5" s="527" t="s">
        <v>575</v>
      </c>
      <c r="C5" s="527"/>
      <c r="D5" s="527"/>
      <c r="E5" s="527"/>
      <c r="F5" s="527"/>
      <c r="G5" s="527"/>
      <c r="H5" s="527"/>
      <c r="I5" s="527"/>
      <c r="J5" s="567"/>
      <c r="L5" s="46" t="s">
        <v>645</v>
      </c>
      <c r="M5" t="s">
        <v>644</v>
      </c>
      <c r="N5" t="s">
        <v>612</v>
      </c>
      <c r="O5" t="s">
        <v>473</v>
      </c>
      <c r="P5" t="s">
        <v>636</v>
      </c>
      <c r="R5" t="s">
        <v>305</v>
      </c>
    </row>
    <row r="6" spans="1:28" x14ac:dyDescent="0.3">
      <c r="A6" s="298"/>
      <c r="B6" s="299"/>
      <c r="C6" s="299"/>
      <c r="D6" s="299"/>
      <c r="E6" s="299"/>
      <c r="F6" s="299"/>
      <c r="G6" s="299"/>
      <c r="H6" s="299"/>
      <c r="I6" s="299"/>
      <c r="J6" s="300"/>
      <c r="L6" s="46" t="s">
        <v>646</v>
      </c>
      <c r="M6" t="s">
        <v>421</v>
      </c>
      <c r="N6" t="s">
        <v>647</v>
      </c>
      <c r="O6" t="s">
        <v>560</v>
      </c>
      <c r="R6" t="s">
        <v>304</v>
      </c>
      <c r="W6" s="337" t="s">
        <v>666</v>
      </c>
      <c r="X6" s="337"/>
      <c r="Y6" s="337"/>
      <c r="Z6" s="337"/>
      <c r="AA6" s="337"/>
      <c r="AB6" s="337"/>
    </row>
    <row r="7" spans="1:28" x14ac:dyDescent="0.3">
      <c r="A7" s="297" t="s">
        <v>306</v>
      </c>
      <c r="B7" s="301"/>
      <c r="C7" s="301"/>
      <c r="D7" s="301"/>
      <c r="E7" s="301"/>
      <c r="F7" s="106"/>
      <c r="G7" s="301"/>
      <c r="H7" s="301"/>
      <c r="I7" s="301"/>
      <c r="J7" s="302"/>
      <c r="R7" t="s">
        <v>378</v>
      </c>
      <c r="W7" t="s">
        <v>421</v>
      </c>
      <c r="X7" t="s">
        <v>491</v>
      </c>
      <c r="Y7" t="s">
        <v>667</v>
      </c>
    </row>
    <row r="8" spans="1:28" x14ac:dyDescent="0.3">
      <c r="A8" s="70" t="s">
        <v>576</v>
      </c>
      <c r="B8" s="68"/>
      <c r="C8" s="68" t="s">
        <v>577</v>
      </c>
      <c r="D8" s="68"/>
      <c r="E8" s="68"/>
      <c r="F8" s="68"/>
      <c r="G8" s="68"/>
      <c r="H8" s="68"/>
      <c r="I8" s="68"/>
      <c r="J8" s="303"/>
      <c r="L8" s="46" t="s">
        <v>648</v>
      </c>
    </row>
    <row r="9" spans="1:28" x14ac:dyDescent="0.3">
      <c r="A9" s="304"/>
      <c r="B9" s="67"/>
      <c r="C9" s="67"/>
      <c r="D9" s="67"/>
      <c r="E9" s="67"/>
      <c r="F9" s="67"/>
      <c r="G9" s="67"/>
      <c r="H9" s="67"/>
      <c r="I9" s="67"/>
      <c r="J9" s="305"/>
      <c r="R9" s="337" t="s">
        <v>339</v>
      </c>
      <c r="S9" s="337"/>
      <c r="T9" s="337"/>
      <c r="U9" s="337"/>
      <c r="W9" t="s">
        <v>648</v>
      </c>
    </row>
    <row r="10" spans="1:28" x14ac:dyDescent="0.3">
      <c r="A10" s="68"/>
      <c r="B10" s="68"/>
      <c r="C10" s="68"/>
      <c r="D10" s="68"/>
      <c r="E10" s="68"/>
      <c r="F10" s="68"/>
      <c r="G10" s="68"/>
      <c r="H10" s="68"/>
      <c r="I10" s="68"/>
      <c r="J10" s="68"/>
      <c r="L10" s="46" t="s">
        <v>649</v>
      </c>
      <c r="R10" t="s">
        <v>306</v>
      </c>
    </row>
    <row r="11" spans="1:28" x14ac:dyDescent="0.3">
      <c r="A11" s="63" t="s">
        <v>495</v>
      </c>
      <c r="B11" s="69"/>
      <c r="C11" s="69"/>
      <c r="D11" s="69"/>
      <c r="E11" s="69"/>
      <c r="F11" s="69"/>
      <c r="G11" s="69"/>
      <c r="H11" s="69"/>
      <c r="I11" s="69"/>
      <c r="J11" s="306"/>
      <c r="R11" t="s">
        <v>420</v>
      </c>
      <c r="W11" s="46" t="s">
        <v>649</v>
      </c>
    </row>
    <row r="12" spans="1:28" x14ac:dyDescent="0.3">
      <c r="A12" s="71" t="s">
        <v>62</v>
      </c>
      <c r="B12" s="295"/>
      <c r="C12" s="295"/>
      <c r="D12" s="295"/>
      <c r="E12" s="544" t="s">
        <v>578</v>
      </c>
      <c r="F12" s="544"/>
      <c r="G12" s="545" t="s">
        <v>555</v>
      </c>
      <c r="H12" s="545"/>
      <c r="I12" s="545" t="s">
        <v>579</v>
      </c>
      <c r="J12" s="546"/>
      <c r="L12" t="s">
        <v>653</v>
      </c>
      <c r="R12" t="s">
        <v>658</v>
      </c>
    </row>
    <row r="13" spans="1:28" x14ac:dyDescent="0.3">
      <c r="A13" s="560" t="s">
        <v>580</v>
      </c>
      <c r="B13" s="561"/>
      <c r="C13" s="568">
        <v>0.30315999999999999</v>
      </c>
      <c r="D13" s="568"/>
      <c r="E13" s="552" t="s">
        <v>159</v>
      </c>
      <c r="F13" s="552"/>
      <c r="G13" s="553">
        <v>48</v>
      </c>
      <c r="H13" s="553"/>
      <c r="I13" s="549">
        <v>2.4249999999999998</v>
      </c>
      <c r="J13" s="550"/>
      <c r="R13" t="s">
        <v>659</v>
      </c>
      <c r="W13" t="s">
        <v>653</v>
      </c>
    </row>
    <row r="14" spans="1:28" x14ac:dyDescent="0.3">
      <c r="A14" s="551">
        <v>7</v>
      </c>
      <c r="B14" s="527"/>
      <c r="C14" s="528">
        <f>(C13*A14/100)</f>
        <v>2.1221199999999999E-2</v>
      </c>
      <c r="D14" s="528"/>
      <c r="E14" s="556" t="s">
        <v>168</v>
      </c>
      <c r="F14" s="556"/>
      <c r="G14" s="557">
        <v>22.51</v>
      </c>
      <c r="H14" s="557"/>
      <c r="I14" s="558">
        <v>15.5</v>
      </c>
      <c r="J14" s="559"/>
      <c r="L14" s="46" t="s">
        <v>650</v>
      </c>
      <c r="R14" t="s">
        <v>660</v>
      </c>
    </row>
    <row r="15" spans="1:28" x14ac:dyDescent="0.3">
      <c r="A15" s="554">
        <v>1</v>
      </c>
      <c r="B15" s="555"/>
      <c r="C15" s="528">
        <f>(C13*A15/100)</f>
        <v>3.0315999999999997E-3</v>
      </c>
      <c r="D15" s="528"/>
      <c r="E15" s="68"/>
      <c r="F15" s="68"/>
      <c r="G15" s="68"/>
      <c r="H15" s="68"/>
      <c r="I15" s="68"/>
      <c r="J15" s="303"/>
      <c r="R15" t="s">
        <v>354</v>
      </c>
      <c r="W15" s="46" t="s">
        <v>650</v>
      </c>
    </row>
    <row r="16" spans="1:28" x14ac:dyDescent="0.3">
      <c r="A16" s="547" t="s">
        <v>581</v>
      </c>
      <c r="B16" s="548"/>
      <c r="C16" s="532">
        <f>C13-(C14+C15)</f>
        <v>0.27890719999999997</v>
      </c>
      <c r="D16" s="532"/>
      <c r="E16" s="67"/>
      <c r="F16" s="67"/>
      <c r="G16" s="67"/>
      <c r="H16" s="67"/>
      <c r="I16" s="67"/>
      <c r="J16" s="305"/>
      <c r="L16" t="s">
        <v>651</v>
      </c>
      <c r="R16" t="s">
        <v>634</v>
      </c>
    </row>
    <row r="17" spans="1:23" x14ac:dyDescent="0.3">
      <c r="A17" s="68"/>
      <c r="B17" s="68"/>
      <c r="C17" s="68"/>
      <c r="D17" s="68"/>
      <c r="E17" s="68"/>
      <c r="F17" s="68"/>
      <c r="G17" s="68"/>
      <c r="H17" s="68"/>
      <c r="I17" s="68"/>
      <c r="J17" s="68"/>
      <c r="L17" t="s">
        <v>652</v>
      </c>
      <c r="R17" t="s">
        <v>661</v>
      </c>
      <c r="W17" t="s">
        <v>651</v>
      </c>
    </row>
    <row r="18" spans="1:23" x14ac:dyDescent="0.3">
      <c r="A18" s="63" t="s">
        <v>520</v>
      </c>
      <c r="B18" s="69"/>
      <c r="C18" s="69"/>
      <c r="D18" s="69"/>
      <c r="E18" s="69"/>
      <c r="F18" s="69"/>
      <c r="G18" s="69"/>
      <c r="H18" s="69"/>
      <c r="I18" s="534" t="s">
        <v>582</v>
      </c>
      <c r="J18" s="535"/>
      <c r="L18" t="s">
        <v>320</v>
      </c>
      <c r="W18" t="s">
        <v>652</v>
      </c>
    </row>
    <row r="19" spans="1:23" x14ac:dyDescent="0.3">
      <c r="A19" s="574" t="s">
        <v>317</v>
      </c>
      <c r="B19" s="575"/>
      <c r="C19" s="576" t="s">
        <v>583</v>
      </c>
      <c r="D19" s="576"/>
      <c r="E19" s="545" t="s">
        <v>584</v>
      </c>
      <c r="F19" s="545"/>
      <c r="G19" s="545" t="s">
        <v>585</v>
      </c>
      <c r="H19" s="545"/>
      <c r="I19" s="295"/>
      <c r="J19" s="307"/>
      <c r="L19" t="s">
        <v>654</v>
      </c>
      <c r="W19" t="s">
        <v>320</v>
      </c>
    </row>
    <row r="20" spans="1:23" x14ac:dyDescent="0.3">
      <c r="A20" s="577">
        <f>LiqLeyA</f>
        <v>48</v>
      </c>
      <c r="B20" s="578"/>
      <c r="C20" s="308">
        <v>85</v>
      </c>
      <c r="D20" s="309">
        <v>-8</v>
      </c>
      <c r="E20" s="573">
        <f>+IF(AND(C20=0,D20=0),A20,IF(C20=0,A20-ABS(D20),IF(D20=0,A20*C20%,IF(A20&gt;(ABS(D20)/(100-C20)%),A20*C20%,A20-ABS(D20)))))</f>
        <v>40</v>
      </c>
      <c r="F20" s="573"/>
      <c r="G20" s="568">
        <f>E20%*LiqCtzA*85%*2204.6223</f>
        <v>1817.71108635</v>
      </c>
      <c r="H20" s="568"/>
      <c r="I20" s="68"/>
      <c r="J20" s="303"/>
      <c r="L20" t="s">
        <v>388</v>
      </c>
      <c r="W20" t="s">
        <v>654</v>
      </c>
    </row>
    <row r="21" spans="1:23" x14ac:dyDescent="0.3">
      <c r="A21" s="540">
        <f>LiqLeyB</f>
        <v>22.51</v>
      </c>
      <c r="B21" s="541"/>
      <c r="C21" s="310">
        <v>78</v>
      </c>
      <c r="D21" s="311">
        <v>-3</v>
      </c>
      <c r="E21" s="542">
        <f>+IF(AND(C21=0,D21=0),A21,IF(C21=0,A21-ABS(D21),IF(D21=0,A21*C21%,(A21-ABS(D21))*C21%)))</f>
        <v>15.217800000000002</v>
      </c>
      <c r="F21" s="542"/>
      <c r="G21" s="532">
        <f>E21*LiqCtzB*78%</f>
        <v>183.98320200000003</v>
      </c>
      <c r="H21" s="532"/>
      <c r="I21" s="570">
        <f>SUM(G20:G21)</f>
        <v>2001.6942883500001</v>
      </c>
      <c r="J21" s="571"/>
      <c r="L21" t="s">
        <v>655</v>
      </c>
      <c r="W21" t="s">
        <v>388</v>
      </c>
    </row>
    <row r="22" spans="1:23" x14ac:dyDescent="0.3">
      <c r="A22" s="68"/>
      <c r="B22" s="68"/>
      <c r="C22" s="68"/>
      <c r="D22" s="68"/>
      <c r="E22" s="68"/>
      <c r="F22" s="68"/>
      <c r="G22" s="68"/>
      <c r="H22" s="68"/>
      <c r="I22" s="68"/>
      <c r="J22" s="68"/>
      <c r="W22" t="s">
        <v>655</v>
      </c>
    </row>
    <row r="23" spans="1:23" x14ac:dyDescent="0.3">
      <c r="A23" s="63" t="s">
        <v>586</v>
      </c>
      <c r="B23" s="69"/>
      <c r="C23" s="69"/>
      <c r="D23" s="69"/>
      <c r="E23" s="69"/>
      <c r="F23" s="69"/>
      <c r="G23" s="69"/>
      <c r="H23" s="69"/>
      <c r="I23" s="69"/>
      <c r="J23" s="306"/>
      <c r="L23" t="s">
        <v>656</v>
      </c>
    </row>
    <row r="24" spans="1:23" x14ac:dyDescent="0.3">
      <c r="A24" s="298" t="s">
        <v>587</v>
      </c>
      <c r="B24" s="299"/>
      <c r="C24" s="299"/>
      <c r="D24" s="299"/>
      <c r="E24" s="299"/>
      <c r="F24" s="299"/>
      <c r="G24" s="299"/>
      <c r="H24" s="299"/>
      <c r="I24" s="568">
        <v>305</v>
      </c>
      <c r="J24" s="569"/>
      <c r="W24" t="s">
        <v>656</v>
      </c>
    </row>
    <row r="25" spans="1:23" x14ac:dyDescent="0.3">
      <c r="A25" s="70" t="s">
        <v>588</v>
      </c>
      <c r="B25" s="68"/>
      <c r="C25" s="572" t="s">
        <v>589</v>
      </c>
      <c r="D25" s="572"/>
      <c r="E25" s="572" t="s">
        <v>590</v>
      </c>
      <c r="F25" s="572"/>
      <c r="G25" s="312" t="s">
        <v>591</v>
      </c>
      <c r="H25" s="312" t="s">
        <v>592</v>
      </c>
      <c r="I25" s="73"/>
      <c r="J25" s="76"/>
    </row>
    <row r="26" spans="1:23" x14ac:dyDescent="0.3">
      <c r="A26" s="304"/>
      <c r="B26" s="67"/>
      <c r="C26" s="543">
        <f>LiqCtzA*2204.6223</f>
        <v>5346.2090774999997</v>
      </c>
      <c r="D26" s="543"/>
      <c r="E26" s="543">
        <v>3000</v>
      </c>
      <c r="F26" s="543"/>
      <c r="G26" s="74">
        <f>C26-E26</f>
        <v>2346.2090774999997</v>
      </c>
      <c r="H26" s="74">
        <v>0.15</v>
      </c>
      <c r="I26" s="532">
        <f>+IF(G26&lt;=0,I26,G26*H26)</f>
        <v>351.93136162499997</v>
      </c>
      <c r="J26" s="533"/>
    </row>
    <row r="27" spans="1:23" x14ac:dyDescent="0.3">
      <c r="A27" s="70" t="s">
        <v>593</v>
      </c>
      <c r="B27" s="68" t="s">
        <v>578</v>
      </c>
      <c r="C27" s="93" t="s">
        <v>589</v>
      </c>
      <c r="D27" s="93" t="s">
        <v>590</v>
      </c>
      <c r="E27" s="93" t="s">
        <v>591</v>
      </c>
      <c r="F27" s="93" t="s">
        <v>594</v>
      </c>
      <c r="G27" s="93" t="s">
        <v>595</v>
      </c>
      <c r="H27" s="93" t="s">
        <v>596</v>
      </c>
      <c r="I27" s="73"/>
      <c r="J27" s="76"/>
    </row>
    <row r="28" spans="1:23" x14ac:dyDescent="0.3">
      <c r="A28" s="70"/>
      <c r="B28" s="68" t="s">
        <v>597</v>
      </c>
      <c r="C28" s="73">
        <v>1.5</v>
      </c>
      <c r="D28" s="73">
        <v>0.33</v>
      </c>
      <c r="E28" s="73">
        <f>C28-D28</f>
        <v>1.17</v>
      </c>
      <c r="F28" s="73">
        <v>0.7</v>
      </c>
      <c r="G28" s="73">
        <v>0.1</v>
      </c>
      <c r="H28" s="73">
        <f>+IF(OR(E28&lt;=0,G28&lt;=0),0,E28*F28/G28)</f>
        <v>8.19</v>
      </c>
      <c r="I28" s="73"/>
      <c r="J28" s="76"/>
    </row>
    <row r="29" spans="1:23" x14ac:dyDescent="0.3">
      <c r="A29" s="70"/>
      <c r="B29" s="68" t="s">
        <v>499</v>
      </c>
      <c r="C29" s="73">
        <v>1.5</v>
      </c>
      <c r="D29" s="73">
        <v>0.46</v>
      </c>
      <c r="E29" s="73">
        <f>C29-D29</f>
        <v>1.04</v>
      </c>
      <c r="F29" s="73">
        <v>0.5</v>
      </c>
      <c r="G29" s="73">
        <v>0.1</v>
      </c>
      <c r="H29" s="73">
        <f>+IF(OR(E29&lt;=0,G29&lt;=0),0,E29*F29/G29)</f>
        <v>5.2</v>
      </c>
      <c r="I29" s="73"/>
      <c r="J29" s="76"/>
    </row>
    <row r="30" spans="1:23" x14ac:dyDescent="0.3">
      <c r="A30" s="70"/>
      <c r="B30" s="68" t="s">
        <v>598</v>
      </c>
      <c r="C30" s="73">
        <v>1.5</v>
      </c>
      <c r="D30" s="73">
        <v>4.0599999999999996</v>
      </c>
      <c r="E30" s="73">
        <f>C30-D30</f>
        <v>-2.5599999999999996</v>
      </c>
      <c r="F30" s="73">
        <v>3.5</v>
      </c>
      <c r="G30" s="73">
        <v>1</v>
      </c>
      <c r="H30" s="73">
        <f>+IF(OR(E30&lt;=0,G30&lt;=0),0,E30*F30/G30)</f>
        <v>0</v>
      </c>
      <c r="I30" s="73"/>
      <c r="J30" s="76"/>
    </row>
    <row r="31" spans="1:23" x14ac:dyDescent="0.3">
      <c r="A31" s="70"/>
      <c r="B31" s="68" t="s">
        <v>599</v>
      </c>
      <c r="C31" s="73">
        <v>1.5</v>
      </c>
      <c r="D31" s="73">
        <v>5.34</v>
      </c>
      <c r="E31" s="73">
        <f>C31-D31</f>
        <v>-3.84</v>
      </c>
      <c r="F31" s="73">
        <v>9</v>
      </c>
      <c r="G31" s="73">
        <v>1</v>
      </c>
      <c r="H31" s="73">
        <f>+IF(OR(E31&lt;=0,G31&lt;=0),0,E31*F31/G31)</f>
        <v>0</v>
      </c>
      <c r="I31" s="528">
        <f>SUM(H28:H31)</f>
        <v>13.39</v>
      </c>
      <c r="J31" s="529"/>
    </row>
    <row r="32" spans="1:23" x14ac:dyDescent="0.3">
      <c r="A32" s="313" t="s">
        <v>600</v>
      </c>
      <c r="B32" s="299"/>
      <c r="C32" s="299"/>
      <c r="D32" s="299"/>
      <c r="E32" s="299"/>
      <c r="F32" s="299"/>
      <c r="G32" s="299"/>
      <c r="H32" s="299"/>
      <c r="I32" s="536">
        <f>SUM(I24:I31)</f>
        <v>670.32136162499989</v>
      </c>
      <c r="J32" s="537"/>
    </row>
    <row r="33" spans="1:10" x14ac:dyDescent="0.3">
      <c r="A33" s="71" t="s">
        <v>601</v>
      </c>
      <c r="B33" s="295"/>
      <c r="C33" s="295"/>
      <c r="D33" s="295"/>
      <c r="E33" s="295"/>
      <c r="F33" s="295"/>
      <c r="G33" s="295"/>
      <c r="H33" s="295"/>
      <c r="I33" s="538">
        <f>LiqValorBruto-LiqDTrat</f>
        <v>1331.3729267250001</v>
      </c>
      <c r="J33" s="539"/>
    </row>
    <row r="34" spans="1:10" x14ac:dyDescent="0.3">
      <c r="A34" s="68"/>
      <c r="B34" s="68"/>
      <c r="C34" s="68"/>
      <c r="D34" s="68"/>
      <c r="E34" s="68"/>
      <c r="F34" s="68"/>
      <c r="G34" s="68"/>
      <c r="H34" s="68"/>
      <c r="I34" s="68"/>
      <c r="J34" s="68"/>
    </row>
    <row r="35" spans="1:10" x14ac:dyDescent="0.3">
      <c r="A35" s="63" t="s">
        <v>602</v>
      </c>
      <c r="B35" s="69"/>
      <c r="C35" s="69"/>
      <c r="D35" s="69"/>
      <c r="E35" s="69"/>
      <c r="F35" s="69"/>
      <c r="G35" s="69"/>
      <c r="H35" s="69"/>
      <c r="I35" s="534" t="s">
        <v>246</v>
      </c>
      <c r="J35" s="535"/>
    </row>
    <row r="36" spans="1:10" x14ac:dyDescent="0.3">
      <c r="A36" s="314" t="s">
        <v>603</v>
      </c>
      <c r="B36" s="67"/>
      <c r="C36" s="67"/>
      <c r="D36" s="67"/>
      <c r="E36" s="67"/>
      <c r="F36" s="67"/>
      <c r="G36" s="67"/>
      <c r="H36" s="67"/>
      <c r="I36" s="517">
        <f>I33*LiqTMS</f>
        <v>371.32949514867488</v>
      </c>
      <c r="J36" s="518"/>
    </row>
    <row r="37" spans="1:10" x14ac:dyDescent="0.3">
      <c r="A37" s="68"/>
      <c r="B37" s="68"/>
      <c r="C37" s="68"/>
      <c r="D37" s="68"/>
      <c r="E37" s="68"/>
      <c r="F37" s="68"/>
      <c r="G37" s="68"/>
      <c r="H37" s="68"/>
      <c r="I37" s="68"/>
      <c r="J37" s="68"/>
    </row>
    <row r="38" spans="1:10" x14ac:dyDescent="0.3">
      <c r="A38" s="63" t="s">
        <v>604</v>
      </c>
      <c r="B38" s="69"/>
      <c r="C38" s="69"/>
      <c r="D38" s="69"/>
      <c r="E38" s="69"/>
      <c r="F38" s="69"/>
      <c r="G38" s="69"/>
      <c r="H38" s="69"/>
      <c r="I38" s="69"/>
      <c r="J38" s="306"/>
    </row>
    <row r="39" spans="1:10" x14ac:dyDescent="0.3">
      <c r="A39" s="526" t="s">
        <v>605</v>
      </c>
      <c r="B39" s="527"/>
      <c r="C39" s="527"/>
      <c r="D39" s="527"/>
      <c r="E39" s="527"/>
      <c r="F39" s="527"/>
      <c r="G39" s="527"/>
      <c r="H39" s="527"/>
      <c r="I39" s="528">
        <f>A39*LiqTMH</f>
        <v>3.0922319999999996</v>
      </c>
      <c r="J39" s="529"/>
    </row>
    <row r="40" spans="1:10" x14ac:dyDescent="0.3">
      <c r="A40" s="70" t="s">
        <v>606</v>
      </c>
      <c r="B40" s="68"/>
      <c r="C40" s="68"/>
      <c r="D40" s="68"/>
      <c r="E40" s="68"/>
      <c r="F40" s="68"/>
      <c r="G40" s="68"/>
      <c r="H40" s="68"/>
      <c r="I40" s="528">
        <v>70</v>
      </c>
      <c r="J40" s="529"/>
    </row>
    <row r="41" spans="1:10" x14ac:dyDescent="0.3">
      <c r="A41" s="70" t="s">
        <v>607</v>
      </c>
      <c r="B41" s="68"/>
      <c r="C41" s="68"/>
      <c r="D41" s="68"/>
      <c r="E41" s="68"/>
      <c r="F41" s="68"/>
      <c r="G41" s="68"/>
      <c r="H41" s="68"/>
      <c r="I41" s="528" t="s">
        <v>608</v>
      </c>
      <c r="J41" s="529"/>
    </row>
    <row r="42" spans="1:10" x14ac:dyDescent="0.3">
      <c r="A42" s="304"/>
      <c r="B42" s="67"/>
      <c r="C42" s="67"/>
      <c r="D42" s="67"/>
      <c r="E42" s="67"/>
      <c r="F42" s="67"/>
      <c r="G42" s="67"/>
      <c r="H42" s="67"/>
      <c r="I42" s="530">
        <f>SUM(I39:I41)</f>
        <v>73.092231999999996</v>
      </c>
      <c r="J42" s="531"/>
    </row>
    <row r="43" spans="1:10" x14ac:dyDescent="0.3">
      <c r="A43" s="68"/>
      <c r="B43" s="68"/>
      <c r="C43" s="68"/>
      <c r="D43" s="68"/>
      <c r="E43" s="68"/>
      <c r="F43" s="68"/>
      <c r="G43" s="68"/>
      <c r="H43" s="68"/>
      <c r="I43" s="68"/>
      <c r="J43" s="68"/>
    </row>
    <row r="44" spans="1:10" x14ac:dyDescent="0.3">
      <c r="A44" s="63" t="str">
        <f>+_xlfn.CONCAT("LIQUIDACIÓN FINAL (",IF(I44&gt;0,"SALDO A FAVOR",IF(I44=0,"EN CEROS","SALDO EN CONTRA")),"):")</f>
        <v>LIQUIDACIÓN FINAL (SALDO A FAVOR):</v>
      </c>
      <c r="B44" s="69"/>
      <c r="C44" s="69"/>
      <c r="D44" s="69"/>
      <c r="E44" s="69"/>
      <c r="F44" s="69"/>
      <c r="G44" s="69"/>
      <c r="H44" s="69"/>
      <c r="I44" s="520">
        <f>LiqTotalNeto-I42</f>
        <v>298.23726314867486</v>
      </c>
      <c r="J44" s="521"/>
    </row>
    <row r="45" spans="1:10" x14ac:dyDescent="0.3">
      <c r="A45" s="297" t="s">
        <v>609</v>
      </c>
      <c r="B45" s="522" t="s">
        <v>610</v>
      </c>
      <c r="C45" s="522"/>
      <c r="D45" s="522"/>
      <c r="E45" s="522"/>
      <c r="F45" s="522"/>
      <c r="G45" s="522"/>
      <c r="H45" s="522"/>
      <c r="I45" s="522"/>
      <c r="J45" s="523"/>
    </row>
    <row r="46" spans="1:10" x14ac:dyDescent="0.3">
      <c r="A46" s="315"/>
      <c r="B46" s="522"/>
      <c r="C46" s="522"/>
      <c r="D46" s="522"/>
      <c r="E46" s="522"/>
      <c r="F46" s="522"/>
      <c r="G46" s="522"/>
      <c r="H46" s="522"/>
      <c r="I46" s="522"/>
      <c r="J46" s="523"/>
    </row>
    <row r="47" spans="1:10" x14ac:dyDescent="0.3">
      <c r="A47" s="316"/>
      <c r="B47" s="524"/>
      <c r="C47" s="524"/>
      <c r="D47" s="524"/>
      <c r="E47" s="524"/>
      <c r="F47" s="524"/>
      <c r="G47" s="524"/>
      <c r="H47" s="524"/>
      <c r="I47" s="524"/>
      <c r="J47" s="525"/>
    </row>
    <row r="48" spans="1:10" x14ac:dyDescent="0.3">
      <c r="A48" s="68"/>
      <c r="B48" s="68"/>
      <c r="C48" s="68"/>
      <c r="D48" s="68"/>
      <c r="E48" s="68"/>
      <c r="F48" s="68"/>
      <c r="G48" s="68"/>
      <c r="H48" s="68"/>
      <c r="I48" s="68"/>
      <c r="J48" s="68"/>
    </row>
    <row r="49" spans="1:19" x14ac:dyDescent="0.3">
      <c r="A49" s="68"/>
      <c r="B49" s="68"/>
      <c r="C49" s="68"/>
      <c r="D49" s="68"/>
      <c r="E49" s="68"/>
      <c r="F49" s="68"/>
      <c r="G49" s="68"/>
      <c r="H49" s="68"/>
      <c r="I49" s="68"/>
      <c r="J49" s="68"/>
    </row>
    <row r="50" spans="1:19" x14ac:dyDescent="0.3">
      <c r="A50" s="68"/>
      <c r="B50" s="68"/>
      <c r="C50" s="68"/>
      <c r="D50" s="68"/>
      <c r="E50" s="68"/>
      <c r="F50" s="68"/>
      <c r="G50" s="68"/>
      <c r="H50" s="68"/>
      <c r="I50" s="68"/>
      <c r="J50" s="68"/>
    </row>
    <row r="51" spans="1:19" x14ac:dyDescent="0.3">
      <c r="A51" s="519" t="s">
        <v>611</v>
      </c>
      <c r="B51" s="519"/>
      <c r="C51" s="519"/>
      <c r="D51" s="519"/>
      <c r="E51" s="68"/>
      <c r="F51" s="68"/>
      <c r="G51" s="519" t="s">
        <v>306</v>
      </c>
      <c r="H51" s="519"/>
      <c r="I51" s="519"/>
      <c r="J51" s="519"/>
    </row>
    <row r="52" spans="1:19" x14ac:dyDescent="0.3">
      <c r="A52" s="68"/>
      <c r="B52" s="68"/>
      <c r="C52" s="68"/>
      <c r="D52" s="68"/>
      <c r="E52" s="68"/>
      <c r="F52" s="68"/>
      <c r="G52" s="68"/>
      <c r="H52" s="68"/>
      <c r="I52" s="68"/>
      <c r="J52" s="68"/>
    </row>
    <row r="53" spans="1:19" x14ac:dyDescent="0.3">
      <c r="A53" s="68"/>
      <c r="B53" s="68"/>
      <c r="C53" s="68"/>
      <c r="D53" s="68"/>
      <c r="E53" s="68"/>
      <c r="F53" s="68"/>
      <c r="G53" s="68"/>
      <c r="H53" s="68"/>
      <c r="I53" s="68"/>
      <c r="J53" s="68"/>
    </row>
    <row r="54" spans="1:19" x14ac:dyDescent="0.3">
      <c r="A54" s="68"/>
      <c r="B54" s="68"/>
      <c r="C54" s="68"/>
      <c r="D54" s="68"/>
      <c r="E54" s="68"/>
      <c r="F54" s="68"/>
      <c r="G54" s="68"/>
      <c r="H54" s="68"/>
      <c r="I54" s="68"/>
      <c r="J54" s="68"/>
    </row>
    <row r="55" spans="1:19" x14ac:dyDescent="0.3">
      <c r="A55" s="342"/>
      <c r="B55" s="342"/>
      <c r="C55" s="342"/>
      <c r="D55" s="342"/>
      <c r="E55" s="342"/>
      <c r="F55" s="343" t="s">
        <v>657</v>
      </c>
      <c r="G55" s="342"/>
      <c r="H55" s="342"/>
      <c r="I55" s="342"/>
      <c r="J55" s="342"/>
      <c r="K55" s="337"/>
      <c r="M55" s="347" t="s">
        <v>685</v>
      </c>
      <c r="N55" t="s">
        <v>704</v>
      </c>
    </row>
    <row r="56" spans="1:19" x14ac:dyDescent="0.3">
      <c r="F56" s="338" t="s">
        <v>684</v>
      </c>
      <c r="M56" s="344" t="s">
        <v>686</v>
      </c>
      <c r="N56" t="s">
        <v>705</v>
      </c>
    </row>
    <row r="57" spans="1:19" x14ac:dyDescent="0.3">
      <c r="M57" t="s">
        <v>687</v>
      </c>
      <c r="P57" t="s">
        <v>688</v>
      </c>
    </row>
    <row r="58" spans="1:19" x14ac:dyDescent="0.3">
      <c r="A58" s="337" t="s">
        <v>548</v>
      </c>
      <c r="B58" s="337"/>
      <c r="C58" s="337"/>
      <c r="D58" s="337"/>
      <c r="F58" s="337" t="s">
        <v>662</v>
      </c>
      <c r="G58" s="337"/>
      <c r="H58" s="337"/>
      <c r="I58" s="337"/>
      <c r="J58" s="337"/>
      <c r="K58" s="337"/>
      <c r="M58" s="337" t="s">
        <v>548</v>
      </c>
      <c r="N58" s="337"/>
      <c r="P58" s="337" t="s">
        <v>339</v>
      </c>
      <c r="Q58" s="337"/>
      <c r="R58" t="s">
        <v>696</v>
      </c>
      <c r="S58" t="s">
        <v>697</v>
      </c>
    </row>
    <row r="59" spans="1:19" x14ac:dyDescent="0.3">
      <c r="A59" t="s">
        <v>360</v>
      </c>
      <c r="F59" s="347" t="s">
        <v>636</v>
      </c>
      <c r="G59" s="347" t="s">
        <v>644</v>
      </c>
      <c r="H59" s="347" t="s">
        <v>529</v>
      </c>
      <c r="I59" t="s">
        <v>664</v>
      </c>
      <c r="J59" s="347" t="s">
        <v>473</v>
      </c>
      <c r="K59" t="s">
        <v>665</v>
      </c>
      <c r="M59" s="347" t="s">
        <v>304</v>
      </c>
      <c r="N59" t="s">
        <v>693</v>
      </c>
      <c r="P59" s="347" t="s">
        <v>306</v>
      </c>
      <c r="Q59" t="s">
        <v>694</v>
      </c>
    </row>
    <row r="60" spans="1:19" x14ac:dyDescent="0.3">
      <c r="A60" t="s">
        <v>302</v>
      </c>
      <c r="M60" s="347" t="s">
        <v>378</v>
      </c>
      <c r="N60" t="s">
        <v>694</v>
      </c>
      <c r="P60" s="347" t="s">
        <v>420</v>
      </c>
      <c r="Q60" t="s">
        <v>695</v>
      </c>
    </row>
    <row r="61" spans="1:19" x14ac:dyDescent="0.3">
      <c r="A61" t="s">
        <v>305</v>
      </c>
      <c r="F61" s="337" t="s">
        <v>666</v>
      </c>
      <c r="G61" s="337"/>
      <c r="H61" s="337"/>
      <c r="I61" s="337"/>
      <c r="J61" s="337"/>
      <c r="K61" s="337"/>
      <c r="M61" s="347" t="s">
        <v>390</v>
      </c>
      <c r="N61" t="s">
        <v>703</v>
      </c>
    </row>
    <row r="62" spans="1:19" x14ac:dyDescent="0.3">
      <c r="A62" s="347" t="s">
        <v>304</v>
      </c>
      <c r="F62" s="344" t="s">
        <v>421</v>
      </c>
      <c r="J62" s="344" t="s">
        <v>643</v>
      </c>
      <c r="K62" t="s">
        <v>491</v>
      </c>
      <c r="M62" t="s">
        <v>689</v>
      </c>
      <c r="P62" t="s">
        <v>690</v>
      </c>
    </row>
    <row r="63" spans="1:19" x14ac:dyDescent="0.3">
      <c r="A63" s="347" t="s">
        <v>378</v>
      </c>
      <c r="M63" s="337" t="s">
        <v>662</v>
      </c>
      <c r="N63" s="337"/>
      <c r="P63" s="337" t="s">
        <v>668</v>
      </c>
      <c r="Q63" s="337"/>
    </row>
    <row r="64" spans="1:19" x14ac:dyDescent="0.3">
      <c r="A64" s="347" t="s">
        <v>390</v>
      </c>
      <c r="F64" s="337" t="s">
        <v>648</v>
      </c>
      <c r="G64" s="337"/>
      <c r="H64" s="337"/>
      <c r="I64" s="337"/>
      <c r="J64" s="337"/>
      <c r="K64" s="337" t="s">
        <v>673</v>
      </c>
      <c r="M64" s="347" t="s">
        <v>636</v>
      </c>
      <c r="N64" t="s">
        <v>693</v>
      </c>
      <c r="P64" s="347" t="s">
        <v>674</v>
      </c>
      <c r="Q64" t="s">
        <v>694</v>
      </c>
    </row>
    <row r="65" spans="1:19" x14ac:dyDescent="0.3">
      <c r="F65" t="s">
        <v>374</v>
      </c>
      <c r="G65" t="s">
        <v>555</v>
      </c>
      <c r="H65" s="344" t="s">
        <v>670</v>
      </c>
      <c r="I65" s="344" t="s">
        <v>671</v>
      </c>
      <c r="J65" s="344" t="s">
        <v>579</v>
      </c>
      <c r="M65" s="347" t="s">
        <v>644</v>
      </c>
      <c r="N65" t="s">
        <v>694</v>
      </c>
      <c r="P65" s="347" t="s">
        <v>590</v>
      </c>
      <c r="Q65" t="s">
        <v>694</v>
      </c>
    </row>
    <row r="66" spans="1:19" x14ac:dyDescent="0.3">
      <c r="A66" s="337" t="s">
        <v>339</v>
      </c>
      <c r="B66" s="337"/>
      <c r="C66" s="337"/>
      <c r="D66" s="337"/>
      <c r="G66">
        <v>4</v>
      </c>
      <c r="H66">
        <v>-3</v>
      </c>
      <c r="I66">
        <v>75</v>
      </c>
      <c r="J66">
        <v>2425</v>
      </c>
      <c r="K66">
        <f>+IF(OR(I66=0,I66=100),G66-ABS(H66),IF(H66=0,G66*I66/100,IF(G66&gt;(H66/((I66/100)-1)),G66*I66/100,G66-ABS(H66))))*J66</f>
        <v>2425</v>
      </c>
      <c r="L66" s="170">
        <v>1</v>
      </c>
      <c r="M66" s="347" t="s">
        <v>663</v>
      </c>
      <c r="N66" t="s">
        <v>694</v>
      </c>
      <c r="P66" s="347" t="s">
        <v>676</v>
      </c>
      <c r="Q66" t="s">
        <v>694</v>
      </c>
    </row>
    <row r="67" spans="1:19" x14ac:dyDescent="0.3">
      <c r="A67" s="347" t="s">
        <v>306</v>
      </c>
      <c r="F67" t="s">
        <v>759</v>
      </c>
      <c r="K67" s="19">
        <f>+IF(OR(I66=0,I66=100),G66-ABS(H66),IF(H66=0,G66*I66/100,(G66-ABS(H66))*I66/100))*J66</f>
        <v>1818.75</v>
      </c>
      <c r="L67" s="354">
        <v>-1</v>
      </c>
      <c r="M67" s="347" t="s">
        <v>473</v>
      </c>
      <c r="N67" t="s">
        <v>694</v>
      </c>
    </row>
    <row r="68" spans="1:19" x14ac:dyDescent="0.3">
      <c r="A68" s="205" t="s">
        <v>729</v>
      </c>
      <c r="F68" s="355" t="s">
        <v>668</v>
      </c>
      <c r="G68" s="348"/>
      <c r="H68" s="348"/>
      <c r="I68" s="348"/>
      <c r="J68" s="348"/>
      <c r="K68" s="348"/>
      <c r="M68" t="s">
        <v>691</v>
      </c>
    </row>
    <row r="69" spans="1:19" x14ac:dyDescent="0.3">
      <c r="A69" s="347" t="s">
        <v>420</v>
      </c>
      <c r="F69" s="347" t="s">
        <v>674</v>
      </c>
      <c r="K69" s="19"/>
      <c r="M69" s="337" t="s">
        <v>666</v>
      </c>
      <c r="N69" s="337"/>
      <c r="O69" s="337"/>
      <c r="P69" s="337"/>
      <c r="Q69" s="337"/>
      <c r="R69" t="s">
        <v>701</v>
      </c>
    </row>
    <row r="70" spans="1:19" x14ac:dyDescent="0.3">
      <c r="A70" t="s">
        <v>658</v>
      </c>
      <c r="F70" t="s">
        <v>675</v>
      </c>
      <c r="G70" s="205" t="s">
        <v>589</v>
      </c>
      <c r="H70" s="347" t="s">
        <v>590</v>
      </c>
      <c r="I70" t="s">
        <v>591</v>
      </c>
      <c r="J70" s="347" t="s">
        <v>676</v>
      </c>
      <c r="L70" s="347" t="s">
        <v>707</v>
      </c>
      <c r="M70" s="344" t="s">
        <v>421</v>
      </c>
      <c r="N70" s="344" t="s">
        <v>643</v>
      </c>
      <c r="O70" s="344" t="s">
        <v>670</v>
      </c>
      <c r="P70" s="344" t="s">
        <v>724</v>
      </c>
      <c r="Q70" s="344" t="s">
        <v>725</v>
      </c>
      <c r="R70" s="344" t="s">
        <v>726</v>
      </c>
    </row>
    <row r="71" spans="1:19" x14ac:dyDescent="0.3">
      <c r="A71" t="s">
        <v>659</v>
      </c>
      <c r="K71" s="19"/>
      <c r="M71" s="339" t="s">
        <v>653</v>
      </c>
      <c r="N71" s="339"/>
      <c r="O71" s="339"/>
      <c r="P71" s="339"/>
      <c r="Q71" s="339"/>
    </row>
    <row r="72" spans="1:19" x14ac:dyDescent="0.3">
      <c r="A72" t="s">
        <v>660</v>
      </c>
      <c r="F72" s="340" t="s">
        <v>653</v>
      </c>
      <c r="G72" s="340"/>
      <c r="H72" s="340"/>
      <c r="I72" s="340"/>
      <c r="J72" s="340"/>
      <c r="K72" s="340"/>
      <c r="L72" t="s">
        <v>708</v>
      </c>
      <c r="M72" s="344" t="s">
        <v>677</v>
      </c>
      <c r="N72" s="344" t="s">
        <v>590</v>
      </c>
      <c r="O72" s="344" t="s">
        <v>678</v>
      </c>
      <c r="R72" s="344" t="s">
        <v>722</v>
      </c>
    </row>
    <row r="73" spans="1:19" x14ac:dyDescent="0.3">
      <c r="A73" t="s">
        <v>354</v>
      </c>
      <c r="F73" s="344" t="s">
        <v>677</v>
      </c>
      <c r="G73" s="344" t="s">
        <v>590</v>
      </c>
      <c r="H73" s="344" t="s">
        <v>678</v>
      </c>
      <c r="I73" s="344" t="s">
        <v>761</v>
      </c>
      <c r="L73" t="s">
        <v>706</v>
      </c>
      <c r="M73" s="337" t="s">
        <v>650</v>
      </c>
      <c r="N73" s="337"/>
      <c r="O73" s="337"/>
      <c r="P73" s="337"/>
      <c r="Q73" s="337"/>
    </row>
    <row r="74" spans="1:19" x14ac:dyDescent="0.3">
      <c r="A74" t="s">
        <v>634</v>
      </c>
      <c r="K74" s="19">
        <f>+IF((1*H74/100)&gt;G74,1*(1*H74/100),1*G74)</f>
        <v>0</v>
      </c>
      <c r="L74" s="170">
        <v>1</v>
      </c>
      <c r="M74" s="345" t="s">
        <v>578</v>
      </c>
      <c r="N74" s="346" t="s">
        <v>589</v>
      </c>
      <c r="O74" s="346" t="s">
        <v>590</v>
      </c>
      <c r="P74" s="344" t="s">
        <v>679</v>
      </c>
      <c r="Q74" s="346" t="s">
        <v>680</v>
      </c>
      <c r="R74" s="344" t="s">
        <v>700</v>
      </c>
      <c r="S74" s="353" t="s">
        <v>728</v>
      </c>
    </row>
    <row r="75" spans="1:19" x14ac:dyDescent="0.3">
      <c r="A75" t="s">
        <v>661</v>
      </c>
      <c r="K75" s="19"/>
      <c r="L75" s="354">
        <v>-1</v>
      </c>
      <c r="M75" s="337" t="s">
        <v>669</v>
      </c>
      <c r="N75" s="337"/>
      <c r="O75" s="337"/>
      <c r="P75" s="337"/>
      <c r="Q75" s="337"/>
      <c r="R75" t="s">
        <v>709</v>
      </c>
    </row>
    <row r="76" spans="1:19" x14ac:dyDescent="0.3">
      <c r="F76" s="340" t="s">
        <v>650</v>
      </c>
      <c r="G76" s="355"/>
      <c r="H76" s="355"/>
      <c r="I76" s="355"/>
      <c r="J76" s="355"/>
      <c r="K76" s="355"/>
      <c r="M76" s="344" t="s">
        <v>679</v>
      </c>
      <c r="N76" s="344" t="s">
        <v>414</v>
      </c>
      <c r="O76" s="344" t="s">
        <v>166</v>
      </c>
      <c r="P76" s="344" t="s">
        <v>416</v>
      </c>
      <c r="R76" s="344" t="s">
        <v>698</v>
      </c>
    </row>
    <row r="77" spans="1:19" x14ac:dyDescent="0.3">
      <c r="F77" s="345" t="s">
        <v>578</v>
      </c>
      <c r="G77" s="346" t="s">
        <v>589</v>
      </c>
      <c r="H77" s="346" t="s">
        <v>590</v>
      </c>
      <c r="I77" s="344" t="s">
        <v>596</v>
      </c>
      <c r="J77" s="346" t="s">
        <v>680</v>
      </c>
      <c r="K77" s="93"/>
      <c r="L77" t="s">
        <v>710</v>
      </c>
      <c r="M77" s="339" t="s">
        <v>655</v>
      </c>
      <c r="N77" s="339"/>
      <c r="O77" s="339"/>
      <c r="P77" s="339"/>
      <c r="Q77" s="339"/>
    </row>
    <row r="78" spans="1:19" x14ac:dyDescent="0.3">
      <c r="K78" s="19"/>
      <c r="L78" s="170">
        <v>1</v>
      </c>
      <c r="M78" s="344" t="s">
        <v>414</v>
      </c>
      <c r="N78" s="344" t="s">
        <v>166</v>
      </c>
      <c r="O78" s="344" t="s">
        <v>416</v>
      </c>
      <c r="R78" s="344" t="s">
        <v>699</v>
      </c>
    </row>
    <row r="79" spans="1:19" x14ac:dyDescent="0.3">
      <c r="F79" t="s">
        <v>762</v>
      </c>
      <c r="L79" s="354">
        <v>-1</v>
      </c>
    </row>
    <row r="80" spans="1:19" x14ac:dyDescent="0.3">
      <c r="F80" t="s">
        <v>763</v>
      </c>
      <c r="M80" t="s">
        <v>692</v>
      </c>
      <c r="N80" t="s">
        <v>702</v>
      </c>
    </row>
    <row r="81" spans="1:16" x14ac:dyDescent="0.3">
      <c r="F81" s="337" t="s">
        <v>669</v>
      </c>
      <c r="G81" s="337"/>
      <c r="H81" s="337"/>
      <c r="I81" s="337"/>
      <c r="J81" s="337"/>
      <c r="K81" s="337"/>
    </row>
    <row r="82" spans="1:16" x14ac:dyDescent="0.3">
      <c r="F82" s="344" t="s">
        <v>414</v>
      </c>
      <c r="I82" s="344" t="s">
        <v>166</v>
      </c>
      <c r="J82" s="344" t="s">
        <v>416</v>
      </c>
      <c r="M82" t="s">
        <v>709</v>
      </c>
    </row>
    <row r="83" spans="1:16" x14ac:dyDescent="0.3">
      <c r="F83" s="340" t="s">
        <v>651</v>
      </c>
      <c r="G83" s="340"/>
      <c r="H83" s="340"/>
      <c r="I83" s="340"/>
      <c r="J83" s="340"/>
      <c r="K83" s="340"/>
      <c r="M83" t="s">
        <v>711</v>
      </c>
      <c r="P83" t="s">
        <v>302</v>
      </c>
    </row>
    <row r="84" spans="1:16" x14ac:dyDescent="0.3">
      <c r="F84" s="340" t="s">
        <v>760</v>
      </c>
      <c r="G84" s="341"/>
      <c r="H84" s="341"/>
      <c r="I84" s="341"/>
      <c r="J84" s="341"/>
      <c r="K84" s="341"/>
      <c r="M84" t="s">
        <v>712</v>
      </c>
      <c r="N84" t="s">
        <v>713</v>
      </c>
      <c r="P84" t="s">
        <v>305</v>
      </c>
    </row>
    <row r="85" spans="1:16" x14ac:dyDescent="0.3">
      <c r="F85" s="340" t="s">
        <v>320</v>
      </c>
      <c r="G85" s="340"/>
      <c r="H85" s="340"/>
      <c r="I85" s="340"/>
      <c r="J85" s="340"/>
      <c r="K85" s="340"/>
      <c r="P85" s="347" t="s">
        <v>304</v>
      </c>
    </row>
    <row r="86" spans="1:16" x14ac:dyDescent="0.3">
      <c r="F86" s="340" t="s">
        <v>654</v>
      </c>
      <c r="G86" s="340"/>
      <c r="H86" s="340"/>
      <c r="I86" s="340"/>
      <c r="J86" s="340"/>
      <c r="K86" s="340"/>
      <c r="M86" t="s">
        <v>714</v>
      </c>
      <c r="P86" s="347" t="s">
        <v>378</v>
      </c>
    </row>
    <row r="87" spans="1:16" x14ac:dyDescent="0.3">
      <c r="F87" s="341"/>
      <c r="G87" s="341"/>
      <c r="H87" s="341"/>
      <c r="I87" s="341"/>
      <c r="J87" s="341"/>
      <c r="K87" s="341"/>
      <c r="M87" t="s">
        <v>712</v>
      </c>
      <c r="N87" t="s">
        <v>713</v>
      </c>
      <c r="P87" s="347" t="s">
        <v>390</v>
      </c>
    </row>
    <row r="88" spans="1:16" x14ac:dyDescent="0.3">
      <c r="F88" s="340"/>
      <c r="G88" s="340"/>
      <c r="H88" s="340"/>
      <c r="I88" s="340"/>
      <c r="J88" s="340"/>
      <c r="K88" s="340"/>
      <c r="P88" s="347" t="s">
        <v>306</v>
      </c>
    </row>
    <row r="89" spans="1:16" x14ac:dyDescent="0.3">
      <c r="F89" s="341"/>
      <c r="G89" s="341"/>
      <c r="H89" s="341"/>
      <c r="I89" s="341"/>
      <c r="J89" s="341"/>
      <c r="K89" s="341"/>
      <c r="M89" t="s">
        <v>715</v>
      </c>
      <c r="P89" s="347" t="s">
        <v>420</v>
      </c>
    </row>
    <row r="90" spans="1:16" x14ac:dyDescent="0.3">
      <c r="F90" s="340" t="s">
        <v>388</v>
      </c>
      <c r="G90" s="340"/>
      <c r="H90" s="340"/>
      <c r="I90" s="340"/>
      <c r="J90" s="340"/>
      <c r="K90" s="340"/>
      <c r="L90" s="170">
        <v>1</v>
      </c>
      <c r="M90" t="s">
        <v>712</v>
      </c>
      <c r="N90" t="s">
        <v>713</v>
      </c>
      <c r="P90" t="s">
        <v>658</v>
      </c>
    </row>
    <row r="91" spans="1:16" x14ac:dyDescent="0.3">
      <c r="F91" s="341" t="s">
        <v>681</v>
      </c>
      <c r="L91" s="354">
        <v>-1</v>
      </c>
      <c r="P91" t="s">
        <v>659</v>
      </c>
    </row>
    <row r="92" spans="1:16" x14ac:dyDescent="0.3">
      <c r="F92" s="339" t="s">
        <v>655</v>
      </c>
      <c r="G92" s="339"/>
      <c r="H92" s="339"/>
      <c r="I92" s="339"/>
      <c r="J92" s="339"/>
      <c r="K92" s="339"/>
      <c r="M92" t="s">
        <v>716</v>
      </c>
      <c r="P92" t="s">
        <v>660</v>
      </c>
    </row>
    <row r="93" spans="1:16" x14ac:dyDescent="0.3">
      <c r="F93" t="s">
        <v>682</v>
      </c>
      <c r="L93" s="170">
        <v>1</v>
      </c>
      <c r="M93" t="s">
        <v>712</v>
      </c>
      <c r="N93" t="s">
        <v>713</v>
      </c>
      <c r="P93" t="s">
        <v>354</v>
      </c>
    </row>
    <row r="94" spans="1:16" x14ac:dyDescent="0.3">
      <c r="A94" s="337" t="s">
        <v>322</v>
      </c>
      <c r="B94" s="337"/>
      <c r="C94" s="337"/>
      <c r="D94" s="337"/>
      <c r="E94" s="337"/>
      <c r="F94" s="337"/>
      <c r="G94" s="337"/>
      <c r="H94" s="337"/>
      <c r="I94" s="337"/>
      <c r="J94" s="337" t="s">
        <v>672</v>
      </c>
      <c r="K94" s="337" t="s">
        <v>673</v>
      </c>
      <c r="L94" s="354">
        <v>-1</v>
      </c>
      <c r="P94" t="s">
        <v>634</v>
      </c>
    </row>
    <row r="95" spans="1:16" x14ac:dyDescent="0.3">
      <c r="A95" t="s">
        <v>683</v>
      </c>
      <c r="M95" t="s">
        <v>329</v>
      </c>
      <c r="P95" t="s">
        <v>661</v>
      </c>
    </row>
    <row r="96" spans="1:16" x14ac:dyDescent="0.3">
      <c r="A96" t="s">
        <v>324</v>
      </c>
      <c r="M96" t="s">
        <v>712</v>
      </c>
      <c r="N96" t="s">
        <v>713</v>
      </c>
      <c r="P96" s="347" t="s">
        <v>636</v>
      </c>
    </row>
    <row r="97" spans="1:16" x14ac:dyDescent="0.3">
      <c r="P97" s="347" t="s">
        <v>644</v>
      </c>
    </row>
    <row r="98" spans="1:16" x14ac:dyDescent="0.3">
      <c r="M98" t="s">
        <v>717</v>
      </c>
      <c r="P98" s="347" t="s">
        <v>663</v>
      </c>
    </row>
    <row r="99" spans="1:16" x14ac:dyDescent="0.3">
      <c r="A99" s="336"/>
      <c r="B99" s="336"/>
      <c r="E99" s="336"/>
      <c r="F99" s="336"/>
      <c r="G99" s="336"/>
      <c r="J99" s="336"/>
      <c r="K99" s="336"/>
      <c r="M99" t="s">
        <v>712</v>
      </c>
      <c r="N99" t="s">
        <v>713</v>
      </c>
      <c r="P99" s="347" t="s">
        <v>473</v>
      </c>
    </row>
    <row r="100" spans="1:16" x14ac:dyDescent="0.3">
      <c r="P100" s="347" t="s">
        <v>674</v>
      </c>
    </row>
    <row r="101" spans="1:16" x14ac:dyDescent="0.3">
      <c r="P101" s="347" t="s">
        <v>590</v>
      </c>
    </row>
    <row r="102" spans="1:16" x14ac:dyDescent="0.3">
      <c r="P102" s="347" t="s">
        <v>676</v>
      </c>
    </row>
    <row r="119" spans="1:11" x14ac:dyDescent="0.3">
      <c r="A119" s="388" t="s">
        <v>795</v>
      </c>
    </row>
    <row r="120" spans="1:11" x14ac:dyDescent="0.3">
      <c r="A120" s="237"/>
      <c r="B120" s="238"/>
      <c r="C120" s="238"/>
      <c r="D120" s="238"/>
      <c r="E120" s="238"/>
      <c r="F120" s="238" t="s">
        <v>657</v>
      </c>
      <c r="G120" s="238"/>
      <c r="H120" s="238"/>
      <c r="I120" s="238"/>
      <c r="J120" s="238"/>
      <c r="K120" s="239"/>
    </row>
    <row r="121" spans="1:11" x14ac:dyDescent="0.3">
      <c r="A121" s="240"/>
      <c r="B121" s="241"/>
      <c r="C121" s="241"/>
      <c r="D121" s="241"/>
      <c r="E121" s="241"/>
      <c r="F121" s="243" t="s">
        <v>684</v>
      </c>
      <c r="G121" s="241"/>
      <c r="H121" s="241"/>
      <c r="I121" s="241"/>
      <c r="J121" s="241"/>
      <c r="K121" s="242"/>
    </row>
    <row r="123" spans="1:11" x14ac:dyDescent="0.3">
      <c r="A123" s="169" t="s">
        <v>548</v>
      </c>
      <c r="B123" s="161"/>
      <c r="C123" s="161"/>
      <c r="D123" s="162"/>
      <c r="F123" s="250" t="s">
        <v>662</v>
      </c>
      <c r="G123" s="251"/>
      <c r="H123" s="251"/>
      <c r="I123" s="251"/>
      <c r="J123" s="251"/>
      <c r="K123" s="252"/>
    </row>
    <row r="124" spans="1:11" x14ac:dyDescent="0.3">
      <c r="A124" s="150" t="s">
        <v>393</v>
      </c>
      <c r="B124" s="163" t="s">
        <v>411</v>
      </c>
      <c r="C124" s="163"/>
      <c r="D124" s="164"/>
      <c r="F124" s="254" t="s">
        <v>377</v>
      </c>
      <c r="G124" s="369" t="s">
        <v>552</v>
      </c>
      <c r="H124" s="369" t="s">
        <v>529</v>
      </c>
      <c r="I124" s="369" t="s">
        <v>553</v>
      </c>
      <c r="J124" s="369" t="s">
        <v>773</v>
      </c>
      <c r="K124" s="370" t="s">
        <v>774</v>
      </c>
    </row>
    <row r="125" spans="1:11" x14ac:dyDescent="0.3">
      <c r="A125" s="150" t="s">
        <v>394</v>
      </c>
      <c r="B125" s="163" t="s">
        <v>411</v>
      </c>
      <c r="C125" s="163"/>
      <c r="D125" s="164"/>
      <c r="F125" s="358">
        <v>44343</v>
      </c>
      <c r="G125" s="371">
        <v>30.161999999999999</v>
      </c>
      <c r="H125" s="371">
        <v>10</v>
      </c>
      <c r="I125" s="371">
        <v>27.145800000000001</v>
      </c>
      <c r="J125" s="371">
        <v>1</v>
      </c>
      <c r="K125" s="372">
        <v>26.874341999999999</v>
      </c>
    </row>
    <row r="126" spans="1:11" x14ac:dyDescent="0.3">
      <c r="A126" s="150" t="s">
        <v>395</v>
      </c>
      <c r="B126" s="163" t="s">
        <v>411</v>
      </c>
      <c r="C126" s="163"/>
      <c r="D126" s="164"/>
      <c r="F126" s="250" t="s">
        <v>666</v>
      </c>
      <c r="G126" s="251"/>
      <c r="H126" s="251"/>
      <c r="I126" s="251"/>
      <c r="J126" s="251"/>
      <c r="K126" s="252"/>
    </row>
    <row r="127" spans="1:11" x14ac:dyDescent="0.3">
      <c r="A127" s="150" t="s">
        <v>396</v>
      </c>
      <c r="B127" s="389">
        <v>44344</v>
      </c>
      <c r="C127" s="163"/>
      <c r="D127" s="164"/>
      <c r="F127" s="254" t="s">
        <v>443</v>
      </c>
      <c r="G127" s="369"/>
      <c r="H127" s="369"/>
      <c r="I127" s="369"/>
      <c r="J127" s="369" t="s">
        <v>555</v>
      </c>
      <c r="K127" s="370" t="s">
        <v>579</v>
      </c>
    </row>
    <row r="128" spans="1:11" x14ac:dyDescent="0.3">
      <c r="A128" s="150" t="s">
        <v>316</v>
      </c>
      <c r="B128" s="163" t="s">
        <v>765</v>
      </c>
      <c r="C128" s="163"/>
      <c r="D128" s="164"/>
      <c r="F128" s="253" t="s">
        <v>509</v>
      </c>
      <c r="G128" s="373"/>
      <c r="H128" s="373"/>
      <c r="I128" s="373"/>
      <c r="J128" s="379">
        <v>18</v>
      </c>
      <c r="K128" s="380">
        <v>1.1339999999999999</v>
      </c>
    </row>
    <row r="129" spans="1:11" x14ac:dyDescent="0.3">
      <c r="A129" s="244" t="s">
        <v>550</v>
      </c>
      <c r="B129" s="246">
        <v>6.96</v>
      </c>
      <c r="C129" s="356" t="s">
        <v>359</v>
      </c>
      <c r="D129" s="245"/>
      <c r="F129" s="275" t="s">
        <v>505</v>
      </c>
      <c r="G129" s="371"/>
      <c r="H129" s="371"/>
      <c r="I129" s="371"/>
      <c r="J129" s="381">
        <v>80</v>
      </c>
      <c r="K129" s="382">
        <v>10</v>
      </c>
    </row>
    <row r="130" spans="1:11" x14ac:dyDescent="0.3">
      <c r="F130" s="169" t="s">
        <v>648</v>
      </c>
      <c r="G130" s="390"/>
      <c r="H130" s="161"/>
      <c r="I130" s="161"/>
      <c r="J130" s="161"/>
      <c r="K130" s="162" t="s">
        <v>775</v>
      </c>
    </row>
    <row r="131" spans="1:11" x14ac:dyDescent="0.3">
      <c r="A131" s="169" t="s">
        <v>339</v>
      </c>
      <c r="B131" s="161"/>
      <c r="C131" s="161"/>
      <c r="D131" s="162"/>
      <c r="F131" s="359" t="s">
        <v>374</v>
      </c>
      <c r="G131" s="361" t="s">
        <v>555</v>
      </c>
      <c r="H131" s="361" t="s">
        <v>679</v>
      </c>
      <c r="I131" s="361" t="s">
        <v>790</v>
      </c>
      <c r="J131" s="361" t="s">
        <v>579</v>
      </c>
      <c r="K131" s="362"/>
    </row>
    <row r="132" spans="1:11" x14ac:dyDescent="0.3">
      <c r="A132" s="150" t="s">
        <v>769</v>
      </c>
      <c r="B132" s="247" t="s">
        <v>766</v>
      </c>
      <c r="C132" s="247"/>
      <c r="D132" s="248"/>
      <c r="F132" s="150" t="s">
        <v>167</v>
      </c>
      <c r="G132" s="383">
        <v>18</v>
      </c>
      <c r="H132" s="363">
        <v>-3</v>
      </c>
      <c r="I132" s="363">
        <v>95</v>
      </c>
      <c r="J132" s="363">
        <v>2500.0416882</v>
      </c>
      <c r="K132" s="364">
        <v>375.00625323000003</v>
      </c>
    </row>
    <row r="133" spans="1:11" x14ac:dyDescent="0.3">
      <c r="A133" s="150" t="s">
        <v>307</v>
      </c>
      <c r="B133" s="247" t="s">
        <v>770</v>
      </c>
      <c r="C133" s="247"/>
      <c r="D133" s="248"/>
      <c r="F133" s="151" t="s">
        <v>168</v>
      </c>
      <c r="G133" s="384">
        <v>257.20577767159398</v>
      </c>
      <c r="H133" s="365">
        <v>1.5</v>
      </c>
      <c r="I133" s="365">
        <v>95</v>
      </c>
      <c r="J133" s="365">
        <v>9.5</v>
      </c>
      <c r="K133" s="366">
        <v>2429.2048878801502</v>
      </c>
    </row>
    <row r="134" spans="1:11" ht="15" thickBot="1" x14ac:dyDescent="0.35">
      <c r="A134" s="150" t="s">
        <v>311</v>
      </c>
      <c r="B134" s="247" t="s">
        <v>453</v>
      </c>
      <c r="C134" s="247"/>
      <c r="D134" s="248"/>
      <c r="F134" s="154" t="s">
        <v>759</v>
      </c>
      <c r="G134" s="367"/>
      <c r="H134" s="367"/>
      <c r="I134" s="367"/>
      <c r="J134" s="367"/>
      <c r="K134" s="368">
        <v>2804.21114111015</v>
      </c>
    </row>
    <row r="135" spans="1:11" ht="15" thickTop="1" x14ac:dyDescent="0.3">
      <c r="A135" s="150" t="s">
        <v>551</v>
      </c>
      <c r="B135" s="247" t="s">
        <v>770</v>
      </c>
      <c r="C135" s="247"/>
      <c r="D135" s="248"/>
      <c r="F135" s="376" t="s">
        <v>668</v>
      </c>
      <c r="G135" s="377"/>
      <c r="H135" s="377"/>
      <c r="I135" s="377"/>
      <c r="J135" s="377"/>
      <c r="K135" s="378"/>
    </row>
    <row r="136" spans="1:11" x14ac:dyDescent="0.3">
      <c r="A136" s="150" t="s">
        <v>314</v>
      </c>
      <c r="B136" s="247" t="s">
        <v>770</v>
      </c>
      <c r="C136" s="247"/>
      <c r="D136" s="248"/>
      <c r="F136" s="150" t="s">
        <v>674</v>
      </c>
      <c r="G136" s="363"/>
      <c r="H136" s="363"/>
      <c r="I136" s="363"/>
      <c r="J136" s="363"/>
      <c r="K136" s="364">
        <v>135</v>
      </c>
    </row>
    <row r="137" spans="1:11" x14ac:dyDescent="0.3">
      <c r="A137" s="150" t="s">
        <v>315</v>
      </c>
      <c r="B137" s="247" t="s">
        <v>770</v>
      </c>
      <c r="C137" s="247"/>
      <c r="D137" s="248"/>
      <c r="F137" s="150" t="s">
        <v>675</v>
      </c>
      <c r="G137" s="363" t="s">
        <v>589</v>
      </c>
      <c r="H137" s="363" t="s">
        <v>590</v>
      </c>
      <c r="I137" s="363" t="s">
        <v>591</v>
      </c>
      <c r="J137" s="363" t="s">
        <v>676</v>
      </c>
      <c r="K137" s="364"/>
    </row>
    <row r="138" spans="1:11" x14ac:dyDescent="0.3">
      <c r="A138" s="150" t="s">
        <v>771</v>
      </c>
      <c r="B138" s="247" t="s">
        <v>770</v>
      </c>
      <c r="C138" s="247"/>
      <c r="D138" s="248"/>
      <c r="F138" s="150"/>
      <c r="G138" s="363">
        <v>2500.0416882</v>
      </c>
      <c r="H138" s="363">
        <v>500</v>
      </c>
      <c r="I138" s="363">
        <v>2000.0416882</v>
      </c>
      <c r="J138" s="363">
        <v>0.15</v>
      </c>
      <c r="K138" s="364">
        <v>300.00625323000003</v>
      </c>
    </row>
    <row r="139" spans="1:11" x14ac:dyDescent="0.3">
      <c r="A139" s="244" t="s">
        <v>772</v>
      </c>
      <c r="B139" s="246" t="s">
        <v>770</v>
      </c>
      <c r="C139" s="246"/>
      <c r="D139" s="249"/>
      <c r="F139" s="150" t="s">
        <v>776</v>
      </c>
      <c r="G139" s="363"/>
      <c r="H139" s="363"/>
      <c r="I139" s="363"/>
      <c r="J139" s="363"/>
      <c r="K139" s="364"/>
    </row>
    <row r="140" spans="1:11" x14ac:dyDescent="0.3">
      <c r="F140" s="150" t="s">
        <v>677</v>
      </c>
      <c r="G140" s="363"/>
      <c r="H140" s="363" t="s">
        <v>590</v>
      </c>
      <c r="I140" s="363" t="s">
        <v>791</v>
      </c>
      <c r="J140" s="363" t="s">
        <v>761</v>
      </c>
      <c r="K140" s="364"/>
    </row>
    <row r="141" spans="1:11" x14ac:dyDescent="0.3">
      <c r="F141" s="150" t="s">
        <v>781</v>
      </c>
      <c r="G141" s="363"/>
      <c r="H141" s="363">
        <v>2.5000000000000001E-2</v>
      </c>
      <c r="I141" s="363">
        <v>0</v>
      </c>
      <c r="J141" s="363">
        <v>330.69334500000002</v>
      </c>
      <c r="K141" s="364">
        <v>8.2673336249999991</v>
      </c>
    </row>
    <row r="142" spans="1:11" x14ac:dyDescent="0.3">
      <c r="F142" s="150" t="s">
        <v>782</v>
      </c>
      <c r="G142" s="363"/>
      <c r="H142" s="363">
        <v>0.3</v>
      </c>
      <c r="I142" s="363">
        <v>7</v>
      </c>
      <c r="J142" s="363">
        <v>255.70577767159401</v>
      </c>
      <c r="K142" s="364">
        <v>170.04434215161001</v>
      </c>
    </row>
    <row r="143" spans="1:11" x14ac:dyDescent="0.3">
      <c r="F143" s="150" t="s">
        <v>650</v>
      </c>
      <c r="G143" s="363"/>
      <c r="H143" s="363"/>
      <c r="I143" s="363"/>
      <c r="J143" s="363"/>
      <c r="K143" s="364"/>
    </row>
    <row r="144" spans="1:11" x14ac:dyDescent="0.3">
      <c r="F144" s="150" t="s">
        <v>578</v>
      </c>
      <c r="G144" s="363" t="s">
        <v>589</v>
      </c>
      <c r="H144" s="363" t="s">
        <v>590</v>
      </c>
      <c r="I144" s="363" t="s">
        <v>788</v>
      </c>
      <c r="J144" s="363" t="s">
        <v>680</v>
      </c>
      <c r="K144" s="364"/>
    </row>
    <row r="145" spans="6:11" x14ac:dyDescent="0.3">
      <c r="F145" s="150" t="s">
        <v>597</v>
      </c>
      <c r="G145" s="363">
        <v>0.57999999999999996</v>
      </c>
      <c r="H145" s="363">
        <v>0.5</v>
      </c>
      <c r="I145" s="363">
        <v>2.5</v>
      </c>
      <c r="J145" s="363">
        <v>0.1</v>
      </c>
      <c r="K145" s="364">
        <v>2</v>
      </c>
    </row>
    <row r="146" spans="6:11" x14ac:dyDescent="0.3">
      <c r="F146" s="150" t="s">
        <v>507</v>
      </c>
      <c r="G146" s="363">
        <v>7.92</v>
      </c>
      <c r="H146" s="363">
        <v>0.7</v>
      </c>
      <c r="I146" s="363">
        <v>2</v>
      </c>
      <c r="J146" s="363">
        <v>0.1</v>
      </c>
      <c r="K146" s="364">
        <v>144.4</v>
      </c>
    </row>
    <row r="147" spans="6:11" x14ac:dyDescent="0.3">
      <c r="F147" s="150" t="s">
        <v>515</v>
      </c>
      <c r="G147" s="363">
        <v>0.02</v>
      </c>
      <c r="H147" s="363">
        <v>0.05</v>
      </c>
      <c r="I147" s="363">
        <v>1.5</v>
      </c>
      <c r="J147" s="363">
        <v>0.01</v>
      </c>
      <c r="K147" s="364">
        <v>0</v>
      </c>
    </row>
    <row r="148" spans="6:11" x14ac:dyDescent="0.3">
      <c r="F148" s="150" t="s">
        <v>159</v>
      </c>
      <c r="G148" s="363">
        <v>9.5</v>
      </c>
      <c r="H148" s="363">
        <v>8</v>
      </c>
      <c r="I148" s="363">
        <v>2</v>
      </c>
      <c r="J148" s="363">
        <v>1</v>
      </c>
      <c r="K148" s="364">
        <v>3</v>
      </c>
    </row>
    <row r="149" spans="6:11" x14ac:dyDescent="0.3">
      <c r="F149" s="150" t="s">
        <v>499</v>
      </c>
      <c r="G149" s="363">
        <v>1.5</v>
      </c>
      <c r="H149" s="363">
        <v>0.5</v>
      </c>
      <c r="I149" s="363">
        <v>1.5</v>
      </c>
      <c r="J149" s="363">
        <v>0.1</v>
      </c>
      <c r="K149" s="364">
        <v>15</v>
      </c>
    </row>
    <row r="150" spans="6:11" x14ac:dyDescent="0.3">
      <c r="F150" s="151" t="s">
        <v>777</v>
      </c>
      <c r="G150" s="365"/>
      <c r="H150" s="365"/>
      <c r="I150" s="365"/>
      <c r="J150" s="365"/>
      <c r="K150" s="366">
        <v>2026.4932121035299</v>
      </c>
    </row>
    <row r="151" spans="6:11" ht="15" thickBot="1" x14ac:dyDescent="0.35">
      <c r="F151" s="141" t="s">
        <v>786</v>
      </c>
      <c r="G151" s="374"/>
      <c r="H151" s="374"/>
      <c r="I151" s="374"/>
      <c r="J151" s="374"/>
      <c r="K151" s="375">
        <v>54460.671642748901</v>
      </c>
    </row>
    <row r="152" spans="6:11" ht="15" thickTop="1" x14ac:dyDescent="0.3">
      <c r="F152" s="270" t="s">
        <v>669</v>
      </c>
      <c r="G152" s="271"/>
      <c r="H152" s="271"/>
      <c r="I152" s="271"/>
      <c r="J152" s="271"/>
      <c r="K152" s="272"/>
    </row>
    <row r="153" spans="6:11" x14ac:dyDescent="0.3">
      <c r="F153" s="359" t="s">
        <v>414</v>
      </c>
      <c r="G153" s="361"/>
      <c r="H153" s="361"/>
      <c r="I153" s="361" t="s">
        <v>413</v>
      </c>
      <c r="J153" s="361" t="s">
        <v>416</v>
      </c>
      <c r="K153" s="362"/>
    </row>
    <row r="154" spans="6:11" x14ac:dyDescent="0.3">
      <c r="F154" s="150" t="s">
        <v>651</v>
      </c>
      <c r="G154" s="363"/>
      <c r="H154" s="363"/>
      <c r="I154" s="363"/>
      <c r="J154" s="363"/>
      <c r="K154" s="364"/>
    </row>
    <row r="155" spans="6:11" x14ac:dyDescent="0.3">
      <c r="F155" s="150" t="s">
        <v>783</v>
      </c>
      <c r="G155" s="363"/>
      <c r="H155" s="363"/>
      <c r="I155" s="363">
        <v>0</v>
      </c>
      <c r="J155" s="363">
        <v>53.5</v>
      </c>
      <c r="K155" s="364">
        <v>1613.6669999999999</v>
      </c>
    </row>
    <row r="156" spans="6:11" x14ac:dyDescent="0.3">
      <c r="F156" s="150" t="s">
        <v>784</v>
      </c>
      <c r="G156" s="363"/>
      <c r="H156" s="363"/>
      <c r="I156" s="363">
        <v>0</v>
      </c>
      <c r="J156" s="363">
        <v>0</v>
      </c>
      <c r="K156" s="364">
        <v>24.19</v>
      </c>
    </row>
    <row r="157" spans="6:11" x14ac:dyDescent="0.3">
      <c r="F157" s="150" t="s">
        <v>760</v>
      </c>
      <c r="G157" s="363"/>
      <c r="H157" s="363"/>
      <c r="I157" s="363"/>
      <c r="J157" s="363"/>
      <c r="K157" s="364"/>
    </row>
    <row r="158" spans="6:11" x14ac:dyDescent="0.3">
      <c r="F158" s="150" t="s">
        <v>560</v>
      </c>
      <c r="G158" s="363"/>
      <c r="H158" s="363"/>
      <c r="I158" s="363">
        <v>6.6</v>
      </c>
      <c r="J158" s="363">
        <v>0</v>
      </c>
      <c r="K158" s="364">
        <v>3594.4043284214299</v>
      </c>
    </row>
    <row r="159" spans="6:11" x14ac:dyDescent="0.3">
      <c r="F159" s="150" t="s">
        <v>320</v>
      </c>
      <c r="G159" s="363"/>
      <c r="H159" s="363"/>
      <c r="I159" s="363"/>
      <c r="J159" s="363"/>
      <c r="K159" s="364"/>
    </row>
    <row r="160" spans="6:11" x14ac:dyDescent="0.3">
      <c r="F160" s="150" t="s">
        <v>350</v>
      </c>
      <c r="G160" s="363"/>
      <c r="H160" s="363"/>
      <c r="I160" s="363">
        <v>1.85</v>
      </c>
      <c r="J160" s="363">
        <v>0</v>
      </c>
      <c r="K160" s="364">
        <v>1007.52242539086</v>
      </c>
    </row>
    <row r="161" spans="1:12" x14ac:dyDescent="0.3">
      <c r="F161" s="150" t="s">
        <v>349</v>
      </c>
      <c r="G161" s="363"/>
      <c r="H161" s="363"/>
      <c r="I161" s="363">
        <v>1</v>
      </c>
      <c r="J161" s="363">
        <v>0</v>
      </c>
      <c r="K161" s="364">
        <v>544.606716427489</v>
      </c>
    </row>
    <row r="162" spans="1:12" x14ac:dyDescent="0.3">
      <c r="F162" s="150" t="s">
        <v>654</v>
      </c>
      <c r="G162" s="363"/>
      <c r="H162" s="363"/>
      <c r="I162" s="363"/>
      <c r="J162" s="363"/>
      <c r="K162" s="364"/>
    </row>
    <row r="163" spans="1:12" x14ac:dyDescent="0.3">
      <c r="F163" s="150" t="s">
        <v>351</v>
      </c>
      <c r="G163" s="363"/>
      <c r="H163" s="363"/>
      <c r="I163" s="363">
        <v>0.7</v>
      </c>
      <c r="J163" s="363">
        <v>0</v>
      </c>
      <c r="K163" s="364">
        <v>381.224701499243</v>
      </c>
    </row>
    <row r="164" spans="1:12" x14ac:dyDescent="0.3">
      <c r="F164" s="150" t="s">
        <v>352</v>
      </c>
      <c r="G164" s="363"/>
      <c r="H164" s="363"/>
      <c r="I164" s="363">
        <v>0.1</v>
      </c>
      <c r="J164" s="363">
        <v>0</v>
      </c>
      <c r="K164" s="364">
        <v>54.460671642748899</v>
      </c>
    </row>
    <row r="165" spans="1:12" x14ac:dyDescent="0.3">
      <c r="F165" s="150" t="s">
        <v>353</v>
      </c>
      <c r="G165" s="363"/>
      <c r="H165" s="363"/>
      <c r="I165" s="363">
        <v>0.3</v>
      </c>
      <c r="J165" s="363">
        <v>0</v>
      </c>
      <c r="K165" s="364">
        <v>163.382014928247</v>
      </c>
    </row>
    <row r="166" spans="1:12" x14ac:dyDescent="0.3">
      <c r="F166" s="151" t="s">
        <v>354</v>
      </c>
      <c r="G166" s="365"/>
      <c r="H166" s="365"/>
      <c r="I166" s="365">
        <v>1</v>
      </c>
      <c r="J166" s="365">
        <v>0</v>
      </c>
      <c r="K166" s="366">
        <v>544.606716427489</v>
      </c>
    </row>
    <row r="167" spans="1:12" ht="15" thickBot="1" x14ac:dyDescent="0.35">
      <c r="F167" s="141" t="s">
        <v>787</v>
      </c>
      <c r="G167" s="374"/>
      <c r="H167" s="374"/>
      <c r="I167" s="374"/>
      <c r="J167" s="374"/>
      <c r="K167" s="375">
        <v>7928.0645747375002</v>
      </c>
    </row>
    <row r="168" spans="1:12" ht="15" thickTop="1" x14ac:dyDescent="0.3">
      <c r="F168" s="270" t="s">
        <v>655</v>
      </c>
      <c r="G168" s="271"/>
      <c r="H168" s="271"/>
      <c r="I168" s="271"/>
      <c r="J168" s="271"/>
      <c r="K168" s="272"/>
    </row>
    <row r="169" spans="1:12" x14ac:dyDescent="0.3">
      <c r="F169" s="150" t="s">
        <v>792</v>
      </c>
      <c r="G169" s="247"/>
      <c r="H169" s="247"/>
      <c r="I169" s="247"/>
      <c r="J169" s="247"/>
      <c r="K169" s="248">
        <v>100</v>
      </c>
    </row>
    <row r="170" spans="1:12" x14ac:dyDescent="0.3">
      <c r="F170" s="151" t="s">
        <v>794</v>
      </c>
      <c r="G170" s="273"/>
      <c r="H170" s="273"/>
      <c r="I170" s="273"/>
      <c r="J170" s="273"/>
      <c r="K170" s="274">
        <v>100</v>
      </c>
    </row>
    <row r="171" spans="1:12" ht="15" thickBot="1" x14ac:dyDescent="0.35">
      <c r="F171" s="154" t="s">
        <v>793</v>
      </c>
      <c r="G171" s="261"/>
      <c r="H171" s="261"/>
      <c r="I171" s="261"/>
      <c r="J171" s="261"/>
      <c r="K171" s="262">
        <v>200</v>
      </c>
    </row>
    <row r="172" spans="1:12" ht="15" thickTop="1" x14ac:dyDescent="0.3"/>
    <row r="173" spans="1:12" x14ac:dyDescent="0.3">
      <c r="A173" s="250" t="s">
        <v>518</v>
      </c>
      <c r="B173" s="251"/>
      <c r="C173" s="251"/>
      <c r="D173" s="251"/>
      <c r="E173" s="251"/>
      <c r="F173" s="251"/>
      <c r="G173" s="251"/>
      <c r="H173" s="251"/>
      <c r="I173" s="251"/>
      <c r="J173" s="251"/>
      <c r="K173" s="252" t="s">
        <v>563</v>
      </c>
    </row>
    <row r="174" spans="1:12" x14ac:dyDescent="0.3">
      <c r="A174" s="276" t="s">
        <v>565</v>
      </c>
      <c r="B174" s="278"/>
      <c r="C174" s="278"/>
      <c r="D174" s="278"/>
      <c r="E174" s="278"/>
      <c r="F174" s="278"/>
      <c r="G174" s="278"/>
      <c r="H174" s="278"/>
      <c r="I174" s="278"/>
      <c r="J174" s="278"/>
      <c r="K174" s="277">
        <v>46732.607068011399</v>
      </c>
      <c r="L174" s="17"/>
    </row>
    <row r="175" spans="1:12" x14ac:dyDescent="0.3">
      <c r="A175" s="275" t="s">
        <v>324</v>
      </c>
      <c r="B175" s="513" t="s">
        <v>796</v>
      </c>
      <c r="C175" s="513"/>
      <c r="D175" s="513"/>
      <c r="E175" s="513"/>
      <c r="F175" s="513"/>
      <c r="G175" s="513"/>
      <c r="H175" s="513"/>
      <c r="I175" s="513"/>
      <c r="J175" s="513"/>
      <c r="K175" s="514"/>
    </row>
    <row r="176" spans="1:12" x14ac:dyDescent="0.3">
      <c r="A176" s="255"/>
      <c r="B176" s="515"/>
      <c r="C176" s="515"/>
      <c r="D176" s="515"/>
      <c r="E176" s="515"/>
      <c r="F176" s="515"/>
      <c r="G176" s="515"/>
      <c r="H176" s="515"/>
      <c r="I176" s="515"/>
      <c r="J176" s="515"/>
      <c r="K176" s="516"/>
    </row>
    <row r="179" spans="1:11" x14ac:dyDescent="0.3">
      <c r="A179" s="279" t="s">
        <v>325</v>
      </c>
      <c r="B179" s="279"/>
      <c r="E179" s="281"/>
      <c r="F179" s="281" t="s">
        <v>326</v>
      </c>
      <c r="G179" s="281"/>
      <c r="J179" s="279" t="s">
        <v>306</v>
      </c>
      <c r="K179" s="279"/>
    </row>
    <row r="180" spans="1:11" x14ac:dyDescent="0.3">
      <c r="A180" s="280"/>
      <c r="B180" s="280"/>
      <c r="E180" s="280"/>
      <c r="F180" s="280"/>
      <c r="G180" s="280"/>
      <c r="J180" s="280"/>
      <c r="K180" s="280"/>
    </row>
    <row r="189" spans="1:11" x14ac:dyDescent="0.3">
      <c r="A189" s="46" t="s">
        <v>789</v>
      </c>
    </row>
    <row r="190" spans="1:11" x14ac:dyDescent="0.3">
      <c r="A190" s="288"/>
      <c r="B190" s="289"/>
      <c r="C190" s="238"/>
      <c r="D190" s="238"/>
      <c r="E190" s="289"/>
      <c r="F190" s="289" t="s">
        <v>657</v>
      </c>
      <c r="G190" s="289"/>
      <c r="H190" s="238"/>
      <c r="I190" s="238"/>
      <c r="J190" s="289"/>
      <c r="K190" s="290"/>
    </row>
    <row r="191" spans="1:11" x14ac:dyDescent="0.3">
      <c r="A191" s="240"/>
      <c r="B191" s="241"/>
      <c r="C191" s="241"/>
      <c r="D191" s="241"/>
      <c r="E191" s="241"/>
      <c r="F191" s="243" t="s">
        <v>684</v>
      </c>
      <c r="G191" s="241"/>
      <c r="H191" s="241"/>
      <c r="I191" s="241"/>
      <c r="J191" s="241"/>
      <c r="K191" s="242"/>
    </row>
    <row r="192" spans="1:11" x14ac:dyDescent="0.3">
      <c r="A192" s="280"/>
      <c r="B192" s="280"/>
      <c r="E192" s="280"/>
      <c r="F192" s="280"/>
      <c r="G192" s="280"/>
      <c r="J192" s="280"/>
      <c r="K192" s="280"/>
    </row>
    <row r="193" spans="1:17" x14ac:dyDescent="0.3">
      <c r="A193" s="394" t="s">
        <v>548</v>
      </c>
      <c r="B193" s="395"/>
      <c r="C193" s="161"/>
      <c r="D193" s="162"/>
      <c r="E193" s="280"/>
      <c r="F193" s="391" t="s">
        <v>1176</v>
      </c>
      <c r="G193" s="392"/>
      <c r="H193" s="251"/>
      <c r="I193" s="251"/>
      <c r="J193" s="392"/>
      <c r="K193" s="393"/>
    </row>
    <row r="194" spans="1:17" x14ac:dyDescent="0.3">
      <c r="A194" s="396" t="s">
        <v>393</v>
      </c>
      <c r="B194" s="163" t="s">
        <v>411</v>
      </c>
      <c r="C194" s="163"/>
      <c r="D194" s="164"/>
      <c r="E194" s="280"/>
      <c r="F194" s="397" t="s">
        <v>377</v>
      </c>
      <c r="G194" s="369" t="s">
        <v>552</v>
      </c>
      <c r="H194" s="369" t="s">
        <v>529</v>
      </c>
      <c r="I194" s="369" t="s">
        <v>553</v>
      </c>
      <c r="J194" s="369" t="s">
        <v>773</v>
      </c>
      <c r="K194" s="370" t="s">
        <v>774</v>
      </c>
    </row>
    <row r="195" spans="1:17" x14ac:dyDescent="0.3">
      <c r="A195" s="396" t="s">
        <v>394</v>
      </c>
      <c r="B195" s="163" t="s">
        <v>411</v>
      </c>
      <c r="C195" s="163"/>
      <c r="D195" s="164"/>
      <c r="E195" s="462" t="s">
        <v>1179</v>
      </c>
      <c r="F195" s="398">
        <v>44343</v>
      </c>
      <c r="G195" s="371">
        <v>30.161999999999999</v>
      </c>
      <c r="H195" s="371">
        <v>10</v>
      </c>
      <c r="I195" s="371">
        <f>G195*(1-(H195/100))</f>
        <v>27.145800000000001</v>
      </c>
      <c r="J195" s="371">
        <v>1</v>
      </c>
      <c r="K195" s="372">
        <f>I195*(1-(J195/100))</f>
        <v>26.874342000000002</v>
      </c>
      <c r="L195" s="461" t="s">
        <v>1184</v>
      </c>
    </row>
    <row r="196" spans="1:17" x14ac:dyDescent="0.3">
      <c r="A196" s="396" t="s">
        <v>395</v>
      </c>
      <c r="B196" s="163" t="s">
        <v>411</v>
      </c>
      <c r="C196" s="163"/>
      <c r="D196" s="164"/>
      <c r="E196" s="462"/>
      <c r="F196" s="391" t="s">
        <v>1177</v>
      </c>
      <c r="G196" s="392"/>
      <c r="H196" s="251"/>
      <c r="I196" s="251"/>
      <c r="J196" s="392"/>
      <c r="K196" s="393"/>
    </row>
    <row r="197" spans="1:17" x14ac:dyDescent="0.3">
      <c r="A197" s="150" t="s">
        <v>396</v>
      </c>
      <c r="B197" s="389">
        <v>44344</v>
      </c>
      <c r="C197" s="163"/>
      <c r="D197" s="164"/>
      <c r="E197" s="463"/>
      <c r="F197" s="254" t="s">
        <v>443</v>
      </c>
      <c r="G197" s="369"/>
      <c r="H197" s="369"/>
      <c r="I197" s="369"/>
      <c r="J197" s="369" t="s">
        <v>555</v>
      </c>
      <c r="K197" s="370" t="s">
        <v>579</v>
      </c>
    </row>
    <row r="198" spans="1:17" x14ac:dyDescent="0.3">
      <c r="A198" s="150" t="s">
        <v>316</v>
      </c>
      <c r="B198" s="163" t="s">
        <v>765</v>
      </c>
      <c r="C198" s="163"/>
      <c r="D198" s="164"/>
      <c r="E198" s="463" t="s">
        <v>1178</v>
      </c>
      <c r="F198" s="253" t="s">
        <v>509</v>
      </c>
      <c r="G198" s="373"/>
      <c r="H198" s="373"/>
      <c r="I198" s="373"/>
      <c r="J198" s="379">
        <v>18</v>
      </c>
      <c r="K198" s="380">
        <v>1.1339999999999999</v>
      </c>
      <c r="N198" t="s">
        <v>1174</v>
      </c>
    </row>
    <row r="199" spans="1:17" x14ac:dyDescent="0.3">
      <c r="A199" s="244" t="s">
        <v>550</v>
      </c>
      <c r="B199" s="246">
        <v>6.96</v>
      </c>
      <c r="C199" s="356" t="s">
        <v>359</v>
      </c>
      <c r="D199" s="245"/>
      <c r="E199" s="463"/>
      <c r="F199" s="275" t="s">
        <v>505</v>
      </c>
      <c r="G199" s="371"/>
      <c r="H199" s="371"/>
      <c r="I199" s="371"/>
      <c r="J199" s="381">
        <v>80</v>
      </c>
      <c r="K199" s="382">
        <v>10</v>
      </c>
      <c r="N199" t="s">
        <v>1170</v>
      </c>
      <c r="Q199" t="s">
        <v>755</v>
      </c>
    </row>
    <row r="200" spans="1:17" x14ac:dyDescent="0.3">
      <c r="E200" s="463"/>
      <c r="F200" s="169" t="s">
        <v>648</v>
      </c>
      <c r="G200" s="390"/>
      <c r="H200" s="161"/>
      <c r="I200" s="161"/>
      <c r="J200" s="161"/>
      <c r="K200" s="162" t="s">
        <v>775</v>
      </c>
      <c r="N200" t="s">
        <v>166</v>
      </c>
      <c r="O200" t="s">
        <v>754</v>
      </c>
      <c r="P200" t="s">
        <v>139</v>
      </c>
      <c r="Q200" t="s">
        <v>755</v>
      </c>
    </row>
    <row r="201" spans="1:17" x14ac:dyDescent="0.3">
      <c r="A201" s="169" t="s">
        <v>339</v>
      </c>
      <c r="B201" s="161"/>
      <c r="C201" s="161"/>
      <c r="D201" s="162"/>
      <c r="E201" s="463"/>
      <c r="F201" s="359" t="s">
        <v>374</v>
      </c>
      <c r="G201" s="361" t="s">
        <v>555</v>
      </c>
      <c r="H201" s="361" t="s">
        <v>679</v>
      </c>
      <c r="I201" s="361" t="s">
        <v>790</v>
      </c>
      <c r="J201" s="361" t="s">
        <v>579</v>
      </c>
      <c r="K201" s="362"/>
      <c r="N201" s="460" t="s">
        <v>1167</v>
      </c>
      <c r="O201" t="s">
        <v>1171</v>
      </c>
      <c r="P201" t="s">
        <v>1168</v>
      </c>
      <c r="Q201" t="s">
        <v>756</v>
      </c>
    </row>
    <row r="202" spans="1:17" x14ac:dyDescent="0.3">
      <c r="A202" s="150" t="s">
        <v>769</v>
      </c>
      <c r="B202" s="247" t="s">
        <v>766</v>
      </c>
      <c r="C202" s="247"/>
      <c r="D202" s="248"/>
      <c r="E202" s="463" t="s">
        <v>1180</v>
      </c>
      <c r="F202" s="150" t="s">
        <v>167</v>
      </c>
      <c r="G202" s="383">
        <f>J198</f>
        <v>18</v>
      </c>
      <c r="H202" s="363">
        <v>-3</v>
      </c>
      <c r="I202" s="363">
        <v>95</v>
      </c>
      <c r="J202" s="363">
        <f>K198*2204.6223</f>
        <v>2500.0416882</v>
      </c>
      <c r="K202" s="364">
        <f>IF(OR(G202=0,G202&gt;=100),G202-ABS(H202),IF(H202=0,G202*I202/100,IF(G202&gt;(H202/((I202/100)-1)),G202*I202/100,G202-ABS(H202))))*(0.01)*(J202)</f>
        <v>375.00625322999997</v>
      </c>
      <c r="L202">
        <f>+K202/J202/0.01</f>
        <v>15</v>
      </c>
      <c r="N202" t="s">
        <v>1169</v>
      </c>
      <c r="O202" t="s">
        <v>1172</v>
      </c>
      <c r="Q202" t="s">
        <v>756</v>
      </c>
    </row>
    <row r="203" spans="1:17" x14ac:dyDescent="0.3">
      <c r="A203" s="150" t="s">
        <v>307</v>
      </c>
      <c r="B203" s="247" t="s">
        <v>770</v>
      </c>
      <c r="C203" s="247"/>
      <c r="D203" s="248"/>
      <c r="E203" s="463"/>
      <c r="F203" s="151" t="s">
        <v>168</v>
      </c>
      <c r="G203" s="384">
        <f>J199*100/31.1035</f>
        <v>257.20578069992121</v>
      </c>
      <c r="H203" s="365">
        <v>1.5</v>
      </c>
      <c r="I203" s="365">
        <v>95</v>
      </c>
      <c r="J203" s="365">
        <f>K199*I203/100</f>
        <v>9.5</v>
      </c>
      <c r="K203" s="366">
        <f>IF(G203=0,G203-ABS(H203),IF(H203=0,G203*I203/100,(G203-ABS(H203))))*(J203)</f>
        <v>2429.2049166492516</v>
      </c>
      <c r="O203" t="s">
        <v>1173</v>
      </c>
      <c r="Q203" t="s">
        <v>756</v>
      </c>
    </row>
    <row r="204" spans="1:17" ht="15" thickBot="1" x14ac:dyDescent="0.35">
      <c r="A204" s="150" t="s">
        <v>311</v>
      </c>
      <c r="B204" s="247" t="s">
        <v>453</v>
      </c>
      <c r="C204" s="247"/>
      <c r="D204" s="248"/>
      <c r="E204" s="463"/>
      <c r="F204" s="154" t="s">
        <v>759</v>
      </c>
      <c r="G204" s="367"/>
      <c r="H204" s="367"/>
      <c r="I204" s="367"/>
      <c r="J204" s="367"/>
      <c r="K204" s="368">
        <f>SUM(K202:K203)</f>
        <v>2804.2111698792514</v>
      </c>
      <c r="Q204" t="s">
        <v>757</v>
      </c>
    </row>
    <row r="205" spans="1:17" ht="15" thickTop="1" x14ac:dyDescent="0.3">
      <c r="A205" s="150" t="s">
        <v>551</v>
      </c>
      <c r="B205" s="247" t="s">
        <v>770</v>
      </c>
      <c r="C205" s="247"/>
      <c r="D205" s="248"/>
      <c r="E205" s="463"/>
      <c r="F205" s="376" t="s">
        <v>668</v>
      </c>
      <c r="G205" s="377"/>
      <c r="H205" s="377"/>
      <c r="I205" s="377"/>
      <c r="J205" s="377"/>
      <c r="K205" s="378"/>
      <c r="Q205" t="s">
        <v>758</v>
      </c>
    </row>
    <row r="206" spans="1:17" x14ac:dyDescent="0.3">
      <c r="A206" s="150" t="s">
        <v>314</v>
      </c>
      <c r="B206" s="247" t="s">
        <v>770</v>
      </c>
      <c r="C206" s="247"/>
      <c r="D206" s="248"/>
      <c r="E206" s="463" t="s">
        <v>1180</v>
      </c>
      <c r="F206" s="150" t="s">
        <v>674</v>
      </c>
      <c r="G206" s="363"/>
      <c r="H206" s="363"/>
      <c r="I206" s="363"/>
      <c r="J206" s="363"/>
      <c r="K206" s="364">
        <v>135</v>
      </c>
      <c r="Q206" t="s">
        <v>755</v>
      </c>
    </row>
    <row r="207" spans="1:17" x14ac:dyDescent="0.3">
      <c r="A207" s="150" t="s">
        <v>315</v>
      </c>
      <c r="B207" s="247" t="s">
        <v>770</v>
      </c>
      <c r="C207" s="247"/>
      <c r="D207" s="248"/>
      <c r="E207" s="463"/>
      <c r="F207" s="150" t="s">
        <v>675</v>
      </c>
      <c r="G207" s="363" t="s">
        <v>589</v>
      </c>
      <c r="H207" s="363" t="s">
        <v>590</v>
      </c>
      <c r="I207" s="363" t="s">
        <v>591</v>
      </c>
      <c r="J207" s="363" t="s">
        <v>676</v>
      </c>
      <c r="K207" s="364"/>
      <c r="Q207" t="s">
        <v>758</v>
      </c>
    </row>
    <row r="208" spans="1:17" x14ac:dyDescent="0.3">
      <c r="A208" s="150" t="s">
        <v>771</v>
      </c>
      <c r="B208" s="247" t="s">
        <v>770</v>
      </c>
      <c r="C208" s="247"/>
      <c r="D208" s="248"/>
      <c r="E208" s="463"/>
      <c r="F208" s="150"/>
      <c r="G208" s="363">
        <f>J202</f>
        <v>2500.0416882</v>
      </c>
      <c r="H208" s="363">
        <v>500</v>
      </c>
      <c r="I208" s="363">
        <f>G208-H208</f>
        <v>2000.0416882</v>
      </c>
      <c r="J208" s="363">
        <v>0.15</v>
      </c>
      <c r="K208" s="364">
        <f>IF(I208&gt;0,I208*J208,0)</f>
        <v>300.00625322999997</v>
      </c>
      <c r="Q208" t="s">
        <v>755</v>
      </c>
    </row>
    <row r="209" spans="1:17" x14ac:dyDescent="0.3">
      <c r="A209" s="244" t="s">
        <v>772</v>
      </c>
      <c r="B209" s="246" t="s">
        <v>770</v>
      </c>
      <c r="C209" s="246"/>
      <c r="D209" s="249"/>
      <c r="E209" s="463"/>
      <c r="F209" s="150" t="s">
        <v>776</v>
      </c>
      <c r="G209" s="363"/>
      <c r="H209" s="363"/>
      <c r="I209" s="363"/>
      <c r="J209" s="363"/>
      <c r="K209" s="364"/>
      <c r="Q209" t="s">
        <v>755</v>
      </c>
    </row>
    <row r="210" spans="1:17" x14ac:dyDescent="0.3">
      <c r="E210" s="463"/>
      <c r="F210" s="150" t="s">
        <v>677</v>
      </c>
      <c r="G210" s="363"/>
      <c r="H210" s="363" t="s">
        <v>590</v>
      </c>
      <c r="I210" s="363" t="s">
        <v>791</v>
      </c>
      <c r="J210" s="363" t="s">
        <v>761</v>
      </c>
      <c r="K210" s="364"/>
      <c r="Q210" t="s">
        <v>756</v>
      </c>
    </row>
    <row r="211" spans="1:17" x14ac:dyDescent="0.3">
      <c r="E211" s="463" t="s">
        <v>1180</v>
      </c>
      <c r="F211" s="150" t="s">
        <v>781</v>
      </c>
      <c r="G211" s="363"/>
      <c r="H211" s="363">
        <v>2.5000000000000001E-2</v>
      </c>
      <c r="I211" s="363">
        <v>0</v>
      </c>
      <c r="J211" s="363">
        <f>IF(OR(G202=0,G202&gt;=100),G202-ABS(H202),IF(H202=0,G202*I202/100,IF(G202&gt;(H202/((I202/100)-1)),G202*I202/100,G202-ABS(H202))))*(0.01)*(2204.6223)</f>
        <v>330.69334499999997</v>
      </c>
      <c r="K211" s="364">
        <f>IF(J202*I211/100&gt;H211,J211*J202*I211/100,J211*H211)</f>
        <v>8.2673336249999991</v>
      </c>
    </row>
    <row r="212" spans="1:17" x14ac:dyDescent="0.3">
      <c r="E212" s="463"/>
      <c r="F212" s="150" t="s">
        <v>782</v>
      </c>
      <c r="G212" s="363"/>
      <c r="H212" s="363">
        <v>0.3</v>
      </c>
      <c r="I212" s="363">
        <v>7</v>
      </c>
      <c r="J212" s="363">
        <f>IF(G203=0,G203-ABS(H203),IF(H203=0,G203*I203/100,(G203-ABS(H203))))</f>
        <v>255.70578069992121</v>
      </c>
      <c r="K212" s="364">
        <f>IF(J203*I212/100&gt;H212,J212*J203*I212/100,J212*H212)</f>
        <v>170.04434416544763</v>
      </c>
    </row>
    <row r="213" spans="1:17" x14ac:dyDescent="0.3">
      <c r="E213" s="463"/>
      <c r="F213" s="150" t="s">
        <v>650</v>
      </c>
      <c r="G213" s="363"/>
      <c r="H213" s="363"/>
      <c r="I213" s="363"/>
      <c r="J213" s="363"/>
      <c r="K213" s="364"/>
    </row>
    <row r="214" spans="1:17" x14ac:dyDescent="0.3">
      <c r="E214" s="463"/>
      <c r="F214" s="150" t="s">
        <v>578</v>
      </c>
      <c r="G214" s="363" t="s">
        <v>589</v>
      </c>
      <c r="H214" s="363" t="s">
        <v>590</v>
      </c>
      <c r="I214" s="363" t="s">
        <v>788</v>
      </c>
      <c r="J214" s="363" t="s">
        <v>680</v>
      </c>
      <c r="K214" s="364"/>
    </row>
    <row r="215" spans="1:17" x14ac:dyDescent="0.3">
      <c r="E215" s="463" t="s">
        <v>1180</v>
      </c>
      <c r="F215" s="150" t="s">
        <v>597</v>
      </c>
      <c r="G215" s="363">
        <v>0.57999999999999996</v>
      </c>
      <c r="H215" s="363">
        <v>0.5</v>
      </c>
      <c r="I215" s="363">
        <v>2.5</v>
      </c>
      <c r="J215" s="363">
        <v>0.1</v>
      </c>
      <c r="K215" s="364">
        <f>IF((G215-H215)&gt;0,(G215-H215)*I215/J215,0)</f>
        <v>1.9999999999999989</v>
      </c>
    </row>
    <row r="216" spans="1:17" x14ac:dyDescent="0.3">
      <c r="E216" s="463"/>
      <c r="F216" s="150" t="s">
        <v>507</v>
      </c>
      <c r="G216" s="363">
        <v>7.92</v>
      </c>
      <c r="H216" s="363">
        <v>0.7</v>
      </c>
      <c r="I216" s="363">
        <v>2</v>
      </c>
      <c r="J216" s="363">
        <v>0.1</v>
      </c>
      <c r="K216" s="364">
        <f>IF((G216-H216)&gt;0,(G216-H216)*I216/J216,0)</f>
        <v>144.39999999999998</v>
      </c>
    </row>
    <row r="217" spans="1:17" x14ac:dyDescent="0.3">
      <c r="E217" s="463"/>
      <c r="F217" s="150" t="s">
        <v>515</v>
      </c>
      <c r="G217" s="363">
        <v>0.02</v>
      </c>
      <c r="H217" s="363">
        <v>0.05</v>
      </c>
      <c r="I217" s="363">
        <v>1.5</v>
      </c>
      <c r="J217" s="363">
        <v>0.01</v>
      </c>
      <c r="K217" s="364">
        <f>IF((G217-H217)&gt;0,(G217-H217)*I217/J217,0)</f>
        <v>0</v>
      </c>
    </row>
    <row r="218" spans="1:17" x14ac:dyDescent="0.3">
      <c r="E218" s="463"/>
      <c r="F218" s="150" t="s">
        <v>159</v>
      </c>
      <c r="G218" s="363">
        <v>9.5</v>
      </c>
      <c r="H218" s="363">
        <v>8</v>
      </c>
      <c r="I218" s="363">
        <v>2</v>
      </c>
      <c r="J218" s="363">
        <v>1</v>
      </c>
      <c r="K218" s="364">
        <f>IF((G218-H218)&gt;0,(G218-H218)*I218/J218,0)</f>
        <v>3</v>
      </c>
    </row>
    <row r="219" spans="1:17" x14ac:dyDescent="0.3">
      <c r="E219" s="463"/>
      <c r="F219" s="150" t="s">
        <v>499</v>
      </c>
      <c r="G219" s="363">
        <v>1.5</v>
      </c>
      <c r="H219" s="363">
        <v>0.5</v>
      </c>
      <c r="I219" s="363">
        <v>1.5</v>
      </c>
      <c r="J219" s="363">
        <v>0.1</v>
      </c>
      <c r="K219" s="364">
        <f>IF((G219-H219)&gt;0,(G219-H219)*I219/J219,0)</f>
        <v>15</v>
      </c>
    </row>
    <row r="220" spans="1:17" x14ac:dyDescent="0.3">
      <c r="E220" s="463"/>
      <c r="F220" s="151" t="s">
        <v>777</v>
      </c>
      <c r="G220" s="365"/>
      <c r="H220" s="365"/>
      <c r="I220" s="365"/>
      <c r="J220" s="365"/>
      <c r="K220" s="366">
        <f>K204-SUM(K206:K219)</f>
        <v>2026.493238858804</v>
      </c>
    </row>
    <row r="221" spans="1:17" ht="15" thickBot="1" x14ac:dyDescent="0.35">
      <c r="E221" s="463" t="s">
        <v>1181</v>
      </c>
      <c r="F221" s="141" t="s">
        <v>786</v>
      </c>
      <c r="G221" s="374"/>
      <c r="H221" s="374"/>
      <c r="I221" s="374"/>
      <c r="J221" s="374"/>
      <c r="K221" s="375">
        <f>K220*K195</f>
        <v>54460.672361779194</v>
      </c>
      <c r="L221" t="s">
        <v>1185</v>
      </c>
    </row>
    <row r="222" spans="1:17" ht="15" thickTop="1" x14ac:dyDescent="0.3">
      <c r="E222" s="463"/>
      <c r="F222" s="270" t="s">
        <v>669</v>
      </c>
      <c r="G222" s="271"/>
      <c r="H222" s="271"/>
      <c r="I222" s="271"/>
      <c r="J222" s="271"/>
      <c r="K222" s="272"/>
    </row>
    <row r="223" spans="1:17" x14ac:dyDescent="0.3">
      <c r="E223" s="463"/>
      <c r="F223" s="359" t="s">
        <v>414</v>
      </c>
      <c r="G223" s="361"/>
      <c r="H223" s="361"/>
      <c r="I223" s="361" t="s">
        <v>413</v>
      </c>
      <c r="J223" s="361" t="s">
        <v>416</v>
      </c>
      <c r="K223" s="362"/>
    </row>
    <row r="224" spans="1:17" x14ac:dyDescent="0.3">
      <c r="E224" s="463"/>
      <c r="F224" s="150" t="s">
        <v>651</v>
      </c>
      <c r="G224" s="363"/>
      <c r="H224" s="363"/>
      <c r="I224" s="363"/>
      <c r="J224" s="363"/>
      <c r="K224" s="364"/>
    </row>
    <row r="225" spans="4:12" x14ac:dyDescent="0.3">
      <c r="D225" t="s">
        <v>1193</v>
      </c>
      <c r="E225" s="463" t="s">
        <v>1180</v>
      </c>
      <c r="F225" s="150" t="s">
        <v>783</v>
      </c>
      <c r="G225" s="363"/>
      <c r="H225" s="363"/>
      <c r="I225" s="363">
        <v>0</v>
      </c>
      <c r="J225" s="363">
        <v>53.5</v>
      </c>
      <c r="K225" s="364">
        <f>IF(I225&gt;0,K221*I225/100,G195*J225)</f>
        <v>1613.6669999999999</v>
      </c>
    </row>
    <row r="226" spans="4:12" x14ac:dyDescent="0.3">
      <c r="E226" s="463"/>
      <c r="F226" s="150" t="s">
        <v>784</v>
      </c>
      <c r="G226" s="363"/>
      <c r="H226" s="363"/>
      <c r="I226" s="363">
        <v>0</v>
      </c>
      <c r="J226" s="363">
        <v>0</v>
      </c>
      <c r="K226" s="364">
        <v>24.19</v>
      </c>
    </row>
    <row r="227" spans="4:12" x14ac:dyDescent="0.3">
      <c r="E227" s="463"/>
      <c r="F227" s="150" t="s">
        <v>1190</v>
      </c>
      <c r="G227" s="363"/>
      <c r="H227" s="363"/>
      <c r="I227" s="363"/>
      <c r="J227" s="363"/>
      <c r="K227" s="364"/>
    </row>
    <row r="228" spans="4:12" x14ac:dyDescent="0.3">
      <c r="E228" s="463" t="s">
        <v>1180</v>
      </c>
      <c r="F228" s="150" t="s">
        <v>560</v>
      </c>
      <c r="G228" s="363"/>
      <c r="H228" s="363"/>
      <c r="I228" s="363">
        <v>6.6</v>
      </c>
      <c r="J228" s="363">
        <v>0</v>
      </c>
      <c r="K228" s="364">
        <f>I228*K221/100</f>
        <v>3594.4043758774264</v>
      </c>
    </row>
    <row r="229" spans="4:12" x14ac:dyDescent="0.3">
      <c r="E229" s="463"/>
      <c r="F229" s="150" t="s">
        <v>1191</v>
      </c>
      <c r="G229" s="363"/>
      <c r="H229" s="363"/>
      <c r="I229" s="363"/>
      <c r="J229" s="363"/>
      <c r="K229" s="364"/>
    </row>
    <row r="230" spans="4:12" x14ac:dyDescent="0.3">
      <c r="E230" s="463" t="s">
        <v>1180</v>
      </c>
      <c r="F230" s="150" t="s">
        <v>350</v>
      </c>
      <c r="G230" s="363"/>
      <c r="H230" s="363"/>
      <c r="I230" s="363">
        <v>1.85</v>
      </c>
      <c r="J230" s="363">
        <v>0</v>
      </c>
      <c r="K230" s="364">
        <f>I230*K221/100</f>
        <v>1007.5224386929152</v>
      </c>
    </row>
    <row r="231" spans="4:12" x14ac:dyDescent="0.3">
      <c r="E231" s="463"/>
      <c r="F231" s="150" t="s">
        <v>349</v>
      </c>
      <c r="G231" s="363"/>
      <c r="H231" s="363"/>
      <c r="I231" s="363">
        <v>1</v>
      </c>
      <c r="J231" s="363">
        <v>0</v>
      </c>
      <c r="K231" s="364">
        <f>I231*K221/100</f>
        <v>544.60672361779189</v>
      </c>
    </row>
    <row r="232" spans="4:12" x14ac:dyDescent="0.3">
      <c r="E232" s="463"/>
      <c r="F232" s="150" t="s">
        <v>1192</v>
      </c>
      <c r="G232" s="363"/>
      <c r="H232" s="363"/>
      <c r="I232" s="363"/>
      <c r="J232" s="363"/>
      <c r="K232" s="364"/>
    </row>
    <row r="233" spans="4:12" x14ac:dyDescent="0.3">
      <c r="E233" s="463" t="s">
        <v>1180</v>
      </c>
      <c r="F233" s="150" t="s">
        <v>351</v>
      </c>
      <c r="G233" s="363"/>
      <c r="H233" s="363"/>
      <c r="I233" s="363">
        <v>0.7</v>
      </c>
      <c r="J233" s="363">
        <v>0</v>
      </c>
      <c r="K233" s="364">
        <f>I233*K221/100</f>
        <v>381.22470653245438</v>
      </c>
    </row>
    <row r="234" spans="4:12" x14ac:dyDescent="0.3">
      <c r="E234" s="463"/>
      <c r="F234" s="150" t="s">
        <v>352</v>
      </c>
      <c r="G234" s="363"/>
      <c r="H234" s="363"/>
      <c r="I234" s="363">
        <v>0.1</v>
      </c>
      <c r="J234" s="363">
        <v>0</v>
      </c>
      <c r="K234" s="364">
        <f>I234*K221/100</f>
        <v>54.460672361779196</v>
      </c>
    </row>
    <row r="235" spans="4:12" x14ac:dyDescent="0.3">
      <c r="E235" s="463"/>
      <c r="F235" s="150" t="s">
        <v>353</v>
      </c>
      <c r="G235" s="363"/>
      <c r="H235" s="363"/>
      <c r="I235" s="363">
        <v>0.3</v>
      </c>
      <c r="J235" s="363">
        <v>0</v>
      </c>
      <c r="K235" s="364">
        <f>I235*K221/100</f>
        <v>163.38201708533757</v>
      </c>
    </row>
    <row r="236" spans="4:12" x14ac:dyDescent="0.3">
      <c r="E236" s="463" t="s">
        <v>1195</v>
      </c>
      <c r="F236" s="151" t="s">
        <v>354</v>
      </c>
      <c r="G236" s="365"/>
      <c r="H236" s="365"/>
      <c r="I236" s="365">
        <v>1</v>
      </c>
      <c r="J236" s="365">
        <v>0</v>
      </c>
      <c r="K236" s="366">
        <f>I236*K221/100</f>
        <v>544.60672361779189</v>
      </c>
    </row>
    <row r="237" spans="4:12" ht="15" thickBot="1" x14ac:dyDescent="0.35">
      <c r="E237" s="463" t="s">
        <v>1182</v>
      </c>
      <c r="F237" s="141" t="s">
        <v>787</v>
      </c>
      <c r="G237" s="374"/>
      <c r="H237" s="374"/>
      <c r="I237" s="374"/>
      <c r="J237" s="374"/>
      <c r="K237" s="375">
        <f>SUM(K225:K236)</f>
        <v>7928.064657785495</v>
      </c>
      <c r="L237" t="s">
        <v>1186</v>
      </c>
    </row>
    <row r="238" spans="4:12" ht="15" thickTop="1" x14ac:dyDescent="0.3">
      <c r="E238" s="463"/>
      <c r="F238" s="270" t="s">
        <v>655</v>
      </c>
      <c r="G238" s="271"/>
      <c r="H238" s="271"/>
      <c r="I238" s="271"/>
      <c r="J238" s="271"/>
      <c r="K238" s="272"/>
    </row>
    <row r="239" spans="4:12" x14ac:dyDescent="0.3">
      <c r="E239" s="463"/>
      <c r="F239" s="150" t="s">
        <v>792</v>
      </c>
      <c r="G239" s="247"/>
      <c r="H239" s="247"/>
      <c r="I239" s="247"/>
      <c r="J239" s="247"/>
      <c r="K239" s="248">
        <v>100</v>
      </c>
    </row>
    <row r="240" spans="4:12" x14ac:dyDescent="0.3">
      <c r="E240" s="463"/>
      <c r="F240" s="151" t="s">
        <v>794</v>
      </c>
      <c r="G240" s="273"/>
      <c r="H240" s="273"/>
      <c r="I240" s="273"/>
      <c r="J240" s="273"/>
      <c r="K240" s="274">
        <v>100</v>
      </c>
    </row>
    <row r="241" spans="1:12" ht="15" thickBot="1" x14ac:dyDescent="0.35">
      <c r="E241" s="463" t="s">
        <v>1183</v>
      </c>
      <c r="F241" s="154" t="s">
        <v>793</v>
      </c>
      <c r="G241" s="261"/>
      <c r="H241" s="261"/>
      <c r="I241" s="261"/>
      <c r="J241" s="261"/>
      <c r="K241" s="262">
        <f>SUM(K239:K240)</f>
        <v>200</v>
      </c>
      <c r="L241" t="s">
        <v>1187</v>
      </c>
    </row>
    <row r="242" spans="1:12" ht="15" thickTop="1" x14ac:dyDescent="0.3">
      <c r="E242" s="463"/>
    </row>
    <row r="243" spans="1:12" x14ac:dyDescent="0.3">
      <c r="A243" s="250" t="s">
        <v>518</v>
      </c>
      <c r="B243" s="251"/>
      <c r="C243" s="251"/>
      <c r="D243" s="251"/>
      <c r="E243" s="251"/>
      <c r="F243" s="251"/>
      <c r="G243" s="251"/>
      <c r="H243" s="251"/>
      <c r="I243" s="251"/>
      <c r="J243" s="251"/>
      <c r="K243" s="252" t="s">
        <v>563</v>
      </c>
    </row>
    <row r="244" spans="1:12" x14ac:dyDescent="0.3">
      <c r="A244" s="276" t="s">
        <v>567</v>
      </c>
      <c r="B244" s="278"/>
      <c r="C244" s="278"/>
      <c r="D244" s="278"/>
      <c r="E244" s="278"/>
      <c r="F244" s="278"/>
      <c r="G244" s="278"/>
      <c r="H244" s="278"/>
      <c r="I244" s="278"/>
      <c r="J244" s="278"/>
      <c r="K244" s="277">
        <f>SUM(K221,-K237,K241)</f>
        <v>46732.607703993701</v>
      </c>
    </row>
    <row r="245" spans="1:12" x14ac:dyDescent="0.3">
      <c r="A245" s="275" t="s">
        <v>324</v>
      </c>
      <c r="B245" s="513" t="str">
        <f ca="1">EQL_NUMERO_A_TEXTO(K244,"DÓLAR AMERICANO","DÓLARES AMERICANOS",0)</f>
        <v>CUARENTA Y SEIS MIL SETECIENTOS TREINTA Y DOS 61/100 DÓLARES AMERICANOS</v>
      </c>
      <c r="C245" s="513"/>
      <c r="D245" s="513"/>
      <c r="E245" s="513"/>
      <c r="F245" s="513"/>
      <c r="G245" s="513"/>
      <c r="H245" s="513"/>
      <c r="I245" s="513"/>
      <c r="J245" s="513"/>
      <c r="K245" s="514"/>
    </row>
    <row r="246" spans="1:12" x14ac:dyDescent="0.3">
      <c r="A246" s="255"/>
      <c r="B246" s="515"/>
      <c r="C246" s="515"/>
      <c r="D246" s="515"/>
      <c r="E246" s="515"/>
      <c r="F246" s="515"/>
      <c r="G246" s="515"/>
      <c r="H246" s="515"/>
      <c r="I246" s="515"/>
      <c r="J246" s="515"/>
      <c r="K246" s="516"/>
    </row>
    <row r="249" spans="1:12" x14ac:dyDescent="0.3">
      <c r="A249" s="279" t="s">
        <v>325</v>
      </c>
      <c r="B249" s="279"/>
      <c r="E249" s="281"/>
      <c r="F249" s="281" t="s">
        <v>326</v>
      </c>
      <c r="G249" s="281"/>
      <c r="J249" s="279" t="s">
        <v>306</v>
      </c>
      <c r="K249" s="279"/>
    </row>
    <row r="250" spans="1:12" x14ac:dyDescent="0.3">
      <c r="A250" s="280"/>
      <c r="B250" s="280"/>
      <c r="E250" s="280"/>
      <c r="F250" s="280"/>
      <c r="G250" s="280"/>
      <c r="J250" s="280"/>
      <c r="K250" s="280"/>
    </row>
    <row r="258" spans="1:13" x14ac:dyDescent="0.3">
      <c r="A258" t="s">
        <v>548</v>
      </c>
      <c r="E258" t="s">
        <v>339</v>
      </c>
      <c r="G258" t="s">
        <v>340</v>
      </c>
      <c r="K258" t="s">
        <v>805</v>
      </c>
    </row>
    <row r="259" spans="1:13" x14ac:dyDescent="0.3">
      <c r="A259" t="s">
        <v>304</v>
      </c>
      <c r="B259" t="s">
        <v>378</v>
      </c>
      <c r="C259" t="s">
        <v>799</v>
      </c>
      <c r="D259" t="s">
        <v>800</v>
      </c>
      <c r="E259" t="s">
        <v>306</v>
      </c>
      <c r="F259" t="s">
        <v>420</v>
      </c>
      <c r="G259" t="s">
        <v>731</v>
      </c>
      <c r="H259" t="s">
        <v>644</v>
      </c>
      <c r="I259" t="s">
        <v>612</v>
      </c>
      <c r="J259" t="s">
        <v>473</v>
      </c>
      <c r="K259" t="s">
        <v>801</v>
      </c>
      <c r="L259" t="s">
        <v>718</v>
      </c>
      <c r="M259" t="s">
        <v>802</v>
      </c>
    </row>
    <row r="260" spans="1:13" x14ac:dyDescent="0.3">
      <c r="A260" s="197">
        <v>44345</v>
      </c>
      <c r="B260" t="s">
        <v>765</v>
      </c>
      <c r="C260">
        <v>6.96</v>
      </c>
      <c r="D260">
        <v>0</v>
      </c>
      <c r="E260" t="s">
        <v>766</v>
      </c>
      <c r="F260" t="s">
        <v>453</v>
      </c>
      <c r="G260" s="197">
        <f ca="1">TODAY()</f>
        <v>44480</v>
      </c>
      <c r="H260">
        <v>30.161999999999999</v>
      </c>
      <c r="I260">
        <v>10</v>
      </c>
      <c r="J260">
        <v>1</v>
      </c>
      <c r="K260">
        <v>135</v>
      </c>
      <c r="L260">
        <v>500</v>
      </c>
      <c r="M260">
        <v>0.15</v>
      </c>
    </row>
    <row r="264" spans="1:13" x14ac:dyDescent="0.3">
      <c r="A264" t="s">
        <v>806</v>
      </c>
      <c r="F264" t="s">
        <v>653</v>
      </c>
    </row>
    <row r="265" spans="1:13" x14ac:dyDescent="0.3">
      <c r="A265" t="s">
        <v>495</v>
      </c>
      <c r="B265" t="s">
        <v>643</v>
      </c>
      <c r="C265" t="s">
        <v>803</v>
      </c>
      <c r="D265" t="s">
        <v>727</v>
      </c>
      <c r="E265" t="s">
        <v>804</v>
      </c>
      <c r="F265" t="s">
        <v>718</v>
      </c>
      <c r="G265" t="s">
        <v>719</v>
      </c>
    </row>
    <row r="266" spans="1:13" x14ac:dyDescent="0.3">
      <c r="A266" t="s">
        <v>509</v>
      </c>
      <c r="B266">
        <v>18</v>
      </c>
      <c r="C266">
        <v>-3</v>
      </c>
      <c r="D266" t="s">
        <v>764</v>
      </c>
      <c r="E266">
        <v>95</v>
      </c>
      <c r="F266">
        <v>2.5000000000000001E-2</v>
      </c>
      <c r="G266">
        <v>0</v>
      </c>
    </row>
    <row r="267" spans="1:13" x14ac:dyDescent="0.3">
      <c r="A267" t="s">
        <v>505</v>
      </c>
      <c r="B267">
        <v>80</v>
      </c>
      <c r="C267">
        <v>1.5</v>
      </c>
      <c r="D267" t="s">
        <v>780</v>
      </c>
      <c r="E267">
        <v>95</v>
      </c>
      <c r="F267">
        <v>0.3</v>
      </c>
      <c r="G267">
        <v>7</v>
      </c>
    </row>
    <row r="270" spans="1:13" x14ac:dyDescent="0.3">
      <c r="A270" s="399" t="s">
        <v>807</v>
      </c>
      <c r="B270" s="399"/>
      <c r="C270" s="399"/>
      <c r="D270" s="399"/>
      <c r="E270" t="s">
        <v>808</v>
      </c>
      <c r="G270" t="s">
        <v>655</v>
      </c>
    </row>
    <row r="271" spans="1:13" x14ac:dyDescent="0.3">
      <c r="A271" s="399" t="s">
        <v>414</v>
      </c>
      <c r="B271" s="399" t="s">
        <v>166</v>
      </c>
      <c r="C271" s="399" t="s">
        <v>416</v>
      </c>
      <c r="D271" s="399" t="s">
        <v>767</v>
      </c>
      <c r="E271" t="s">
        <v>414</v>
      </c>
      <c r="F271" t="s">
        <v>416</v>
      </c>
      <c r="G271" t="s">
        <v>414</v>
      </c>
      <c r="H271" t="s">
        <v>416</v>
      </c>
    </row>
    <row r="272" spans="1:13" x14ac:dyDescent="0.3">
      <c r="A272" s="399" t="s">
        <v>783</v>
      </c>
      <c r="B272" s="399">
        <v>0</v>
      </c>
      <c r="C272" s="399">
        <v>53.5</v>
      </c>
      <c r="D272" s="399">
        <v>0</v>
      </c>
      <c r="E272" t="s">
        <v>809</v>
      </c>
      <c r="F272">
        <v>150</v>
      </c>
      <c r="G272" t="s">
        <v>792</v>
      </c>
      <c r="H272">
        <v>100</v>
      </c>
    </row>
    <row r="273" spans="1:23" x14ac:dyDescent="0.3">
      <c r="A273" s="399" t="s">
        <v>784</v>
      </c>
      <c r="B273" s="399">
        <v>0</v>
      </c>
      <c r="C273" s="399">
        <v>24.19</v>
      </c>
      <c r="D273" s="399">
        <v>1</v>
      </c>
      <c r="G273" t="s">
        <v>794</v>
      </c>
      <c r="H273">
        <v>100</v>
      </c>
    </row>
    <row r="278" spans="1:23" x14ac:dyDescent="0.3">
      <c r="A278" s="237"/>
      <c r="B278" s="238"/>
      <c r="C278" s="238"/>
      <c r="D278" s="238"/>
      <c r="E278" s="238"/>
      <c r="F278" s="238" t="s">
        <v>657</v>
      </c>
      <c r="G278" s="238"/>
      <c r="H278" s="238"/>
      <c r="I278" s="238"/>
      <c r="J278" s="238"/>
      <c r="K278" s="239"/>
      <c r="M278" s="237"/>
      <c r="N278" s="238"/>
      <c r="O278" s="238"/>
      <c r="P278" s="238"/>
      <c r="Q278" s="238"/>
      <c r="R278" s="238" t="s">
        <v>657</v>
      </c>
      <c r="S278" s="238"/>
      <c r="T278" s="238"/>
      <c r="U278" s="238"/>
      <c r="V278" s="238"/>
      <c r="W278" s="239"/>
    </row>
    <row r="279" spans="1:23" x14ac:dyDescent="0.3">
      <c r="A279" s="240"/>
      <c r="B279" s="241"/>
      <c r="C279" s="241"/>
      <c r="D279" s="241"/>
      <c r="E279" s="241"/>
      <c r="F279" s="243" t="s">
        <v>684</v>
      </c>
      <c r="G279" s="241"/>
      <c r="H279" s="241"/>
      <c r="I279" s="241"/>
      <c r="J279" s="241"/>
      <c r="K279" s="242"/>
      <c r="M279" s="240"/>
      <c r="N279" s="241"/>
      <c r="O279" s="241"/>
      <c r="P279" s="241"/>
      <c r="Q279" s="241"/>
      <c r="R279" s="243" t="s">
        <v>684</v>
      </c>
      <c r="S279" s="241"/>
      <c r="T279" s="241"/>
      <c r="U279" s="241"/>
      <c r="V279" s="241"/>
      <c r="W279" s="242"/>
    </row>
    <row r="281" spans="1:23" x14ac:dyDescent="0.3">
      <c r="A281" s="169" t="s">
        <v>548</v>
      </c>
      <c r="B281" s="161"/>
      <c r="C281" s="161"/>
      <c r="D281" s="162"/>
      <c r="F281" s="250" t="s">
        <v>662</v>
      </c>
      <c r="G281" s="251"/>
      <c r="H281" s="251"/>
      <c r="I281" s="251"/>
      <c r="J281" s="251"/>
      <c r="K281" s="252"/>
      <c r="M281" s="169" t="s">
        <v>548</v>
      </c>
      <c r="N281" s="161"/>
      <c r="O281" s="161"/>
      <c r="P281" s="162"/>
      <c r="R281" s="250" t="s">
        <v>662</v>
      </c>
      <c r="S281" s="251"/>
      <c r="T281" s="251"/>
      <c r="U281" s="251"/>
      <c r="V281" s="251"/>
      <c r="W281" s="252"/>
    </row>
    <row r="282" spans="1:23" x14ac:dyDescent="0.3">
      <c r="A282" s="150" t="s">
        <v>393</v>
      </c>
      <c r="B282" s="163" t="s">
        <v>411</v>
      </c>
      <c r="C282" s="163"/>
      <c r="D282" s="164"/>
      <c r="F282" s="254" t="s">
        <v>377</v>
      </c>
      <c r="G282" s="369" t="s">
        <v>552</v>
      </c>
      <c r="H282" s="369" t="s">
        <v>529</v>
      </c>
      <c r="I282" s="369" t="s">
        <v>553</v>
      </c>
      <c r="J282" s="369" t="s">
        <v>773</v>
      </c>
      <c r="K282" s="370" t="s">
        <v>774</v>
      </c>
      <c r="M282" s="150" t="s">
        <v>393</v>
      </c>
      <c r="N282" s="163" t="s">
        <v>411</v>
      </c>
      <c r="O282" s="163"/>
      <c r="P282" s="164"/>
      <c r="R282" s="254" t="s">
        <v>377</v>
      </c>
      <c r="S282" s="369" t="s">
        <v>552</v>
      </c>
      <c r="T282" s="369" t="s">
        <v>529</v>
      </c>
      <c r="U282" s="369" t="s">
        <v>553</v>
      </c>
      <c r="V282" s="369" t="s">
        <v>773</v>
      </c>
      <c r="W282" s="370" t="s">
        <v>774</v>
      </c>
    </row>
    <row r="283" spans="1:23" x14ac:dyDescent="0.3">
      <c r="A283" s="150" t="s">
        <v>394</v>
      </c>
      <c r="B283" s="163" t="s">
        <v>411</v>
      </c>
      <c r="C283" s="163"/>
      <c r="D283" s="164"/>
      <c r="F283" s="358">
        <v>44467</v>
      </c>
      <c r="G283" s="371">
        <v>100</v>
      </c>
      <c r="H283" s="371">
        <v>5</v>
      </c>
      <c r="I283" s="371">
        <v>95</v>
      </c>
      <c r="J283" s="371">
        <v>1</v>
      </c>
      <c r="K283" s="372">
        <v>94.05</v>
      </c>
      <c r="M283" s="150" t="s">
        <v>394</v>
      </c>
      <c r="N283" s="163" t="s">
        <v>411</v>
      </c>
      <c r="O283" s="163"/>
      <c r="P283" s="164"/>
      <c r="R283" s="358">
        <v>44480</v>
      </c>
      <c r="S283" s="371">
        <v>30.161999999999999</v>
      </c>
      <c r="T283" s="371">
        <v>10</v>
      </c>
      <c r="U283" s="371">
        <v>27.145799999999998</v>
      </c>
      <c r="V283" s="371">
        <v>1</v>
      </c>
      <c r="W283" s="372">
        <v>26.874341999999999</v>
      </c>
    </row>
    <row r="284" spans="1:23" x14ac:dyDescent="0.3">
      <c r="A284" s="150" t="s">
        <v>395</v>
      </c>
      <c r="B284" s="163" t="s">
        <v>411</v>
      </c>
      <c r="C284" s="163"/>
      <c r="D284" s="164"/>
      <c r="F284" s="250" t="s">
        <v>666</v>
      </c>
      <c r="G284" s="251"/>
      <c r="H284" s="251"/>
      <c r="I284" s="251"/>
      <c r="J284" s="251"/>
      <c r="K284" s="252"/>
      <c r="M284" s="150" t="s">
        <v>395</v>
      </c>
      <c r="N284" s="163" t="s">
        <v>411</v>
      </c>
      <c r="O284" s="163"/>
      <c r="P284" s="164"/>
      <c r="R284" s="250" t="s">
        <v>666</v>
      </c>
      <c r="S284" s="251"/>
      <c r="T284" s="251"/>
      <c r="U284" s="251"/>
      <c r="V284" s="251"/>
      <c r="W284" s="252"/>
    </row>
    <row r="285" spans="1:23" x14ac:dyDescent="0.3">
      <c r="A285" s="150" t="s">
        <v>396</v>
      </c>
      <c r="B285" s="504">
        <v>44467</v>
      </c>
      <c r="C285" s="163"/>
      <c r="D285" s="164"/>
      <c r="F285" s="254" t="s">
        <v>443</v>
      </c>
      <c r="G285" s="369"/>
      <c r="H285" s="369"/>
      <c r="I285" s="369"/>
      <c r="J285" s="369" t="s">
        <v>555</v>
      </c>
      <c r="K285" s="370" t="s">
        <v>579</v>
      </c>
      <c r="M285" s="150" t="s">
        <v>396</v>
      </c>
      <c r="N285" s="510">
        <v>44480</v>
      </c>
      <c r="O285" s="163"/>
      <c r="P285" s="164"/>
      <c r="R285" s="254" t="s">
        <v>443</v>
      </c>
      <c r="S285" s="369"/>
      <c r="T285" s="369"/>
      <c r="U285" s="369"/>
      <c r="V285" s="369" t="s">
        <v>555</v>
      </c>
      <c r="W285" s="370" t="s">
        <v>579</v>
      </c>
    </row>
    <row r="286" spans="1:23" x14ac:dyDescent="0.3">
      <c r="A286" s="150" t="s">
        <v>316</v>
      </c>
      <c r="B286" s="163" t="s">
        <v>770</v>
      </c>
      <c r="C286" s="163"/>
      <c r="D286" s="164"/>
      <c r="F286" s="253" t="s">
        <v>509</v>
      </c>
      <c r="G286" s="373"/>
      <c r="H286" s="373"/>
      <c r="I286" s="373"/>
      <c r="J286" s="379">
        <v>18</v>
      </c>
      <c r="K286" s="380">
        <v>1.1339999999999999</v>
      </c>
      <c r="M286" s="150" t="s">
        <v>316</v>
      </c>
      <c r="N286" s="163" t="s">
        <v>770</v>
      </c>
      <c r="O286" s="163"/>
      <c r="P286" s="164"/>
      <c r="R286" s="253" t="s">
        <v>509</v>
      </c>
      <c r="S286" s="373"/>
      <c r="T286" s="373"/>
      <c r="U286" s="373"/>
      <c r="V286" s="379">
        <v>18</v>
      </c>
      <c r="W286" s="380">
        <v>1.1339999999999999</v>
      </c>
    </row>
    <row r="287" spans="1:23" x14ac:dyDescent="0.3">
      <c r="A287" s="244" t="s">
        <v>550</v>
      </c>
      <c r="B287" s="246">
        <v>1</v>
      </c>
      <c r="C287" s="356" t="s">
        <v>404</v>
      </c>
      <c r="D287" s="245"/>
      <c r="F287" s="275" t="s">
        <v>505</v>
      </c>
      <c r="G287" s="371"/>
      <c r="H287" s="371"/>
      <c r="I287" s="371"/>
      <c r="J287" s="381">
        <v>80</v>
      </c>
      <c r="K287" s="382">
        <v>10</v>
      </c>
      <c r="M287" s="244" t="s">
        <v>550</v>
      </c>
      <c r="N287" s="246">
        <v>1</v>
      </c>
      <c r="O287" s="356" t="s">
        <v>404</v>
      </c>
      <c r="P287" s="245"/>
      <c r="R287" s="275" t="s">
        <v>505</v>
      </c>
      <c r="S287" s="371"/>
      <c r="T287" s="371"/>
      <c r="U287" s="371"/>
      <c r="V287" s="381">
        <v>80</v>
      </c>
      <c r="W287" s="382">
        <v>10</v>
      </c>
    </row>
    <row r="288" spans="1:23" x14ac:dyDescent="0.3">
      <c r="F288" s="169" t="s">
        <v>648</v>
      </c>
      <c r="G288" s="505"/>
      <c r="H288" s="161"/>
      <c r="I288" s="161"/>
      <c r="J288" s="161"/>
      <c r="K288" s="162" t="s">
        <v>775</v>
      </c>
      <c r="R288" s="169" t="s">
        <v>648</v>
      </c>
      <c r="S288" s="511"/>
      <c r="T288" s="161"/>
      <c r="U288" s="161"/>
      <c r="V288" s="161"/>
      <c r="W288" s="162" t="s">
        <v>775</v>
      </c>
    </row>
    <row r="289" spans="1:23" x14ac:dyDescent="0.3">
      <c r="A289" s="169" t="s">
        <v>339</v>
      </c>
      <c r="B289" s="161"/>
      <c r="C289" s="161"/>
      <c r="D289" s="162"/>
      <c r="F289" s="359" t="s">
        <v>374</v>
      </c>
      <c r="G289" s="361" t="s">
        <v>555</v>
      </c>
      <c r="H289" s="361" t="s">
        <v>679</v>
      </c>
      <c r="I289" s="361" t="s">
        <v>790</v>
      </c>
      <c r="J289" s="361" t="s">
        <v>579</v>
      </c>
      <c r="K289" s="362" t="s">
        <v>447</v>
      </c>
      <c r="M289" s="169" t="s">
        <v>339</v>
      </c>
      <c r="N289" s="161"/>
      <c r="O289" s="161"/>
      <c r="P289" s="162"/>
      <c r="R289" s="359" t="s">
        <v>374</v>
      </c>
      <c r="S289" s="361" t="s">
        <v>555</v>
      </c>
      <c r="T289" s="361" t="s">
        <v>679</v>
      </c>
      <c r="U289" s="361" t="s">
        <v>790</v>
      </c>
      <c r="V289" s="361" t="s">
        <v>579</v>
      </c>
      <c r="W289" s="362" t="s">
        <v>447</v>
      </c>
    </row>
    <row r="290" spans="1:23" x14ac:dyDescent="0.3">
      <c r="A290" s="150" t="s">
        <v>769</v>
      </c>
      <c r="B290" s="247"/>
      <c r="C290" s="247"/>
      <c r="D290" s="248"/>
      <c r="F290" s="150" t="s">
        <v>167</v>
      </c>
      <c r="G290" s="383">
        <v>18</v>
      </c>
      <c r="H290" s="363">
        <v>-3</v>
      </c>
      <c r="I290" s="363">
        <v>95</v>
      </c>
      <c r="J290" s="363">
        <v>2500.0416882</v>
      </c>
      <c r="K290" s="364">
        <v>375.00625322999997</v>
      </c>
      <c r="M290" s="150" t="s">
        <v>769</v>
      </c>
      <c r="N290" s="247"/>
      <c r="O290" s="247"/>
      <c r="P290" s="248"/>
      <c r="R290" s="150" t="s">
        <v>167</v>
      </c>
      <c r="S290" s="383">
        <v>18</v>
      </c>
      <c r="T290" s="363">
        <v>-3</v>
      </c>
      <c r="U290" s="363">
        <v>95</v>
      </c>
      <c r="V290" s="363">
        <v>2500.0416882</v>
      </c>
      <c r="W290" s="364">
        <v>375.00625322999997</v>
      </c>
    </row>
    <row r="291" spans="1:23" x14ac:dyDescent="0.3">
      <c r="A291" s="150" t="s">
        <v>307</v>
      </c>
      <c r="B291" s="247" t="s">
        <v>770</v>
      </c>
      <c r="C291" s="247"/>
      <c r="D291" s="248"/>
      <c r="F291" s="151" t="s">
        <v>168</v>
      </c>
      <c r="G291" s="384">
        <v>265.20578072000001</v>
      </c>
      <c r="H291" s="365">
        <v>1.5</v>
      </c>
      <c r="I291" s="365">
        <v>95</v>
      </c>
      <c r="J291" s="365">
        <v>311.03500000000003</v>
      </c>
      <c r="K291" s="366">
        <v>77920.641130932956</v>
      </c>
      <c r="M291" s="150" t="s">
        <v>307</v>
      </c>
      <c r="N291" s="247" t="s">
        <v>770</v>
      </c>
      <c r="O291" s="247"/>
      <c r="P291" s="248"/>
      <c r="R291" s="151" t="s">
        <v>168</v>
      </c>
      <c r="S291" s="384">
        <v>257.20578072000001</v>
      </c>
      <c r="T291" s="365">
        <v>1.5</v>
      </c>
      <c r="U291" s="365">
        <v>95</v>
      </c>
      <c r="V291" s="365">
        <v>10</v>
      </c>
      <c r="W291" s="366">
        <v>9.5</v>
      </c>
    </row>
    <row r="292" spans="1:23" ht="15" thickBot="1" x14ac:dyDescent="0.35">
      <c r="A292" s="150" t="s">
        <v>311</v>
      </c>
      <c r="B292" s="247" t="s">
        <v>312</v>
      </c>
      <c r="C292" s="247"/>
      <c r="D292" s="248"/>
      <c r="F292" s="154" t="s">
        <v>1357</v>
      </c>
      <c r="G292" s="367"/>
      <c r="H292" s="367"/>
      <c r="I292" s="367"/>
      <c r="J292" s="367"/>
      <c r="K292" s="368">
        <v>78295.647384162963</v>
      </c>
      <c r="M292" s="150" t="s">
        <v>311</v>
      </c>
      <c r="N292" s="247" t="s">
        <v>312</v>
      </c>
      <c r="O292" s="247"/>
      <c r="P292" s="248"/>
      <c r="R292" s="154" t="s">
        <v>1357</v>
      </c>
      <c r="S292" s="367"/>
      <c r="T292" s="367"/>
      <c r="U292" s="367"/>
      <c r="V292" s="367"/>
      <c r="W292" s="368">
        <v>384.50625322999997</v>
      </c>
    </row>
    <row r="293" spans="1:23" ht="15" thickTop="1" x14ac:dyDescent="0.3">
      <c r="A293" s="150" t="s">
        <v>551</v>
      </c>
      <c r="B293" s="247" t="s">
        <v>770</v>
      </c>
      <c r="C293" s="247"/>
      <c r="D293" s="248"/>
      <c r="F293" s="376" t="s">
        <v>668</v>
      </c>
      <c r="G293" s="377"/>
      <c r="H293" s="377"/>
      <c r="I293" s="377"/>
      <c r="J293" s="377"/>
      <c r="K293" s="378"/>
      <c r="M293" s="150" t="s">
        <v>551</v>
      </c>
      <c r="N293" s="247" t="s">
        <v>770</v>
      </c>
      <c r="O293" s="247"/>
      <c r="P293" s="248"/>
      <c r="R293" s="376" t="s">
        <v>668</v>
      </c>
      <c r="S293" s="377"/>
      <c r="T293" s="377"/>
      <c r="U293" s="377"/>
      <c r="V293" s="377"/>
      <c r="W293" s="378"/>
    </row>
    <row r="294" spans="1:23" x14ac:dyDescent="0.3">
      <c r="A294" s="150" t="s">
        <v>314</v>
      </c>
      <c r="B294" s="247" t="s">
        <v>770</v>
      </c>
      <c r="C294" s="247"/>
      <c r="D294" s="248"/>
      <c r="F294" s="150" t="s">
        <v>674</v>
      </c>
      <c r="G294" s="363"/>
      <c r="H294" s="363"/>
      <c r="I294" s="363"/>
      <c r="J294" s="363"/>
      <c r="K294" s="364">
        <v>150</v>
      </c>
      <c r="M294" s="150" t="s">
        <v>314</v>
      </c>
      <c r="N294" s="247" t="s">
        <v>770</v>
      </c>
      <c r="O294" s="247"/>
      <c r="P294" s="248"/>
      <c r="R294" s="150" t="s">
        <v>674</v>
      </c>
      <c r="S294" s="363"/>
      <c r="T294" s="363"/>
      <c r="U294" s="363"/>
      <c r="V294" s="363"/>
      <c r="W294" s="364">
        <v>135</v>
      </c>
    </row>
    <row r="295" spans="1:23" x14ac:dyDescent="0.3">
      <c r="A295" s="150" t="s">
        <v>315</v>
      </c>
      <c r="B295" s="247" t="s">
        <v>770</v>
      </c>
      <c r="C295" s="247"/>
      <c r="D295" s="248"/>
      <c r="F295" s="150" t="s">
        <v>675</v>
      </c>
      <c r="G295" s="363" t="s">
        <v>589</v>
      </c>
      <c r="H295" s="363" t="s">
        <v>590</v>
      </c>
      <c r="I295" s="363" t="s">
        <v>591</v>
      </c>
      <c r="J295" s="363" t="s">
        <v>676</v>
      </c>
      <c r="K295" s="364"/>
      <c r="M295" s="150" t="s">
        <v>315</v>
      </c>
      <c r="N295" s="247" t="s">
        <v>770</v>
      </c>
      <c r="O295" s="247"/>
      <c r="P295" s="248"/>
      <c r="R295" s="150" t="s">
        <v>675</v>
      </c>
      <c r="S295" s="363" t="s">
        <v>589</v>
      </c>
      <c r="T295" s="363" t="s">
        <v>590</v>
      </c>
      <c r="U295" s="363" t="s">
        <v>591</v>
      </c>
      <c r="V295" s="363" t="s">
        <v>676</v>
      </c>
      <c r="W295" s="364"/>
    </row>
    <row r="296" spans="1:23" x14ac:dyDescent="0.3">
      <c r="A296" s="150" t="s">
        <v>1341</v>
      </c>
      <c r="B296" s="247" t="s">
        <v>770</v>
      </c>
      <c r="C296" s="247"/>
      <c r="D296" s="248"/>
      <c r="F296" s="150"/>
      <c r="G296" s="363">
        <v>2500.0416882</v>
      </c>
      <c r="H296" s="363">
        <v>2000</v>
      </c>
      <c r="I296" s="363">
        <v>500.04168819999995</v>
      </c>
      <c r="J296" s="363">
        <v>3.5</v>
      </c>
      <c r="K296" s="364">
        <v>1750.1459086999998</v>
      </c>
      <c r="M296" s="150" t="s">
        <v>1341</v>
      </c>
      <c r="N296" s="247" t="s">
        <v>770</v>
      </c>
      <c r="O296" s="247"/>
      <c r="P296" s="248"/>
      <c r="R296" s="150"/>
      <c r="S296" s="363">
        <v>2500.0416882</v>
      </c>
      <c r="T296" s="363">
        <v>500</v>
      </c>
      <c r="U296" s="363">
        <v>2000.0416882</v>
      </c>
      <c r="V296" s="363">
        <v>0.15</v>
      </c>
      <c r="W296" s="364">
        <v>300.00625322999997</v>
      </c>
    </row>
    <row r="297" spans="1:23" x14ac:dyDescent="0.3">
      <c r="A297" s="150" t="s">
        <v>771</v>
      </c>
      <c r="B297" s="247" t="s">
        <v>770</v>
      </c>
      <c r="C297" s="247"/>
      <c r="D297" s="248"/>
      <c r="F297" s="150" t="s">
        <v>776</v>
      </c>
      <c r="G297" s="363"/>
      <c r="H297" s="363"/>
      <c r="I297" s="363"/>
      <c r="J297" s="363"/>
      <c r="K297" s="364"/>
      <c r="M297" s="150" t="s">
        <v>771</v>
      </c>
      <c r="N297" s="247" t="s">
        <v>770</v>
      </c>
      <c r="O297" s="247"/>
      <c r="P297" s="248"/>
      <c r="R297" s="150" t="s">
        <v>776</v>
      </c>
      <c r="S297" s="363"/>
      <c r="T297" s="363"/>
      <c r="U297" s="363"/>
      <c r="V297" s="363"/>
      <c r="W297" s="364"/>
    </row>
    <row r="298" spans="1:23" x14ac:dyDescent="0.3">
      <c r="A298" s="244" t="s">
        <v>772</v>
      </c>
      <c r="B298" s="246" t="s">
        <v>770</v>
      </c>
      <c r="C298" s="246"/>
      <c r="D298" s="249"/>
      <c r="F298" s="150" t="s">
        <v>677</v>
      </c>
      <c r="G298" s="363"/>
      <c r="H298" s="363" t="s">
        <v>590</v>
      </c>
      <c r="I298" s="363" t="s">
        <v>791</v>
      </c>
      <c r="J298" s="363" t="s">
        <v>761</v>
      </c>
      <c r="K298" s="364"/>
      <c r="M298" s="244" t="s">
        <v>772</v>
      </c>
      <c r="N298" s="246" t="s">
        <v>770</v>
      </c>
      <c r="O298" s="246"/>
      <c r="P298" s="249"/>
      <c r="R298" s="150" t="s">
        <v>677</v>
      </c>
      <c r="S298" s="363"/>
      <c r="T298" s="363" t="s">
        <v>590</v>
      </c>
      <c r="U298" s="363" t="s">
        <v>791</v>
      </c>
      <c r="V298" s="363" t="s">
        <v>761</v>
      </c>
      <c r="W298" s="364"/>
    </row>
    <row r="299" spans="1:23" x14ac:dyDescent="0.3">
      <c r="F299" s="150" t="s">
        <v>781</v>
      </c>
      <c r="G299" s="363"/>
      <c r="H299" s="363">
        <v>2.5000000000000001E-2</v>
      </c>
      <c r="I299" s="363">
        <v>0</v>
      </c>
      <c r="J299" s="363">
        <v>330.69334500000002</v>
      </c>
      <c r="K299" s="364">
        <v>8.2673336250000009</v>
      </c>
      <c r="R299" s="150" t="s">
        <v>781</v>
      </c>
      <c r="S299" s="363"/>
      <c r="T299" s="363">
        <v>2.5000000000000001E-2</v>
      </c>
      <c r="U299" s="363">
        <v>0</v>
      </c>
      <c r="V299" s="363">
        <v>330.69334500000002</v>
      </c>
      <c r="W299" s="364">
        <v>8.2673336250000009</v>
      </c>
    </row>
    <row r="300" spans="1:23" x14ac:dyDescent="0.3">
      <c r="F300" s="150" t="s">
        <v>782</v>
      </c>
      <c r="G300" s="363"/>
      <c r="H300" s="363">
        <v>0.3</v>
      </c>
      <c r="I300" s="363">
        <v>7</v>
      </c>
      <c r="J300" s="363">
        <v>2.6370578072000002</v>
      </c>
      <c r="K300" s="364">
        <v>57.415209254371646</v>
      </c>
      <c r="R300" s="150" t="s">
        <v>782</v>
      </c>
      <c r="S300" s="363"/>
      <c r="T300" s="363">
        <v>0.3</v>
      </c>
      <c r="U300" s="363">
        <v>7</v>
      </c>
      <c r="V300" s="363">
        <v>255.70578072000001</v>
      </c>
      <c r="W300" s="364">
        <v>178.99404650400001</v>
      </c>
    </row>
    <row r="301" spans="1:23" x14ac:dyDescent="0.3">
      <c r="F301" s="150" t="s">
        <v>650</v>
      </c>
      <c r="G301" s="363"/>
      <c r="H301" s="363"/>
      <c r="I301" s="363"/>
      <c r="J301" s="363"/>
      <c r="K301" s="364"/>
      <c r="R301" s="150" t="s">
        <v>650</v>
      </c>
      <c r="S301" s="363"/>
      <c r="T301" s="363"/>
      <c r="U301" s="363"/>
      <c r="V301" s="363"/>
      <c r="W301" s="364"/>
    </row>
    <row r="302" spans="1:23" x14ac:dyDescent="0.3">
      <c r="F302" s="150" t="s">
        <v>578</v>
      </c>
      <c r="G302" s="363" t="s">
        <v>589</v>
      </c>
      <c r="H302" s="363" t="s">
        <v>590</v>
      </c>
      <c r="I302" s="363" t="s">
        <v>788</v>
      </c>
      <c r="J302" s="363" t="s">
        <v>680</v>
      </c>
      <c r="K302" s="364"/>
      <c r="R302" s="150" t="s">
        <v>578</v>
      </c>
      <c r="S302" s="363" t="s">
        <v>589</v>
      </c>
      <c r="T302" s="363" t="s">
        <v>590</v>
      </c>
      <c r="U302" s="363" t="s">
        <v>788</v>
      </c>
      <c r="V302" s="363" t="s">
        <v>680</v>
      </c>
      <c r="W302" s="364"/>
    </row>
    <row r="303" spans="1:23" x14ac:dyDescent="0.3">
      <c r="F303" s="150" t="s">
        <v>597</v>
      </c>
      <c r="G303" s="363">
        <v>0.57999999999999996</v>
      </c>
      <c r="H303" s="363">
        <v>0.5</v>
      </c>
      <c r="I303" s="363">
        <v>2.5</v>
      </c>
      <c r="J303" s="363">
        <v>0.1</v>
      </c>
      <c r="K303" s="364">
        <v>1.9999999999999989</v>
      </c>
      <c r="R303" s="150" t="s">
        <v>597</v>
      </c>
      <c r="S303" s="363">
        <v>0.57999999999999996</v>
      </c>
      <c r="T303" s="363">
        <v>0.5</v>
      </c>
      <c r="U303" s="363">
        <v>2.5</v>
      </c>
      <c r="V303" s="363">
        <v>0.1</v>
      </c>
      <c r="W303" s="364">
        <v>1.9999999999999989</v>
      </c>
    </row>
    <row r="304" spans="1:23" x14ac:dyDescent="0.3">
      <c r="F304" s="150" t="s">
        <v>507</v>
      </c>
      <c r="G304" s="363">
        <v>7.92</v>
      </c>
      <c r="H304" s="363">
        <v>0.7</v>
      </c>
      <c r="I304" s="363">
        <v>2</v>
      </c>
      <c r="J304" s="363">
        <v>0.1</v>
      </c>
      <c r="K304" s="364">
        <v>144.39999999999998</v>
      </c>
      <c r="R304" s="150" t="s">
        <v>507</v>
      </c>
      <c r="S304" s="363">
        <v>7.92</v>
      </c>
      <c r="T304" s="363">
        <v>0.7</v>
      </c>
      <c r="U304" s="363">
        <v>2</v>
      </c>
      <c r="V304" s="363">
        <v>0.1</v>
      </c>
      <c r="W304" s="364">
        <v>144.39999999999998</v>
      </c>
    </row>
    <row r="305" spans="6:23" x14ac:dyDescent="0.3">
      <c r="F305" s="150" t="s">
        <v>515</v>
      </c>
      <c r="G305" s="363">
        <v>0.02</v>
      </c>
      <c r="H305" s="363">
        <v>0.05</v>
      </c>
      <c r="I305" s="363">
        <v>1.5</v>
      </c>
      <c r="J305" s="363">
        <v>0.01</v>
      </c>
      <c r="K305" s="364">
        <v>0</v>
      </c>
      <c r="R305" s="150" t="s">
        <v>515</v>
      </c>
      <c r="S305" s="363">
        <v>0.02</v>
      </c>
      <c r="T305" s="363">
        <v>0.05</v>
      </c>
      <c r="U305" s="363">
        <v>1.5</v>
      </c>
      <c r="V305" s="363">
        <v>0.01</v>
      </c>
      <c r="W305" s="364">
        <v>0</v>
      </c>
    </row>
    <row r="306" spans="6:23" x14ac:dyDescent="0.3">
      <c r="F306" s="150" t="s">
        <v>159</v>
      </c>
      <c r="G306" s="363">
        <v>9.5</v>
      </c>
      <c r="H306" s="363">
        <v>8</v>
      </c>
      <c r="I306" s="363">
        <v>2</v>
      </c>
      <c r="J306" s="363">
        <v>1</v>
      </c>
      <c r="K306" s="364">
        <v>3</v>
      </c>
      <c r="R306" s="150" t="s">
        <v>159</v>
      </c>
      <c r="S306" s="363">
        <v>9.5</v>
      </c>
      <c r="T306" s="363">
        <v>8</v>
      </c>
      <c r="U306" s="363">
        <v>2</v>
      </c>
      <c r="V306" s="363">
        <v>1</v>
      </c>
      <c r="W306" s="364">
        <v>3</v>
      </c>
    </row>
    <row r="307" spans="6:23" x14ac:dyDescent="0.3">
      <c r="F307" s="150" t="s">
        <v>499</v>
      </c>
      <c r="G307" s="363">
        <v>1.5</v>
      </c>
      <c r="H307" s="363">
        <v>0.5</v>
      </c>
      <c r="I307" s="363">
        <v>1.5</v>
      </c>
      <c r="J307" s="363">
        <v>0.1</v>
      </c>
      <c r="K307" s="364">
        <v>15</v>
      </c>
      <c r="R307" s="150" t="s">
        <v>499</v>
      </c>
      <c r="S307" s="363">
        <v>1.5</v>
      </c>
      <c r="T307" s="363">
        <v>0.5</v>
      </c>
      <c r="U307" s="363">
        <v>1.5</v>
      </c>
      <c r="V307" s="363">
        <v>0.1</v>
      </c>
      <c r="W307" s="364">
        <v>15</v>
      </c>
    </row>
    <row r="308" spans="6:23" x14ac:dyDescent="0.3">
      <c r="F308" s="150" t="s">
        <v>1358</v>
      </c>
      <c r="G308" s="363">
        <v>0.9</v>
      </c>
      <c r="H308" s="363">
        <v>0.9</v>
      </c>
      <c r="I308" s="363">
        <v>2.4</v>
      </c>
      <c r="J308" s="363">
        <v>0.1</v>
      </c>
      <c r="K308" s="364">
        <v>0</v>
      </c>
      <c r="R308" s="150" t="s">
        <v>1358</v>
      </c>
      <c r="S308" s="363">
        <v>0.9</v>
      </c>
      <c r="T308" s="363">
        <v>0.9</v>
      </c>
      <c r="U308" s="363">
        <v>2.4</v>
      </c>
      <c r="V308" s="363">
        <v>0.1</v>
      </c>
      <c r="W308" s="364">
        <v>0</v>
      </c>
    </row>
    <row r="309" spans="6:23" x14ac:dyDescent="0.3">
      <c r="F309" s="151" t="s">
        <v>777</v>
      </c>
      <c r="G309" s="365"/>
      <c r="H309" s="365"/>
      <c r="I309" s="365"/>
      <c r="J309" s="365"/>
      <c r="K309" s="366">
        <v>76165.418932583605</v>
      </c>
      <c r="R309" s="151" t="s">
        <v>777</v>
      </c>
      <c r="S309" s="365"/>
      <c r="T309" s="365"/>
      <c r="U309" s="365"/>
      <c r="V309" s="365"/>
      <c r="W309" s="366">
        <v>-402.16138012900001</v>
      </c>
    </row>
    <row r="310" spans="6:23" ht="15" thickBot="1" x14ac:dyDescent="0.35">
      <c r="F310" s="141" t="s">
        <v>1359</v>
      </c>
      <c r="G310" s="374"/>
      <c r="H310" s="374"/>
      <c r="I310" s="374"/>
      <c r="J310" s="374"/>
      <c r="K310" s="375">
        <v>7163357.6506094877</v>
      </c>
      <c r="R310" s="141" t="s">
        <v>1359</v>
      </c>
      <c r="S310" s="374"/>
      <c r="T310" s="374"/>
      <c r="U310" s="374"/>
      <c r="V310" s="374"/>
      <c r="W310" s="375">
        <v>-10807.82246877875</v>
      </c>
    </row>
    <row r="311" spans="6:23" ht="15" thickTop="1" x14ac:dyDescent="0.3">
      <c r="F311" s="270" t="s">
        <v>669</v>
      </c>
      <c r="G311" s="271"/>
      <c r="H311" s="271"/>
      <c r="I311" s="271"/>
      <c r="J311" s="271"/>
      <c r="K311" s="272"/>
      <c r="R311" s="270" t="s">
        <v>669</v>
      </c>
      <c r="S311" s="271"/>
      <c r="T311" s="271"/>
      <c r="U311" s="271"/>
      <c r="V311" s="271"/>
      <c r="W311" s="272"/>
    </row>
    <row r="312" spans="6:23" x14ac:dyDescent="0.3">
      <c r="F312" s="359" t="s">
        <v>414</v>
      </c>
      <c r="G312" s="361"/>
      <c r="H312" s="361"/>
      <c r="I312" s="361" t="s">
        <v>413</v>
      </c>
      <c r="J312" s="361" t="s">
        <v>416</v>
      </c>
      <c r="K312" s="362"/>
      <c r="R312" s="359" t="s">
        <v>414</v>
      </c>
      <c r="S312" s="361"/>
      <c r="T312" s="361"/>
      <c r="U312" s="361" t="s">
        <v>413</v>
      </c>
      <c r="V312" s="361" t="s">
        <v>416</v>
      </c>
      <c r="W312" s="362"/>
    </row>
    <row r="313" spans="6:23" x14ac:dyDescent="0.3">
      <c r="F313" s="150" t="s">
        <v>651</v>
      </c>
      <c r="G313" s="363"/>
      <c r="H313" s="363"/>
      <c r="I313" s="363"/>
      <c r="J313" s="363"/>
      <c r="K313" s="364"/>
      <c r="R313" s="150" t="s">
        <v>651</v>
      </c>
      <c r="S313" s="363"/>
      <c r="T313" s="363"/>
      <c r="U313" s="363"/>
      <c r="V313" s="363"/>
      <c r="W313" s="364"/>
    </row>
    <row r="314" spans="6:23" x14ac:dyDescent="0.3">
      <c r="F314" s="150" t="s">
        <v>1360</v>
      </c>
      <c r="G314" s="363"/>
      <c r="H314" s="363"/>
      <c r="I314" s="363">
        <v>0</v>
      </c>
      <c r="J314" s="363">
        <v>45</v>
      </c>
      <c r="K314" s="364">
        <v>4500</v>
      </c>
      <c r="R314" s="150" t="s">
        <v>809</v>
      </c>
      <c r="S314" s="363"/>
      <c r="T314" s="363"/>
      <c r="U314" s="363">
        <v>0</v>
      </c>
      <c r="V314" s="363">
        <v>53.5</v>
      </c>
      <c r="W314" s="364">
        <v>1613.6669999999999</v>
      </c>
    </row>
    <row r="315" spans="6:23" x14ac:dyDescent="0.3">
      <c r="F315" s="150" t="s">
        <v>1190</v>
      </c>
      <c r="G315" s="363"/>
      <c r="H315" s="363"/>
      <c r="I315" s="363"/>
      <c r="J315" s="363"/>
      <c r="K315" s="364"/>
      <c r="R315" s="150" t="s">
        <v>1408</v>
      </c>
      <c r="S315" s="363"/>
      <c r="T315" s="363"/>
      <c r="U315" s="363">
        <v>0</v>
      </c>
      <c r="V315" s="363">
        <v>24.19</v>
      </c>
      <c r="W315" s="364">
        <v>24.19</v>
      </c>
    </row>
    <row r="316" spans="6:23" x14ac:dyDescent="0.3">
      <c r="F316" s="150" t="s">
        <v>509</v>
      </c>
      <c r="G316" s="363"/>
      <c r="H316" s="363"/>
      <c r="I316" s="363">
        <v>3</v>
      </c>
      <c r="J316" s="363">
        <v>0</v>
      </c>
      <c r="K316" s="364">
        <v>214900.72951828499</v>
      </c>
      <c r="R316" s="150" t="s">
        <v>1190</v>
      </c>
      <c r="S316" s="363"/>
      <c r="T316" s="363"/>
      <c r="U316" s="363"/>
      <c r="V316" s="363"/>
      <c r="W316" s="364"/>
    </row>
    <row r="317" spans="6:23" x14ac:dyDescent="0.3">
      <c r="F317" s="150" t="s">
        <v>505</v>
      </c>
      <c r="G317" s="363"/>
      <c r="H317" s="363"/>
      <c r="I317" s="363">
        <v>3.6</v>
      </c>
      <c r="J317" s="363">
        <v>0</v>
      </c>
      <c r="K317" s="364">
        <v>257880.87542194201</v>
      </c>
      <c r="R317" s="150" t="s">
        <v>509</v>
      </c>
      <c r="S317" s="363"/>
      <c r="T317" s="363"/>
      <c r="U317" s="363">
        <v>3</v>
      </c>
      <c r="V317" s="363">
        <v>0</v>
      </c>
      <c r="W317" s="364">
        <v>-324.23467406336198</v>
      </c>
    </row>
    <row r="318" spans="6:23" x14ac:dyDescent="0.3">
      <c r="F318" s="150" t="s">
        <v>1191</v>
      </c>
      <c r="G318" s="363"/>
      <c r="H318" s="363"/>
      <c r="I318" s="363"/>
      <c r="J318" s="363"/>
      <c r="K318" s="364"/>
      <c r="R318" s="150" t="s">
        <v>505</v>
      </c>
      <c r="S318" s="363"/>
      <c r="T318" s="363"/>
      <c r="U318" s="363">
        <v>3.6</v>
      </c>
      <c r="V318" s="363">
        <v>0</v>
      </c>
      <c r="W318" s="364">
        <v>-389.08160887603498</v>
      </c>
    </row>
    <row r="319" spans="6:23" x14ac:dyDescent="0.3">
      <c r="F319" s="150" t="s">
        <v>866</v>
      </c>
      <c r="G319" s="363"/>
      <c r="H319" s="363"/>
      <c r="I319" s="363">
        <v>0.4</v>
      </c>
      <c r="J319" s="363">
        <v>0</v>
      </c>
      <c r="K319" s="364">
        <v>28653.430602437998</v>
      </c>
      <c r="R319" s="150" t="s">
        <v>1191</v>
      </c>
      <c r="S319" s="363"/>
      <c r="T319" s="363"/>
      <c r="U319" s="363"/>
      <c r="V319" s="363"/>
      <c r="W319" s="364"/>
    </row>
    <row r="320" spans="6:23" x14ac:dyDescent="0.3">
      <c r="F320" s="150" t="s">
        <v>1194</v>
      </c>
      <c r="G320" s="363"/>
      <c r="H320" s="363"/>
      <c r="I320" s="363">
        <v>0.7</v>
      </c>
      <c r="J320" s="363">
        <v>0</v>
      </c>
      <c r="K320" s="364">
        <v>50143.503554266397</v>
      </c>
      <c r="R320" s="150" t="s">
        <v>350</v>
      </c>
      <c r="S320" s="363"/>
      <c r="T320" s="363"/>
      <c r="U320" s="363">
        <v>1.85</v>
      </c>
      <c r="V320" s="363">
        <v>0</v>
      </c>
      <c r="W320" s="364">
        <v>-199.944715672407</v>
      </c>
    </row>
    <row r="321" spans="1:35" x14ac:dyDescent="0.3">
      <c r="F321" s="150" t="s">
        <v>1192</v>
      </c>
      <c r="G321" s="363"/>
      <c r="H321" s="363"/>
      <c r="I321" s="363"/>
      <c r="J321" s="363"/>
      <c r="K321" s="364"/>
      <c r="R321" s="150" t="s">
        <v>349</v>
      </c>
      <c r="S321" s="363"/>
      <c r="T321" s="363"/>
      <c r="U321" s="363">
        <v>1</v>
      </c>
      <c r="V321" s="363">
        <v>0</v>
      </c>
      <c r="W321" s="364">
        <v>-108.078224687787</v>
      </c>
    </row>
    <row r="322" spans="1:35" x14ac:dyDescent="0.3">
      <c r="F322" s="150" t="s">
        <v>352</v>
      </c>
      <c r="G322" s="363"/>
      <c r="H322" s="363"/>
      <c r="I322" s="363">
        <v>0.1</v>
      </c>
      <c r="J322" s="363">
        <v>0</v>
      </c>
      <c r="K322" s="364">
        <v>7163.3576506094896</v>
      </c>
      <c r="R322" s="150" t="s">
        <v>388</v>
      </c>
      <c r="S322" s="363"/>
      <c r="T322" s="363"/>
      <c r="U322" s="363"/>
      <c r="V322" s="363"/>
      <c r="W322" s="364"/>
    </row>
    <row r="323" spans="1:35" x14ac:dyDescent="0.3">
      <c r="F323" s="151" t="s">
        <v>354</v>
      </c>
      <c r="G323" s="365"/>
      <c r="H323" s="365"/>
      <c r="I323" s="365">
        <v>1</v>
      </c>
      <c r="J323" s="365">
        <v>0</v>
      </c>
      <c r="K323" s="366">
        <v>71633.576506094905</v>
      </c>
      <c r="R323" s="151" t="s">
        <v>1409</v>
      </c>
      <c r="S323" s="365"/>
      <c r="T323" s="365"/>
      <c r="U323" s="365">
        <v>0</v>
      </c>
      <c r="V323" s="365">
        <v>150</v>
      </c>
      <c r="W323" s="366">
        <v>150</v>
      </c>
    </row>
    <row r="324" spans="1:35" ht="15" thickBot="1" x14ac:dyDescent="0.35">
      <c r="F324" s="141" t="s">
        <v>1361</v>
      </c>
      <c r="G324" s="374"/>
      <c r="H324" s="374"/>
      <c r="I324" s="374"/>
      <c r="J324" s="374"/>
      <c r="K324" s="375">
        <v>634875.47325363499</v>
      </c>
      <c r="R324" s="154" t="s">
        <v>1361</v>
      </c>
      <c r="S324" s="367"/>
      <c r="T324" s="367"/>
      <c r="U324" s="367"/>
      <c r="V324" s="367"/>
      <c r="W324" s="368">
        <v>766.51777670040804</v>
      </c>
    </row>
    <row r="325" spans="1:35" ht="15" thickTop="1" x14ac:dyDescent="0.3">
      <c r="F325" s="270" t="s">
        <v>655</v>
      </c>
      <c r="G325" s="271"/>
      <c r="H325" s="271"/>
      <c r="I325" s="271"/>
      <c r="J325" s="271"/>
      <c r="K325" s="272"/>
    </row>
    <row r="326" spans="1:35" x14ac:dyDescent="0.3">
      <c r="F326" s="151" t="s">
        <v>1362</v>
      </c>
      <c r="G326" s="273"/>
      <c r="H326" s="273"/>
      <c r="I326" s="273"/>
      <c r="J326" s="273"/>
      <c r="K326" s="274">
        <v>100</v>
      </c>
      <c r="M326" s="250" t="s">
        <v>566</v>
      </c>
      <c r="N326" s="251"/>
      <c r="O326" s="251"/>
      <c r="P326" s="251"/>
      <c r="Q326" s="251"/>
      <c r="R326" s="251"/>
      <c r="S326" s="251"/>
      <c r="T326" s="251"/>
      <c r="U326" s="251"/>
      <c r="V326" s="251"/>
      <c r="W326" s="252" t="s">
        <v>563</v>
      </c>
    </row>
    <row r="327" spans="1:35" ht="15" thickBot="1" x14ac:dyDescent="0.35">
      <c r="F327" s="154" t="s">
        <v>1363</v>
      </c>
      <c r="G327" s="261"/>
      <c r="H327" s="261"/>
      <c r="I327" s="261"/>
      <c r="J327" s="261"/>
      <c r="K327" s="262">
        <v>100</v>
      </c>
      <c r="M327" s="276" t="s">
        <v>1410</v>
      </c>
      <c r="N327" s="278"/>
      <c r="O327" s="278"/>
      <c r="P327" s="278"/>
      <c r="Q327" s="278"/>
      <c r="R327" s="278"/>
      <c r="S327" s="278"/>
      <c r="T327" s="278"/>
      <c r="U327" s="278"/>
      <c r="V327" s="278"/>
      <c r="W327" s="277">
        <v>-11574.340245479158</v>
      </c>
    </row>
    <row r="328" spans="1:35" ht="15" thickTop="1" x14ac:dyDescent="0.3">
      <c r="M328" s="275" t="s">
        <v>324</v>
      </c>
      <c r="N328" s="513" t="s">
        <v>1411</v>
      </c>
      <c r="O328" s="513"/>
      <c r="P328" s="513"/>
      <c r="Q328" s="513"/>
      <c r="R328" s="513"/>
      <c r="S328" s="513"/>
      <c r="T328" s="513"/>
      <c r="U328" s="513"/>
      <c r="V328" s="513"/>
      <c r="W328" s="514"/>
    </row>
    <row r="329" spans="1:35" x14ac:dyDescent="0.3">
      <c r="A329" s="250" t="s">
        <v>518</v>
      </c>
      <c r="B329" s="251"/>
      <c r="C329" s="251"/>
      <c r="D329" s="251"/>
      <c r="E329" s="251"/>
      <c r="F329" s="251"/>
      <c r="G329" s="251"/>
      <c r="H329" s="251"/>
      <c r="I329" s="251"/>
      <c r="J329" s="251"/>
      <c r="K329" s="252" t="s">
        <v>563</v>
      </c>
      <c r="M329" s="275"/>
      <c r="N329" s="513"/>
      <c r="O329" s="513"/>
      <c r="P329" s="513"/>
      <c r="Q329" s="513"/>
      <c r="R329" s="513"/>
      <c r="S329" s="513"/>
      <c r="T329" s="513"/>
      <c r="U329" s="513"/>
      <c r="V329" s="513"/>
      <c r="W329" s="514"/>
    </row>
    <row r="330" spans="1:35" x14ac:dyDescent="0.3">
      <c r="A330" s="276" t="s">
        <v>565</v>
      </c>
      <c r="B330" s="278"/>
      <c r="C330" s="278"/>
      <c r="D330" s="278"/>
      <c r="E330" s="278"/>
      <c r="F330" s="278"/>
      <c r="G330" s="278"/>
      <c r="H330" s="278"/>
      <c r="I330" s="278"/>
      <c r="J330" s="278"/>
      <c r="K330" s="277">
        <v>6528582.1773558529</v>
      </c>
      <c r="M330" s="255"/>
      <c r="N330" s="502"/>
      <c r="O330" s="502"/>
      <c r="P330" s="502"/>
      <c r="Q330" s="502"/>
      <c r="R330" s="502"/>
      <c r="S330" s="502"/>
      <c r="T330" s="502"/>
      <c r="U330" s="502"/>
      <c r="V330" s="502"/>
      <c r="W330" s="503"/>
    </row>
    <row r="331" spans="1:35" x14ac:dyDescent="0.3">
      <c r="A331" s="275" t="s">
        <v>324</v>
      </c>
      <c r="B331" s="513" t="s">
        <v>1365</v>
      </c>
      <c r="C331" s="513"/>
      <c r="D331" s="513"/>
      <c r="E331" s="513"/>
      <c r="F331" s="513"/>
      <c r="G331" s="513"/>
      <c r="H331" s="513"/>
      <c r="I331" s="513"/>
      <c r="J331" s="513"/>
      <c r="K331" s="514"/>
    </row>
    <row r="332" spans="1:35" x14ac:dyDescent="0.3">
      <c r="A332" s="275"/>
      <c r="B332" s="513"/>
      <c r="C332" s="513"/>
      <c r="D332" s="513"/>
      <c r="E332" s="513"/>
      <c r="F332" s="513"/>
      <c r="G332" s="513"/>
      <c r="H332" s="513"/>
      <c r="I332" s="513"/>
      <c r="J332" s="513"/>
      <c r="K332" s="514"/>
      <c r="M332" s="279" t="s">
        <v>325</v>
      </c>
      <c r="N332" s="279"/>
      <c r="Q332" s="281"/>
      <c r="R332" s="281" t="s">
        <v>326</v>
      </c>
      <c r="S332" s="281"/>
      <c r="V332" s="279" t="s">
        <v>306</v>
      </c>
      <c r="W332" s="279"/>
    </row>
    <row r="333" spans="1:35" x14ac:dyDescent="0.3">
      <c r="A333" s="255"/>
      <c r="B333" s="502"/>
      <c r="C333" s="502"/>
      <c r="D333" s="502"/>
      <c r="E333" s="502"/>
      <c r="F333" s="502"/>
      <c r="G333" s="502"/>
      <c r="H333" s="502"/>
      <c r="I333" s="502"/>
      <c r="J333" s="502"/>
      <c r="K333" s="503"/>
      <c r="M333" s="280"/>
      <c r="N333" s="280"/>
      <c r="Q333" s="280"/>
      <c r="R333" s="280"/>
      <c r="S333" s="280"/>
      <c r="V333" s="280"/>
      <c r="W333" s="280"/>
    </row>
    <row r="335" spans="1:35" x14ac:dyDescent="0.3">
      <c r="A335" s="279" t="s">
        <v>325</v>
      </c>
      <c r="B335" s="279"/>
      <c r="E335" s="281"/>
      <c r="F335" s="281" t="s">
        <v>326</v>
      </c>
      <c r="G335" s="281"/>
      <c r="J335" s="279" t="s">
        <v>306</v>
      </c>
      <c r="K335" s="279"/>
      <c r="M335" s="237"/>
      <c r="N335" s="238"/>
      <c r="O335" s="238"/>
      <c r="P335" s="238"/>
      <c r="Q335" s="238"/>
      <c r="R335" s="238" t="s">
        <v>657</v>
      </c>
      <c r="S335" s="238"/>
      <c r="T335" s="238"/>
      <c r="U335" s="238"/>
      <c r="V335" s="238"/>
      <c r="W335" s="239"/>
      <c r="Y335" s="237"/>
      <c r="Z335" s="238"/>
      <c r="AA335" s="238"/>
      <c r="AB335" s="238"/>
      <c r="AC335" s="238"/>
      <c r="AD335" s="238" t="s">
        <v>657</v>
      </c>
      <c r="AE335" s="238"/>
      <c r="AF335" s="238"/>
      <c r="AG335" s="238"/>
      <c r="AH335" s="238"/>
      <c r="AI335" s="239"/>
    </row>
    <row r="336" spans="1:35" x14ac:dyDescent="0.3">
      <c r="A336" s="280"/>
      <c r="B336" s="280"/>
      <c r="E336" s="280"/>
      <c r="F336" s="280"/>
      <c r="G336" s="280"/>
      <c r="J336" s="280"/>
      <c r="K336" s="280"/>
      <c r="M336" s="240"/>
      <c r="N336" s="241"/>
      <c r="O336" s="241"/>
      <c r="P336" s="241"/>
      <c r="Q336" s="241"/>
      <c r="R336" s="243" t="s">
        <v>684</v>
      </c>
      <c r="S336" s="241"/>
      <c r="T336" s="241"/>
      <c r="U336" s="241"/>
      <c r="V336" s="241"/>
      <c r="W336" s="242"/>
      <c r="Y336" s="240"/>
      <c r="Z336" s="241"/>
      <c r="AA336" s="241"/>
      <c r="AB336" s="241"/>
      <c r="AC336" s="241"/>
      <c r="AD336" s="243" t="s">
        <v>684</v>
      </c>
      <c r="AE336" s="241"/>
      <c r="AF336" s="241"/>
      <c r="AG336" s="241"/>
      <c r="AH336" s="241"/>
      <c r="AI336" s="242"/>
    </row>
    <row r="338" spans="1:35" x14ac:dyDescent="0.3">
      <c r="M338" s="169" t="s">
        <v>548</v>
      </c>
      <c r="N338" s="161"/>
      <c r="O338" s="161"/>
      <c r="P338" s="162"/>
      <c r="R338" s="250" t="s">
        <v>662</v>
      </c>
      <c r="S338" s="251"/>
      <c r="T338" s="251"/>
      <c r="U338" s="251"/>
      <c r="V338" s="251"/>
      <c r="W338" s="252"/>
      <c r="Y338" s="169" t="s">
        <v>548</v>
      </c>
      <c r="Z338" s="161"/>
      <c r="AA338" s="161"/>
      <c r="AB338" s="162"/>
      <c r="AD338" s="250" t="s">
        <v>662</v>
      </c>
      <c r="AE338" s="251"/>
      <c r="AF338" s="251"/>
      <c r="AG338" s="251"/>
      <c r="AH338" s="251"/>
      <c r="AI338" s="252"/>
    </row>
    <row r="339" spans="1:35" x14ac:dyDescent="0.3">
      <c r="A339" s="237"/>
      <c r="B339" s="238"/>
      <c r="C339" s="238"/>
      <c r="D339" s="238"/>
      <c r="E339" s="238"/>
      <c r="F339" s="238" t="s">
        <v>657</v>
      </c>
      <c r="G339" s="238"/>
      <c r="H339" s="238"/>
      <c r="I339" s="238"/>
      <c r="J339" s="238"/>
      <c r="K339" s="239"/>
      <c r="M339" s="150" t="s">
        <v>393</v>
      </c>
      <c r="N339" s="163" t="s">
        <v>411</v>
      </c>
      <c r="O339" s="163"/>
      <c r="P339" s="164"/>
      <c r="R339" s="254" t="s">
        <v>377</v>
      </c>
      <c r="S339" s="369" t="s">
        <v>552</v>
      </c>
      <c r="T339" s="369" t="s">
        <v>529</v>
      </c>
      <c r="U339" s="369" t="s">
        <v>553</v>
      </c>
      <c r="V339" s="369" t="s">
        <v>773</v>
      </c>
      <c r="W339" s="370" t="s">
        <v>774</v>
      </c>
      <c r="Y339" s="150" t="s">
        <v>393</v>
      </c>
      <c r="Z339" s="163" t="s">
        <v>411</v>
      </c>
      <c r="AA339" s="163"/>
      <c r="AB339" s="164"/>
      <c r="AD339" s="254" t="s">
        <v>377</v>
      </c>
      <c r="AE339" s="369" t="s">
        <v>552</v>
      </c>
      <c r="AF339" s="369" t="s">
        <v>529</v>
      </c>
      <c r="AG339" s="369" t="s">
        <v>553</v>
      </c>
      <c r="AH339" s="369" t="s">
        <v>773</v>
      </c>
      <c r="AI339" s="370" t="s">
        <v>774</v>
      </c>
    </row>
    <row r="340" spans="1:35" x14ac:dyDescent="0.3">
      <c r="A340" s="240"/>
      <c r="B340" s="241"/>
      <c r="C340" s="241"/>
      <c r="D340" s="241"/>
      <c r="E340" s="241"/>
      <c r="F340" s="243" t="s">
        <v>684</v>
      </c>
      <c r="G340" s="241"/>
      <c r="H340" s="241"/>
      <c r="I340" s="241"/>
      <c r="J340" s="241"/>
      <c r="K340" s="242"/>
      <c r="M340" s="150" t="s">
        <v>394</v>
      </c>
      <c r="N340" s="163" t="s">
        <v>411</v>
      </c>
      <c r="O340" s="163"/>
      <c r="P340" s="164"/>
      <c r="R340" s="358">
        <v>44480</v>
      </c>
      <c r="S340" s="371">
        <v>30.161999999999999</v>
      </c>
      <c r="T340" s="371">
        <v>10</v>
      </c>
      <c r="U340" s="371">
        <v>27.145799999999998</v>
      </c>
      <c r="V340" s="371">
        <v>1</v>
      </c>
      <c r="W340" s="372">
        <v>26.874341999999999</v>
      </c>
      <c r="Y340" s="150" t="s">
        <v>394</v>
      </c>
      <c r="Z340" s="163" t="s">
        <v>411</v>
      </c>
      <c r="AA340" s="163"/>
      <c r="AB340" s="164"/>
      <c r="AD340" s="358">
        <v>44510</v>
      </c>
      <c r="AE340" s="371">
        <v>30.161999999999999</v>
      </c>
      <c r="AF340" s="371">
        <v>10</v>
      </c>
      <c r="AG340" s="371">
        <f>AE340*(1-(AF340/100))</f>
        <v>27.145800000000001</v>
      </c>
      <c r="AH340" s="371">
        <v>1</v>
      </c>
      <c r="AI340" s="372">
        <f>AG340*(1-(AH340/100))</f>
        <v>26.874342000000002</v>
      </c>
    </row>
    <row r="341" spans="1:35" x14ac:dyDescent="0.3">
      <c r="M341" s="150" t="s">
        <v>395</v>
      </c>
      <c r="N341" s="163" t="s">
        <v>411</v>
      </c>
      <c r="O341" s="163"/>
      <c r="P341" s="164"/>
      <c r="R341" s="250" t="s">
        <v>666</v>
      </c>
      <c r="S341" s="251"/>
      <c r="T341" s="251"/>
      <c r="U341" s="251"/>
      <c r="V341" s="251"/>
      <c r="W341" s="252"/>
      <c r="Y341" s="150" t="s">
        <v>395</v>
      </c>
      <c r="Z341" s="163" t="s">
        <v>411</v>
      </c>
      <c r="AA341" s="163"/>
      <c r="AB341" s="164"/>
      <c r="AD341" s="250" t="s">
        <v>666</v>
      </c>
      <c r="AE341" s="251"/>
      <c r="AF341" s="251"/>
      <c r="AG341" s="251"/>
      <c r="AH341" s="251"/>
      <c r="AI341" s="252"/>
    </row>
    <row r="342" spans="1:35" x14ac:dyDescent="0.3">
      <c r="A342" s="169" t="s">
        <v>548</v>
      </c>
      <c r="B342" s="161"/>
      <c r="C342" s="161"/>
      <c r="D342" s="162"/>
      <c r="F342" s="250" t="s">
        <v>662</v>
      </c>
      <c r="G342" s="251"/>
      <c r="H342" s="251"/>
      <c r="I342" s="251"/>
      <c r="J342" s="251"/>
      <c r="K342" s="252"/>
      <c r="M342" s="150" t="s">
        <v>396</v>
      </c>
      <c r="N342" s="510">
        <v>44480</v>
      </c>
      <c r="O342" s="163"/>
      <c r="P342" s="164"/>
      <c r="R342" s="254" t="s">
        <v>443</v>
      </c>
      <c r="S342" s="369"/>
      <c r="T342" s="369"/>
      <c r="U342" s="369"/>
      <c r="V342" s="369" t="s">
        <v>555</v>
      </c>
      <c r="W342" s="370" t="s">
        <v>579</v>
      </c>
      <c r="Y342" s="150" t="s">
        <v>396</v>
      </c>
      <c r="Z342" s="510">
        <v>44480</v>
      </c>
      <c r="AA342" s="163"/>
      <c r="AB342" s="164"/>
      <c r="AD342" s="254" t="s">
        <v>443</v>
      </c>
      <c r="AE342" s="369"/>
      <c r="AF342" s="369"/>
      <c r="AG342" s="369"/>
      <c r="AH342" s="369" t="s">
        <v>555</v>
      </c>
      <c r="AI342" s="370" t="s">
        <v>579</v>
      </c>
    </row>
    <row r="343" spans="1:35" x14ac:dyDescent="0.3">
      <c r="A343" s="150" t="s">
        <v>393</v>
      </c>
      <c r="B343" s="163" t="s">
        <v>411</v>
      </c>
      <c r="C343" s="163"/>
      <c r="D343" s="164"/>
      <c r="F343" s="254" t="s">
        <v>377</v>
      </c>
      <c r="G343" s="369" t="s">
        <v>552</v>
      </c>
      <c r="H343" s="369" t="s">
        <v>529</v>
      </c>
      <c r="I343" s="369" t="s">
        <v>553</v>
      </c>
      <c r="J343" s="369" t="s">
        <v>773</v>
      </c>
      <c r="K343" s="370" t="s">
        <v>774</v>
      </c>
      <c r="M343" s="150" t="s">
        <v>316</v>
      </c>
      <c r="N343" s="163" t="s">
        <v>770</v>
      </c>
      <c r="O343" s="163"/>
      <c r="P343" s="164"/>
      <c r="R343" s="253" t="s">
        <v>509</v>
      </c>
      <c r="S343" s="373"/>
      <c r="T343" s="373"/>
      <c r="U343" s="373"/>
      <c r="V343" s="379">
        <v>18</v>
      </c>
      <c r="W343" s="380">
        <v>1.1339999999999999</v>
      </c>
      <c r="Y343" s="150" t="s">
        <v>316</v>
      </c>
      <c r="Z343" s="163" t="s">
        <v>770</v>
      </c>
      <c r="AA343" s="163"/>
      <c r="AB343" s="164"/>
      <c r="AD343" s="253" t="s">
        <v>509</v>
      </c>
      <c r="AE343" s="373"/>
      <c r="AF343" s="373"/>
      <c r="AG343" s="373"/>
      <c r="AH343" s="379">
        <v>18</v>
      </c>
      <c r="AI343" s="380">
        <v>1.1339999999999999</v>
      </c>
    </row>
    <row r="344" spans="1:35" x14ac:dyDescent="0.3">
      <c r="A344" s="150" t="s">
        <v>394</v>
      </c>
      <c r="B344" s="163" t="s">
        <v>411</v>
      </c>
      <c r="C344" s="163"/>
      <c r="D344" s="164"/>
      <c r="F344" s="275" t="s">
        <v>1366</v>
      </c>
      <c r="G344" s="371">
        <v>100</v>
      </c>
      <c r="H344" s="371">
        <v>5</v>
      </c>
      <c r="I344" s="371">
        <f>G344*(1-(H344/100))</f>
        <v>95</v>
      </c>
      <c r="J344" s="371">
        <v>1</v>
      </c>
      <c r="K344" s="372">
        <f>I344*(1-(J344/100))</f>
        <v>94.05</v>
      </c>
      <c r="M344" s="244" t="s">
        <v>550</v>
      </c>
      <c r="N344" s="246">
        <v>1</v>
      </c>
      <c r="O344" s="356" t="s">
        <v>404</v>
      </c>
      <c r="P344" s="245"/>
      <c r="R344" s="275" t="s">
        <v>505</v>
      </c>
      <c r="S344" s="371"/>
      <c r="T344" s="371"/>
      <c r="U344" s="371"/>
      <c r="V344" s="381">
        <v>80</v>
      </c>
      <c r="W344" s="382">
        <v>10</v>
      </c>
      <c r="Y344" s="244" t="s">
        <v>550</v>
      </c>
      <c r="Z344" s="246">
        <v>1</v>
      </c>
      <c r="AA344" s="356" t="s">
        <v>404</v>
      </c>
      <c r="AB344" s="245"/>
      <c r="AD344" s="275" t="s">
        <v>505</v>
      </c>
      <c r="AE344" s="371"/>
      <c r="AF344" s="371"/>
      <c r="AG344" s="371"/>
      <c r="AH344" s="381">
        <v>80</v>
      </c>
      <c r="AI344" s="382">
        <v>10</v>
      </c>
    </row>
    <row r="345" spans="1:35" x14ac:dyDescent="0.3">
      <c r="A345" s="150" t="s">
        <v>395</v>
      </c>
      <c r="B345" s="163" t="s">
        <v>411</v>
      </c>
      <c r="C345" s="163"/>
      <c r="D345" s="164"/>
      <c r="F345" s="250" t="s">
        <v>666</v>
      </c>
      <c r="G345" s="251"/>
      <c r="H345" s="251"/>
      <c r="I345" s="251"/>
      <c r="J345" s="251"/>
      <c r="K345" s="252"/>
      <c r="R345" s="169" t="s">
        <v>648</v>
      </c>
      <c r="S345" s="511"/>
      <c r="T345" s="161"/>
      <c r="U345" s="161"/>
      <c r="V345" s="161"/>
      <c r="W345" s="162" t="s">
        <v>775</v>
      </c>
      <c r="AD345" s="169" t="s">
        <v>648</v>
      </c>
      <c r="AE345" s="511"/>
      <c r="AF345" s="161"/>
      <c r="AG345" s="161"/>
      <c r="AH345" s="161"/>
      <c r="AI345" s="162" t="s">
        <v>775</v>
      </c>
    </row>
    <row r="346" spans="1:35" x14ac:dyDescent="0.3">
      <c r="A346" s="150" t="s">
        <v>396</v>
      </c>
      <c r="B346" s="506">
        <v>44467</v>
      </c>
      <c r="C346" s="163"/>
      <c r="D346" s="164"/>
      <c r="F346" s="254" t="s">
        <v>443</v>
      </c>
      <c r="G346" s="369"/>
      <c r="H346" s="369"/>
      <c r="I346" s="369"/>
      <c r="J346" s="369" t="s">
        <v>555</v>
      </c>
      <c r="K346" s="370" t="s">
        <v>579</v>
      </c>
      <c r="M346" s="169" t="s">
        <v>339</v>
      </c>
      <c r="N346" s="161"/>
      <c r="O346" s="161"/>
      <c r="P346" s="162"/>
      <c r="R346" s="359" t="s">
        <v>374</v>
      </c>
      <c r="S346" s="361" t="s">
        <v>555</v>
      </c>
      <c r="T346" s="361" t="s">
        <v>679</v>
      </c>
      <c r="U346" s="361" t="s">
        <v>790</v>
      </c>
      <c r="V346" s="361" t="s">
        <v>579</v>
      </c>
      <c r="W346" s="362" t="s">
        <v>447</v>
      </c>
      <c r="Y346" s="169" t="s">
        <v>339</v>
      </c>
      <c r="Z346" s="161"/>
      <c r="AA346" s="161"/>
      <c r="AB346" s="162"/>
      <c r="AD346" s="359" t="s">
        <v>374</v>
      </c>
      <c r="AE346" s="361" t="s">
        <v>555</v>
      </c>
      <c r="AF346" s="361" t="s">
        <v>679</v>
      </c>
      <c r="AG346" s="361" t="s">
        <v>790</v>
      </c>
      <c r="AH346" s="361" t="s">
        <v>579</v>
      </c>
      <c r="AI346" s="362" t="s">
        <v>447</v>
      </c>
    </row>
    <row r="347" spans="1:35" x14ac:dyDescent="0.3">
      <c r="A347" s="150" t="s">
        <v>316</v>
      </c>
      <c r="B347" s="163" t="s">
        <v>770</v>
      </c>
      <c r="C347" s="163"/>
      <c r="D347" s="164"/>
      <c r="F347" s="253" t="s">
        <v>509</v>
      </c>
      <c r="G347" s="373"/>
      <c r="H347" s="373"/>
      <c r="I347" s="373"/>
      <c r="J347" s="379">
        <v>18</v>
      </c>
      <c r="K347" s="380">
        <v>1.1339999999999999</v>
      </c>
      <c r="M347" s="150" t="s">
        <v>769</v>
      </c>
      <c r="N347" s="247"/>
      <c r="O347" s="247"/>
      <c r="P347" s="248"/>
      <c r="R347" s="150" t="s">
        <v>167</v>
      </c>
      <c r="S347" s="383">
        <v>18</v>
      </c>
      <c r="T347" s="363">
        <v>-3</v>
      </c>
      <c r="U347" s="363">
        <v>95</v>
      </c>
      <c r="V347" s="363">
        <v>2500.0416882</v>
      </c>
      <c r="W347" s="364">
        <v>375.00625322999997</v>
      </c>
      <c r="Y347" s="150" t="s">
        <v>769</v>
      </c>
      <c r="Z347" s="247"/>
      <c r="AA347" s="247"/>
      <c r="AB347" s="248"/>
      <c r="AD347" s="150" t="s">
        <v>167</v>
      </c>
      <c r="AE347" s="383">
        <f>AH343*1</f>
        <v>18</v>
      </c>
      <c r="AF347" s="363">
        <v>-3</v>
      </c>
      <c r="AG347" s="363">
        <v>95</v>
      </c>
      <c r="AH347" s="363">
        <f>AI343*2204.6223</f>
        <v>2500.0416882</v>
      </c>
      <c r="AI347" s="364">
        <f>IF(OR(AE347=0,AE347&gt;=100),AE347-ABS(AF347),IF(AF347=0,AE347*AG347*0.01,IF(AE347&gt;(AF347/((AG347*0.01)-1)),AE347*AG347*0.01,AE347-ABS(AF347))))*(AH347*0.01)</f>
        <v>375.00625322999997</v>
      </c>
    </row>
    <row r="348" spans="1:35" x14ac:dyDescent="0.3">
      <c r="A348" s="244" t="s">
        <v>550</v>
      </c>
      <c r="B348" s="246">
        <v>1</v>
      </c>
      <c r="C348" s="356" t="s">
        <v>404</v>
      </c>
      <c r="D348" s="245"/>
      <c r="F348" s="275" t="s">
        <v>505</v>
      </c>
      <c r="G348" s="371"/>
      <c r="H348" s="371"/>
      <c r="I348" s="371"/>
      <c r="J348" s="381">
        <v>80</v>
      </c>
      <c r="K348" s="382">
        <v>10</v>
      </c>
      <c r="M348" s="150" t="s">
        <v>307</v>
      </c>
      <c r="N348" s="247" t="s">
        <v>770</v>
      </c>
      <c r="O348" s="247"/>
      <c r="P348" s="248"/>
      <c r="R348" s="151" t="s">
        <v>168</v>
      </c>
      <c r="S348" s="384">
        <v>257.20578072000001</v>
      </c>
      <c r="T348" s="365">
        <v>1.5</v>
      </c>
      <c r="U348" s="365">
        <v>95</v>
      </c>
      <c r="V348" s="365">
        <v>9.5</v>
      </c>
      <c r="W348" s="366">
        <v>2429.2049168399999</v>
      </c>
      <c r="Y348" s="150" t="s">
        <v>307</v>
      </c>
      <c r="Z348" s="247" t="s">
        <v>770</v>
      </c>
      <c r="AA348" s="247"/>
      <c r="AB348" s="248"/>
      <c r="AD348" s="151" t="s">
        <v>168</v>
      </c>
      <c r="AE348" s="384">
        <f>AH344*3.215072259</f>
        <v>257.20578072000001</v>
      </c>
      <c r="AF348" s="365">
        <v>1.5</v>
      </c>
      <c r="AG348" s="365">
        <v>95</v>
      </c>
      <c r="AH348" s="365">
        <f>AI344*AG348/100</f>
        <v>9.5</v>
      </c>
      <c r="AI348" s="366">
        <f>(AE348-ABS(AF348))*AH348</f>
        <v>2429.2049168399999</v>
      </c>
    </row>
    <row r="349" spans="1:35" ht="15" thickBot="1" x14ac:dyDescent="0.35">
      <c r="F349" s="169" t="s">
        <v>648</v>
      </c>
      <c r="G349" s="507"/>
      <c r="H349" s="161"/>
      <c r="I349" s="161"/>
      <c r="J349" s="161"/>
      <c r="K349" s="162" t="s">
        <v>775</v>
      </c>
      <c r="M349" s="150" t="s">
        <v>311</v>
      </c>
      <c r="N349" s="247" t="s">
        <v>312</v>
      </c>
      <c r="O349" s="247"/>
      <c r="P349" s="248"/>
      <c r="R349" s="154" t="s">
        <v>1357</v>
      </c>
      <c r="S349" s="367"/>
      <c r="T349" s="367"/>
      <c r="U349" s="367"/>
      <c r="V349" s="367"/>
      <c r="W349" s="368">
        <v>2804.2111700699998</v>
      </c>
      <c r="Y349" s="150" t="s">
        <v>311</v>
      </c>
      <c r="Z349" s="247" t="s">
        <v>312</v>
      </c>
      <c r="AA349" s="247"/>
      <c r="AB349" s="248"/>
      <c r="AD349" s="154" t="s">
        <v>1357</v>
      </c>
      <c r="AE349" s="367"/>
      <c r="AF349" s="367"/>
      <c r="AG349" s="367"/>
      <c r="AH349" s="367"/>
      <c r="AI349" s="368">
        <f>SUM(AI347:AI348)</f>
        <v>2804.2111700699998</v>
      </c>
    </row>
    <row r="350" spans="1:35" ht="15" thickTop="1" x14ac:dyDescent="0.3">
      <c r="A350" s="169" t="s">
        <v>339</v>
      </c>
      <c r="B350" s="161"/>
      <c r="C350" s="161"/>
      <c r="D350" s="162"/>
      <c r="F350" s="359" t="s">
        <v>374</v>
      </c>
      <c r="G350" s="361" t="s">
        <v>555</v>
      </c>
      <c r="H350" s="361" t="s">
        <v>679</v>
      </c>
      <c r="I350" s="361" t="s">
        <v>790</v>
      </c>
      <c r="J350" s="361" t="s">
        <v>579</v>
      </c>
      <c r="K350" s="362" t="s">
        <v>447</v>
      </c>
      <c r="M350" s="150" t="s">
        <v>551</v>
      </c>
      <c r="N350" s="247" t="s">
        <v>770</v>
      </c>
      <c r="O350" s="247"/>
      <c r="P350" s="248"/>
      <c r="R350" s="376" t="s">
        <v>668</v>
      </c>
      <c r="S350" s="377"/>
      <c r="T350" s="377"/>
      <c r="U350" s="377"/>
      <c r="V350" s="377"/>
      <c r="W350" s="378"/>
      <c r="Y350" s="150" t="s">
        <v>551</v>
      </c>
      <c r="Z350" s="247" t="s">
        <v>770</v>
      </c>
      <c r="AA350" s="247"/>
      <c r="AB350" s="248"/>
      <c r="AD350" s="376" t="s">
        <v>668</v>
      </c>
      <c r="AE350" s="377"/>
      <c r="AF350" s="377"/>
      <c r="AG350" s="377"/>
      <c r="AH350" s="377"/>
      <c r="AI350" s="378"/>
    </row>
    <row r="351" spans="1:35" x14ac:dyDescent="0.3">
      <c r="A351" s="150" t="s">
        <v>769</v>
      </c>
      <c r="B351" s="247"/>
      <c r="C351" s="247"/>
      <c r="D351" s="248"/>
      <c r="F351" s="150" t="s">
        <v>167</v>
      </c>
      <c r="G351" s="383">
        <f>J347*1</f>
        <v>18</v>
      </c>
      <c r="H351" s="363">
        <v>-3</v>
      </c>
      <c r="I351" s="363">
        <v>95</v>
      </c>
      <c r="J351" s="363">
        <f>K347*2204.6223</f>
        <v>2500.0416882</v>
      </c>
      <c r="K351" s="364">
        <f>IF(OR(G351=0,G351&gt;=100),G351-ABS(H351),IF(H351=0,G351*I351*0.01,IF(G351&gt;(H351/((I351*0.01)-1)),G351*I351*0.01,G351-ABS(H351))))*(J351*0.01)</f>
        <v>375.00625322999997</v>
      </c>
      <c r="M351" s="150" t="s">
        <v>314</v>
      </c>
      <c r="N351" s="247" t="s">
        <v>770</v>
      </c>
      <c r="O351" s="247"/>
      <c r="P351" s="248"/>
      <c r="R351" s="150" t="s">
        <v>674</v>
      </c>
      <c r="S351" s="363"/>
      <c r="T351" s="363"/>
      <c r="U351" s="363"/>
      <c r="V351" s="363"/>
      <c r="W351" s="364">
        <v>135</v>
      </c>
      <c r="Y351" s="150" t="s">
        <v>314</v>
      </c>
      <c r="Z351" s="247" t="s">
        <v>770</v>
      </c>
      <c r="AA351" s="247"/>
      <c r="AB351" s="248"/>
      <c r="AD351" s="150" t="s">
        <v>674</v>
      </c>
      <c r="AE351" s="363"/>
      <c r="AF351" s="363"/>
      <c r="AG351" s="363"/>
      <c r="AH351" s="363"/>
      <c r="AI351" s="364">
        <v>135</v>
      </c>
    </row>
    <row r="352" spans="1:35" x14ac:dyDescent="0.3">
      <c r="A352" s="150" t="s">
        <v>307</v>
      </c>
      <c r="B352" s="247" t="s">
        <v>770</v>
      </c>
      <c r="C352" s="247"/>
      <c r="D352" s="248"/>
      <c r="F352" s="151" t="s">
        <v>168</v>
      </c>
      <c r="G352" s="384">
        <f>J348*3.315072259</f>
        <v>265.20578072000001</v>
      </c>
      <c r="H352" s="365">
        <v>1.5</v>
      </c>
      <c r="I352" s="365">
        <v>95</v>
      </c>
      <c r="J352" s="365">
        <f>K348*31.1035</f>
        <v>311.03500000000003</v>
      </c>
      <c r="K352" s="366">
        <f>IF(G352=0,G352-ABS(H352),IF(H352=0,G352*I352*0.01,(G352-ABS(H352)))*I352)*(J352*0.01)</f>
        <v>77920.641130932956</v>
      </c>
      <c r="M352" s="150" t="s">
        <v>315</v>
      </c>
      <c r="N352" s="247" t="s">
        <v>770</v>
      </c>
      <c r="O352" s="247"/>
      <c r="P352" s="248"/>
      <c r="R352" s="150" t="s">
        <v>675</v>
      </c>
      <c r="S352" s="363" t="s">
        <v>589</v>
      </c>
      <c r="T352" s="363" t="s">
        <v>590</v>
      </c>
      <c r="U352" s="363" t="s">
        <v>591</v>
      </c>
      <c r="V352" s="363" t="s">
        <v>676</v>
      </c>
      <c r="W352" s="364"/>
      <c r="Y352" s="150" t="s">
        <v>315</v>
      </c>
      <c r="Z352" s="247" t="s">
        <v>770</v>
      </c>
      <c r="AA352" s="247"/>
      <c r="AB352" s="248"/>
      <c r="AD352" s="150" t="s">
        <v>675</v>
      </c>
      <c r="AE352" s="363" t="s">
        <v>589</v>
      </c>
      <c r="AF352" s="363" t="s">
        <v>590</v>
      </c>
      <c r="AG352" s="363" t="s">
        <v>591</v>
      </c>
      <c r="AH352" s="363" t="s">
        <v>676</v>
      </c>
      <c r="AI352" s="364"/>
    </row>
    <row r="353" spans="1:35" ht="15" thickBot="1" x14ac:dyDescent="0.35">
      <c r="A353" s="150" t="s">
        <v>311</v>
      </c>
      <c r="B353" s="247" t="s">
        <v>312</v>
      </c>
      <c r="C353" s="247"/>
      <c r="D353" s="248"/>
      <c r="F353" s="154" t="s">
        <v>1357</v>
      </c>
      <c r="G353" s="367"/>
      <c r="H353" s="367"/>
      <c r="I353" s="367"/>
      <c r="J353" s="367"/>
      <c r="K353" s="368">
        <f>SUM(K351:K352)</f>
        <v>78295.647384162963</v>
      </c>
      <c r="M353" s="150" t="s">
        <v>1341</v>
      </c>
      <c r="N353" s="247" t="s">
        <v>770</v>
      </c>
      <c r="O353" s="247"/>
      <c r="P353" s="248"/>
      <c r="R353" s="150"/>
      <c r="S353" s="363">
        <v>2500.0416882</v>
      </c>
      <c r="T353" s="363">
        <v>500</v>
      </c>
      <c r="U353" s="363">
        <v>2000.0416882</v>
      </c>
      <c r="V353" s="363">
        <v>0.15</v>
      </c>
      <c r="W353" s="364">
        <v>300.00625322999997</v>
      </c>
      <c r="Y353" s="150" t="s">
        <v>1341</v>
      </c>
      <c r="Z353" s="247" t="s">
        <v>770</v>
      </c>
      <c r="AA353" s="247"/>
      <c r="AB353" s="248"/>
      <c r="AD353" s="150"/>
      <c r="AE353" s="363">
        <f>AH347</f>
        <v>2500.0416882</v>
      </c>
      <c r="AF353" s="363">
        <v>500</v>
      </c>
      <c r="AG353" s="363">
        <f>AE353-AF353</f>
        <v>2000.0416882</v>
      </c>
      <c r="AH353" s="363">
        <v>0.15</v>
      </c>
      <c r="AI353" s="364">
        <f>IF(AG353&gt;0,AG353*AH353,0)</f>
        <v>300.00625322999997</v>
      </c>
    </row>
    <row r="354" spans="1:35" ht="15" thickTop="1" x14ac:dyDescent="0.3">
      <c r="A354" s="150" t="s">
        <v>551</v>
      </c>
      <c r="B354" s="247" t="s">
        <v>770</v>
      </c>
      <c r="C354" s="247"/>
      <c r="D354" s="248"/>
      <c r="F354" s="376" t="s">
        <v>668</v>
      </c>
      <c r="G354" s="377"/>
      <c r="H354" s="377"/>
      <c r="I354" s="377"/>
      <c r="J354" s="377"/>
      <c r="K354" s="378"/>
      <c r="M354" s="150" t="s">
        <v>771</v>
      </c>
      <c r="N354" s="247" t="s">
        <v>770</v>
      </c>
      <c r="O354" s="247"/>
      <c r="P354" s="248"/>
      <c r="R354" s="150" t="s">
        <v>776</v>
      </c>
      <c r="S354" s="363"/>
      <c r="T354" s="363"/>
      <c r="U354" s="363"/>
      <c r="V354" s="363"/>
      <c r="W354" s="364"/>
      <c r="Y354" s="150" t="s">
        <v>771</v>
      </c>
      <c r="Z354" s="247" t="s">
        <v>770</v>
      </c>
      <c r="AA354" s="247"/>
      <c r="AB354" s="248"/>
      <c r="AD354" s="150" t="s">
        <v>776</v>
      </c>
      <c r="AE354" s="363"/>
      <c r="AF354" s="363"/>
      <c r="AG354" s="363"/>
      <c r="AH354" s="363"/>
      <c r="AI354" s="364"/>
    </row>
    <row r="355" spans="1:35" x14ac:dyDescent="0.3">
      <c r="A355" s="150" t="s">
        <v>314</v>
      </c>
      <c r="B355" s="247" t="s">
        <v>770</v>
      </c>
      <c r="C355" s="247"/>
      <c r="D355" s="248"/>
      <c r="F355" s="150" t="s">
        <v>674</v>
      </c>
      <c r="G355" s="363"/>
      <c r="H355" s="363"/>
      <c r="I355" s="363"/>
      <c r="J355" s="363"/>
      <c r="K355" s="364">
        <v>150</v>
      </c>
      <c r="M355" s="244" t="s">
        <v>772</v>
      </c>
      <c r="N355" s="246" t="s">
        <v>770</v>
      </c>
      <c r="O355" s="246"/>
      <c r="P355" s="249"/>
      <c r="R355" s="150" t="s">
        <v>677</v>
      </c>
      <c r="S355" s="363"/>
      <c r="T355" s="363" t="s">
        <v>590</v>
      </c>
      <c r="U355" s="363" t="s">
        <v>791</v>
      </c>
      <c r="V355" s="363" t="s">
        <v>761</v>
      </c>
      <c r="W355" s="364"/>
      <c r="Y355" s="244" t="s">
        <v>772</v>
      </c>
      <c r="Z355" s="246" t="s">
        <v>770</v>
      </c>
      <c r="AA355" s="246"/>
      <c r="AB355" s="249"/>
      <c r="AD355" s="150" t="s">
        <v>677</v>
      </c>
      <c r="AE355" s="363"/>
      <c r="AF355" s="363" t="s">
        <v>590</v>
      </c>
      <c r="AG355" s="363" t="s">
        <v>791</v>
      </c>
      <c r="AH355" s="363" t="s">
        <v>761</v>
      </c>
      <c r="AI355" s="364"/>
    </row>
    <row r="356" spans="1:35" x14ac:dyDescent="0.3">
      <c r="A356" s="150" t="s">
        <v>315</v>
      </c>
      <c r="B356" s="247" t="s">
        <v>770</v>
      </c>
      <c r="C356" s="247"/>
      <c r="D356" s="248"/>
      <c r="F356" s="150" t="s">
        <v>675</v>
      </c>
      <c r="G356" s="363" t="s">
        <v>589</v>
      </c>
      <c r="H356" s="363" t="s">
        <v>590</v>
      </c>
      <c r="I356" s="363" t="s">
        <v>591</v>
      </c>
      <c r="J356" s="363" t="s">
        <v>676</v>
      </c>
      <c r="K356" s="364"/>
      <c r="R356" s="150" t="s">
        <v>781</v>
      </c>
      <c r="S356" s="363"/>
      <c r="T356" s="363">
        <v>2.5000000000000001E-2</v>
      </c>
      <c r="U356" s="363">
        <v>0</v>
      </c>
      <c r="V356" s="363">
        <v>330.69334500000002</v>
      </c>
      <c r="W356" s="364">
        <v>8.2673336250000009</v>
      </c>
      <c r="AD356" s="150" t="s">
        <v>781</v>
      </c>
      <c r="AE356" s="363"/>
      <c r="AF356" s="363">
        <v>2.5000000000000001E-2</v>
      </c>
      <c r="AG356" s="363">
        <v>0</v>
      </c>
      <c r="AH356" s="363">
        <f>IF(OR(AE347=0,AE347&gt;=100),AE347-ABS(AF347),IF(AF347=0,AE347*AG347*0.01,IF(AE347&gt;(AF347/((AG347*0.01)-1)),AE347*AG347*0.01,AE347-ABS(AF347))))*(2204.6223*0.01)</f>
        <v>330.69334500000002</v>
      </c>
      <c r="AI356" s="364">
        <f>IF(AH347*AG356*0.01&gt;AF356,(AH347*100/AG347)*AG356*AH356*0.01,AF356*AH356)</f>
        <v>8.2673336250000009</v>
      </c>
    </row>
    <row r="357" spans="1:35" x14ac:dyDescent="0.3">
      <c r="A357" s="150" t="s">
        <v>1341</v>
      </c>
      <c r="B357" s="247" t="s">
        <v>770</v>
      </c>
      <c r="C357" s="247"/>
      <c r="D357" s="248"/>
      <c r="F357" s="150"/>
      <c r="G357" s="363">
        <f>J351</f>
        <v>2500.0416882</v>
      </c>
      <c r="H357" s="363">
        <v>2000</v>
      </c>
      <c r="I357" s="363">
        <f>G357-H357</f>
        <v>500.04168819999995</v>
      </c>
      <c r="J357" s="363">
        <v>3.5</v>
      </c>
      <c r="K357" s="364">
        <f>IF(I357&gt;0,I357*J357,0)</f>
        <v>1750.1459086999998</v>
      </c>
      <c r="R357" s="150" t="s">
        <v>782</v>
      </c>
      <c r="S357" s="363"/>
      <c r="T357" s="363">
        <v>0.3</v>
      </c>
      <c r="U357" s="363">
        <v>7</v>
      </c>
      <c r="V357" s="363">
        <v>255.70578072000001</v>
      </c>
      <c r="W357" s="364">
        <v>178.99404650400001</v>
      </c>
      <c r="AD357" s="150" t="s">
        <v>782</v>
      </c>
      <c r="AE357" s="363"/>
      <c r="AF357" s="363">
        <v>0.3</v>
      </c>
      <c r="AG357" s="363">
        <v>7</v>
      </c>
      <c r="AH357" s="363">
        <f>(AE348-ABS(AF348))</f>
        <v>255.70578072000001</v>
      </c>
      <c r="AI357" s="364">
        <f>IF(AH348*AG357*0.01&gt;AF357,(AH348*100/AG348)*AG357*AH357*0.01,AF357*AH357)</f>
        <v>178.99404650400001</v>
      </c>
    </row>
    <row r="358" spans="1:35" x14ac:dyDescent="0.3">
      <c r="A358" s="150" t="s">
        <v>771</v>
      </c>
      <c r="B358" s="247" t="s">
        <v>770</v>
      </c>
      <c r="C358" s="247"/>
      <c r="D358" s="248"/>
      <c r="F358" s="150" t="s">
        <v>776</v>
      </c>
      <c r="G358" s="363"/>
      <c r="H358" s="363"/>
      <c r="I358" s="363"/>
      <c r="J358" s="363"/>
      <c r="K358" s="364"/>
      <c r="R358" s="150" t="s">
        <v>650</v>
      </c>
      <c r="S358" s="363"/>
      <c r="T358" s="363"/>
      <c r="U358" s="363"/>
      <c r="V358" s="363"/>
      <c r="W358" s="364"/>
      <c r="AD358" s="150" t="s">
        <v>650</v>
      </c>
      <c r="AE358" s="363"/>
      <c r="AF358" s="363"/>
      <c r="AG358" s="363"/>
      <c r="AH358" s="363"/>
      <c r="AI358" s="364"/>
    </row>
    <row r="359" spans="1:35" x14ac:dyDescent="0.3">
      <c r="A359" s="244" t="s">
        <v>772</v>
      </c>
      <c r="B359" s="246" t="s">
        <v>770</v>
      </c>
      <c r="C359" s="246"/>
      <c r="D359" s="249"/>
      <c r="F359" s="150" t="s">
        <v>677</v>
      </c>
      <c r="G359" s="363"/>
      <c r="H359" s="363" t="s">
        <v>590</v>
      </c>
      <c r="I359" s="363" t="s">
        <v>791</v>
      </c>
      <c r="J359" s="363" t="s">
        <v>761</v>
      </c>
      <c r="K359" s="364"/>
      <c r="R359" s="150" t="s">
        <v>578</v>
      </c>
      <c r="S359" s="363" t="s">
        <v>589</v>
      </c>
      <c r="T359" s="363" t="s">
        <v>590</v>
      </c>
      <c r="U359" s="363" t="s">
        <v>788</v>
      </c>
      <c r="V359" s="363" t="s">
        <v>680</v>
      </c>
      <c r="W359" s="364"/>
      <c r="AD359" s="150" t="s">
        <v>578</v>
      </c>
      <c r="AE359" s="363" t="s">
        <v>589</v>
      </c>
      <c r="AF359" s="363" t="s">
        <v>590</v>
      </c>
      <c r="AG359" s="363" t="s">
        <v>788</v>
      </c>
      <c r="AH359" s="363" t="s">
        <v>680</v>
      </c>
      <c r="AI359" s="364"/>
    </row>
    <row r="360" spans="1:35" x14ac:dyDescent="0.3">
      <c r="F360" s="150" t="s">
        <v>781</v>
      </c>
      <c r="G360" s="363"/>
      <c r="H360" s="363">
        <v>2.5000000000000001E-2</v>
      </c>
      <c r="I360" s="363">
        <v>0</v>
      </c>
      <c r="J360" s="363">
        <f>IF(OR(G351=0,G351&gt;=100),G351-ABS(H351),IF(H351=0,G351*I351*0.01,IF(G351&gt;(H351/((I351*0.01)-1)),G351*I351*0.01,G351-ABS(H351))))*(2204.6223*0.01)</f>
        <v>330.69334500000002</v>
      </c>
      <c r="K360" s="364">
        <f>IF(J351*I360*0.01&gt;H360,J351*I360*J360*0.01,H360*J360)</f>
        <v>8.2673336250000009</v>
      </c>
      <c r="R360" s="150" t="s">
        <v>597</v>
      </c>
      <c r="S360" s="363">
        <v>0.57999999999999996</v>
      </c>
      <c r="T360" s="363">
        <v>0.5</v>
      </c>
      <c r="U360" s="363">
        <v>2.5</v>
      </c>
      <c r="V360" s="363">
        <v>0.1</v>
      </c>
      <c r="W360" s="364">
        <v>1.9999999999999989</v>
      </c>
      <c r="AD360" s="150" t="s">
        <v>597</v>
      </c>
      <c r="AE360" s="363">
        <v>0.57999999999999996</v>
      </c>
      <c r="AF360" s="363">
        <v>0.5</v>
      </c>
      <c r="AG360" s="363">
        <v>2.5</v>
      </c>
      <c r="AH360" s="363">
        <v>0.1</v>
      </c>
      <c r="AI360" s="364">
        <f t="shared" ref="AI360:AI365" si="0">IF(AE360-AF360&gt;0,(AE360-AF360)*AG360/AH360,0)</f>
        <v>1.9999999999999989</v>
      </c>
    </row>
    <row r="361" spans="1:35" x14ac:dyDescent="0.3">
      <c r="F361" s="150" t="s">
        <v>782</v>
      </c>
      <c r="G361" s="363"/>
      <c r="H361" s="363">
        <v>0.3</v>
      </c>
      <c r="I361" s="363">
        <v>7</v>
      </c>
      <c r="J361" s="363">
        <f>IF(OR(G352=0,G352&gt;=100),G352-ABS(H352),IF(H352=0,G352*I352*0.01,IF(G352&gt;(H352/((I352*0.01)-1)),G352*I352*0.01,G352-ABS(H352))))*(1*0.01)</f>
        <v>2.6370578072000002</v>
      </c>
      <c r="K361" s="364">
        <f>IF(J352*I361*0.01&gt;H361,J352*I361*J361*0.01,H361*J361)</f>
        <v>57.415209254371646</v>
      </c>
      <c r="R361" s="150" t="s">
        <v>507</v>
      </c>
      <c r="S361" s="363">
        <v>7.92</v>
      </c>
      <c r="T361" s="363">
        <v>0.7</v>
      </c>
      <c r="U361" s="363">
        <v>2</v>
      </c>
      <c r="V361" s="363">
        <v>0.1</v>
      </c>
      <c r="W361" s="364">
        <v>144.39999999999998</v>
      </c>
      <c r="AD361" s="150" t="s">
        <v>507</v>
      </c>
      <c r="AE361" s="363">
        <v>7.92</v>
      </c>
      <c r="AF361" s="363">
        <v>0.7</v>
      </c>
      <c r="AG361" s="363">
        <v>2</v>
      </c>
      <c r="AH361" s="363">
        <v>0.1</v>
      </c>
      <c r="AI361" s="364">
        <f t="shared" si="0"/>
        <v>144.39999999999998</v>
      </c>
    </row>
    <row r="362" spans="1:35" x14ac:dyDescent="0.3">
      <c r="F362" s="150" t="s">
        <v>650</v>
      </c>
      <c r="G362" s="363"/>
      <c r="H362" s="363"/>
      <c r="I362" s="363"/>
      <c r="J362" s="363"/>
      <c r="K362" s="364"/>
      <c r="R362" s="150" t="s">
        <v>515</v>
      </c>
      <c r="S362" s="363">
        <v>0.02</v>
      </c>
      <c r="T362" s="363">
        <v>0.05</v>
      </c>
      <c r="U362" s="363">
        <v>1.5</v>
      </c>
      <c r="V362" s="363">
        <v>0.01</v>
      </c>
      <c r="W362" s="364">
        <v>0</v>
      </c>
      <c r="AD362" s="150" t="s">
        <v>515</v>
      </c>
      <c r="AE362" s="363">
        <v>0.02</v>
      </c>
      <c r="AF362" s="363">
        <v>0.05</v>
      </c>
      <c r="AG362" s="363">
        <v>1.5</v>
      </c>
      <c r="AH362" s="363">
        <v>0.01</v>
      </c>
      <c r="AI362" s="364">
        <f t="shared" si="0"/>
        <v>0</v>
      </c>
    </row>
    <row r="363" spans="1:35" x14ac:dyDescent="0.3">
      <c r="F363" s="150" t="s">
        <v>578</v>
      </c>
      <c r="G363" s="363" t="s">
        <v>589</v>
      </c>
      <c r="H363" s="363" t="s">
        <v>590</v>
      </c>
      <c r="I363" s="363" t="s">
        <v>788</v>
      </c>
      <c r="J363" s="363" t="s">
        <v>680</v>
      </c>
      <c r="K363" s="364"/>
      <c r="R363" s="150" t="s">
        <v>159</v>
      </c>
      <c r="S363" s="363">
        <v>9.5</v>
      </c>
      <c r="T363" s="363">
        <v>8</v>
      </c>
      <c r="U363" s="363">
        <v>2</v>
      </c>
      <c r="V363" s="363">
        <v>1</v>
      </c>
      <c r="W363" s="364">
        <v>3</v>
      </c>
      <c r="AD363" s="150" t="s">
        <v>159</v>
      </c>
      <c r="AE363" s="363">
        <v>9.5</v>
      </c>
      <c r="AF363" s="363">
        <v>8</v>
      </c>
      <c r="AG363" s="363">
        <v>2</v>
      </c>
      <c r="AH363" s="363">
        <v>1</v>
      </c>
      <c r="AI363" s="364">
        <f t="shared" si="0"/>
        <v>3</v>
      </c>
    </row>
    <row r="364" spans="1:35" x14ac:dyDescent="0.3">
      <c r="F364" s="150" t="s">
        <v>597</v>
      </c>
      <c r="G364" s="363">
        <v>0.57999999999999996</v>
      </c>
      <c r="H364" s="363">
        <v>0.5</v>
      </c>
      <c r="I364" s="363">
        <v>2.5</v>
      </c>
      <c r="J364" s="363">
        <v>0.1</v>
      </c>
      <c r="K364" s="364">
        <f t="shared" ref="K364:K369" si="1">IF(G364-H364&gt;0,(G364-H364)*I364/J364,0)</f>
        <v>1.9999999999999989</v>
      </c>
      <c r="R364" s="150" t="s">
        <v>499</v>
      </c>
      <c r="S364" s="363">
        <v>1.5</v>
      </c>
      <c r="T364" s="363">
        <v>0.5</v>
      </c>
      <c r="U364" s="363">
        <v>1.5</v>
      </c>
      <c r="V364" s="363">
        <v>0.1</v>
      </c>
      <c r="W364" s="364">
        <v>15</v>
      </c>
      <c r="AD364" s="150" t="s">
        <v>499</v>
      </c>
      <c r="AE364" s="363">
        <v>1.5</v>
      </c>
      <c r="AF364" s="363">
        <v>0.5</v>
      </c>
      <c r="AG364" s="363">
        <v>1.5</v>
      </c>
      <c r="AH364" s="363">
        <v>0.1</v>
      </c>
      <c r="AI364" s="364">
        <f t="shared" si="0"/>
        <v>15</v>
      </c>
    </row>
    <row r="365" spans="1:35" x14ac:dyDescent="0.3">
      <c r="F365" s="150" t="s">
        <v>507</v>
      </c>
      <c r="G365" s="363">
        <v>7.92</v>
      </c>
      <c r="H365" s="363">
        <v>0.7</v>
      </c>
      <c r="I365" s="363">
        <v>2</v>
      </c>
      <c r="J365" s="363">
        <v>0.1</v>
      </c>
      <c r="K365" s="364">
        <f t="shared" si="1"/>
        <v>144.39999999999998</v>
      </c>
      <c r="R365" s="150" t="s">
        <v>1358</v>
      </c>
      <c r="S365" s="363">
        <v>0.9</v>
      </c>
      <c r="T365" s="363">
        <v>0.9</v>
      </c>
      <c r="U365" s="363">
        <v>2.4</v>
      </c>
      <c r="V365" s="363">
        <v>0.1</v>
      </c>
      <c r="W365" s="364">
        <v>0</v>
      </c>
      <c r="AD365" s="150" t="s">
        <v>1358</v>
      </c>
      <c r="AE365" s="363">
        <v>0.9</v>
      </c>
      <c r="AF365" s="363">
        <v>0.9</v>
      </c>
      <c r="AG365" s="363">
        <v>2.4</v>
      </c>
      <c r="AH365" s="363">
        <v>0.1</v>
      </c>
      <c r="AI365" s="364">
        <f t="shared" si="0"/>
        <v>0</v>
      </c>
    </row>
    <row r="366" spans="1:35" x14ac:dyDescent="0.3">
      <c r="F366" s="150" t="s">
        <v>515</v>
      </c>
      <c r="G366" s="363">
        <v>0.02</v>
      </c>
      <c r="H366" s="363">
        <v>0.05</v>
      </c>
      <c r="I366" s="363">
        <v>1.5</v>
      </c>
      <c r="J366" s="363">
        <v>0.01</v>
      </c>
      <c r="K366" s="364">
        <f t="shared" si="1"/>
        <v>0</v>
      </c>
      <c r="R366" s="151" t="s">
        <v>777</v>
      </c>
      <c r="S366" s="365"/>
      <c r="T366" s="365"/>
      <c r="U366" s="365"/>
      <c r="V366" s="365"/>
      <c r="W366" s="366">
        <v>2017.5435367109999</v>
      </c>
      <c r="AD366" s="151" t="s">
        <v>777</v>
      </c>
      <c r="AE366" s="365"/>
      <c r="AF366" s="365"/>
      <c r="AG366" s="365"/>
      <c r="AH366" s="365"/>
      <c r="AI366" s="366">
        <f>AI349-SUM(AI351:AI365)</f>
        <v>2017.5435367109999</v>
      </c>
    </row>
    <row r="367" spans="1:35" ht="15" thickBot="1" x14ac:dyDescent="0.35">
      <c r="F367" s="150" t="s">
        <v>159</v>
      </c>
      <c r="G367" s="363">
        <v>9.5</v>
      </c>
      <c r="H367" s="363">
        <v>8</v>
      </c>
      <c r="I367" s="363">
        <v>2</v>
      </c>
      <c r="J367" s="363">
        <v>1</v>
      </c>
      <c r="K367" s="364">
        <f t="shared" si="1"/>
        <v>3</v>
      </c>
      <c r="R367" s="141" t="s">
        <v>1359</v>
      </c>
      <c r="S367" s="374"/>
      <c r="T367" s="374"/>
      <c r="U367" s="374"/>
      <c r="V367" s="374"/>
      <c r="W367" s="375">
        <v>54220.155005460962</v>
      </c>
      <c r="AD367" s="141" t="s">
        <v>1359</v>
      </c>
      <c r="AE367" s="374"/>
      <c r="AF367" s="374"/>
      <c r="AG367" s="374"/>
      <c r="AH367" s="374"/>
      <c r="AI367" s="375">
        <f>AI366*AI340</f>
        <v>54220.155005460969</v>
      </c>
    </row>
    <row r="368" spans="1:35" ht="15" thickTop="1" x14ac:dyDescent="0.3">
      <c r="F368" s="150" t="s">
        <v>499</v>
      </c>
      <c r="G368" s="363">
        <v>1.5</v>
      </c>
      <c r="H368" s="363">
        <v>0.5</v>
      </c>
      <c r="I368" s="363">
        <v>1.5</v>
      </c>
      <c r="J368" s="363">
        <v>0.1</v>
      </c>
      <c r="K368" s="364">
        <f t="shared" si="1"/>
        <v>15</v>
      </c>
      <c r="R368" s="270" t="s">
        <v>669</v>
      </c>
      <c r="S368" s="271"/>
      <c r="T368" s="271"/>
      <c r="U368" s="271"/>
      <c r="V368" s="271"/>
      <c r="W368" s="272"/>
      <c r="AD368" s="270" t="s">
        <v>669</v>
      </c>
      <c r="AE368" s="271"/>
      <c r="AF368" s="271"/>
      <c r="AG368" s="271"/>
      <c r="AH368" s="271"/>
      <c r="AI368" s="272"/>
    </row>
    <row r="369" spans="6:35" x14ac:dyDescent="0.3">
      <c r="F369" s="150" t="s">
        <v>1358</v>
      </c>
      <c r="G369" s="363">
        <v>0.9</v>
      </c>
      <c r="H369" s="363">
        <v>0.9</v>
      </c>
      <c r="I369" s="363">
        <v>2.4</v>
      </c>
      <c r="J369" s="363">
        <v>0.1</v>
      </c>
      <c r="K369" s="364">
        <f t="shared" si="1"/>
        <v>0</v>
      </c>
      <c r="R369" s="359" t="s">
        <v>414</v>
      </c>
      <c r="S369" s="361"/>
      <c r="T369" s="361"/>
      <c r="U369" s="361" t="s">
        <v>413</v>
      </c>
      <c r="V369" s="361" t="s">
        <v>416</v>
      </c>
      <c r="W369" s="362"/>
      <c r="AD369" s="359" t="s">
        <v>414</v>
      </c>
      <c r="AE369" s="361"/>
      <c r="AF369" s="361"/>
      <c r="AG369" s="361" t="s">
        <v>413</v>
      </c>
      <c r="AH369" s="361" t="s">
        <v>416</v>
      </c>
      <c r="AI369" s="362"/>
    </row>
    <row r="370" spans="6:35" x14ac:dyDescent="0.3">
      <c r="F370" s="151" t="s">
        <v>777</v>
      </c>
      <c r="G370" s="365"/>
      <c r="H370" s="365"/>
      <c r="I370" s="365"/>
      <c r="J370" s="365"/>
      <c r="K370" s="366">
        <f>K353-SUM(K355:K369)</f>
        <v>76165.418932583591</v>
      </c>
      <c r="R370" s="150" t="s">
        <v>651</v>
      </c>
      <c r="S370" s="363"/>
      <c r="T370" s="363"/>
      <c r="U370" s="363"/>
      <c r="V370" s="363"/>
      <c r="W370" s="364"/>
      <c r="AD370" s="150" t="s">
        <v>651</v>
      </c>
      <c r="AE370" s="363"/>
      <c r="AF370" s="363"/>
      <c r="AG370" s="363"/>
      <c r="AH370" s="363"/>
      <c r="AI370" s="364"/>
    </row>
    <row r="371" spans="6:35" ht="15" thickBot="1" x14ac:dyDescent="0.35">
      <c r="F371" s="141" t="s">
        <v>1359</v>
      </c>
      <c r="G371" s="374"/>
      <c r="H371" s="374"/>
      <c r="I371" s="374"/>
      <c r="J371" s="374"/>
      <c r="K371" s="375">
        <f>K370*K344</f>
        <v>7163357.6506094867</v>
      </c>
      <c r="R371" s="150" t="s">
        <v>809</v>
      </c>
      <c r="S371" s="363"/>
      <c r="T371" s="363"/>
      <c r="U371" s="363">
        <v>0</v>
      </c>
      <c r="V371" s="363">
        <v>53.5</v>
      </c>
      <c r="W371" s="364">
        <v>1613.6669999999999</v>
      </c>
      <c r="AD371" s="150" t="s">
        <v>809</v>
      </c>
      <c r="AE371" s="363"/>
      <c r="AF371" s="363"/>
      <c r="AG371" s="363">
        <v>0</v>
      </c>
      <c r="AH371" s="363">
        <v>53.5</v>
      </c>
      <c r="AI371" s="364">
        <f>IF(AG371&gt;0,(AN367*AG371*0.01),AE340*AH371)</f>
        <v>1613.6669999999999</v>
      </c>
    </row>
    <row r="372" spans="6:35" ht="15" thickTop="1" x14ac:dyDescent="0.3">
      <c r="F372" s="270" t="s">
        <v>669</v>
      </c>
      <c r="G372" s="271"/>
      <c r="H372" s="271"/>
      <c r="I372" s="271"/>
      <c r="J372" s="271"/>
      <c r="K372" s="272"/>
      <c r="R372" s="150" t="s">
        <v>1408</v>
      </c>
      <c r="S372" s="363"/>
      <c r="T372" s="363"/>
      <c r="U372" s="363">
        <v>0</v>
      </c>
      <c r="V372" s="363">
        <v>24.19</v>
      </c>
      <c r="W372" s="364">
        <v>24.19</v>
      </c>
      <c r="AD372" s="150" t="s">
        <v>1408</v>
      </c>
      <c r="AE372" s="363"/>
      <c r="AF372" s="363"/>
      <c r="AG372" s="363">
        <v>0</v>
      </c>
      <c r="AH372" s="363">
        <v>24.19</v>
      </c>
      <c r="AI372" s="364">
        <v>24.19</v>
      </c>
    </row>
    <row r="373" spans="6:35" x14ac:dyDescent="0.3">
      <c r="F373" s="359" t="s">
        <v>414</v>
      </c>
      <c r="G373" s="361"/>
      <c r="H373" s="361"/>
      <c r="I373" s="361" t="s">
        <v>413</v>
      </c>
      <c r="J373" s="361" t="s">
        <v>416</v>
      </c>
      <c r="K373" s="362"/>
      <c r="R373" s="150" t="s">
        <v>1190</v>
      </c>
      <c r="S373" s="363"/>
      <c r="T373" s="363"/>
      <c r="U373" s="363"/>
      <c r="V373" s="363"/>
      <c r="W373" s="364"/>
      <c r="AD373" s="150" t="s">
        <v>1190</v>
      </c>
      <c r="AE373" s="363"/>
      <c r="AF373" s="363"/>
      <c r="AG373" s="363"/>
      <c r="AH373" s="363"/>
      <c r="AI373" s="364"/>
    </row>
    <row r="374" spans="6:35" x14ac:dyDescent="0.3">
      <c r="F374" s="150" t="s">
        <v>651</v>
      </c>
      <c r="G374" s="363"/>
      <c r="H374" s="363"/>
      <c r="I374" s="363"/>
      <c r="J374" s="363"/>
      <c r="K374" s="364"/>
      <c r="R374" s="150" t="s">
        <v>509</v>
      </c>
      <c r="S374" s="363"/>
      <c r="T374" s="363"/>
      <c r="U374" s="363">
        <v>3</v>
      </c>
      <c r="V374" s="363">
        <v>0</v>
      </c>
      <c r="W374" s="364">
        <v>1626.60465016383</v>
      </c>
      <c r="AD374" s="150" t="s">
        <v>509</v>
      </c>
      <c r="AE374" s="363"/>
      <c r="AF374" s="363"/>
      <c r="AG374" s="363">
        <v>3</v>
      </c>
      <c r="AH374" s="363">
        <v>0</v>
      </c>
      <c r="AI374" s="364">
        <f>AG374*AI367*0.01</f>
        <v>1626.6046501638293</v>
      </c>
    </row>
    <row r="375" spans="6:35" x14ac:dyDescent="0.3">
      <c r="F375" s="150" t="s">
        <v>1360</v>
      </c>
      <c r="G375" s="363"/>
      <c r="H375" s="363"/>
      <c r="I375" s="363">
        <v>0</v>
      </c>
      <c r="J375" s="363">
        <v>45</v>
      </c>
      <c r="K375" s="364">
        <f>IF(I375&gt;0,(P371*I375*0.01),G344*J375)</f>
        <v>4500</v>
      </c>
      <c r="R375" s="150" t="s">
        <v>505</v>
      </c>
      <c r="S375" s="363"/>
      <c r="T375" s="363"/>
      <c r="U375" s="363">
        <v>3.6</v>
      </c>
      <c r="V375" s="363">
        <v>0</v>
      </c>
      <c r="W375" s="364">
        <v>1951.9255801965901</v>
      </c>
      <c r="AD375" s="150" t="s">
        <v>505</v>
      </c>
      <c r="AE375" s="363"/>
      <c r="AF375" s="363"/>
      <c r="AG375" s="363">
        <v>3.6</v>
      </c>
      <c r="AH375" s="363">
        <v>0</v>
      </c>
      <c r="AI375" s="364">
        <f>AG375*AI367*0.01</f>
        <v>1951.9255801965949</v>
      </c>
    </row>
    <row r="376" spans="6:35" x14ac:dyDescent="0.3">
      <c r="F376" s="150" t="s">
        <v>1190</v>
      </c>
      <c r="G376" s="363"/>
      <c r="H376" s="363"/>
      <c r="I376" s="363"/>
      <c r="J376" s="363"/>
      <c r="K376" s="364"/>
      <c r="R376" s="150" t="s">
        <v>1191</v>
      </c>
      <c r="S376" s="363"/>
      <c r="T376" s="363"/>
      <c r="U376" s="363"/>
      <c r="V376" s="363"/>
      <c r="W376" s="364"/>
      <c r="AD376" s="150" t="s">
        <v>1191</v>
      </c>
      <c r="AE376" s="363"/>
      <c r="AF376" s="363"/>
      <c r="AG376" s="363"/>
      <c r="AH376" s="363"/>
      <c r="AI376" s="364"/>
    </row>
    <row r="377" spans="6:35" x14ac:dyDescent="0.3">
      <c r="F377" s="150" t="s">
        <v>509</v>
      </c>
      <c r="G377" s="363"/>
      <c r="H377" s="363"/>
      <c r="I377" s="363">
        <v>3</v>
      </c>
      <c r="J377" s="363">
        <v>0</v>
      </c>
      <c r="K377" s="364">
        <f>I377*K371*0.01</f>
        <v>214900.72951828461</v>
      </c>
      <c r="R377" s="150" t="s">
        <v>350</v>
      </c>
      <c r="S377" s="363"/>
      <c r="T377" s="363"/>
      <c r="U377" s="363">
        <v>1.85</v>
      </c>
      <c r="V377" s="363">
        <v>0</v>
      </c>
      <c r="W377" s="364">
        <v>1003.07286760103</v>
      </c>
      <c r="AD377" s="150" t="s">
        <v>350</v>
      </c>
      <c r="AE377" s="363"/>
      <c r="AF377" s="363"/>
      <c r="AG377" s="363">
        <v>1.85</v>
      </c>
      <c r="AH377" s="363">
        <v>0</v>
      </c>
      <c r="AI377" s="364">
        <f>AG377*AI367*0.01</f>
        <v>1003.072867601028</v>
      </c>
    </row>
    <row r="378" spans="6:35" x14ac:dyDescent="0.3">
      <c r="F378" s="150" t="s">
        <v>505</v>
      </c>
      <c r="G378" s="363"/>
      <c r="H378" s="363"/>
      <c r="I378" s="363">
        <v>3.6</v>
      </c>
      <c r="J378" s="363">
        <v>0</v>
      </c>
      <c r="K378" s="364">
        <f>I378*K371*0.01</f>
        <v>257880.87542194154</v>
      </c>
      <c r="R378" s="150" t="s">
        <v>349</v>
      </c>
      <c r="S378" s="363"/>
      <c r="T378" s="363"/>
      <c r="U378" s="363">
        <v>1</v>
      </c>
      <c r="V378" s="363">
        <v>0</v>
      </c>
      <c r="W378" s="364">
        <v>542.20155005461004</v>
      </c>
      <c r="AD378" s="150" t="s">
        <v>349</v>
      </c>
      <c r="AE378" s="363"/>
      <c r="AF378" s="363"/>
      <c r="AG378" s="363">
        <v>1</v>
      </c>
      <c r="AH378" s="363">
        <v>0</v>
      </c>
      <c r="AI378" s="364">
        <f>AG378*AI367*0.01</f>
        <v>542.2015500546097</v>
      </c>
    </row>
    <row r="379" spans="6:35" x14ac:dyDescent="0.3">
      <c r="F379" s="150" t="s">
        <v>1191</v>
      </c>
      <c r="G379" s="363"/>
      <c r="H379" s="363"/>
      <c r="I379" s="363"/>
      <c r="J379" s="363"/>
      <c r="K379" s="364"/>
      <c r="R379" s="150" t="s">
        <v>388</v>
      </c>
      <c r="S379" s="363"/>
      <c r="T379" s="363"/>
      <c r="U379" s="363"/>
      <c r="V379" s="363"/>
      <c r="W379" s="364"/>
      <c r="AD379" s="150" t="s">
        <v>388</v>
      </c>
      <c r="AE379" s="363"/>
      <c r="AF379" s="363"/>
      <c r="AG379" s="363"/>
      <c r="AH379" s="363"/>
      <c r="AI379" s="364"/>
    </row>
    <row r="380" spans="6:35" x14ac:dyDescent="0.3">
      <c r="F380" s="150" t="s">
        <v>866</v>
      </c>
      <c r="G380" s="363"/>
      <c r="H380" s="363"/>
      <c r="I380" s="363">
        <v>0.4</v>
      </c>
      <c r="J380" s="363">
        <v>0</v>
      </c>
      <c r="K380" s="364">
        <f>I380*K371*0.01</f>
        <v>28653.430602437948</v>
      </c>
      <c r="R380" s="151" t="s">
        <v>1409</v>
      </c>
      <c r="S380" s="365"/>
      <c r="T380" s="365"/>
      <c r="U380" s="365">
        <v>0</v>
      </c>
      <c r="V380" s="365">
        <v>150</v>
      </c>
      <c r="W380" s="366">
        <v>150</v>
      </c>
      <c r="AD380" s="151" t="s">
        <v>1409</v>
      </c>
      <c r="AE380" s="365"/>
      <c r="AF380" s="365"/>
      <c r="AG380" s="365">
        <v>0</v>
      </c>
      <c r="AH380" s="365">
        <v>150</v>
      </c>
      <c r="AI380" s="366">
        <v>150</v>
      </c>
    </row>
    <row r="381" spans="6:35" ht="15" thickBot="1" x14ac:dyDescent="0.35">
      <c r="F381" s="150" t="s">
        <v>1194</v>
      </c>
      <c r="G381" s="363"/>
      <c r="H381" s="363"/>
      <c r="I381" s="363">
        <v>0.7</v>
      </c>
      <c r="J381" s="363">
        <v>0</v>
      </c>
      <c r="K381" s="364">
        <f>I381*K371*0.01</f>
        <v>50143.503554266405</v>
      </c>
      <c r="R381" s="154" t="s">
        <v>1361</v>
      </c>
      <c r="S381" s="367"/>
      <c r="T381" s="367"/>
      <c r="U381" s="367"/>
      <c r="V381" s="367"/>
      <c r="W381" s="368">
        <v>6911.6616480160601</v>
      </c>
      <c r="AD381" s="154" t="s">
        <v>1361</v>
      </c>
      <c r="AE381" s="367"/>
      <c r="AF381" s="367"/>
      <c r="AG381" s="367"/>
      <c r="AH381" s="367"/>
      <c r="AI381" s="368">
        <f>SUM(AI371:AI380)</f>
        <v>6911.661648016061</v>
      </c>
    </row>
    <row r="382" spans="6:35" ht="15" thickTop="1" x14ac:dyDescent="0.3">
      <c r="F382" s="150" t="s">
        <v>1192</v>
      </c>
      <c r="G382" s="363"/>
      <c r="H382" s="363"/>
      <c r="I382" s="363"/>
      <c r="J382" s="363"/>
      <c r="K382" s="364"/>
    </row>
    <row r="383" spans="6:35" x14ac:dyDescent="0.3">
      <c r="F383" s="150" t="s">
        <v>352</v>
      </c>
      <c r="G383" s="363"/>
      <c r="H383" s="363"/>
      <c r="I383" s="363">
        <v>0.1</v>
      </c>
      <c r="J383" s="363">
        <v>0</v>
      </c>
      <c r="K383" s="364">
        <f>I383*K371*0.01</f>
        <v>7163.3576506094869</v>
      </c>
      <c r="M383" s="250" t="s">
        <v>566</v>
      </c>
      <c r="N383" s="251"/>
      <c r="O383" s="251"/>
      <c r="P383" s="251"/>
      <c r="Q383" s="251"/>
      <c r="R383" s="251"/>
      <c r="S383" s="251"/>
      <c r="T383" s="251"/>
      <c r="U383" s="251"/>
      <c r="V383" s="251"/>
      <c r="W383" s="252" t="s">
        <v>563</v>
      </c>
      <c r="Y383" s="250" t="s">
        <v>566</v>
      </c>
      <c r="Z383" s="251"/>
      <c r="AA383" s="251"/>
      <c r="AB383" s="251"/>
      <c r="AC383" s="251"/>
      <c r="AD383" s="251"/>
      <c r="AE383" s="251"/>
      <c r="AF383" s="251"/>
      <c r="AG383" s="251"/>
      <c r="AH383" s="251"/>
      <c r="AI383" s="252" t="s">
        <v>563</v>
      </c>
    </row>
    <row r="384" spans="6:35" x14ac:dyDescent="0.3">
      <c r="F384" s="151" t="s">
        <v>354</v>
      </c>
      <c r="G384" s="365"/>
      <c r="H384" s="365"/>
      <c r="I384" s="365">
        <v>1</v>
      </c>
      <c r="J384" s="365">
        <v>0</v>
      </c>
      <c r="K384" s="366">
        <f>I384*K371*0.01</f>
        <v>71633.576506094876</v>
      </c>
      <c r="M384" s="276" t="s">
        <v>565</v>
      </c>
      <c r="N384" s="278"/>
      <c r="O384" s="278"/>
      <c r="P384" s="278"/>
      <c r="Q384" s="278"/>
      <c r="R384" s="278"/>
      <c r="S384" s="278"/>
      <c r="T384" s="278"/>
      <c r="U384" s="278"/>
      <c r="V384" s="278"/>
      <c r="W384" s="277">
        <v>47308.493357444902</v>
      </c>
      <c r="Y384" s="276" t="str">
        <f>"Líquido pagable (" &amp; IF(AI384=0,"Sin saldo",IF(AI384&gt;0,"Saldo a favor","Saldo en contra")) &amp; "):"</f>
        <v>Líquido pagable (Saldo a favor):</v>
      </c>
      <c r="Z384" s="278"/>
      <c r="AA384" s="278"/>
      <c r="AB384" s="278"/>
      <c r="AC384" s="278"/>
      <c r="AD384" s="278"/>
      <c r="AE384" s="278"/>
      <c r="AF384" s="278"/>
      <c r="AG384" s="278"/>
      <c r="AH384" s="278"/>
      <c r="AI384" s="277">
        <f>SUM(AI367,-AI381)</f>
        <v>47308.49335744491</v>
      </c>
    </row>
    <row r="385" spans="1:35" ht="15" thickBot="1" x14ac:dyDescent="0.35">
      <c r="F385" s="141" t="s">
        <v>1361</v>
      </c>
      <c r="G385" s="374"/>
      <c r="H385" s="374"/>
      <c r="I385" s="374"/>
      <c r="J385" s="374"/>
      <c r="K385" s="375">
        <f>SUM(K375:K384)</f>
        <v>634875.47325363487</v>
      </c>
      <c r="M385" s="275" t="s">
        <v>324</v>
      </c>
      <c r="N385" s="513" t="s">
        <v>1412</v>
      </c>
      <c r="O385" s="513"/>
      <c r="P385" s="513"/>
      <c r="Q385" s="513"/>
      <c r="R385" s="513"/>
      <c r="S385" s="513"/>
      <c r="T385" s="513"/>
      <c r="U385" s="513"/>
      <c r="V385" s="513"/>
      <c r="W385" s="514"/>
      <c r="Y385" s="275" t="s">
        <v>324</v>
      </c>
      <c r="Z385" s="513" t="str">
        <f ca="1">EQL_NUMERO_A_TEXTO(AI384,"Dólar Americano","Dólares Americanos",0)</f>
        <v>CUARENTA Y SIETE MIL TRESCIENTOS OCHO 49/100 Dólares Americanos</v>
      </c>
      <c r="AA385" s="513"/>
      <c r="AB385" s="513"/>
      <c r="AC385" s="513"/>
      <c r="AD385" s="513"/>
      <c r="AE385" s="513"/>
      <c r="AF385" s="513"/>
      <c r="AG385" s="513"/>
      <c r="AH385" s="513"/>
      <c r="AI385" s="514"/>
    </row>
    <row r="386" spans="1:35" ht="15" thickTop="1" x14ac:dyDescent="0.3">
      <c r="F386" s="270" t="s">
        <v>655</v>
      </c>
      <c r="G386" s="271"/>
      <c r="H386" s="271"/>
      <c r="I386" s="271"/>
      <c r="J386" s="271"/>
      <c r="K386" s="272"/>
      <c r="M386" s="275"/>
      <c r="N386" s="513"/>
      <c r="O386" s="513"/>
      <c r="P386" s="513"/>
      <c r="Q386" s="513"/>
      <c r="R386" s="513"/>
      <c r="S386" s="513"/>
      <c r="T386" s="513"/>
      <c r="U386" s="513"/>
      <c r="V386" s="513"/>
      <c r="W386" s="514"/>
      <c r="Y386" s="275"/>
      <c r="Z386" s="513"/>
      <c r="AA386" s="513"/>
      <c r="AB386" s="513"/>
      <c r="AC386" s="513"/>
      <c r="AD386" s="513"/>
      <c r="AE386" s="513"/>
      <c r="AF386" s="513"/>
      <c r="AG386" s="513"/>
      <c r="AH386" s="513"/>
      <c r="AI386" s="514"/>
    </row>
    <row r="387" spans="1:35" x14ac:dyDescent="0.3">
      <c r="F387" s="151" t="s">
        <v>1362</v>
      </c>
      <c r="G387" s="273"/>
      <c r="H387" s="273"/>
      <c r="I387" s="273"/>
      <c r="J387" s="273"/>
      <c r="K387" s="274">
        <v>100</v>
      </c>
      <c r="M387" s="255"/>
      <c r="N387" s="502"/>
      <c r="O387" s="502"/>
      <c r="P387" s="502"/>
      <c r="Q387" s="502"/>
      <c r="R387" s="502"/>
      <c r="S387" s="502"/>
      <c r="T387" s="502"/>
      <c r="U387" s="502"/>
      <c r="V387" s="502"/>
      <c r="W387" s="503"/>
      <c r="Y387" s="255"/>
      <c r="Z387" s="502"/>
      <c r="AA387" s="502"/>
      <c r="AB387" s="502"/>
      <c r="AC387" s="502"/>
      <c r="AD387" s="502"/>
      <c r="AE387" s="502"/>
      <c r="AF387" s="502"/>
      <c r="AG387" s="502"/>
      <c r="AH387" s="502"/>
      <c r="AI387" s="503"/>
    </row>
    <row r="388" spans="1:35" ht="15" thickBot="1" x14ac:dyDescent="0.35">
      <c r="F388" s="154" t="s">
        <v>1363</v>
      </c>
      <c r="G388" s="261"/>
      <c r="H388" s="261"/>
      <c r="I388" s="261"/>
      <c r="J388" s="261"/>
      <c r="K388" s="262">
        <f>SUM(K387)</f>
        <v>100</v>
      </c>
    </row>
    <row r="389" spans="1:35" ht="15" thickTop="1" x14ac:dyDescent="0.3">
      <c r="M389" s="279" t="s">
        <v>325</v>
      </c>
      <c r="N389" s="279"/>
      <c r="Q389" s="281"/>
      <c r="R389" s="281" t="s">
        <v>326</v>
      </c>
      <c r="S389" s="281"/>
      <c r="V389" s="279" t="s">
        <v>306</v>
      </c>
      <c r="W389" s="279"/>
      <c r="Y389" s="279" t="s">
        <v>325</v>
      </c>
      <c r="Z389" s="279"/>
      <c r="AC389" s="281"/>
      <c r="AD389" s="281" t="s">
        <v>326</v>
      </c>
      <c r="AE389" s="281"/>
      <c r="AH389" s="279" t="s">
        <v>306</v>
      </c>
      <c r="AI389" s="279"/>
    </row>
    <row r="390" spans="1:35" x14ac:dyDescent="0.3">
      <c r="A390" s="250" t="s">
        <v>518</v>
      </c>
      <c r="B390" s="251"/>
      <c r="C390" s="251"/>
      <c r="D390" s="251"/>
      <c r="E390" s="251"/>
      <c r="F390" s="251"/>
      <c r="G390" s="251"/>
      <c r="H390" s="251"/>
      <c r="I390" s="251"/>
      <c r="J390" s="251"/>
      <c r="K390" s="252" t="s">
        <v>563</v>
      </c>
      <c r="M390" s="280"/>
      <c r="N390" s="280"/>
      <c r="Q390" s="280"/>
      <c r="R390" s="280"/>
      <c r="S390" s="280"/>
      <c r="V390" s="280"/>
      <c r="W390" s="280"/>
      <c r="Y390" s="280"/>
      <c r="Z390" s="280"/>
      <c r="AC390" s="280"/>
      <c r="AD390" s="280"/>
      <c r="AE390" s="280"/>
      <c r="AH390" s="280"/>
      <c r="AI390" s="280"/>
    </row>
    <row r="391" spans="1:35" x14ac:dyDescent="0.3">
      <c r="A391" s="276" t="str">
        <f>"Líquido pagable (" &amp; IF(K391=0,"Sin saldo",IF(K391&gt;0,"Saldo a favor","Saldo en contra")) &amp; "):"</f>
        <v>Líquido pagable (Saldo a favor):</v>
      </c>
      <c r="B391" s="278"/>
      <c r="C391" s="278"/>
      <c r="D391" s="278"/>
      <c r="E391" s="278"/>
      <c r="F391" s="278"/>
      <c r="G391" s="278"/>
      <c r="H391" s="278"/>
      <c r="I391" s="278"/>
      <c r="J391" s="278"/>
      <c r="K391" s="277">
        <f>SUM(K371,-K385,K388)</f>
        <v>6528582.177355852</v>
      </c>
    </row>
    <row r="392" spans="1:35" x14ac:dyDescent="0.3">
      <c r="A392" s="275" t="s">
        <v>324</v>
      </c>
      <c r="B392" s="513" t="s">
        <v>1365</v>
      </c>
      <c r="C392" s="513"/>
      <c r="D392" s="513"/>
      <c r="E392" s="513"/>
      <c r="F392" s="513"/>
      <c r="G392" s="513"/>
      <c r="H392" s="513"/>
      <c r="I392" s="513"/>
      <c r="J392" s="513"/>
      <c r="K392" s="514"/>
    </row>
    <row r="393" spans="1:35" x14ac:dyDescent="0.3">
      <c r="A393" s="275"/>
      <c r="B393" s="513"/>
      <c r="C393" s="513"/>
      <c r="D393" s="513"/>
      <c r="E393" s="513"/>
      <c r="F393" s="513"/>
      <c r="G393" s="513"/>
      <c r="H393" s="513"/>
      <c r="I393" s="513"/>
      <c r="J393" s="513"/>
      <c r="K393" s="514"/>
    </row>
    <row r="394" spans="1:35" x14ac:dyDescent="0.3">
      <c r="A394" s="255"/>
      <c r="B394" s="502"/>
      <c r="C394" s="502"/>
      <c r="D394" s="502"/>
      <c r="E394" s="502"/>
      <c r="F394" s="502"/>
      <c r="G394" s="502"/>
      <c r="H394" s="502"/>
      <c r="I394" s="502"/>
      <c r="J394" s="502"/>
      <c r="K394" s="503"/>
    </row>
    <row r="396" spans="1:35" x14ac:dyDescent="0.3">
      <c r="A396" s="279" t="s">
        <v>325</v>
      </c>
      <c r="B396" s="279"/>
      <c r="E396" s="281"/>
      <c r="F396" s="281" t="s">
        <v>326</v>
      </c>
      <c r="G396" s="281"/>
      <c r="J396" s="279" t="s">
        <v>306</v>
      </c>
      <c r="K396" s="279"/>
    </row>
    <row r="397" spans="1:35" x14ac:dyDescent="0.3">
      <c r="A397" s="280"/>
      <c r="B397" s="280"/>
      <c r="E397" s="280"/>
      <c r="F397" s="280"/>
      <c r="G397" s="280"/>
      <c r="J397" s="280"/>
      <c r="K397" s="280"/>
    </row>
    <row r="400" spans="1:35" x14ac:dyDescent="0.3">
      <c r="A400" t="s">
        <v>1307</v>
      </c>
      <c r="B400" t="s">
        <v>477</v>
      </c>
      <c r="C400" t="s">
        <v>481</v>
      </c>
      <c r="D400" t="s">
        <v>478</v>
      </c>
      <c r="E400" t="s">
        <v>479</v>
      </c>
      <c r="F400" t="s">
        <v>480</v>
      </c>
      <c r="G400" t="s">
        <v>482</v>
      </c>
      <c r="H400" t="s">
        <v>1119</v>
      </c>
      <c r="I400" t="s">
        <v>1117</v>
      </c>
      <c r="J400" t="s">
        <v>1116</v>
      </c>
      <c r="K400" t="s">
        <v>1118</v>
      </c>
      <c r="L400" t="s">
        <v>1120</v>
      </c>
      <c r="M400" t="s">
        <v>1121</v>
      </c>
      <c r="N400" t="s">
        <v>1122</v>
      </c>
      <c r="O400" t="s">
        <v>1123</v>
      </c>
      <c r="P400" t="s">
        <v>1124</v>
      </c>
      <c r="Q400" t="s">
        <v>1125</v>
      </c>
      <c r="R400" t="s">
        <v>1126</v>
      </c>
    </row>
    <row r="401" spans="1:18" x14ac:dyDescent="0.3">
      <c r="A401" t="s">
        <v>1308</v>
      </c>
      <c r="C401" t="s">
        <v>861</v>
      </c>
      <c r="D401" t="s">
        <v>862</v>
      </c>
      <c r="E401">
        <v>63939693</v>
      </c>
      <c r="F401" t="s">
        <v>863</v>
      </c>
      <c r="G401">
        <v>0</v>
      </c>
      <c r="H401" t="s">
        <v>1127</v>
      </c>
      <c r="I401">
        <v>1</v>
      </c>
      <c r="J401">
        <v>0</v>
      </c>
      <c r="K401">
        <v>0</v>
      </c>
      <c r="L401" t="s">
        <v>1128</v>
      </c>
      <c r="M401" t="s">
        <v>1200</v>
      </c>
      <c r="N401" t="s">
        <v>1129</v>
      </c>
      <c r="O401">
        <v>2019</v>
      </c>
      <c r="P401" t="s">
        <v>1130</v>
      </c>
      <c r="Q401" t="s">
        <v>1131</v>
      </c>
      <c r="R401" t="s">
        <v>1132</v>
      </c>
    </row>
  </sheetData>
  <mergeCells count="61">
    <mergeCell ref="A19:B19"/>
    <mergeCell ref="C19:D19"/>
    <mergeCell ref="E19:F19"/>
    <mergeCell ref="G19:H19"/>
    <mergeCell ref="A20:B20"/>
    <mergeCell ref="C13:D13"/>
    <mergeCell ref="I24:J24"/>
    <mergeCell ref="I18:J18"/>
    <mergeCell ref="I21:J21"/>
    <mergeCell ref="C25:D25"/>
    <mergeCell ref="E25:F25"/>
    <mergeCell ref="E20:F20"/>
    <mergeCell ref="G20:H20"/>
    <mergeCell ref="A1:J1"/>
    <mergeCell ref="A2:J2"/>
    <mergeCell ref="D4:E4"/>
    <mergeCell ref="I4:J4"/>
    <mergeCell ref="B5:J5"/>
    <mergeCell ref="E12:F12"/>
    <mergeCell ref="G12:H12"/>
    <mergeCell ref="I12:J12"/>
    <mergeCell ref="A16:B16"/>
    <mergeCell ref="C16:D16"/>
    <mergeCell ref="I13:J13"/>
    <mergeCell ref="A14:B14"/>
    <mergeCell ref="C14:D14"/>
    <mergeCell ref="E13:F13"/>
    <mergeCell ref="G13:H13"/>
    <mergeCell ref="A15:B15"/>
    <mergeCell ref="C15:D15"/>
    <mergeCell ref="E14:F14"/>
    <mergeCell ref="G14:H14"/>
    <mergeCell ref="I14:J14"/>
    <mergeCell ref="A13:B13"/>
    <mergeCell ref="A21:B21"/>
    <mergeCell ref="E21:F21"/>
    <mergeCell ref="G21:H21"/>
    <mergeCell ref="C26:D26"/>
    <mergeCell ref="E26:F26"/>
    <mergeCell ref="I26:J26"/>
    <mergeCell ref="I35:J35"/>
    <mergeCell ref="I31:J31"/>
    <mergeCell ref="I32:J32"/>
    <mergeCell ref="I33:J33"/>
    <mergeCell ref="B245:K246"/>
    <mergeCell ref="B175:K176"/>
    <mergeCell ref="I36:J36"/>
    <mergeCell ref="A51:D51"/>
    <mergeCell ref="G51:J51"/>
    <mergeCell ref="I44:J44"/>
    <mergeCell ref="B45:J47"/>
    <mergeCell ref="A39:H39"/>
    <mergeCell ref="I39:J39"/>
    <mergeCell ref="I40:J40"/>
    <mergeCell ref="I41:J41"/>
    <mergeCell ref="I42:J42"/>
    <mergeCell ref="N328:W329"/>
    <mergeCell ref="N385:W386"/>
    <mergeCell ref="Z385:AI386"/>
    <mergeCell ref="B392:K393"/>
    <mergeCell ref="B331:K332"/>
  </mergeCells>
  <dataValidations count="6">
    <dataValidation type="list" allowBlank="1" showInputMessage="1" sqref="G51" xr:uid="{DB5B31CF-A95E-4180-9049-3A02E40597DE}">
      <formula1>"PROVEDOR, VENDEDOR, INTERESADO"</formula1>
    </dataValidation>
    <dataValidation type="list" allowBlank="1" showInputMessage="1" sqref="A51" xr:uid="{CB8A50B6-F453-4540-BC74-3037C0C59CDB}">
      <formula1>"DPTO. COMPRAS, GERENCIA, COMPRADOR, CAJERO"</formula1>
    </dataValidation>
    <dataValidation type="list" allowBlank="1" showInputMessage="1" sqref="B124 B194" xr:uid="{F8941D8E-49D4-43DC-8017-6E24AE30AA53}">
      <formula1>"SIMULACIÓN,CLIENTE,PROVEDOR,EMPRESA"</formula1>
    </dataValidation>
    <dataValidation type="list" allowBlank="1" showInputMessage="1" sqref="A179 A249 A335 A396 Y389 M389 M332" xr:uid="{D1B0335A-FA65-4EB7-8F25-FE9304D49CC8}">
      <formula1>"DPTO. COMPRAS, REVISADO POR"</formula1>
    </dataValidation>
    <dataValidation type="list" allowBlank="1" showInputMessage="1" sqref="F179 F249 F335 F396 AD389 R389 R332" xr:uid="{55427046-6D7F-4998-920C-181FE6F45A14}">
      <formula1>"CAJERO, PAGADO POR"</formula1>
    </dataValidation>
    <dataValidation type="list" allowBlank="1" showInputMessage="1" sqref="B282 B343 Z339 N339 N282" xr:uid="{1AD87E17-6E68-4F1C-90A2-EAF2A00059DC}">
      <formula1>"SIMULACIÓN,PROVEDOR,EMPRESA,CLIENTE"</formula1>
    </dataValidation>
  </dataValidations>
  <pageMargins left="0.39370078740157483" right="0.39370078740157483" top="0.78740157480314965" bottom="0.78740157480314965" header="0.39370078740157483" footer="0.39370078740157483"/>
  <pageSetup scale="62" orientation="landscape" horizontalDpi="0" verticalDpi="0" r:id="rId1"/>
  <headerFooter>
    <oddHeader>&amp;LLOGO
Datos Empresa&amp;RLOGO
Datos Empresa</oddHeader>
    <oddFooter>&amp;LDatos&amp;RDatos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" id="{31654071-3E73-46C0-8DF5-CD092D6A049B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</x14:iconSet>
          </x14:cfRule>
          <xm:sqref>L66:L67</xm:sqref>
        </x14:conditionalFormatting>
        <x14:conditionalFormatting xmlns:xm="http://schemas.microsoft.com/office/excel/2006/main">
          <x14:cfRule type="iconSet" priority="4" id="{D315B2C9-83C2-4C49-AAF7-FD8F556B9610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</x14:iconSet>
          </x14:cfRule>
          <xm:sqref>L74:L75</xm:sqref>
        </x14:conditionalFormatting>
        <x14:conditionalFormatting xmlns:xm="http://schemas.microsoft.com/office/excel/2006/main">
          <x14:cfRule type="iconSet" priority="3" id="{63365282-588F-4E5A-B0B3-C3FE3FA46C00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</x14:iconSet>
          </x14:cfRule>
          <xm:sqref>L78:L79</xm:sqref>
        </x14:conditionalFormatting>
        <x14:conditionalFormatting xmlns:xm="http://schemas.microsoft.com/office/excel/2006/main">
          <x14:cfRule type="iconSet" priority="2" id="{B0D3578F-5616-48ED-87DA-320FAC32BF31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</x14:iconSet>
          </x14:cfRule>
          <xm:sqref>L90:L91</xm:sqref>
        </x14:conditionalFormatting>
        <x14:conditionalFormatting xmlns:xm="http://schemas.microsoft.com/office/excel/2006/main">
          <x14:cfRule type="iconSet" priority="1" id="{B9BAEA47-979F-49FF-B87B-EF6698561237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</x14:iconSet>
          </x14:cfRule>
          <xm:sqref>L93:L94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8207C-4939-4184-8E12-EB5404681B6D}">
  <sheetPr codeName="Hoja5"/>
  <dimension ref="A1:R29"/>
  <sheetViews>
    <sheetView workbookViewId="0">
      <selection activeCell="A400" sqref="A400:R401"/>
    </sheetView>
  </sheetViews>
  <sheetFormatPr baseColWidth="10" defaultRowHeight="14.4" x14ac:dyDescent="0.3"/>
  <sheetData>
    <row r="1" spans="1:16" ht="15" thickBot="1" x14ac:dyDescent="0.35">
      <c r="A1" s="430" t="s">
        <v>833</v>
      </c>
      <c r="F1" s="431" t="s">
        <v>834</v>
      </c>
      <c r="K1" s="400" t="s">
        <v>812</v>
      </c>
      <c r="L1" s="400"/>
      <c r="M1" s="400"/>
      <c r="N1" s="400"/>
      <c r="O1" s="400"/>
    </row>
    <row r="2" spans="1:16" x14ac:dyDescent="0.3">
      <c r="A2" s="417"/>
      <c r="B2" s="418"/>
      <c r="C2" s="418"/>
      <c r="D2" s="419"/>
      <c r="F2" s="417"/>
      <c r="G2" s="418"/>
      <c r="H2" s="418"/>
      <c r="I2" s="419"/>
      <c r="K2">
        <v>1</v>
      </c>
      <c r="L2" t="s">
        <v>813</v>
      </c>
      <c r="O2" t="s">
        <v>816</v>
      </c>
      <c r="P2" t="s">
        <v>822</v>
      </c>
    </row>
    <row r="3" spans="1:16" x14ac:dyDescent="0.3">
      <c r="A3" s="420" t="s">
        <v>826</v>
      </c>
      <c r="B3" s="138" t="s">
        <v>827</v>
      </c>
      <c r="C3" s="138" t="s">
        <v>828</v>
      </c>
      <c r="D3" s="421"/>
      <c r="F3" s="411"/>
      <c r="G3" s="186"/>
      <c r="H3" s="186"/>
      <c r="I3" s="413"/>
      <c r="K3">
        <v>1</v>
      </c>
      <c r="L3" t="s">
        <v>174</v>
      </c>
      <c r="O3" t="s">
        <v>814</v>
      </c>
      <c r="P3" t="s">
        <v>823</v>
      </c>
    </row>
    <row r="4" spans="1:16" x14ac:dyDescent="0.3">
      <c r="A4" s="422"/>
      <c r="B4" s="401"/>
      <c r="C4" s="401"/>
      <c r="D4" s="423" t="s">
        <v>852</v>
      </c>
      <c r="F4" s="411" t="s">
        <v>835</v>
      </c>
      <c r="G4" s="186"/>
      <c r="H4" s="186"/>
      <c r="I4" s="412"/>
      <c r="K4">
        <v>1</v>
      </c>
      <c r="L4" t="s">
        <v>176</v>
      </c>
      <c r="O4" t="s">
        <v>814</v>
      </c>
      <c r="P4" t="s">
        <v>823</v>
      </c>
    </row>
    <row r="5" spans="1:16" x14ac:dyDescent="0.3">
      <c r="A5" s="420"/>
      <c r="B5" s="138"/>
      <c r="C5" s="138"/>
      <c r="D5" s="421"/>
      <c r="F5" s="411"/>
      <c r="G5" s="186"/>
      <c r="H5" s="186"/>
      <c r="I5" s="413"/>
      <c r="K5">
        <v>1</v>
      </c>
      <c r="L5" t="s">
        <v>477</v>
      </c>
      <c r="O5" t="s">
        <v>815</v>
      </c>
      <c r="P5" t="s">
        <v>824</v>
      </c>
    </row>
    <row r="6" spans="1:16" x14ac:dyDescent="0.3">
      <c r="A6" s="424"/>
      <c r="B6" s="402"/>
      <c r="C6" s="403"/>
      <c r="D6" s="421"/>
      <c r="F6" s="411" t="s">
        <v>836</v>
      </c>
      <c r="G6" s="186"/>
      <c r="H6" s="186"/>
      <c r="I6" s="413"/>
      <c r="K6">
        <v>1</v>
      </c>
      <c r="L6" t="s">
        <v>481</v>
      </c>
      <c r="O6" t="s">
        <v>815</v>
      </c>
      <c r="P6" t="s">
        <v>824</v>
      </c>
    </row>
    <row r="7" spans="1:16" x14ac:dyDescent="0.3">
      <c r="A7" s="425"/>
      <c r="B7" s="404"/>
      <c r="C7" s="405"/>
      <c r="D7" s="421"/>
      <c r="F7" s="411"/>
      <c r="G7" s="186"/>
      <c r="H7" s="186"/>
      <c r="I7" s="413"/>
      <c r="K7">
        <v>1</v>
      </c>
      <c r="L7" t="s">
        <v>478</v>
      </c>
      <c r="O7" t="s">
        <v>815</v>
      </c>
      <c r="P7" t="s">
        <v>824</v>
      </c>
    </row>
    <row r="8" spans="1:16" x14ac:dyDescent="0.3">
      <c r="A8" s="426"/>
      <c r="B8" s="406"/>
      <c r="C8" s="407"/>
      <c r="D8" s="421"/>
      <c r="F8" s="411"/>
      <c r="G8" s="186"/>
      <c r="H8" s="186"/>
      <c r="I8" s="413"/>
      <c r="K8">
        <v>1</v>
      </c>
      <c r="L8" t="s">
        <v>479</v>
      </c>
      <c r="O8" t="s">
        <v>815</v>
      </c>
      <c r="P8" t="s">
        <v>824</v>
      </c>
    </row>
    <row r="9" spans="1:16" x14ac:dyDescent="0.3">
      <c r="A9" s="420"/>
      <c r="B9" s="138"/>
      <c r="C9" s="138"/>
      <c r="D9" s="421"/>
      <c r="F9" s="411"/>
      <c r="G9" s="186"/>
      <c r="H9" s="409" t="s">
        <v>851</v>
      </c>
      <c r="I9" s="413"/>
      <c r="K9">
        <v>1</v>
      </c>
      <c r="L9" t="s">
        <v>480</v>
      </c>
      <c r="O9" t="s">
        <v>815</v>
      </c>
      <c r="P9" t="s">
        <v>824</v>
      </c>
    </row>
    <row r="10" spans="1:16" x14ac:dyDescent="0.3">
      <c r="A10" s="420" t="s">
        <v>830</v>
      </c>
      <c r="B10" s="138" t="s">
        <v>829</v>
      </c>
      <c r="C10" s="408" t="s">
        <v>831</v>
      </c>
      <c r="D10" s="421"/>
      <c r="F10" s="411"/>
      <c r="G10" s="186"/>
      <c r="H10" s="47"/>
      <c r="I10" s="413"/>
      <c r="K10">
        <v>1</v>
      </c>
      <c r="L10" t="s">
        <v>482</v>
      </c>
      <c r="N10" t="s">
        <v>844</v>
      </c>
      <c r="O10" t="s">
        <v>815</v>
      </c>
      <c r="P10" t="s">
        <v>824</v>
      </c>
    </row>
    <row r="11" spans="1:16" x14ac:dyDescent="0.3">
      <c r="A11" s="420"/>
      <c r="B11" s="138"/>
      <c r="C11" s="138"/>
      <c r="D11" s="421"/>
      <c r="F11" s="411"/>
      <c r="G11" s="186"/>
      <c r="H11" s="186"/>
      <c r="I11" s="413"/>
      <c r="K11">
        <v>1</v>
      </c>
      <c r="L11" t="s">
        <v>522</v>
      </c>
      <c r="O11" t="s">
        <v>814</v>
      </c>
      <c r="P11" t="s">
        <v>825</v>
      </c>
    </row>
    <row r="12" spans="1:16" x14ac:dyDescent="0.3">
      <c r="A12" s="420" t="s">
        <v>832</v>
      </c>
      <c r="B12" s="138" t="s">
        <v>829</v>
      </c>
      <c r="C12" s="408" t="s">
        <v>831</v>
      </c>
      <c r="D12" s="421"/>
      <c r="F12" s="411"/>
      <c r="G12" s="186"/>
      <c r="H12" s="47"/>
      <c r="I12" s="413"/>
      <c r="K12">
        <v>1</v>
      </c>
      <c r="L12" t="s">
        <v>410</v>
      </c>
      <c r="O12" t="s">
        <v>816</v>
      </c>
      <c r="P12" t="s">
        <v>824</v>
      </c>
    </row>
    <row r="13" spans="1:16" ht="15" thickBot="1" x14ac:dyDescent="0.35">
      <c r="A13" s="427"/>
      <c r="B13" s="428"/>
      <c r="C13" s="428"/>
      <c r="D13" s="429"/>
      <c r="F13" s="414"/>
      <c r="G13" s="415"/>
      <c r="H13" s="415"/>
      <c r="I13" s="416"/>
      <c r="K13">
        <v>1</v>
      </c>
      <c r="L13" t="s">
        <v>817</v>
      </c>
      <c r="O13" t="s">
        <v>816</v>
      </c>
      <c r="P13" t="s">
        <v>825</v>
      </c>
    </row>
    <row r="14" spans="1:16" ht="15" thickBot="1" x14ac:dyDescent="0.35">
      <c r="K14">
        <v>1</v>
      </c>
      <c r="L14" t="s">
        <v>818</v>
      </c>
      <c r="O14" t="s">
        <v>816</v>
      </c>
      <c r="P14" t="s">
        <v>825</v>
      </c>
    </row>
    <row r="15" spans="1:16" ht="15" thickBot="1" x14ac:dyDescent="0.35">
      <c r="A15" s="431" t="s">
        <v>837</v>
      </c>
      <c r="F15" s="431" t="s">
        <v>848</v>
      </c>
      <c r="K15">
        <v>1</v>
      </c>
      <c r="L15" t="s">
        <v>819</v>
      </c>
      <c r="O15" t="s">
        <v>816</v>
      </c>
      <c r="P15" t="s">
        <v>825</v>
      </c>
    </row>
    <row r="16" spans="1:16" x14ac:dyDescent="0.3">
      <c r="A16" s="417"/>
      <c r="B16" s="418"/>
      <c r="C16" s="418"/>
      <c r="D16" s="419"/>
      <c r="F16" s="417"/>
      <c r="G16" s="418"/>
      <c r="H16" s="418"/>
      <c r="I16" s="419"/>
      <c r="K16">
        <v>1</v>
      </c>
      <c r="L16" t="s">
        <v>820</v>
      </c>
      <c r="O16" t="s">
        <v>816</v>
      </c>
      <c r="P16" t="s">
        <v>825</v>
      </c>
    </row>
    <row r="17" spans="1:18" x14ac:dyDescent="0.3">
      <c r="A17" s="411" t="s">
        <v>838</v>
      </c>
      <c r="B17" s="186"/>
      <c r="C17" s="409" t="s">
        <v>839</v>
      </c>
      <c r="D17" s="413" t="s">
        <v>845</v>
      </c>
      <c r="F17" s="411"/>
      <c r="G17" s="579" t="s">
        <v>849</v>
      </c>
      <c r="H17" s="579"/>
      <c r="I17" s="413"/>
      <c r="K17">
        <v>1</v>
      </c>
      <c r="L17" s="32" t="s">
        <v>821</v>
      </c>
      <c r="O17" t="s">
        <v>816</v>
      </c>
      <c r="P17" t="s">
        <v>825</v>
      </c>
    </row>
    <row r="18" spans="1:18" x14ac:dyDescent="0.3">
      <c r="A18" s="411" t="s">
        <v>840</v>
      </c>
      <c r="B18" s="186"/>
      <c r="C18" s="186"/>
      <c r="D18" s="413" t="s">
        <v>845</v>
      </c>
      <c r="F18" s="432"/>
      <c r="G18" s="410"/>
      <c r="H18" s="410"/>
      <c r="I18" s="433"/>
    </row>
    <row r="19" spans="1:18" x14ac:dyDescent="0.3">
      <c r="A19" s="411" t="s">
        <v>841</v>
      </c>
      <c r="B19" s="186"/>
      <c r="C19" s="186"/>
      <c r="D19" s="413" t="s">
        <v>845</v>
      </c>
      <c r="F19" s="411"/>
      <c r="G19" s="186"/>
      <c r="H19" s="186"/>
      <c r="I19" s="413"/>
      <c r="K19" s="400" t="s">
        <v>1</v>
      </c>
      <c r="L19" s="400" t="s">
        <v>2</v>
      </c>
      <c r="M19" s="400" t="s">
        <v>3</v>
      </c>
      <c r="N19" s="400" t="s">
        <v>408</v>
      </c>
      <c r="O19" s="400" t="s">
        <v>409</v>
      </c>
    </row>
    <row r="20" spans="1:18" x14ac:dyDescent="0.3">
      <c r="A20" s="411" t="s">
        <v>842</v>
      </c>
      <c r="B20" s="186"/>
      <c r="C20" s="186"/>
      <c r="D20" s="413" t="s">
        <v>845</v>
      </c>
      <c r="F20" s="424"/>
      <c r="G20" s="402"/>
      <c r="H20" s="403"/>
      <c r="I20" s="423" t="s">
        <v>852</v>
      </c>
      <c r="K20" t="s">
        <v>5</v>
      </c>
      <c r="L20" t="s">
        <v>6</v>
      </c>
      <c r="M20" t="s">
        <v>7</v>
      </c>
      <c r="N20" s="1">
        <v>1</v>
      </c>
      <c r="O20">
        <v>0</v>
      </c>
    </row>
    <row r="21" spans="1:18" x14ac:dyDescent="0.3">
      <c r="A21" s="411" t="s">
        <v>843</v>
      </c>
      <c r="B21" s="186"/>
      <c r="C21" s="186"/>
      <c r="D21" s="413" t="s">
        <v>845</v>
      </c>
      <c r="F21" s="425"/>
      <c r="G21" s="404"/>
      <c r="H21" s="405"/>
      <c r="I21" s="413"/>
      <c r="K21" t="s">
        <v>542</v>
      </c>
      <c r="L21" t="s">
        <v>543</v>
      </c>
      <c r="M21" t="s">
        <v>246</v>
      </c>
      <c r="N21">
        <v>0</v>
      </c>
      <c r="O21">
        <v>1</v>
      </c>
    </row>
    <row r="22" spans="1:18" x14ac:dyDescent="0.3">
      <c r="A22" s="411"/>
      <c r="B22" s="186"/>
      <c r="C22" s="186"/>
      <c r="D22" s="413"/>
      <c r="F22" s="426"/>
      <c r="G22" s="406"/>
      <c r="H22" s="407"/>
      <c r="I22" s="413"/>
    </row>
    <row r="23" spans="1:18" x14ac:dyDescent="0.3">
      <c r="A23" s="411"/>
      <c r="B23" s="186"/>
      <c r="C23" s="434" t="s">
        <v>847</v>
      </c>
      <c r="D23" s="435"/>
      <c r="F23" s="411"/>
      <c r="G23" s="186"/>
      <c r="H23" s="186"/>
      <c r="I23" s="413"/>
    </row>
    <row r="24" spans="1:18" x14ac:dyDescent="0.3">
      <c r="A24" s="411"/>
      <c r="B24" s="186"/>
      <c r="C24" s="47"/>
      <c r="D24" s="413"/>
      <c r="F24" s="411" t="s">
        <v>850</v>
      </c>
      <c r="G24" s="186"/>
      <c r="H24" s="47"/>
      <c r="I24" s="413"/>
      <c r="K24" s="436" t="s">
        <v>495</v>
      </c>
      <c r="L24" s="436" t="s">
        <v>494</v>
      </c>
      <c r="M24" s="436" t="s">
        <v>490</v>
      </c>
      <c r="N24" s="436" t="s">
        <v>491</v>
      </c>
      <c r="O24" s="436" t="s">
        <v>492</v>
      </c>
      <c r="P24" s="436" t="s">
        <v>493</v>
      </c>
      <c r="Q24" s="436" t="s">
        <v>753</v>
      </c>
      <c r="R24" s="436" t="s">
        <v>752</v>
      </c>
    </row>
    <row r="25" spans="1:18" x14ac:dyDescent="0.3">
      <c r="A25" s="411" t="s">
        <v>846</v>
      </c>
      <c r="B25" s="186"/>
      <c r="C25" s="186" t="s">
        <v>411</v>
      </c>
      <c r="D25" s="423" t="s">
        <v>853</v>
      </c>
      <c r="F25" s="411"/>
      <c r="G25" s="186"/>
      <c r="H25" s="186"/>
      <c r="I25" s="413"/>
      <c r="K25" t="s">
        <v>496</v>
      </c>
      <c r="L25" t="s">
        <v>159</v>
      </c>
      <c r="M25" t="s">
        <v>497</v>
      </c>
      <c r="N25">
        <v>1</v>
      </c>
      <c r="O25">
        <v>5</v>
      </c>
      <c r="P25">
        <v>3</v>
      </c>
      <c r="Q25" t="s">
        <v>166</v>
      </c>
      <c r="R25" t="s">
        <v>755</v>
      </c>
    </row>
    <row r="26" spans="1:18" x14ac:dyDescent="0.3">
      <c r="A26" s="411"/>
      <c r="B26" s="186"/>
      <c r="C26" s="47"/>
      <c r="D26" s="413"/>
      <c r="F26" s="411"/>
      <c r="G26" s="186"/>
      <c r="H26" s="47"/>
      <c r="I26" s="413"/>
      <c r="K26" t="s">
        <v>815</v>
      </c>
      <c r="L26" t="s">
        <v>815</v>
      </c>
      <c r="M26" t="s">
        <v>854</v>
      </c>
      <c r="N26" t="s">
        <v>815</v>
      </c>
      <c r="O26" t="s">
        <v>815</v>
      </c>
      <c r="P26" t="s">
        <v>815</v>
      </c>
      <c r="Q26" t="s">
        <v>854</v>
      </c>
    </row>
    <row r="27" spans="1:18" ht="15" thickBot="1" x14ac:dyDescent="0.35">
      <c r="A27" s="414"/>
      <c r="B27" s="415"/>
      <c r="C27" s="415"/>
      <c r="D27" s="416"/>
      <c r="F27" s="414"/>
      <c r="G27" s="415"/>
      <c r="H27" s="415"/>
      <c r="I27" s="416"/>
    </row>
    <row r="28" spans="1:18" x14ac:dyDescent="0.3">
      <c r="K28" s="436" t="s">
        <v>494</v>
      </c>
      <c r="L28" s="436" t="s">
        <v>723</v>
      </c>
      <c r="M28" s="436" t="s">
        <v>718</v>
      </c>
      <c r="N28" s="436" t="s">
        <v>720</v>
      </c>
      <c r="O28" s="436" t="s">
        <v>721</v>
      </c>
      <c r="P28" s="436" t="s">
        <v>425</v>
      </c>
    </row>
    <row r="29" spans="1:18" x14ac:dyDescent="0.3">
      <c r="K29" t="s">
        <v>597</v>
      </c>
      <c r="L29">
        <v>0.57999999999999996</v>
      </c>
      <c r="M29">
        <v>0.5</v>
      </c>
      <c r="N29">
        <v>2.5</v>
      </c>
      <c r="O29">
        <v>0.1</v>
      </c>
      <c r="P29">
        <v>1</v>
      </c>
    </row>
  </sheetData>
  <mergeCells count="1">
    <mergeCell ref="G17:H17"/>
  </mergeCells>
  <conditionalFormatting sqref="K2:K17">
    <cfRule type="iconSet" priority="1">
      <iconSet iconSet="3Symbols" showValue="0">
        <cfvo type="percent" val="0"/>
        <cfvo type="num" val="0"/>
        <cfvo type="num" val="1"/>
      </iconSet>
    </cfRule>
  </conditionalFormatting>
  <dataValidations count="4">
    <dataValidation type="list" allowBlank="1" showInputMessage="1" showErrorMessage="1" sqref="B10 B12 G26 G12 B24 B26 G24" xr:uid="{8F894027-0EA6-4B08-88EE-CDC6BC12584D}">
      <mc:AlternateContent xmlns:x12ac="http://schemas.microsoft.com/office/spreadsheetml/2011/1/ac" xmlns:mc="http://schemas.openxmlformats.org/markup-compatibility/2006">
        <mc:Choice Requires="x12ac">
          <x12ac:list>"""M1""","""M2""","""M3"""</x12ac:list>
        </mc:Choice>
        <mc:Fallback>
          <formula1>"""M1"",""M2"",""M3"""</formula1>
        </mc:Fallback>
      </mc:AlternateContent>
    </dataValidation>
    <dataValidation type="list" allowBlank="1" showInputMessage="1" showErrorMessage="1" sqref="D17:D21" xr:uid="{6454A612-5441-4829-B3EC-0BEC121BFD3B}">
      <formula1>"Sólo en Encabezado, Sólo en Pie,En ambos"</formula1>
    </dataValidation>
    <dataValidation type="list" allowBlank="1" showInputMessage="1" showErrorMessage="1" sqref="C25" xr:uid="{2A3E4748-7ABA-4414-8710-FE434FFADE3C}">
      <formula1>"SIMULACIÓN,ARCHIVO,CLIENTE,EMPRESA"</formula1>
    </dataValidation>
    <dataValidation type="list" allowBlank="1" showInputMessage="1" showErrorMessage="1" sqref="G17" xr:uid="{F8CB77A4-7BD4-4968-8DB6-5EE146AD3FF6}">
      <formula1>"Regalías,Retenciones,Retenciones Otras,Penalidades,Deducciones en exportación"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325E4-760F-4524-9FE4-983BE46E5FF0}">
  <sheetPr codeName="Hoja1"/>
  <dimension ref="A1:AQ79"/>
  <sheetViews>
    <sheetView showGridLines="0" tabSelected="1" topLeftCell="AF1" workbookViewId="0">
      <selection activeCell="AQ9" sqref="AQ9"/>
    </sheetView>
  </sheetViews>
  <sheetFormatPr baseColWidth="10" defaultRowHeight="14.4" outlineLevelCol="1" x14ac:dyDescent="0.3"/>
  <cols>
    <col min="1" max="1" width="18.88671875" hidden="1" customWidth="1" outlineLevel="1"/>
    <col min="2" max="2" width="2.77734375" customWidth="1" collapsed="1"/>
    <col min="3" max="3" width="2.88671875" hidden="1" customWidth="1" outlineLevel="1"/>
    <col min="4" max="4" width="59.6640625" hidden="1" customWidth="1" outlineLevel="1"/>
    <col min="5" max="5" width="2.77734375" customWidth="1" collapsed="1"/>
    <col min="6" max="6" width="2.88671875" hidden="1" customWidth="1" outlineLevel="1"/>
    <col min="7" max="7" width="59.6640625" hidden="1" customWidth="1" outlineLevel="1"/>
    <col min="8" max="8" width="2.77734375" customWidth="1" collapsed="1"/>
    <col min="9" max="9" width="2.88671875" hidden="1" customWidth="1" outlineLevel="1"/>
    <col min="10" max="10" width="59.6640625" hidden="1" customWidth="1" outlineLevel="1"/>
    <col min="11" max="11" width="2.77734375" customWidth="1" collapsed="1"/>
    <col min="12" max="12" width="2.88671875" hidden="1" customWidth="1" outlineLevel="1"/>
    <col min="13" max="13" width="59.6640625" hidden="1" customWidth="1" outlineLevel="1"/>
    <col min="14" max="14" width="2.77734375" customWidth="1" collapsed="1"/>
    <col min="15" max="15" width="2.88671875" hidden="1" customWidth="1" outlineLevel="1"/>
    <col min="16" max="16" width="59.6640625" hidden="1" customWidth="1" outlineLevel="1"/>
    <col min="17" max="17" width="2.77734375" customWidth="1" collapsed="1"/>
    <col min="18" max="18" width="2.88671875" hidden="1" customWidth="1" outlineLevel="1"/>
    <col min="19" max="19" width="59.6640625" hidden="1" customWidth="1" outlineLevel="1"/>
    <col min="20" max="20" width="2.77734375" customWidth="1" collapsed="1"/>
    <col min="21" max="21" width="2.77734375" customWidth="1"/>
    <col min="22" max="22" width="2.88671875" hidden="1" customWidth="1" outlineLevel="1"/>
    <col min="23" max="23" width="59.6640625" hidden="1" customWidth="1" outlineLevel="1"/>
    <col min="24" max="24" width="2.77734375" customWidth="1" collapsed="1"/>
    <col min="25" max="25" width="2.88671875" hidden="1" customWidth="1" outlineLevel="1"/>
    <col min="26" max="26" width="59.6640625" hidden="1" customWidth="1" outlineLevel="1"/>
    <col min="27" max="28" width="11.5546875" hidden="1" customWidth="1" outlineLevel="1"/>
    <col min="29" max="29" width="11.5546875" collapsed="1"/>
    <col min="30" max="30" width="2.88671875" hidden="1" customWidth="1" outlineLevel="1"/>
    <col min="31" max="31" width="59.6640625" hidden="1" customWidth="1" outlineLevel="1"/>
    <col min="32" max="32" width="11.5546875" collapsed="1"/>
    <col min="33" max="33" width="2.88671875" hidden="1" customWidth="1" outlineLevel="1"/>
    <col min="34" max="34" width="59.6640625" hidden="1" customWidth="1" outlineLevel="1"/>
    <col min="35" max="35" width="11.5546875" collapsed="1"/>
    <col min="36" max="36" width="2.88671875" hidden="1" customWidth="1" outlineLevel="1"/>
    <col min="37" max="37" width="59.6640625" hidden="1" customWidth="1" outlineLevel="1"/>
    <col min="38" max="38" width="11.5546875" collapsed="1"/>
    <col min="39" max="39" width="2.88671875" hidden="1" customWidth="1" outlineLevel="1"/>
    <col min="40" max="40" width="59.6640625" hidden="1" customWidth="1" outlineLevel="1"/>
    <col min="41" max="41" width="11.5546875" collapsed="1"/>
    <col min="42" max="42" width="2.88671875" customWidth="1" outlineLevel="1"/>
    <col min="43" max="43" width="59.6640625" customWidth="1" outlineLevel="1"/>
  </cols>
  <sheetData>
    <row r="1" spans="1:43" x14ac:dyDescent="0.3">
      <c r="A1" s="464" t="s">
        <v>1198</v>
      </c>
      <c r="B1" s="348"/>
      <c r="C1">
        <v>3</v>
      </c>
      <c r="D1" t="s">
        <v>204</v>
      </c>
      <c r="E1" s="348"/>
      <c r="F1">
        <v>3</v>
      </c>
      <c r="G1" t="s">
        <v>68</v>
      </c>
      <c r="H1" s="205"/>
      <c r="I1">
        <v>3</v>
      </c>
      <c r="J1" t="s">
        <v>69</v>
      </c>
      <c r="L1">
        <v>3</v>
      </c>
      <c r="M1" t="s">
        <v>1079</v>
      </c>
      <c r="O1">
        <v>3</v>
      </c>
      <c r="P1" t="s">
        <v>230</v>
      </c>
      <c r="R1">
        <v>3</v>
      </c>
      <c r="S1" t="s">
        <v>330</v>
      </c>
      <c r="V1">
        <v>3</v>
      </c>
      <c r="W1" t="s">
        <v>732</v>
      </c>
      <c r="Y1">
        <v>3</v>
      </c>
      <c r="Z1" t="s">
        <v>812</v>
      </c>
      <c r="AD1">
        <v>3</v>
      </c>
      <c r="AE1" t="s">
        <v>626</v>
      </c>
      <c r="AG1">
        <v>3</v>
      </c>
      <c r="AH1" t="s">
        <v>1110</v>
      </c>
      <c r="AJ1">
        <v>3</v>
      </c>
      <c r="AK1" t="s">
        <v>1374</v>
      </c>
      <c r="AM1">
        <v>3</v>
      </c>
      <c r="AN1" t="s">
        <v>1380</v>
      </c>
      <c r="AP1">
        <v>3</v>
      </c>
      <c r="AQ1" t="s">
        <v>1400</v>
      </c>
    </row>
    <row r="2" spans="1:43" x14ac:dyDescent="0.3">
      <c r="A2" s="451" t="s">
        <v>1295</v>
      </c>
      <c r="B2" s="348"/>
      <c r="C2">
        <v>3</v>
      </c>
      <c r="D2" t="s">
        <v>1291</v>
      </c>
      <c r="E2" s="348"/>
      <c r="F2">
        <v>3</v>
      </c>
      <c r="G2" t="s">
        <v>1205</v>
      </c>
      <c r="I2">
        <v>3</v>
      </c>
      <c r="J2" t="s">
        <v>78</v>
      </c>
      <c r="L2">
        <v>3</v>
      </c>
      <c r="M2" t="s">
        <v>1083</v>
      </c>
      <c r="O2">
        <v>3</v>
      </c>
      <c r="P2" t="s">
        <v>233</v>
      </c>
      <c r="R2">
        <v>3</v>
      </c>
      <c r="S2" t="s">
        <v>488</v>
      </c>
      <c r="V2">
        <v>3</v>
      </c>
      <c r="W2" t="s">
        <v>488</v>
      </c>
      <c r="Y2">
        <v>3</v>
      </c>
      <c r="Z2" t="s">
        <v>813</v>
      </c>
      <c r="AA2" t="s">
        <v>816</v>
      </c>
      <c r="AB2" t="s">
        <v>822</v>
      </c>
      <c r="AD2">
        <v>3</v>
      </c>
      <c r="AE2" t="s">
        <v>627</v>
      </c>
      <c r="AG2">
        <v>3</v>
      </c>
      <c r="AH2" t="s">
        <v>1111</v>
      </c>
      <c r="AJ2">
        <v>3</v>
      </c>
      <c r="AK2" t="s">
        <v>1375</v>
      </c>
      <c r="AM2">
        <v>3</v>
      </c>
      <c r="AN2" t="s">
        <v>1381</v>
      </c>
      <c r="AP2">
        <v>3</v>
      </c>
      <c r="AQ2" t="s">
        <v>1401</v>
      </c>
    </row>
    <row r="3" spans="1:43" x14ac:dyDescent="0.3">
      <c r="A3" s="436" t="s">
        <v>1296</v>
      </c>
      <c r="B3" s="348"/>
      <c r="C3">
        <v>3</v>
      </c>
      <c r="D3" t="s">
        <v>1292</v>
      </c>
      <c r="E3" s="348"/>
      <c r="F3">
        <v>3</v>
      </c>
      <c r="G3" t="s">
        <v>1206</v>
      </c>
      <c r="I3">
        <v>3</v>
      </c>
      <c r="J3" t="s">
        <v>72</v>
      </c>
      <c r="L3">
        <v>3</v>
      </c>
      <c r="M3" t="s">
        <v>1080</v>
      </c>
      <c r="O3">
        <v>3</v>
      </c>
      <c r="P3" t="s">
        <v>254</v>
      </c>
      <c r="R3">
        <v>3</v>
      </c>
      <c r="S3" t="s">
        <v>328</v>
      </c>
      <c r="V3">
        <v>3</v>
      </c>
      <c r="W3" t="s">
        <v>335</v>
      </c>
      <c r="Y3">
        <v>3</v>
      </c>
      <c r="Z3" t="s">
        <v>174</v>
      </c>
      <c r="AA3" t="s">
        <v>814</v>
      </c>
      <c r="AB3" t="s">
        <v>823</v>
      </c>
      <c r="AD3">
        <v>3</v>
      </c>
      <c r="AE3" t="s">
        <v>629</v>
      </c>
      <c r="AG3">
        <v>3</v>
      </c>
      <c r="AH3" t="s">
        <v>1112</v>
      </c>
      <c r="AJ3">
        <v>3</v>
      </c>
      <c r="AK3" t="s">
        <v>1376</v>
      </c>
      <c r="AM3">
        <v>3</v>
      </c>
      <c r="AN3" t="s">
        <v>1382</v>
      </c>
      <c r="AP3">
        <v>3</v>
      </c>
      <c r="AQ3" t="s">
        <v>1402</v>
      </c>
    </row>
    <row r="4" spans="1:43" x14ac:dyDescent="0.3">
      <c r="A4" s="78" t="s">
        <v>1199</v>
      </c>
      <c r="B4" s="348"/>
      <c r="E4" s="348"/>
      <c r="F4">
        <v>3</v>
      </c>
      <c r="G4" t="s">
        <v>1207</v>
      </c>
      <c r="I4">
        <v>3</v>
      </c>
      <c r="J4" t="s">
        <v>77</v>
      </c>
      <c r="L4">
        <v>3</v>
      </c>
      <c r="M4" t="s">
        <v>1081</v>
      </c>
      <c r="R4">
        <v>3</v>
      </c>
      <c r="S4" t="s">
        <v>329</v>
      </c>
      <c r="V4">
        <v>3</v>
      </c>
      <c r="W4" t="s">
        <v>366</v>
      </c>
      <c r="Y4">
        <v>3</v>
      </c>
      <c r="Z4" t="s">
        <v>176</v>
      </c>
      <c r="AA4" t="s">
        <v>814</v>
      </c>
      <c r="AB4" t="s">
        <v>823</v>
      </c>
      <c r="AD4">
        <v>3</v>
      </c>
      <c r="AE4" t="s">
        <v>628</v>
      </c>
      <c r="AG4">
        <v>3</v>
      </c>
      <c r="AH4" t="s">
        <v>1113</v>
      </c>
      <c r="AJ4">
        <v>3</v>
      </c>
      <c r="AK4" t="s">
        <v>1377</v>
      </c>
      <c r="AP4">
        <v>3</v>
      </c>
      <c r="AQ4" t="s">
        <v>1403</v>
      </c>
    </row>
    <row r="5" spans="1:43" x14ac:dyDescent="0.3">
      <c r="F5">
        <v>3</v>
      </c>
      <c r="G5" t="s">
        <v>1208</v>
      </c>
      <c r="I5">
        <v>3</v>
      </c>
      <c r="J5" t="s">
        <v>133</v>
      </c>
      <c r="L5">
        <v>3</v>
      </c>
      <c r="M5" t="s">
        <v>1082</v>
      </c>
      <c r="R5">
        <v>3</v>
      </c>
      <c r="S5" t="s">
        <v>335</v>
      </c>
      <c r="V5">
        <v>3</v>
      </c>
      <c r="W5" t="s">
        <v>407</v>
      </c>
      <c r="Y5">
        <v>3</v>
      </c>
      <c r="Z5" t="s">
        <v>477</v>
      </c>
      <c r="AA5" t="s">
        <v>815</v>
      </c>
      <c r="AB5" t="s">
        <v>824</v>
      </c>
      <c r="AD5">
        <v>3</v>
      </c>
      <c r="AE5" t="s">
        <v>631</v>
      </c>
      <c r="AG5">
        <v>3</v>
      </c>
      <c r="AH5" t="s">
        <v>1115</v>
      </c>
      <c r="AJ5">
        <v>3</v>
      </c>
      <c r="AK5" t="s">
        <v>1378</v>
      </c>
      <c r="AP5">
        <v>3</v>
      </c>
      <c r="AQ5" t="s">
        <v>1404</v>
      </c>
    </row>
    <row r="6" spans="1:43" x14ac:dyDescent="0.3">
      <c r="A6" s="464" t="s">
        <v>1204</v>
      </c>
      <c r="F6">
        <v>3</v>
      </c>
      <c r="G6" t="s">
        <v>1230</v>
      </c>
      <c r="I6">
        <v>3</v>
      </c>
      <c r="J6" t="s">
        <v>134</v>
      </c>
      <c r="L6">
        <v>3</v>
      </c>
      <c r="M6" t="s">
        <v>1084</v>
      </c>
      <c r="O6">
        <v>3</v>
      </c>
      <c r="P6" t="s">
        <v>234</v>
      </c>
      <c r="R6">
        <v>3</v>
      </c>
      <c r="S6" t="s">
        <v>366</v>
      </c>
      <c r="V6">
        <v>3</v>
      </c>
      <c r="W6" t="s">
        <v>426</v>
      </c>
      <c r="Y6">
        <v>3</v>
      </c>
      <c r="Z6" t="s">
        <v>481</v>
      </c>
      <c r="AA6" t="s">
        <v>815</v>
      </c>
      <c r="AB6" t="s">
        <v>824</v>
      </c>
      <c r="AD6">
        <v>3</v>
      </c>
      <c r="AE6" t="s">
        <v>632</v>
      </c>
      <c r="AG6">
        <v>3</v>
      </c>
      <c r="AH6" t="s">
        <v>1114</v>
      </c>
      <c r="AJ6">
        <v>3</v>
      </c>
      <c r="AK6" t="s">
        <v>1379</v>
      </c>
      <c r="AP6">
        <v>3</v>
      </c>
      <c r="AQ6" t="s">
        <v>1405</v>
      </c>
    </row>
    <row r="7" spans="1:43" x14ac:dyDescent="0.3">
      <c r="A7" s="473" t="s">
        <v>1243</v>
      </c>
      <c r="C7">
        <v>3</v>
      </c>
      <c r="D7" t="s">
        <v>204</v>
      </c>
      <c r="F7">
        <v>3</v>
      </c>
      <c r="G7" t="s">
        <v>1231</v>
      </c>
      <c r="I7">
        <v>3</v>
      </c>
      <c r="J7" t="s">
        <v>135</v>
      </c>
      <c r="O7">
        <v>3</v>
      </c>
      <c r="P7" t="s">
        <v>235</v>
      </c>
      <c r="R7">
        <v>3</v>
      </c>
      <c r="S7" t="s">
        <v>407</v>
      </c>
      <c r="V7">
        <v>3</v>
      </c>
      <c r="W7" t="s">
        <v>427</v>
      </c>
      <c r="Y7">
        <v>3</v>
      </c>
      <c r="Z7" t="s">
        <v>478</v>
      </c>
      <c r="AA7" t="s">
        <v>815</v>
      </c>
      <c r="AB7" t="s">
        <v>824</v>
      </c>
      <c r="AD7">
        <v>3</v>
      </c>
      <c r="AE7" t="s">
        <v>633</v>
      </c>
      <c r="AJ7">
        <v>3</v>
      </c>
      <c r="AK7" t="s">
        <v>1385</v>
      </c>
      <c r="AP7">
        <v>3</v>
      </c>
      <c r="AQ7" t="s">
        <v>1174</v>
      </c>
    </row>
    <row r="8" spans="1:43" x14ac:dyDescent="0.3">
      <c r="A8" s="473" t="s">
        <v>1244</v>
      </c>
      <c r="C8">
        <v>3</v>
      </c>
      <c r="D8" t="s">
        <v>189</v>
      </c>
      <c r="F8">
        <v>3</v>
      </c>
      <c r="G8" t="s">
        <v>1209</v>
      </c>
      <c r="I8">
        <v>3</v>
      </c>
      <c r="J8" t="s">
        <v>163</v>
      </c>
      <c r="O8">
        <v>3</v>
      </c>
      <c r="P8" t="s">
        <v>236</v>
      </c>
      <c r="R8">
        <v>3</v>
      </c>
      <c r="S8" t="s">
        <v>426</v>
      </c>
      <c r="V8">
        <v>3</v>
      </c>
      <c r="W8" t="s">
        <v>521</v>
      </c>
      <c r="Y8">
        <v>3</v>
      </c>
      <c r="Z8" t="s">
        <v>479</v>
      </c>
      <c r="AA8" t="s">
        <v>815</v>
      </c>
      <c r="AB8" t="s">
        <v>824</v>
      </c>
      <c r="AD8">
        <v>3</v>
      </c>
      <c r="AE8" t="s">
        <v>1093</v>
      </c>
      <c r="AP8">
        <v>3</v>
      </c>
      <c r="AQ8" t="s">
        <v>1406</v>
      </c>
    </row>
    <row r="9" spans="1:43" x14ac:dyDescent="0.3">
      <c r="A9" s="473" t="s">
        <v>1245</v>
      </c>
      <c r="C9">
        <v>3</v>
      </c>
      <c r="D9" t="s">
        <v>190</v>
      </c>
      <c r="F9">
        <v>3</v>
      </c>
      <c r="G9" t="s">
        <v>1232</v>
      </c>
      <c r="I9">
        <v>3</v>
      </c>
      <c r="J9" t="s">
        <v>183</v>
      </c>
      <c r="O9">
        <v>3</v>
      </c>
      <c r="P9" t="s">
        <v>237</v>
      </c>
      <c r="R9">
        <v>3</v>
      </c>
      <c r="S9" t="s">
        <v>427</v>
      </c>
      <c r="Y9">
        <v>3</v>
      </c>
      <c r="Z9" t="s">
        <v>480</v>
      </c>
      <c r="AA9" t="s">
        <v>815</v>
      </c>
      <c r="AB9" t="s">
        <v>824</v>
      </c>
      <c r="AD9">
        <v>3</v>
      </c>
      <c r="AE9" t="s">
        <v>1133</v>
      </c>
      <c r="AP9">
        <v>3</v>
      </c>
      <c r="AQ9" t="s">
        <v>1407</v>
      </c>
    </row>
    <row r="10" spans="1:43" x14ac:dyDescent="0.3">
      <c r="A10" s="473" t="s">
        <v>1246</v>
      </c>
      <c r="F10">
        <v>3</v>
      </c>
      <c r="G10" t="s">
        <v>1233</v>
      </c>
      <c r="I10">
        <v>3</v>
      </c>
      <c r="J10" t="s">
        <v>186</v>
      </c>
      <c r="L10">
        <v>3</v>
      </c>
      <c r="M10" t="s">
        <v>1085</v>
      </c>
      <c r="O10">
        <v>3</v>
      </c>
      <c r="P10" t="s">
        <v>238</v>
      </c>
      <c r="R10">
        <v>3</v>
      </c>
      <c r="S10" t="s">
        <v>521</v>
      </c>
      <c r="V10">
        <v>3</v>
      </c>
      <c r="W10" t="s">
        <v>733</v>
      </c>
      <c r="Y10">
        <v>3</v>
      </c>
      <c r="Z10" t="s">
        <v>482</v>
      </c>
      <c r="AA10" t="s">
        <v>815</v>
      </c>
      <c r="AB10" t="s">
        <v>824</v>
      </c>
      <c r="AD10">
        <v>3</v>
      </c>
      <c r="AE10" t="s">
        <v>1134</v>
      </c>
    </row>
    <row r="11" spans="1:43" x14ac:dyDescent="0.3">
      <c r="A11" s="473" t="s">
        <v>1305</v>
      </c>
      <c r="F11">
        <v>3</v>
      </c>
      <c r="G11" t="s">
        <v>1234</v>
      </c>
      <c r="I11">
        <v>3</v>
      </c>
      <c r="J11" t="s">
        <v>195</v>
      </c>
      <c r="L11">
        <v>3</v>
      </c>
      <c r="M11" t="s">
        <v>1086</v>
      </c>
      <c r="O11">
        <v>3</v>
      </c>
      <c r="P11" t="s">
        <v>239</v>
      </c>
      <c r="R11">
        <v>3</v>
      </c>
      <c r="S11" t="s">
        <v>1293</v>
      </c>
      <c r="V11">
        <v>3</v>
      </c>
      <c r="W11" t="s">
        <v>734</v>
      </c>
      <c r="Y11">
        <v>3</v>
      </c>
      <c r="Z11" t="s">
        <v>522</v>
      </c>
      <c r="AA11" t="s">
        <v>814</v>
      </c>
      <c r="AB11" t="s">
        <v>825</v>
      </c>
      <c r="AD11">
        <v>3</v>
      </c>
      <c r="AE11" t="s">
        <v>1266</v>
      </c>
    </row>
    <row r="12" spans="1:43" x14ac:dyDescent="0.3">
      <c r="A12" s="473" t="s">
        <v>1247</v>
      </c>
      <c r="F12">
        <v>3</v>
      </c>
      <c r="G12" t="s">
        <v>1235</v>
      </c>
      <c r="L12">
        <v>3</v>
      </c>
      <c r="M12" t="s">
        <v>1087</v>
      </c>
      <c r="O12">
        <v>3</v>
      </c>
      <c r="P12" t="s">
        <v>223</v>
      </c>
      <c r="R12">
        <v>3</v>
      </c>
      <c r="S12" t="s">
        <v>1095</v>
      </c>
      <c r="V12">
        <v>3</v>
      </c>
      <c r="W12" t="s">
        <v>62</v>
      </c>
      <c r="Y12">
        <v>3</v>
      </c>
      <c r="Z12" t="s">
        <v>410</v>
      </c>
      <c r="AA12" t="s">
        <v>816</v>
      </c>
      <c r="AB12" t="s">
        <v>824</v>
      </c>
      <c r="AD12">
        <v>3</v>
      </c>
      <c r="AE12" t="s">
        <v>1201</v>
      </c>
    </row>
    <row r="13" spans="1:43" x14ac:dyDescent="0.3">
      <c r="A13" s="473" t="s">
        <v>1248</v>
      </c>
      <c r="C13">
        <v>3</v>
      </c>
      <c r="D13" t="s">
        <v>204</v>
      </c>
      <c r="F13">
        <v>3</v>
      </c>
      <c r="G13" t="s">
        <v>1236</v>
      </c>
      <c r="L13">
        <v>3</v>
      </c>
      <c r="M13" t="s">
        <v>1088</v>
      </c>
      <c r="O13">
        <v>3</v>
      </c>
      <c r="P13" t="s">
        <v>240</v>
      </c>
      <c r="R13">
        <v>1</v>
      </c>
      <c r="S13" t="s">
        <v>1096</v>
      </c>
      <c r="V13">
        <v>3</v>
      </c>
      <c r="W13" t="s">
        <v>750</v>
      </c>
      <c r="Y13">
        <v>3</v>
      </c>
      <c r="Z13" t="s">
        <v>817</v>
      </c>
      <c r="AA13" t="s">
        <v>816</v>
      </c>
      <c r="AB13" t="s">
        <v>825</v>
      </c>
      <c r="AD13">
        <v>3</v>
      </c>
      <c r="AE13" t="s">
        <v>1210</v>
      </c>
    </row>
    <row r="14" spans="1:43" x14ac:dyDescent="0.3">
      <c r="A14" s="474" t="s">
        <v>1249</v>
      </c>
      <c r="C14">
        <v>3</v>
      </c>
      <c r="D14" t="s">
        <v>187</v>
      </c>
      <c r="F14">
        <v>3</v>
      </c>
      <c r="G14" t="s">
        <v>1237</v>
      </c>
      <c r="L14">
        <v>3</v>
      </c>
      <c r="M14" t="s">
        <v>1089</v>
      </c>
      <c r="O14">
        <v>3</v>
      </c>
      <c r="P14" t="s">
        <v>241</v>
      </c>
      <c r="R14">
        <v>3</v>
      </c>
      <c r="S14" t="s">
        <v>1158</v>
      </c>
      <c r="V14">
        <v>3</v>
      </c>
      <c r="W14" t="s">
        <v>751</v>
      </c>
      <c r="Y14">
        <v>3</v>
      </c>
      <c r="Z14" t="s">
        <v>818</v>
      </c>
      <c r="AA14" t="s">
        <v>816</v>
      </c>
      <c r="AB14" t="s">
        <v>825</v>
      </c>
      <c r="AD14">
        <v>3</v>
      </c>
      <c r="AE14" t="s">
        <v>1211</v>
      </c>
    </row>
    <row r="15" spans="1:43" x14ac:dyDescent="0.3">
      <c r="A15" s="474" t="s">
        <v>1250</v>
      </c>
      <c r="C15">
        <v>3</v>
      </c>
      <c r="D15" t="s">
        <v>203</v>
      </c>
      <c r="F15">
        <v>3</v>
      </c>
      <c r="G15" t="s">
        <v>1255</v>
      </c>
      <c r="O15">
        <v>3</v>
      </c>
      <c r="P15" t="s">
        <v>243</v>
      </c>
      <c r="R15">
        <v>3</v>
      </c>
      <c r="S15" t="s">
        <v>331</v>
      </c>
      <c r="V15">
        <v>3</v>
      </c>
      <c r="W15" t="s">
        <v>735</v>
      </c>
      <c r="Y15">
        <v>3</v>
      </c>
      <c r="Z15" t="s">
        <v>819</v>
      </c>
      <c r="AA15" t="s">
        <v>816</v>
      </c>
      <c r="AB15" t="s">
        <v>825</v>
      </c>
      <c r="AD15">
        <v>3</v>
      </c>
      <c r="AE15" t="s">
        <v>1202</v>
      </c>
    </row>
    <row r="16" spans="1:43" x14ac:dyDescent="0.3">
      <c r="A16" s="474" t="s">
        <v>1251</v>
      </c>
      <c r="C16">
        <v>3</v>
      </c>
      <c r="D16" t="s">
        <v>191</v>
      </c>
      <c r="F16">
        <v>3</v>
      </c>
      <c r="G16" t="s">
        <v>70</v>
      </c>
      <c r="O16">
        <v>3</v>
      </c>
      <c r="P16" t="s">
        <v>1302</v>
      </c>
      <c r="R16">
        <v>3</v>
      </c>
      <c r="S16" t="s">
        <v>336</v>
      </c>
      <c r="V16">
        <v>3</v>
      </c>
      <c r="W16" t="s">
        <v>736</v>
      </c>
      <c r="Y16">
        <v>3</v>
      </c>
      <c r="Z16" t="s">
        <v>820</v>
      </c>
      <c r="AA16" t="s">
        <v>816</v>
      </c>
      <c r="AB16" t="s">
        <v>825</v>
      </c>
      <c r="AD16">
        <v>3</v>
      </c>
      <c r="AE16" t="s">
        <v>1203</v>
      </c>
    </row>
    <row r="17" spans="1:31" x14ac:dyDescent="0.3">
      <c r="A17" s="474" t="s">
        <v>1252</v>
      </c>
      <c r="C17">
        <v>3</v>
      </c>
      <c r="D17" t="s">
        <v>192</v>
      </c>
      <c r="F17">
        <v>3</v>
      </c>
      <c r="G17" t="s">
        <v>71</v>
      </c>
      <c r="R17">
        <v>3</v>
      </c>
      <c r="S17" t="s">
        <v>337</v>
      </c>
      <c r="V17">
        <v>3</v>
      </c>
      <c r="W17" t="s">
        <v>737</v>
      </c>
      <c r="Y17">
        <v>3</v>
      </c>
      <c r="Z17" t="s">
        <v>821</v>
      </c>
      <c r="AA17" t="s">
        <v>816</v>
      </c>
      <c r="AB17" t="s">
        <v>825</v>
      </c>
      <c r="AD17">
        <v>3</v>
      </c>
      <c r="AE17" t="s">
        <v>1258</v>
      </c>
    </row>
    <row r="18" spans="1:31" x14ac:dyDescent="0.3">
      <c r="A18" s="474" t="s">
        <v>1253</v>
      </c>
      <c r="C18">
        <v>3</v>
      </c>
      <c r="D18" t="s">
        <v>193</v>
      </c>
      <c r="F18">
        <v>3</v>
      </c>
      <c r="G18" t="s">
        <v>72</v>
      </c>
      <c r="L18">
        <v>3</v>
      </c>
      <c r="M18" t="s">
        <v>1090</v>
      </c>
      <c r="O18">
        <v>3</v>
      </c>
      <c r="P18" t="s">
        <v>242</v>
      </c>
      <c r="R18">
        <v>3</v>
      </c>
      <c r="S18" t="s">
        <v>338</v>
      </c>
      <c r="V18">
        <v>3</v>
      </c>
      <c r="W18" t="s">
        <v>738</v>
      </c>
      <c r="Y18">
        <v>3</v>
      </c>
      <c r="Z18" t="s">
        <v>1095</v>
      </c>
      <c r="AD18">
        <v>3</v>
      </c>
      <c r="AE18" t="s">
        <v>1259</v>
      </c>
    </row>
    <row r="19" spans="1:31" x14ac:dyDescent="0.3">
      <c r="A19" s="474" t="s">
        <v>1254</v>
      </c>
      <c r="F19">
        <v>3</v>
      </c>
      <c r="G19" t="s">
        <v>73</v>
      </c>
      <c r="L19">
        <v>3</v>
      </c>
      <c r="M19" t="s">
        <v>1205</v>
      </c>
      <c r="O19">
        <v>3</v>
      </c>
      <c r="P19" t="s">
        <v>244</v>
      </c>
      <c r="R19">
        <v>3</v>
      </c>
      <c r="S19" t="s">
        <v>362</v>
      </c>
      <c r="V19">
        <v>3</v>
      </c>
      <c r="W19" t="s">
        <v>717</v>
      </c>
      <c r="Y19">
        <v>1</v>
      </c>
      <c r="Z19" t="s">
        <v>1096</v>
      </c>
      <c r="AD19">
        <v>3</v>
      </c>
      <c r="AE19" t="s">
        <v>1260</v>
      </c>
    </row>
    <row r="20" spans="1:31" x14ac:dyDescent="0.3">
      <c r="A20" s="475" t="s">
        <v>1242</v>
      </c>
      <c r="F20">
        <v>3</v>
      </c>
      <c r="G20" t="s">
        <v>75</v>
      </c>
      <c r="L20">
        <v>3</v>
      </c>
      <c r="M20" t="s">
        <v>1206</v>
      </c>
      <c r="O20">
        <v>3</v>
      </c>
      <c r="P20" t="s">
        <v>245</v>
      </c>
      <c r="R20">
        <v>3</v>
      </c>
      <c r="S20" t="s">
        <v>363</v>
      </c>
      <c r="V20">
        <v>3</v>
      </c>
      <c r="W20" t="s">
        <v>739</v>
      </c>
      <c r="Y20">
        <v>3</v>
      </c>
      <c r="Z20" t="s">
        <v>1158</v>
      </c>
      <c r="AD20">
        <v>3</v>
      </c>
      <c r="AE20" t="s">
        <v>1261</v>
      </c>
    </row>
    <row r="21" spans="1:31" x14ac:dyDescent="0.3">
      <c r="F21">
        <v>3</v>
      </c>
      <c r="G21" t="s">
        <v>76</v>
      </c>
      <c r="L21">
        <v>3</v>
      </c>
      <c r="M21" t="s">
        <v>1207</v>
      </c>
      <c r="R21">
        <v>3</v>
      </c>
      <c r="S21" t="s">
        <v>364</v>
      </c>
      <c r="V21">
        <v>3</v>
      </c>
      <c r="W21" t="s">
        <v>364</v>
      </c>
      <c r="Y21">
        <v>3</v>
      </c>
      <c r="Z21" t="s">
        <v>1205</v>
      </c>
      <c r="AD21">
        <v>3</v>
      </c>
      <c r="AE21" t="s">
        <v>1262</v>
      </c>
    </row>
    <row r="22" spans="1:31" x14ac:dyDescent="0.3">
      <c r="A22" s="476" t="s">
        <v>1238</v>
      </c>
      <c r="C22">
        <v>3</v>
      </c>
      <c r="D22" t="s">
        <v>204</v>
      </c>
      <c r="F22">
        <v>3</v>
      </c>
      <c r="G22" t="s">
        <v>108</v>
      </c>
      <c r="L22">
        <v>3</v>
      </c>
      <c r="M22" t="s">
        <v>1208</v>
      </c>
      <c r="R22">
        <v>3</v>
      </c>
      <c r="S22" t="s">
        <v>365</v>
      </c>
      <c r="V22">
        <v>3</v>
      </c>
      <c r="W22" t="s">
        <v>365</v>
      </c>
      <c r="Y22">
        <v>3</v>
      </c>
      <c r="Z22" t="s">
        <v>1206</v>
      </c>
      <c r="AD22">
        <v>3</v>
      </c>
      <c r="AE22" t="s">
        <v>1263</v>
      </c>
    </row>
    <row r="23" spans="1:31" x14ac:dyDescent="0.3">
      <c r="A23" s="477" t="s">
        <v>1239</v>
      </c>
      <c r="C23">
        <v>3</v>
      </c>
      <c r="D23" t="s">
        <v>188</v>
      </c>
      <c r="F23">
        <v>3</v>
      </c>
      <c r="G23" t="s">
        <v>109</v>
      </c>
      <c r="L23">
        <v>3</v>
      </c>
      <c r="M23" t="s">
        <v>1230</v>
      </c>
      <c r="O23">
        <v>3</v>
      </c>
      <c r="P23" t="s">
        <v>231</v>
      </c>
      <c r="R23">
        <v>3</v>
      </c>
      <c r="S23" t="s">
        <v>332</v>
      </c>
      <c r="V23">
        <v>3</v>
      </c>
      <c r="W23" t="s">
        <v>745</v>
      </c>
      <c r="Y23">
        <v>3</v>
      </c>
      <c r="Z23" t="s">
        <v>1207</v>
      </c>
      <c r="AD23">
        <v>3</v>
      </c>
      <c r="AE23" t="s">
        <v>1264</v>
      </c>
    </row>
    <row r="24" spans="1:31" x14ac:dyDescent="0.3">
      <c r="A24" s="477" t="s">
        <v>1240</v>
      </c>
      <c r="C24">
        <v>3</v>
      </c>
      <c r="D24" t="s">
        <v>194</v>
      </c>
      <c r="F24">
        <v>3</v>
      </c>
      <c r="G24" t="s">
        <v>161</v>
      </c>
      <c r="L24">
        <v>3</v>
      </c>
      <c r="M24" t="s">
        <v>1231</v>
      </c>
      <c r="O24">
        <v>3</v>
      </c>
      <c r="P24" t="s">
        <v>1205</v>
      </c>
      <c r="R24">
        <v>3</v>
      </c>
      <c r="S24" t="s">
        <v>369</v>
      </c>
      <c r="V24">
        <v>3</v>
      </c>
      <c r="W24" t="s">
        <v>746</v>
      </c>
      <c r="Y24">
        <v>3</v>
      </c>
      <c r="Z24" t="s">
        <v>1208</v>
      </c>
      <c r="AD24">
        <v>3</v>
      </c>
      <c r="AE24" t="s">
        <v>1267</v>
      </c>
    </row>
    <row r="25" spans="1:31" x14ac:dyDescent="0.3">
      <c r="A25" s="477" t="s">
        <v>1241</v>
      </c>
      <c r="C25">
        <v>3</v>
      </c>
      <c r="D25" t="s">
        <v>215</v>
      </c>
      <c r="F25">
        <v>3</v>
      </c>
      <c r="G25" t="s">
        <v>162</v>
      </c>
      <c r="L25">
        <v>3</v>
      </c>
      <c r="M25" t="s">
        <v>1209</v>
      </c>
      <c r="O25">
        <v>3</v>
      </c>
      <c r="P25" t="s">
        <v>1206</v>
      </c>
      <c r="R25">
        <v>3</v>
      </c>
      <c r="S25" t="s">
        <v>436</v>
      </c>
      <c r="Y25">
        <v>3</v>
      </c>
      <c r="Z25" t="s">
        <v>1304</v>
      </c>
      <c r="AD25">
        <v>3</v>
      </c>
      <c r="AE25" t="s">
        <v>1268</v>
      </c>
    </row>
    <row r="26" spans="1:31" x14ac:dyDescent="0.3">
      <c r="C26">
        <v>3</v>
      </c>
      <c r="D26" t="s">
        <v>1196</v>
      </c>
      <c r="F26">
        <v>3</v>
      </c>
      <c r="G26" t="s">
        <v>164</v>
      </c>
      <c r="L26">
        <v>3</v>
      </c>
      <c r="M26" t="s">
        <v>1232</v>
      </c>
      <c r="O26">
        <v>3</v>
      </c>
      <c r="P26" t="s">
        <v>1207</v>
      </c>
      <c r="R26">
        <v>3</v>
      </c>
      <c r="S26" t="s">
        <v>244</v>
      </c>
      <c r="V26">
        <v>3</v>
      </c>
      <c r="W26" t="s">
        <v>740</v>
      </c>
      <c r="Y26">
        <v>3</v>
      </c>
      <c r="Z26" t="s">
        <v>1231</v>
      </c>
      <c r="AD26">
        <v>3</v>
      </c>
      <c r="AE26" t="s">
        <v>1102</v>
      </c>
    </row>
    <row r="27" spans="1:31" x14ac:dyDescent="0.3">
      <c r="F27">
        <v>3</v>
      </c>
      <c r="G27" t="s">
        <v>110</v>
      </c>
      <c r="L27">
        <v>3</v>
      </c>
      <c r="M27" t="s">
        <v>1233</v>
      </c>
      <c r="O27">
        <v>3</v>
      </c>
      <c r="P27" t="s">
        <v>1208</v>
      </c>
      <c r="R27">
        <v>3</v>
      </c>
      <c r="S27" t="s">
        <v>545</v>
      </c>
      <c r="V27">
        <v>3</v>
      </c>
      <c r="W27" t="s">
        <v>369</v>
      </c>
      <c r="Y27">
        <v>3</v>
      </c>
      <c r="Z27" t="s">
        <v>1209</v>
      </c>
      <c r="AD27">
        <v>3</v>
      </c>
      <c r="AE27" t="s">
        <v>1104</v>
      </c>
    </row>
    <row r="28" spans="1:31" x14ac:dyDescent="0.3">
      <c r="F28">
        <v>3</v>
      </c>
      <c r="G28" t="s">
        <v>111</v>
      </c>
      <c r="L28">
        <v>3</v>
      </c>
      <c r="M28" t="s">
        <v>1234</v>
      </c>
      <c r="O28">
        <v>3</v>
      </c>
      <c r="P28" t="s">
        <v>1230</v>
      </c>
      <c r="R28">
        <v>3</v>
      </c>
      <c r="S28" t="s">
        <v>364</v>
      </c>
      <c r="V28">
        <v>3</v>
      </c>
      <c r="W28" t="s">
        <v>244</v>
      </c>
      <c r="Y28">
        <v>3</v>
      </c>
      <c r="Z28" t="s">
        <v>1232</v>
      </c>
      <c r="AD28">
        <v>3</v>
      </c>
      <c r="AE28" t="s">
        <v>1282</v>
      </c>
    </row>
    <row r="29" spans="1:31" x14ac:dyDescent="0.3">
      <c r="F29">
        <v>3</v>
      </c>
      <c r="G29" t="s">
        <v>117</v>
      </c>
      <c r="L29">
        <v>3</v>
      </c>
      <c r="M29" t="s">
        <v>1235</v>
      </c>
      <c r="O29">
        <v>3</v>
      </c>
      <c r="P29" t="s">
        <v>1231</v>
      </c>
      <c r="R29">
        <v>3</v>
      </c>
      <c r="S29" t="s">
        <v>333</v>
      </c>
      <c r="V29">
        <v>3</v>
      </c>
      <c r="W29" t="s">
        <v>444</v>
      </c>
      <c r="Y29">
        <v>3</v>
      </c>
      <c r="Z29" t="s">
        <v>1233</v>
      </c>
      <c r="AD29">
        <v>1</v>
      </c>
      <c r="AE29" t="s">
        <v>1294</v>
      </c>
    </row>
    <row r="30" spans="1:31" x14ac:dyDescent="0.3">
      <c r="F30">
        <v>3</v>
      </c>
      <c r="G30" t="s">
        <v>112</v>
      </c>
      <c r="L30">
        <v>3</v>
      </c>
      <c r="M30" t="s">
        <v>1236</v>
      </c>
      <c r="O30">
        <v>3</v>
      </c>
      <c r="P30" t="s">
        <v>1209</v>
      </c>
      <c r="R30">
        <v>3</v>
      </c>
      <c r="S30" t="s">
        <v>1205</v>
      </c>
      <c r="V30">
        <v>3</v>
      </c>
      <c r="W30" t="s">
        <v>545</v>
      </c>
      <c r="Y30">
        <v>3</v>
      </c>
      <c r="Z30" t="s">
        <v>1234</v>
      </c>
      <c r="AD30">
        <v>3</v>
      </c>
      <c r="AE30" t="s">
        <v>1303</v>
      </c>
    </row>
    <row r="31" spans="1:31" x14ac:dyDescent="0.3">
      <c r="F31">
        <v>3</v>
      </c>
      <c r="G31" t="s">
        <v>113</v>
      </c>
      <c r="L31">
        <v>3</v>
      </c>
      <c r="M31" t="s">
        <v>1237</v>
      </c>
      <c r="O31">
        <v>3</v>
      </c>
      <c r="P31" t="s">
        <v>1232</v>
      </c>
      <c r="R31">
        <v>3</v>
      </c>
      <c r="S31" t="s">
        <v>1206</v>
      </c>
      <c r="V31">
        <v>3</v>
      </c>
      <c r="W31" t="s">
        <v>364</v>
      </c>
      <c r="Y31">
        <v>3</v>
      </c>
      <c r="Z31" t="s">
        <v>1235</v>
      </c>
      <c r="AD31">
        <v>3</v>
      </c>
      <c r="AE31" t="s">
        <v>1383</v>
      </c>
    </row>
    <row r="32" spans="1:31" x14ac:dyDescent="0.3">
      <c r="F32">
        <v>3</v>
      </c>
      <c r="G32" t="s">
        <v>114</v>
      </c>
      <c r="L32">
        <v>3</v>
      </c>
      <c r="M32" t="s">
        <v>1256</v>
      </c>
      <c r="O32">
        <v>3</v>
      </c>
      <c r="P32" t="s">
        <v>1233</v>
      </c>
      <c r="R32">
        <v>3</v>
      </c>
      <c r="S32" t="s">
        <v>1207</v>
      </c>
      <c r="V32">
        <v>3</v>
      </c>
      <c r="W32" t="s">
        <v>778</v>
      </c>
      <c r="Y32">
        <v>3</v>
      </c>
      <c r="Z32" t="s">
        <v>1236</v>
      </c>
      <c r="AD32">
        <v>3</v>
      </c>
      <c r="AE32" t="s">
        <v>1387</v>
      </c>
    </row>
    <row r="33" spans="6:31" x14ac:dyDescent="0.3">
      <c r="F33">
        <v>3</v>
      </c>
      <c r="G33" t="s">
        <v>115</v>
      </c>
      <c r="L33">
        <v>3</v>
      </c>
      <c r="M33" t="s">
        <v>1257</v>
      </c>
      <c r="O33">
        <v>3</v>
      </c>
      <c r="P33" t="s">
        <v>1234</v>
      </c>
      <c r="R33">
        <v>3</v>
      </c>
      <c r="S33" t="s">
        <v>1208</v>
      </c>
      <c r="Y33">
        <v>3</v>
      </c>
      <c r="Z33" t="s">
        <v>1237</v>
      </c>
      <c r="AD33">
        <v>3</v>
      </c>
      <c r="AE33" t="s">
        <v>1386</v>
      </c>
    </row>
    <row r="34" spans="6:31" x14ac:dyDescent="0.3">
      <c r="F34">
        <v>3</v>
      </c>
      <c r="G34" t="s">
        <v>118</v>
      </c>
      <c r="L34">
        <v>3</v>
      </c>
      <c r="M34" t="s">
        <v>1091</v>
      </c>
      <c r="O34">
        <v>3</v>
      </c>
      <c r="P34" t="s">
        <v>1235</v>
      </c>
      <c r="R34">
        <v>3</v>
      </c>
      <c r="S34" t="s">
        <v>1304</v>
      </c>
      <c r="V34">
        <v>3</v>
      </c>
      <c r="W34" t="s">
        <v>741</v>
      </c>
      <c r="Y34">
        <v>3</v>
      </c>
      <c r="Z34" t="s">
        <v>1369</v>
      </c>
      <c r="AD34">
        <v>3</v>
      </c>
      <c r="AE34" t="s">
        <v>1388</v>
      </c>
    </row>
    <row r="35" spans="6:31" x14ac:dyDescent="0.3">
      <c r="F35">
        <v>3</v>
      </c>
      <c r="G35" t="s">
        <v>116</v>
      </c>
      <c r="L35">
        <v>3</v>
      </c>
      <c r="M35" t="s">
        <v>1092</v>
      </c>
      <c r="O35">
        <v>3</v>
      </c>
      <c r="P35" t="s">
        <v>1236</v>
      </c>
      <c r="R35">
        <v>3</v>
      </c>
      <c r="S35" t="s">
        <v>1231</v>
      </c>
      <c r="V35">
        <v>3</v>
      </c>
      <c r="W35" t="s">
        <v>1205</v>
      </c>
      <c r="Y35">
        <v>1</v>
      </c>
      <c r="Z35" t="s">
        <v>1372</v>
      </c>
      <c r="AD35">
        <v>3</v>
      </c>
      <c r="AE35" t="s">
        <v>1389</v>
      </c>
    </row>
    <row r="36" spans="6:31" x14ac:dyDescent="0.3">
      <c r="F36">
        <v>3</v>
      </c>
      <c r="G36" t="s">
        <v>119</v>
      </c>
      <c r="L36">
        <v>3</v>
      </c>
      <c r="M36" t="s">
        <v>1097</v>
      </c>
      <c r="O36">
        <v>3</v>
      </c>
      <c r="P36" t="s">
        <v>1237</v>
      </c>
      <c r="R36">
        <v>3</v>
      </c>
      <c r="S36" t="s">
        <v>1209</v>
      </c>
      <c r="V36">
        <v>3</v>
      </c>
      <c r="W36" t="s">
        <v>1206</v>
      </c>
      <c r="Y36">
        <v>3</v>
      </c>
      <c r="Z36" t="s">
        <v>1373</v>
      </c>
      <c r="AD36">
        <v>3</v>
      </c>
      <c r="AE36" t="s">
        <v>1390</v>
      </c>
    </row>
    <row r="37" spans="6:31" x14ac:dyDescent="0.3">
      <c r="F37">
        <v>3</v>
      </c>
      <c r="G37" t="s">
        <v>120</v>
      </c>
      <c r="L37">
        <v>3</v>
      </c>
      <c r="M37" t="s">
        <v>1098</v>
      </c>
      <c r="O37">
        <v>3</v>
      </c>
      <c r="P37" t="s">
        <v>232</v>
      </c>
      <c r="R37">
        <v>3</v>
      </c>
      <c r="S37" t="s">
        <v>1232</v>
      </c>
      <c r="V37">
        <v>3</v>
      </c>
      <c r="W37" t="s">
        <v>1207</v>
      </c>
      <c r="AD37">
        <v>3</v>
      </c>
      <c r="AE37" t="s">
        <v>1391</v>
      </c>
    </row>
    <row r="38" spans="6:31" x14ac:dyDescent="0.3">
      <c r="F38">
        <v>3</v>
      </c>
      <c r="G38" t="s">
        <v>121</v>
      </c>
      <c r="L38">
        <v>3</v>
      </c>
      <c r="M38" t="s">
        <v>1099</v>
      </c>
      <c r="O38">
        <v>3</v>
      </c>
      <c r="P38" t="s">
        <v>191</v>
      </c>
      <c r="R38">
        <v>3</v>
      </c>
      <c r="S38" t="s">
        <v>1233</v>
      </c>
      <c r="V38">
        <v>3</v>
      </c>
      <c r="W38" t="s">
        <v>1208</v>
      </c>
      <c r="AD38">
        <v>3</v>
      </c>
      <c r="AE38" t="s">
        <v>1392</v>
      </c>
    </row>
    <row r="39" spans="6:31" x14ac:dyDescent="0.3">
      <c r="F39">
        <v>3</v>
      </c>
      <c r="G39" t="s">
        <v>122</v>
      </c>
      <c r="L39">
        <v>3</v>
      </c>
      <c r="M39" t="s">
        <v>1100</v>
      </c>
      <c r="O39">
        <v>3</v>
      </c>
      <c r="P39" t="s">
        <v>192</v>
      </c>
      <c r="R39">
        <v>3</v>
      </c>
      <c r="S39" t="s">
        <v>1234</v>
      </c>
      <c r="V39">
        <v>3</v>
      </c>
      <c r="W39" t="s">
        <v>1304</v>
      </c>
    </row>
    <row r="40" spans="6:31" x14ac:dyDescent="0.3">
      <c r="F40">
        <v>3</v>
      </c>
      <c r="G40" t="s">
        <v>165</v>
      </c>
      <c r="L40">
        <v>3</v>
      </c>
      <c r="M40" t="s">
        <v>1101</v>
      </c>
      <c r="O40">
        <v>3</v>
      </c>
      <c r="P40" t="s">
        <v>193</v>
      </c>
      <c r="R40">
        <v>3</v>
      </c>
      <c r="S40" t="s">
        <v>1235</v>
      </c>
      <c r="V40">
        <v>3</v>
      </c>
      <c r="W40" t="s">
        <v>1231</v>
      </c>
    </row>
    <row r="41" spans="6:31" x14ac:dyDescent="0.3">
      <c r="F41">
        <v>3</v>
      </c>
      <c r="G41" t="s">
        <v>169</v>
      </c>
      <c r="L41">
        <v>3</v>
      </c>
      <c r="M41" t="s">
        <v>1103</v>
      </c>
      <c r="O41">
        <v>3</v>
      </c>
      <c r="P41" t="s">
        <v>247</v>
      </c>
      <c r="R41">
        <v>3</v>
      </c>
      <c r="S41" t="s">
        <v>1236</v>
      </c>
      <c r="V41">
        <v>3</v>
      </c>
      <c r="W41" t="s">
        <v>1209</v>
      </c>
    </row>
    <row r="42" spans="6:31" x14ac:dyDescent="0.3">
      <c r="F42">
        <v>3</v>
      </c>
      <c r="G42" t="s">
        <v>170</v>
      </c>
      <c r="L42">
        <v>3</v>
      </c>
      <c r="M42" t="s">
        <v>1105</v>
      </c>
      <c r="O42">
        <v>3</v>
      </c>
      <c r="P42" t="s">
        <v>248</v>
      </c>
      <c r="R42">
        <v>3</v>
      </c>
      <c r="S42" t="s">
        <v>1237</v>
      </c>
      <c r="V42">
        <v>3</v>
      </c>
      <c r="W42" t="s">
        <v>1232</v>
      </c>
    </row>
    <row r="43" spans="6:31" x14ac:dyDescent="0.3">
      <c r="F43">
        <v>3</v>
      </c>
      <c r="G43" t="s">
        <v>171</v>
      </c>
      <c r="L43">
        <v>3</v>
      </c>
      <c r="M43" t="s">
        <v>1106</v>
      </c>
      <c r="O43">
        <v>3</v>
      </c>
      <c r="P43" t="s">
        <v>249</v>
      </c>
      <c r="R43">
        <v>3</v>
      </c>
      <c r="S43" t="s">
        <v>370</v>
      </c>
      <c r="V43">
        <v>3</v>
      </c>
      <c r="W43" t="s">
        <v>1233</v>
      </c>
    </row>
    <row r="44" spans="6:31" x14ac:dyDescent="0.3">
      <c r="F44">
        <v>3</v>
      </c>
      <c r="G44" t="s">
        <v>172</v>
      </c>
      <c r="L44">
        <v>3</v>
      </c>
      <c r="M44" t="s">
        <v>1107</v>
      </c>
      <c r="O44">
        <v>3</v>
      </c>
      <c r="P44" t="s">
        <v>1197</v>
      </c>
      <c r="R44">
        <v>3</v>
      </c>
      <c r="S44" t="s">
        <v>371</v>
      </c>
      <c r="V44">
        <v>3</v>
      </c>
      <c r="W44" t="s">
        <v>1234</v>
      </c>
    </row>
    <row r="45" spans="6:31" x14ac:dyDescent="0.3">
      <c r="F45">
        <v>3</v>
      </c>
      <c r="G45" t="s">
        <v>173</v>
      </c>
      <c r="L45">
        <v>3</v>
      </c>
      <c r="M45" t="s">
        <v>1108</v>
      </c>
      <c r="R45">
        <v>3</v>
      </c>
      <c r="S45" t="s">
        <v>405</v>
      </c>
      <c r="V45">
        <v>3</v>
      </c>
      <c r="W45" t="s">
        <v>1235</v>
      </c>
    </row>
    <row r="46" spans="6:31" x14ac:dyDescent="0.3">
      <c r="F46">
        <v>3</v>
      </c>
      <c r="G46" t="s">
        <v>175</v>
      </c>
      <c r="L46">
        <v>3</v>
      </c>
      <c r="M46" t="s">
        <v>1109</v>
      </c>
      <c r="R46">
        <v>3</v>
      </c>
      <c r="S46" t="s">
        <v>428</v>
      </c>
      <c r="V46">
        <v>3</v>
      </c>
      <c r="W46" t="s">
        <v>1236</v>
      </c>
    </row>
    <row r="47" spans="6:31" x14ac:dyDescent="0.3">
      <c r="F47">
        <v>3</v>
      </c>
      <c r="G47" t="s">
        <v>182</v>
      </c>
      <c r="R47">
        <v>3</v>
      </c>
      <c r="S47" t="s">
        <v>429</v>
      </c>
      <c r="V47">
        <v>3</v>
      </c>
      <c r="W47" t="s">
        <v>1237</v>
      </c>
    </row>
    <row r="48" spans="6:31" x14ac:dyDescent="0.3">
      <c r="F48">
        <v>3</v>
      </c>
      <c r="G48" t="s">
        <v>184</v>
      </c>
      <c r="R48">
        <v>3</v>
      </c>
      <c r="S48" t="s">
        <v>430</v>
      </c>
      <c r="V48">
        <v>3</v>
      </c>
      <c r="W48" t="s">
        <v>742</v>
      </c>
    </row>
    <row r="49" spans="6:23" x14ac:dyDescent="0.3">
      <c r="F49">
        <v>3</v>
      </c>
      <c r="G49" t="s">
        <v>185</v>
      </c>
      <c r="R49">
        <v>3</v>
      </c>
      <c r="S49" t="s">
        <v>431</v>
      </c>
      <c r="V49">
        <v>3</v>
      </c>
      <c r="W49" t="s">
        <v>745</v>
      </c>
    </row>
    <row r="50" spans="6:23" x14ac:dyDescent="0.3">
      <c r="F50">
        <v>3</v>
      </c>
      <c r="G50" t="s">
        <v>186</v>
      </c>
      <c r="R50">
        <v>3</v>
      </c>
      <c r="S50" t="s">
        <v>432</v>
      </c>
      <c r="V50">
        <v>3</v>
      </c>
      <c r="W50" t="s">
        <v>747</v>
      </c>
    </row>
    <row r="51" spans="6:23" x14ac:dyDescent="0.3">
      <c r="F51">
        <v>3</v>
      </c>
      <c r="G51" t="s">
        <v>195</v>
      </c>
      <c r="R51">
        <v>3</v>
      </c>
      <c r="S51" t="s">
        <v>433</v>
      </c>
      <c r="V51">
        <v>3</v>
      </c>
      <c r="W51" t="s">
        <v>428</v>
      </c>
    </row>
    <row r="52" spans="6:23" x14ac:dyDescent="0.3">
      <c r="F52">
        <v>3</v>
      </c>
      <c r="G52" t="s">
        <v>613</v>
      </c>
      <c r="R52">
        <v>3</v>
      </c>
      <c r="S52" t="s">
        <v>434</v>
      </c>
      <c r="V52">
        <v>3</v>
      </c>
      <c r="W52" t="s">
        <v>748</v>
      </c>
    </row>
    <row r="53" spans="6:23" x14ac:dyDescent="0.3">
      <c r="F53">
        <v>3</v>
      </c>
      <c r="G53" t="s">
        <v>868</v>
      </c>
      <c r="R53">
        <v>3</v>
      </c>
      <c r="S53" t="s">
        <v>435</v>
      </c>
      <c r="V53">
        <v>3</v>
      </c>
      <c r="W53" t="s">
        <v>435</v>
      </c>
    </row>
    <row r="54" spans="6:23" x14ac:dyDescent="0.3">
      <c r="F54">
        <v>3</v>
      </c>
      <c r="G54" t="s">
        <v>869</v>
      </c>
      <c r="R54">
        <v>3</v>
      </c>
      <c r="S54" t="s">
        <v>483</v>
      </c>
      <c r="V54">
        <v>3</v>
      </c>
      <c r="W54" t="s">
        <v>749</v>
      </c>
    </row>
    <row r="55" spans="6:23" x14ac:dyDescent="0.3">
      <c r="F55">
        <v>3</v>
      </c>
      <c r="G55" t="s">
        <v>870</v>
      </c>
      <c r="R55">
        <v>3</v>
      </c>
      <c r="S55" t="s">
        <v>484</v>
      </c>
      <c r="V55">
        <v>3</v>
      </c>
      <c r="W55" t="s">
        <v>768</v>
      </c>
    </row>
    <row r="56" spans="6:23" x14ac:dyDescent="0.3">
      <c r="F56">
        <v>3</v>
      </c>
      <c r="G56" t="s">
        <v>871</v>
      </c>
      <c r="R56">
        <v>3</v>
      </c>
      <c r="S56" t="s">
        <v>485</v>
      </c>
      <c r="V56">
        <v>3</v>
      </c>
      <c r="W56" t="s">
        <v>797</v>
      </c>
    </row>
    <row r="57" spans="6:23" x14ac:dyDescent="0.3">
      <c r="F57">
        <v>3</v>
      </c>
      <c r="G57" t="s">
        <v>872</v>
      </c>
      <c r="R57">
        <v>3</v>
      </c>
      <c r="S57" t="s">
        <v>486</v>
      </c>
      <c r="V57">
        <v>3</v>
      </c>
      <c r="W57" t="s">
        <v>779</v>
      </c>
    </row>
    <row r="58" spans="6:23" x14ac:dyDescent="0.3">
      <c r="F58">
        <v>3</v>
      </c>
      <c r="G58" t="s">
        <v>873</v>
      </c>
      <c r="R58">
        <v>3</v>
      </c>
      <c r="S58" t="s">
        <v>487</v>
      </c>
      <c r="V58">
        <v>3</v>
      </c>
      <c r="W58" t="s">
        <v>785</v>
      </c>
    </row>
    <row r="59" spans="6:23" x14ac:dyDescent="0.3">
      <c r="F59">
        <v>3</v>
      </c>
      <c r="G59" t="s">
        <v>874</v>
      </c>
      <c r="R59">
        <v>3</v>
      </c>
      <c r="S59" t="s">
        <v>489</v>
      </c>
      <c r="V59">
        <v>3</v>
      </c>
      <c r="W59" t="s">
        <v>421</v>
      </c>
    </row>
    <row r="60" spans="6:23" x14ac:dyDescent="0.3">
      <c r="F60">
        <v>3</v>
      </c>
      <c r="G60" t="s">
        <v>875</v>
      </c>
      <c r="R60">
        <v>3</v>
      </c>
      <c r="S60" t="s">
        <v>540</v>
      </c>
      <c r="V60">
        <v>3</v>
      </c>
      <c r="W60" t="s">
        <v>653</v>
      </c>
    </row>
    <row r="61" spans="6:23" x14ac:dyDescent="0.3">
      <c r="F61">
        <v>3</v>
      </c>
      <c r="G61" t="s">
        <v>876</v>
      </c>
      <c r="R61">
        <v>3</v>
      </c>
      <c r="S61" t="s">
        <v>541</v>
      </c>
      <c r="V61">
        <v>3</v>
      </c>
      <c r="W61" t="s">
        <v>650</v>
      </c>
    </row>
    <row r="62" spans="6:23" x14ac:dyDescent="0.3">
      <c r="F62">
        <v>3</v>
      </c>
      <c r="G62" t="s">
        <v>885</v>
      </c>
      <c r="R62">
        <v>3</v>
      </c>
      <c r="S62" t="s">
        <v>544</v>
      </c>
      <c r="V62">
        <v>3</v>
      </c>
      <c r="W62" t="s">
        <v>810</v>
      </c>
    </row>
    <row r="63" spans="6:23" x14ac:dyDescent="0.3">
      <c r="F63">
        <v>3</v>
      </c>
      <c r="G63" t="s">
        <v>999</v>
      </c>
      <c r="R63">
        <v>3</v>
      </c>
      <c r="S63" t="s">
        <v>811</v>
      </c>
      <c r="V63">
        <v>3</v>
      </c>
      <c r="W63" t="s">
        <v>388</v>
      </c>
    </row>
    <row r="64" spans="6:23" x14ac:dyDescent="0.3">
      <c r="F64">
        <v>3</v>
      </c>
      <c r="G64" t="s">
        <v>1006</v>
      </c>
      <c r="R64">
        <v>3</v>
      </c>
      <c r="S64" t="s">
        <v>1141</v>
      </c>
      <c r="V64">
        <v>3</v>
      </c>
      <c r="W64" t="s">
        <v>655</v>
      </c>
    </row>
    <row r="65" spans="6:23" x14ac:dyDescent="0.3">
      <c r="F65">
        <v>3</v>
      </c>
      <c r="G65" t="s">
        <v>1007</v>
      </c>
      <c r="R65">
        <v>3</v>
      </c>
      <c r="S65" t="s">
        <v>1197</v>
      </c>
      <c r="V65">
        <v>3</v>
      </c>
      <c r="W65" t="s">
        <v>1197</v>
      </c>
    </row>
    <row r="66" spans="6:23" x14ac:dyDescent="0.3">
      <c r="F66">
        <v>3</v>
      </c>
      <c r="G66" t="s">
        <v>1052</v>
      </c>
      <c r="V66">
        <v>3</v>
      </c>
      <c r="W66" t="s">
        <v>1364</v>
      </c>
    </row>
    <row r="67" spans="6:23" x14ac:dyDescent="0.3">
      <c r="F67">
        <v>3</v>
      </c>
      <c r="G67" t="s">
        <v>1001</v>
      </c>
      <c r="V67">
        <v>3</v>
      </c>
      <c r="W67" t="s">
        <v>1368</v>
      </c>
    </row>
    <row r="68" spans="6:23" x14ac:dyDescent="0.3">
      <c r="F68">
        <v>3</v>
      </c>
      <c r="G68" t="s">
        <v>1013</v>
      </c>
    </row>
    <row r="69" spans="6:23" x14ac:dyDescent="0.3">
      <c r="F69">
        <v>3</v>
      </c>
      <c r="G69" t="s">
        <v>1014</v>
      </c>
    </row>
    <row r="70" spans="6:23" x14ac:dyDescent="0.3">
      <c r="F70">
        <v>3</v>
      </c>
      <c r="G70" t="s">
        <v>1015</v>
      </c>
    </row>
    <row r="71" spans="6:23" x14ac:dyDescent="0.3">
      <c r="F71">
        <v>3</v>
      </c>
      <c r="G71" t="s">
        <v>1002</v>
      </c>
    </row>
    <row r="72" spans="6:23" x14ac:dyDescent="0.3">
      <c r="F72">
        <v>3</v>
      </c>
      <c r="G72" t="s">
        <v>1016</v>
      </c>
    </row>
    <row r="73" spans="6:23" x14ac:dyDescent="0.3">
      <c r="F73">
        <v>3</v>
      </c>
      <c r="G73" t="s">
        <v>1017</v>
      </c>
    </row>
    <row r="74" spans="6:23" x14ac:dyDescent="0.3">
      <c r="F74">
        <v>3</v>
      </c>
      <c r="G74" t="s">
        <v>1018</v>
      </c>
    </row>
    <row r="75" spans="6:23" x14ac:dyDescent="0.3">
      <c r="F75">
        <v>3</v>
      </c>
      <c r="G75" t="s">
        <v>1019</v>
      </c>
    </row>
    <row r="76" spans="6:23" x14ac:dyDescent="0.3">
      <c r="F76">
        <v>3</v>
      </c>
      <c r="G76" t="s">
        <v>1020</v>
      </c>
    </row>
    <row r="77" spans="6:23" x14ac:dyDescent="0.3">
      <c r="F77">
        <v>3</v>
      </c>
      <c r="G77" t="s">
        <v>1021</v>
      </c>
    </row>
    <row r="78" spans="6:23" x14ac:dyDescent="0.3">
      <c r="F78">
        <v>3</v>
      </c>
      <c r="G78" t="s">
        <v>1274</v>
      </c>
    </row>
    <row r="79" spans="6:23" x14ac:dyDescent="0.3">
      <c r="F79">
        <v>3</v>
      </c>
      <c r="G79" t="s">
        <v>1283</v>
      </c>
    </row>
  </sheetData>
  <conditionalFormatting sqref="C1:C6 C8:C12 C14:C21 C23:C1048576">
    <cfRule type="iconSet" priority="458">
      <iconSet iconSet="3Symbols" showValue="0">
        <cfvo type="percent" val="0"/>
        <cfvo type="num" val="2"/>
        <cfvo type="num" val="2" gte="0"/>
      </iconSet>
    </cfRule>
  </conditionalFormatting>
  <conditionalFormatting sqref="D2:D6 D8:D12 D14:D21 D23:D1048576">
    <cfRule type="expression" dxfId="347" priority="455">
      <formula>C2=1</formula>
    </cfRule>
    <cfRule type="expression" dxfId="346" priority="456">
      <formula>C2=2</formula>
    </cfRule>
    <cfRule type="expression" dxfId="345" priority="457">
      <formula>C2=3</formula>
    </cfRule>
  </conditionalFormatting>
  <conditionalFormatting sqref="D1">
    <cfRule type="expression" dxfId="344" priority="452">
      <formula>C1=1</formula>
    </cfRule>
    <cfRule type="expression" dxfId="343" priority="453">
      <formula>C1=2</formula>
    </cfRule>
    <cfRule type="expression" dxfId="342" priority="454">
      <formula>C1=3</formula>
    </cfRule>
  </conditionalFormatting>
  <conditionalFormatting sqref="C1">
    <cfRule type="cellIs" dxfId="341" priority="449" operator="equal">
      <formula>1</formula>
    </cfRule>
    <cfRule type="cellIs" dxfId="340" priority="450" operator="equal">
      <formula>2</formula>
    </cfRule>
    <cfRule type="cellIs" dxfId="339" priority="451" operator="equal">
      <formula>3</formula>
    </cfRule>
  </conditionalFormatting>
  <conditionalFormatting sqref="C22 C13 C7">
    <cfRule type="cellIs" dxfId="338" priority="442" operator="equal">
      <formula>1</formula>
    </cfRule>
    <cfRule type="cellIs" dxfId="337" priority="443" operator="equal">
      <formula>2</formula>
    </cfRule>
    <cfRule type="cellIs" dxfId="336" priority="444" operator="equal">
      <formula>3</formula>
    </cfRule>
  </conditionalFormatting>
  <conditionalFormatting sqref="C22 C13 C7">
    <cfRule type="iconSet" priority="448">
      <iconSet iconSet="3Symbols" showValue="0">
        <cfvo type="percent" val="0"/>
        <cfvo type="num" val="2"/>
        <cfvo type="num" val="2" gte="0"/>
      </iconSet>
    </cfRule>
  </conditionalFormatting>
  <conditionalFormatting sqref="D22 D13 D7">
    <cfRule type="expression" dxfId="335" priority="445">
      <formula>C7=1</formula>
    </cfRule>
    <cfRule type="expression" dxfId="334" priority="446">
      <formula>C7=2</formula>
    </cfRule>
    <cfRule type="expression" dxfId="333" priority="447">
      <formula>C7=3</formula>
    </cfRule>
  </conditionalFormatting>
  <conditionalFormatting sqref="G22">
    <cfRule type="expression" dxfId="332" priority="413">
      <formula>F22=1</formula>
    </cfRule>
    <cfRule type="expression" dxfId="331" priority="414">
      <formula>F22=2</formula>
    </cfRule>
    <cfRule type="expression" dxfId="330" priority="415">
      <formula>F22=3</formula>
    </cfRule>
  </conditionalFormatting>
  <conditionalFormatting sqref="F1:F6 F8:F12 F14:F21 F23:F1048576">
    <cfRule type="iconSet" priority="441">
      <iconSet iconSet="3Symbols" showValue="0">
        <cfvo type="percent" val="0"/>
        <cfvo type="num" val="2"/>
        <cfvo type="num" val="2" gte="0"/>
      </iconSet>
    </cfRule>
  </conditionalFormatting>
  <conditionalFormatting sqref="G2:G6 G8:G12 G14:G21 G23:G1048576">
    <cfRule type="expression" dxfId="329" priority="438">
      <formula>F2=1</formula>
    </cfRule>
    <cfRule type="expression" dxfId="328" priority="439">
      <formula>F2=2</formula>
    </cfRule>
    <cfRule type="expression" dxfId="327" priority="440">
      <formula>F2=3</formula>
    </cfRule>
  </conditionalFormatting>
  <conditionalFormatting sqref="G1">
    <cfRule type="expression" dxfId="326" priority="435">
      <formula>F1=1</formula>
    </cfRule>
    <cfRule type="expression" dxfId="325" priority="436">
      <formula>F1=2</formula>
    </cfRule>
    <cfRule type="expression" dxfId="324" priority="437">
      <formula>F1=3</formula>
    </cfRule>
  </conditionalFormatting>
  <conditionalFormatting sqref="F1">
    <cfRule type="cellIs" dxfId="323" priority="432" operator="equal">
      <formula>1</formula>
    </cfRule>
    <cfRule type="cellIs" dxfId="322" priority="433" operator="equal">
      <formula>2</formula>
    </cfRule>
    <cfRule type="cellIs" dxfId="321" priority="434" operator="equal">
      <formula>3</formula>
    </cfRule>
  </conditionalFormatting>
  <conditionalFormatting sqref="F7">
    <cfRule type="iconSet" priority="424">
      <iconSet iconSet="3Symbols" showValue="0">
        <cfvo type="percent" val="0"/>
        <cfvo type="num" val="2"/>
        <cfvo type="num" val="2" gte="0"/>
      </iconSet>
    </cfRule>
  </conditionalFormatting>
  <conditionalFormatting sqref="G7">
    <cfRule type="expression" dxfId="320" priority="421">
      <formula>F7=1</formula>
    </cfRule>
    <cfRule type="expression" dxfId="319" priority="422">
      <formula>F7=2</formula>
    </cfRule>
    <cfRule type="expression" dxfId="318" priority="423">
      <formula>F7=3</formula>
    </cfRule>
  </conditionalFormatting>
  <conditionalFormatting sqref="F13">
    <cfRule type="iconSet" priority="420">
      <iconSet iconSet="3Symbols" showValue="0">
        <cfvo type="percent" val="0"/>
        <cfvo type="num" val="2"/>
        <cfvo type="num" val="2" gte="0"/>
      </iconSet>
    </cfRule>
  </conditionalFormatting>
  <conditionalFormatting sqref="G13">
    <cfRule type="expression" dxfId="317" priority="417">
      <formula>F13=1</formula>
    </cfRule>
    <cfRule type="expression" dxfId="316" priority="418">
      <formula>F13=2</formula>
    </cfRule>
    <cfRule type="expression" dxfId="315" priority="419">
      <formula>F13=3</formula>
    </cfRule>
  </conditionalFormatting>
  <conditionalFormatting sqref="F22">
    <cfRule type="iconSet" priority="416">
      <iconSet iconSet="3Symbols" showValue="0">
        <cfvo type="percent" val="0"/>
        <cfvo type="num" val="2"/>
        <cfvo type="num" val="2" gte="0"/>
      </iconSet>
    </cfRule>
  </conditionalFormatting>
  <conditionalFormatting sqref="J22">
    <cfRule type="expression" dxfId="314" priority="391">
      <formula>I22=1</formula>
    </cfRule>
    <cfRule type="expression" dxfId="313" priority="392">
      <formula>I22=2</formula>
    </cfRule>
    <cfRule type="expression" dxfId="312" priority="393">
      <formula>I22=3</formula>
    </cfRule>
  </conditionalFormatting>
  <conditionalFormatting sqref="I1:I6 I8:I12 I14:I21 I23:I1048576">
    <cfRule type="iconSet" priority="412">
      <iconSet iconSet="3Symbols" showValue="0">
        <cfvo type="percent" val="0"/>
        <cfvo type="num" val="2"/>
        <cfvo type="num" val="2" gte="0"/>
      </iconSet>
    </cfRule>
  </conditionalFormatting>
  <conditionalFormatting sqref="J2:J6 J8:J12 J14:J21 J23:J1048576">
    <cfRule type="expression" dxfId="311" priority="409">
      <formula>I2=1</formula>
    </cfRule>
    <cfRule type="expression" dxfId="310" priority="410">
      <formula>I2=2</formula>
    </cfRule>
    <cfRule type="expression" dxfId="309" priority="411">
      <formula>I2=3</formula>
    </cfRule>
  </conditionalFormatting>
  <conditionalFormatting sqref="J1">
    <cfRule type="expression" dxfId="308" priority="406">
      <formula>I1=1</formula>
    </cfRule>
    <cfRule type="expression" dxfId="307" priority="407">
      <formula>I1=2</formula>
    </cfRule>
    <cfRule type="expression" dxfId="306" priority="408">
      <formula>I1=3</formula>
    </cfRule>
  </conditionalFormatting>
  <conditionalFormatting sqref="I1">
    <cfRule type="cellIs" dxfId="305" priority="403" operator="equal">
      <formula>1</formula>
    </cfRule>
    <cfRule type="cellIs" dxfId="304" priority="404" operator="equal">
      <formula>2</formula>
    </cfRule>
    <cfRule type="cellIs" dxfId="303" priority="405" operator="equal">
      <formula>3</formula>
    </cfRule>
  </conditionalFormatting>
  <conditionalFormatting sqref="I7">
    <cfRule type="iconSet" priority="402">
      <iconSet iconSet="3Symbols" showValue="0">
        <cfvo type="percent" val="0"/>
        <cfvo type="num" val="2"/>
        <cfvo type="num" val="2" gte="0"/>
      </iconSet>
    </cfRule>
  </conditionalFormatting>
  <conditionalFormatting sqref="J7">
    <cfRule type="expression" dxfId="302" priority="399">
      <formula>I7=1</formula>
    </cfRule>
    <cfRule type="expression" dxfId="301" priority="400">
      <formula>I7=2</formula>
    </cfRule>
    <cfRule type="expression" dxfId="300" priority="401">
      <formula>I7=3</formula>
    </cfRule>
  </conditionalFormatting>
  <conditionalFormatting sqref="I13">
    <cfRule type="iconSet" priority="398">
      <iconSet iconSet="3Symbols" showValue="0">
        <cfvo type="percent" val="0"/>
        <cfvo type="num" val="2"/>
        <cfvo type="num" val="2" gte="0"/>
      </iconSet>
    </cfRule>
  </conditionalFormatting>
  <conditionalFormatting sqref="J13">
    <cfRule type="expression" dxfId="299" priority="395">
      <formula>I13=1</formula>
    </cfRule>
    <cfRule type="expression" dxfId="298" priority="396">
      <formula>I13=2</formula>
    </cfRule>
    <cfRule type="expression" dxfId="297" priority="397">
      <formula>I13=3</formula>
    </cfRule>
  </conditionalFormatting>
  <conditionalFormatting sqref="I22">
    <cfRule type="iconSet" priority="394">
      <iconSet iconSet="3Symbols" showValue="0">
        <cfvo type="percent" val="0"/>
        <cfvo type="num" val="2"/>
        <cfvo type="num" val="2" gte="0"/>
      </iconSet>
    </cfRule>
  </conditionalFormatting>
  <conditionalFormatting sqref="L18">
    <cfRule type="cellIs" dxfId="296" priority="355" operator="equal">
      <formula>1</formula>
    </cfRule>
    <cfRule type="cellIs" dxfId="295" priority="356" operator="equal">
      <formula>2</formula>
    </cfRule>
    <cfRule type="cellIs" dxfId="294" priority="357" operator="equal">
      <formula>3</formula>
    </cfRule>
  </conditionalFormatting>
  <conditionalFormatting sqref="M22">
    <cfRule type="expression" dxfId="293" priority="369">
      <formula>L22=1</formula>
    </cfRule>
    <cfRule type="expression" dxfId="292" priority="370">
      <formula>L22=2</formula>
    </cfRule>
    <cfRule type="expression" dxfId="291" priority="371">
      <formula>L22=3</formula>
    </cfRule>
  </conditionalFormatting>
  <conditionalFormatting sqref="L1:L6 L8:L9 L14:L17 L23:L1048576 L11:L12 L19:L21">
    <cfRule type="iconSet" priority="390">
      <iconSet iconSet="3Symbols" showValue="0">
        <cfvo type="percent" val="0"/>
        <cfvo type="num" val="2"/>
        <cfvo type="num" val="2" gte="0"/>
      </iconSet>
    </cfRule>
  </conditionalFormatting>
  <conditionalFormatting sqref="M2:M6 M8:M9 M14:M17 M23:M1048576 M11:M12 M19:M21">
    <cfRule type="expression" dxfId="290" priority="387">
      <formula>L2=1</formula>
    </cfRule>
    <cfRule type="expression" dxfId="289" priority="388">
      <formula>L2=2</formula>
    </cfRule>
    <cfRule type="expression" dxfId="288" priority="389">
      <formula>L2=3</formula>
    </cfRule>
  </conditionalFormatting>
  <conditionalFormatting sqref="M1">
    <cfRule type="expression" dxfId="287" priority="384">
      <formula>L1=1</formula>
    </cfRule>
    <cfRule type="expression" dxfId="286" priority="385">
      <formula>L1=2</formula>
    </cfRule>
    <cfRule type="expression" dxfId="285" priority="386">
      <formula>L1=3</formula>
    </cfRule>
  </conditionalFormatting>
  <conditionalFormatting sqref="L1">
    <cfRule type="cellIs" dxfId="284" priority="381" operator="equal">
      <formula>1</formula>
    </cfRule>
    <cfRule type="cellIs" dxfId="283" priority="382" operator="equal">
      <formula>2</formula>
    </cfRule>
    <cfRule type="cellIs" dxfId="282" priority="383" operator="equal">
      <formula>3</formula>
    </cfRule>
  </conditionalFormatting>
  <conditionalFormatting sqref="L7">
    <cfRule type="iconSet" priority="380">
      <iconSet iconSet="3Symbols" showValue="0">
        <cfvo type="percent" val="0"/>
        <cfvo type="num" val="2"/>
        <cfvo type="num" val="2" gte="0"/>
      </iconSet>
    </cfRule>
  </conditionalFormatting>
  <conditionalFormatting sqref="M7">
    <cfRule type="expression" dxfId="281" priority="377">
      <formula>L7=1</formula>
    </cfRule>
    <cfRule type="expression" dxfId="280" priority="378">
      <formula>L7=2</formula>
    </cfRule>
    <cfRule type="expression" dxfId="279" priority="379">
      <formula>L7=3</formula>
    </cfRule>
  </conditionalFormatting>
  <conditionalFormatting sqref="L13">
    <cfRule type="iconSet" priority="376">
      <iconSet iconSet="3Symbols" showValue="0">
        <cfvo type="percent" val="0"/>
        <cfvo type="num" val="2"/>
        <cfvo type="num" val="2" gte="0"/>
      </iconSet>
    </cfRule>
  </conditionalFormatting>
  <conditionalFormatting sqref="M13">
    <cfRule type="expression" dxfId="278" priority="373">
      <formula>L13=1</formula>
    </cfRule>
    <cfRule type="expression" dxfId="277" priority="374">
      <formula>L13=2</formula>
    </cfRule>
    <cfRule type="expression" dxfId="276" priority="375">
      <formula>L13=3</formula>
    </cfRule>
  </conditionalFormatting>
  <conditionalFormatting sqref="L22">
    <cfRule type="iconSet" priority="372">
      <iconSet iconSet="3Symbols" showValue="0">
        <cfvo type="percent" val="0"/>
        <cfvo type="num" val="2"/>
        <cfvo type="num" val="2" gte="0"/>
      </iconSet>
    </cfRule>
  </conditionalFormatting>
  <conditionalFormatting sqref="L10">
    <cfRule type="iconSet" priority="368">
      <iconSet iconSet="3Symbols" showValue="0">
        <cfvo type="percent" val="0"/>
        <cfvo type="num" val="2"/>
        <cfvo type="num" val="2" gte="0"/>
      </iconSet>
    </cfRule>
  </conditionalFormatting>
  <conditionalFormatting sqref="M10">
    <cfRule type="expression" dxfId="275" priority="365">
      <formula>L10=1</formula>
    </cfRule>
    <cfRule type="expression" dxfId="274" priority="366">
      <formula>L10=2</formula>
    </cfRule>
    <cfRule type="expression" dxfId="273" priority="367">
      <formula>L10=3</formula>
    </cfRule>
  </conditionalFormatting>
  <conditionalFormatting sqref="L10">
    <cfRule type="cellIs" dxfId="272" priority="362" operator="equal">
      <formula>1</formula>
    </cfRule>
    <cfRule type="cellIs" dxfId="271" priority="363" operator="equal">
      <formula>2</formula>
    </cfRule>
    <cfRule type="cellIs" dxfId="270" priority="364" operator="equal">
      <formula>3</formula>
    </cfRule>
  </conditionalFormatting>
  <conditionalFormatting sqref="L18">
    <cfRule type="iconSet" priority="361">
      <iconSet iconSet="3Symbols" showValue="0">
        <cfvo type="percent" val="0"/>
        <cfvo type="num" val="2"/>
        <cfvo type="num" val="2" gte="0"/>
      </iconSet>
    </cfRule>
  </conditionalFormatting>
  <conditionalFormatting sqref="M18">
    <cfRule type="expression" dxfId="269" priority="358">
      <formula>L18=1</formula>
    </cfRule>
    <cfRule type="expression" dxfId="268" priority="359">
      <formula>L18=2</formula>
    </cfRule>
    <cfRule type="expression" dxfId="267" priority="360">
      <formula>L18=3</formula>
    </cfRule>
  </conditionalFormatting>
  <conditionalFormatting sqref="O23">
    <cfRule type="cellIs" dxfId="266" priority="312" operator="equal">
      <formula>1</formula>
    </cfRule>
    <cfRule type="cellIs" dxfId="265" priority="313" operator="equal">
      <formula>2</formula>
    </cfRule>
    <cfRule type="cellIs" dxfId="264" priority="314" operator="equal">
      <formula>3</formula>
    </cfRule>
  </conditionalFormatting>
  <conditionalFormatting sqref="P22">
    <cfRule type="expression" dxfId="263" priority="333">
      <formula>O22=1</formula>
    </cfRule>
    <cfRule type="expression" dxfId="262" priority="334">
      <formula>O22=2</formula>
    </cfRule>
    <cfRule type="expression" dxfId="261" priority="335">
      <formula>O22=3</formula>
    </cfRule>
  </conditionalFormatting>
  <conditionalFormatting sqref="O1:O5 O8:O12 O14:O16 O24:O37 O46:O1048576 O18:O21">
    <cfRule type="iconSet" priority="354">
      <iconSet iconSet="3Symbols" showValue="0">
        <cfvo type="percent" val="0"/>
        <cfvo type="num" val="2"/>
        <cfvo type="num" val="2" gte="0"/>
      </iconSet>
    </cfRule>
  </conditionalFormatting>
  <conditionalFormatting sqref="P2:P5 P8:P12 P14:P16 P24:P37 P46:P1048576 P18:P21">
    <cfRule type="expression" dxfId="260" priority="351">
      <formula>O2=1</formula>
    </cfRule>
    <cfRule type="expression" dxfId="259" priority="352">
      <formula>O2=2</formula>
    </cfRule>
    <cfRule type="expression" dxfId="258" priority="353">
      <formula>O2=3</formula>
    </cfRule>
  </conditionalFormatting>
  <conditionalFormatting sqref="P1">
    <cfRule type="expression" dxfId="257" priority="348">
      <formula>O1=1</formula>
    </cfRule>
    <cfRule type="expression" dxfId="256" priority="349">
      <formula>O1=2</formula>
    </cfRule>
    <cfRule type="expression" dxfId="255" priority="350">
      <formula>O1=3</formula>
    </cfRule>
  </conditionalFormatting>
  <conditionalFormatting sqref="O1">
    <cfRule type="cellIs" dxfId="254" priority="345" operator="equal">
      <formula>1</formula>
    </cfRule>
    <cfRule type="cellIs" dxfId="253" priority="346" operator="equal">
      <formula>2</formula>
    </cfRule>
    <cfRule type="cellIs" dxfId="252" priority="347" operator="equal">
      <formula>3</formula>
    </cfRule>
  </conditionalFormatting>
  <conditionalFormatting sqref="O7">
    <cfRule type="iconSet" priority="344">
      <iconSet iconSet="3Symbols" showValue="0">
        <cfvo type="percent" val="0"/>
        <cfvo type="num" val="2"/>
        <cfvo type="num" val="2" gte="0"/>
      </iconSet>
    </cfRule>
  </conditionalFormatting>
  <conditionalFormatting sqref="P7">
    <cfRule type="expression" dxfId="251" priority="341">
      <formula>O7=1</formula>
    </cfRule>
    <cfRule type="expression" dxfId="250" priority="342">
      <formula>O7=2</formula>
    </cfRule>
    <cfRule type="expression" dxfId="249" priority="343">
      <formula>O7=3</formula>
    </cfRule>
  </conditionalFormatting>
  <conditionalFormatting sqref="O13">
    <cfRule type="iconSet" priority="340">
      <iconSet iconSet="3Symbols" showValue="0">
        <cfvo type="percent" val="0"/>
        <cfvo type="num" val="2"/>
        <cfvo type="num" val="2" gte="0"/>
      </iconSet>
    </cfRule>
  </conditionalFormatting>
  <conditionalFormatting sqref="P13">
    <cfRule type="expression" dxfId="248" priority="337">
      <formula>O13=1</formula>
    </cfRule>
    <cfRule type="expression" dxfId="247" priority="338">
      <formula>O13=2</formula>
    </cfRule>
    <cfRule type="expression" dxfId="246" priority="339">
      <formula>O13=3</formula>
    </cfRule>
  </conditionalFormatting>
  <conditionalFormatting sqref="O22">
    <cfRule type="iconSet" priority="336">
      <iconSet iconSet="3Symbols" showValue="0">
        <cfvo type="percent" val="0"/>
        <cfvo type="num" val="2"/>
        <cfvo type="num" val="2" gte="0"/>
      </iconSet>
    </cfRule>
  </conditionalFormatting>
  <conditionalFormatting sqref="O6">
    <cfRule type="iconSet" priority="332">
      <iconSet iconSet="3Symbols" showValue="0">
        <cfvo type="percent" val="0"/>
        <cfvo type="num" val="2"/>
        <cfvo type="num" val="2" gte="0"/>
      </iconSet>
    </cfRule>
  </conditionalFormatting>
  <conditionalFormatting sqref="P6">
    <cfRule type="expression" dxfId="245" priority="329">
      <formula>O6=1</formula>
    </cfRule>
    <cfRule type="expression" dxfId="244" priority="330">
      <formula>O6=2</formula>
    </cfRule>
    <cfRule type="expression" dxfId="243" priority="331">
      <formula>O6=3</formula>
    </cfRule>
  </conditionalFormatting>
  <conditionalFormatting sqref="O6">
    <cfRule type="cellIs" dxfId="242" priority="326" operator="equal">
      <formula>1</formula>
    </cfRule>
    <cfRule type="cellIs" dxfId="241" priority="327" operator="equal">
      <formula>2</formula>
    </cfRule>
    <cfRule type="cellIs" dxfId="240" priority="328" operator="equal">
      <formula>3</formula>
    </cfRule>
  </conditionalFormatting>
  <conditionalFormatting sqref="O17">
    <cfRule type="iconSet" priority="325">
      <iconSet iconSet="3Symbols" showValue="0">
        <cfvo type="percent" val="0"/>
        <cfvo type="num" val="2"/>
        <cfvo type="num" val="2" gte="0"/>
      </iconSet>
    </cfRule>
  </conditionalFormatting>
  <conditionalFormatting sqref="P17">
    <cfRule type="expression" dxfId="239" priority="322">
      <formula>O17=1</formula>
    </cfRule>
    <cfRule type="expression" dxfId="238" priority="323">
      <formula>O17=2</formula>
    </cfRule>
    <cfRule type="expression" dxfId="237" priority="324">
      <formula>O17=3</formula>
    </cfRule>
  </conditionalFormatting>
  <conditionalFormatting sqref="O17">
    <cfRule type="cellIs" dxfId="236" priority="319" operator="equal">
      <formula>1</formula>
    </cfRule>
    <cfRule type="cellIs" dxfId="235" priority="320" operator="equal">
      <formula>2</formula>
    </cfRule>
    <cfRule type="cellIs" dxfId="234" priority="321" operator="equal">
      <formula>3</formula>
    </cfRule>
  </conditionalFormatting>
  <conditionalFormatting sqref="O23">
    <cfRule type="iconSet" priority="318">
      <iconSet iconSet="3Symbols" showValue="0">
        <cfvo type="percent" val="0"/>
        <cfvo type="num" val="2"/>
        <cfvo type="num" val="2" gte="0"/>
      </iconSet>
    </cfRule>
  </conditionalFormatting>
  <conditionalFormatting sqref="P23">
    <cfRule type="expression" dxfId="233" priority="315">
      <formula>O23=1</formula>
    </cfRule>
    <cfRule type="expression" dxfId="232" priority="316">
      <formula>O23=2</formula>
    </cfRule>
    <cfRule type="expression" dxfId="231" priority="317">
      <formula>O23=3</formula>
    </cfRule>
  </conditionalFormatting>
  <conditionalFormatting sqref="R29">
    <cfRule type="cellIs" dxfId="230" priority="269" operator="equal">
      <formula>1</formula>
    </cfRule>
    <cfRule type="cellIs" dxfId="229" priority="270" operator="equal">
      <formula>2</formula>
    </cfRule>
    <cfRule type="cellIs" dxfId="228" priority="271" operator="equal">
      <formula>3</formula>
    </cfRule>
  </conditionalFormatting>
  <conditionalFormatting sqref="S22">
    <cfRule type="expression" dxfId="227" priority="290">
      <formula>R22=1</formula>
    </cfRule>
    <cfRule type="expression" dxfId="226" priority="291">
      <formula>R22=2</formula>
    </cfRule>
    <cfRule type="expression" dxfId="225" priority="292">
      <formula>R22=3</formula>
    </cfRule>
  </conditionalFormatting>
  <conditionalFormatting sqref="R1:R6 R8:R12 R14 R24:R28 R16:R21 R30:R1048576">
    <cfRule type="iconSet" priority="311">
      <iconSet iconSet="3Symbols" showValue="0">
        <cfvo type="percent" val="0"/>
        <cfvo type="num" val="2"/>
        <cfvo type="num" val="2" gte="0"/>
      </iconSet>
    </cfRule>
  </conditionalFormatting>
  <conditionalFormatting sqref="S2:S6 S8:S12 S14 S24:S28 S16:S21 S30:S1048576">
    <cfRule type="expression" dxfId="224" priority="308">
      <formula>R2=1</formula>
    </cfRule>
    <cfRule type="expression" dxfId="223" priority="309">
      <formula>R2=2</formula>
    </cfRule>
    <cfRule type="expression" dxfId="222" priority="310">
      <formula>R2=3</formula>
    </cfRule>
  </conditionalFormatting>
  <conditionalFormatting sqref="S1">
    <cfRule type="expression" dxfId="221" priority="305">
      <formula>R1=1</formula>
    </cfRule>
    <cfRule type="expression" dxfId="220" priority="306">
      <formula>R1=2</formula>
    </cfRule>
    <cfRule type="expression" dxfId="219" priority="307">
      <formula>R1=3</formula>
    </cfRule>
  </conditionalFormatting>
  <conditionalFormatting sqref="R1">
    <cfRule type="cellIs" dxfId="218" priority="302" operator="equal">
      <formula>1</formula>
    </cfRule>
    <cfRule type="cellIs" dxfId="217" priority="303" operator="equal">
      <formula>2</formula>
    </cfRule>
    <cfRule type="cellIs" dxfId="216" priority="304" operator="equal">
      <formula>3</formula>
    </cfRule>
  </conditionalFormatting>
  <conditionalFormatting sqref="R7">
    <cfRule type="iconSet" priority="301">
      <iconSet iconSet="3Symbols" showValue="0">
        <cfvo type="percent" val="0"/>
        <cfvo type="num" val="2"/>
        <cfvo type="num" val="2" gte="0"/>
      </iconSet>
    </cfRule>
  </conditionalFormatting>
  <conditionalFormatting sqref="S7">
    <cfRule type="expression" dxfId="215" priority="298">
      <formula>R7=1</formula>
    </cfRule>
    <cfRule type="expression" dxfId="214" priority="299">
      <formula>R7=2</formula>
    </cfRule>
    <cfRule type="expression" dxfId="213" priority="300">
      <formula>R7=3</formula>
    </cfRule>
  </conditionalFormatting>
  <conditionalFormatting sqref="R13">
    <cfRule type="iconSet" priority="297">
      <iconSet iconSet="3Symbols" showValue="0">
        <cfvo type="percent" val="0"/>
        <cfvo type="num" val="2"/>
        <cfvo type="num" val="2" gte="0"/>
      </iconSet>
    </cfRule>
  </conditionalFormatting>
  <conditionalFormatting sqref="S13">
    <cfRule type="expression" dxfId="212" priority="294">
      <formula>R13=1</formula>
    </cfRule>
    <cfRule type="expression" dxfId="211" priority="295">
      <formula>R13=2</formula>
    </cfRule>
    <cfRule type="expression" dxfId="210" priority="296">
      <formula>R13=3</formula>
    </cfRule>
  </conditionalFormatting>
  <conditionalFormatting sqref="R22">
    <cfRule type="iconSet" priority="293">
      <iconSet iconSet="3Symbols" showValue="0">
        <cfvo type="percent" val="0"/>
        <cfvo type="num" val="2"/>
        <cfvo type="num" val="2" gte="0"/>
      </iconSet>
    </cfRule>
  </conditionalFormatting>
  <conditionalFormatting sqref="R15">
    <cfRule type="iconSet" priority="289">
      <iconSet iconSet="3Symbols" showValue="0">
        <cfvo type="percent" val="0"/>
        <cfvo type="num" val="2"/>
        <cfvo type="num" val="2" gte="0"/>
      </iconSet>
    </cfRule>
  </conditionalFormatting>
  <conditionalFormatting sqref="S15">
    <cfRule type="expression" dxfId="209" priority="286">
      <formula>R15=1</formula>
    </cfRule>
    <cfRule type="expression" dxfId="208" priority="287">
      <formula>R15=2</formula>
    </cfRule>
    <cfRule type="expression" dxfId="207" priority="288">
      <formula>R15=3</formula>
    </cfRule>
  </conditionalFormatting>
  <conditionalFormatting sqref="R15">
    <cfRule type="cellIs" dxfId="206" priority="283" operator="equal">
      <formula>1</formula>
    </cfRule>
    <cfRule type="cellIs" dxfId="205" priority="284" operator="equal">
      <formula>2</formula>
    </cfRule>
    <cfRule type="cellIs" dxfId="204" priority="285" operator="equal">
      <formula>3</formula>
    </cfRule>
  </conditionalFormatting>
  <conditionalFormatting sqref="R23">
    <cfRule type="iconSet" priority="282">
      <iconSet iconSet="3Symbols" showValue="0">
        <cfvo type="percent" val="0"/>
        <cfvo type="num" val="2"/>
        <cfvo type="num" val="2" gte="0"/>
      </iconSet>
    </cfRule>
  </conditionalFormatting>
  <conditionalFormatting sqref="S23">
    <cfRule type="expression" dxfId="203" priority="279">
      <formula>R23=1</formula>
    </cfRule>
    <cfRule type="expression" dxfId="202" priority="280">
      <formula>R23=2</formula>
    </cfRule>
    <cfRule type="expression" dxfId="201" priority="281">
      <formula>R23=3</formula>
    </cfRule>
  </conditionalFormatting>
  <conditionalFormatting sqref="R23">
    <cfRule type="cellIs" dxfId="200" priority="276" operator="equal">
      <formula>1</formula>
    </cfRule>
    <cfRule type="cellIs" dxfId="199" priority="277" operator="equal">
      <formula>2</formula>
    </cfRule>
    <cfRule type="cellIs" dxfId="198" priority="278" operator="equal">
      <formula>3</formula>
    </cfRule>
  </conditionalFormatting>
  <conditionalFormatting sqref="R29">
    <cfRule type="iconSet" priority="275">
      <iconSet iconSet="3Symbols" showValue="0">
        <cfvo type="percent" val="0"/>
        <cfvo type="num" val="2"/>
        <cfvo type="num" val="2" gte="0"/>
      </iconSet>
    </cfRule>
  </conditionalFormatting>
  <conditionalFormatting sqref="S29">
    <cfRule type="expression" dxfId="197" priority="272">
      <formula>R29=1</formula>
    </cfRule>
    <cfRule type="expression" dxfId="196" priority="273">
      <formula>R29=2</formula>
    </cfRule>
    <cfRule type="expression" dxfId="195" priority="274">
      <formula>R29=3</formula>
    </cfRule>
  </conditionalFormatting>
  <conditionalFormatting sqref="Z22">
    <cfRule type="expression" dxfId="194" priority="189">
      <formula>Y22=1</formula>
    </cfRule>
    <cfRule type="expression" dxfId="193" priority="190">
      <formula>Y22=2</formula>
    </cfRule>
    <cfRule type="expression" dxfId="192" priority="191">
      <formula>Y22=3</formula>
    </cfRule>
  </conditionalFormatting>
  <conditionalFormatting sqref="V34 V26 V10">
    <cfRule type="cellIs" dxfId="191" priority="211" operator="equal">
      <formula>1</formula>
    </cfRule>
    <cfRule type="cellIs" dxfId="190" priority="212" operator="equal">
      <formula>2</formula>
    </cfRule>
    <cfRule type="cellIs" dxfId="189" priority="213" operator="equal">
      <formula>3</formula>
    </cfRule>
  </conditionalFormatting>
  <conditionalFormatting sqref="W22">
    <cfRule type="expression" dxfId="188" priority="218">
      <formula>V22=1</formula>
    </cfRule>
    <cfRule type="expression" dxfId="187" priority="219">
      <formula>V22=2</formula>
    </cfRule>
    <cfRule type="expression" dxfId="186" priority="220">
      <formula>V22=3</formula>
    </cfRule>
  </conditionalFormatting>
  <conditionalFormatting sqref="V1:V6 V8:V9 V14:V21 V23:V25 V11:V12 V27:V33 V48:V1048576">
    <cfRule type="iconSet" priority="239">
      <iconSet iconSet="3Symbols" showValue="0">
        <cfvo type="percent" val="0"/>
        <cfvo type="num" val="2"/>
        <cfvo type="num" val="2" gte="0"/>
      </iconSet>
    </cfRule>
  </conditionalFormatting>
  <conditionalFormatting sqref="W2:W6 W8:W9 W14:W21 W23:W25 W11:W12 W27:W33 W48:W1048576">
    <cfRule type="expression" dxfId="185" priority="236">
      <formula>V2=1</formula>
    </cfRule>
    <cfRule type="expression" dxfId="184" priority="237">
      <formula>V2=2</formula>
    </cfRule>
    <cfRule type="expression" dxfId="183" priority="238">
      <formula>V2=3</formula>
    </cfRule>
  </conditionalFormatting>
  <conditionalFormatting sqref="W1">
    <cfRule type="expression" dxfId="182" priority="233">
      <formula>V1=1</formula>
    </cfRule>
    <cfRule type="expression" dxfId="181" priority="234">
      <formula>V1=2</formula>
    </cfRule>
    <cfRule type="expression" dxfId="180" priority="235">
      <formula>V1=3</formula>
    </cfRule>
  </conditionalFormatting>
  <conditionalFormatting sqref="V1">
    <cfRule type="cellIs" dxfId="179" priority="230" operator="equal">
      <formula>1</formula>
    </cfRule>
    <cfRule type="cellIs" dxfId="178" priority="231" operator="equal">
      <formula>2</formula>
    </cfRule>
    <cfRule type="cellIs" dxfId="177" priority="232" operator="equal">
      <formula>3</formula>
    </cfRule>
  </conditionalFormatting>
  <conditionalFormatting sqref="V7">
    <cfRule type="iconSet" priority="229">
      <iconSet iconSet="3Symbols" showValue="0">
        <cfvo type="percent" val="0"/>
        <cfvo type="num" val="2"/>
        <cfvo type="num" val="2" gte="0"/>
      </iconSet>
    </cfRule>
  </conditionalFormatting>
  <conditionalFormatting sqref="W7">
    <cfRule type="expression" dxfId="176" priority="226">
      <formula>V7=1</formula>
    </cfRule>
    <cfRule type="expression" dxfId="175" priority="227">
      <formula>V7=2</formula>
    </cfRule>
    <cfRule type="expression" dxfId="174" priority="228">
      <formula>V7=3</formula>
    </cfRule>
  </conditionalFormatting>
  <conditionalFormatting sqref="V13">
    <cfRule type="iconSet" priority="225">
      <iconSet iconSet="3Symbols" showValue="0">
        <cfvo type="percent" val="0"/>
        <cfvo type="num" val="2"/>
        <cfvo type="num" val="2" gte="0"/>
      </iconSet>
    </cfRule>
  </conditionalFormatting>
  <conditionalFormatting sqref="W13">
    <cfRule type="expression" dxfId="173" priority="222">
      <formula>V13=1</formula>
    </cfRule>
    <cfRule type="expression" dxfId="172" priority="223">
      <formula>V13=2</formula>
    </cfRule>
    <cfRule type="expression" dxfId="171" priority="224">
      <formula>V13=3</formula>
    </cfRule>
  </conditionalFormatting>
  <conditionalFormatting sqref="V22">
    <cfRule type="iconSet" priority="221">
      <iconSet iconSet="3Symbols" showValue="0">
        <cfvo type="percent" val="0"/>
        <cfvo type="num" val="2"/>
        <cfvo type="num" val="2" gte="0"/>
      </iconSet>
    </cfRule>
  </conditionalFormatting>
  <conditionalFormatting sqref="V34 V26 V10">
    <cfRule type="iconSet" priority="217">
      <iconSet iconSet="3Symbols" showValue="0">
        <cfvo type="percent" val="0"/>
        <cfvo type="num" val="2"/>
        <cfvo type="num" val="2" gte="0"/>
      </iconSet>
    </cfRule>
  </conditionalFormatting>
  <conditionalFormatting sqref="W34 W26 W10">
    <cfRule type="expression" dxfId="170" priority="214">
      <formula>V10=1</formula>
    </cfRule>
    <cfRule type="expression" dxfId="169" priority="215">
      <formula>V10=2</formula>
    </cfRule>
    <cfRule type="expression" dxfId="168" priority="216">
      <formula>V10=3</formula>
    </cfRule>
  </conditionalFormatting>
  <conditionalFormatting sqref="Y1:Y6 Y8:Y12 Y14:Y21 Y23:Y1048576">
    <cfRule type="iconSet" priority="210">
      <iconSet iconSet="3Symbols" showValue="0">
        <cfvo type="percent" val="0"/>
        <cfvo type="num" val="2"/>
        <cfvo type="num" val="2" gte="0"/>
      </iconSet>
    </cfRule>
  </conditionalFormatting>
  <conditionalFormatting sqref="Z2:Z6 Z8:Z12 Z14:Z21 Z23:Z1048576">
    <cfRule type="expression" dxfId="167" priority="207">
      <formula>Y2=1</formula>
    </cfRule>
    <cfRule type="expression" dxfId="166" priority="208">
      <formula>Y2=2</formula>
    </cfRule>
    <cfRule type="expression" dxfId="165" priority="209">
      <formula>Y2=3</formula>
    </cfRule>
  </conditionalFormatting>
  <conditionalFormatting sqref="Z1">
    <cfRule type="expression" dxfId="164" priority="204">
      <formula>Y1=1</formula>
    </cfRule>
    <cfRule type="expression" dxfId="163" priority="205">
      <formula>Y1=2</formula>
    </cfRule>
    <cfRule type="expression" dxfId="162" priority="206">
      <formula>Y1=3</formula>
    </cfRule>
  </conditionalFormatting>
  <conditionalFormatting sqref="Y1">
    <cfRule type="cellIs" dxfId="161" priority="201" operator="equal">
      <formula>1</formula>
    </cfRule>
    <cfRule type="cellIs" dxfId="160" priority="202" operator="equal">
      <formula>2</formula>
    </cfRule>
    <cfRule type="cellIs" dxfId="159" priority="203" operator="equal">
      <formula>3</formula>
    </cfRule>
  </conditionalFormatting>
  <conditionalFormatting sqref="Y7">
    <cfRule type="iconSet" priority="200">
      <iconSet iconSet="3Symbols" showValue="0">
        <cfvo type="percent" val="0"/>
        <cfvo type="num" val="2"/>
        <cfvo type="num" val="2" gte="0"/>
      </iconSet>
    </cfRule>
  </conditionalFormatting>
  <conditionalFormatting sqref="Z7">
    <cfRule type="expression" dxfId="158" priority="197">
      <formula>Y7=1</formula>
    </cfRule>
    <cfRule type="expression" dxfId="157" priority="198">
      <formula>Y7=2</formula>
    </cfRule>
    <cfRule type="expression" dxfId="156" priority="199">
      <formula>Y7=3</formula>
    </cfRule>
  </conditionalFormatting>
  <conditionalFormatting sqref="Y13">
    <cfRule type="iconSet" priority="196">
      <iconSet iconSet="3Symbols" showValue="0">
        <cfvo type="percent" val="0"/>
        <cfvo type="num" val="2"/>
        <cfvo type="num" val="2" gte="0"/>
      </iconSet>
    </cfRule>
  </conditionalFormatting>
  <conditionalFormatting sqref="Z13">
    <cfRule type="expression" dxfId="155" priority="193">
      <formula>Y13=1</formula>
    </cfRule>
    <cfRule type="expression" dxfId="154" priority="194">
      <formula>Y13=2</formula>
    </cfRule>
    <cfRule type="expression" dxfId="153" priority="195">
      <formula>Y13=3</formula>
    </cfRule>
  </conditionalFormatting>
  <conditionalFormatting sqref="Y22">
    <cfRule type="iconSet" priority="192">
      <iconSet iconSet="3Symbols" showValue="0">
        <cfvo type="percent" val="0"/>
        <cfvo type="num" val="2"/>
        <cfvo type="num" val="2" gte="0"/>
      </iconSet>
    </cfRule>
  </conditionalFormatting>
  <conditionalFormatting sqref="O38:O45">
    <cfRule type="iconSet" priority="188">
      <iconSet iconSet="3Symbols" showValue="0">
        <cfvo type="percent" val="0"/>
        <cfvo type="num" val="2"/>
        <cfvo type="num" val="2" gte="0"/>
      </iconSet>
    </cfRule>
  </conditionalFormatting>
  <conditionalFormatting sqref="P38:P45">
    <cfRule type="expression" dxfId="152" priority="185">
      <formula>O38=1</formula>
    </cfRule>
    <cfRule type="expression" dxfId="151" priority="186">
      <formula>O38=2</formula>
    </cfRule>
    <cfRule type="expression" dxfId="150" priority="187">
      <formula>O38=3</formula>
    </cfRule>
  </conditionalFormatting>
  <conditionalFormatting sqref="O18">
    <cfRule type="iconSet" priority="184">
      <iconSet iconSet="3Symbols" showValue="0">
        <cfvo type="percent" val="0"/>
        <cfvo type="num" val="2"/>
        <cfvo type="num" val="2" gte="0"/>
      </iconSet>
    </cfRule>
  </conditionalFormatting>
  <conditionalFormatting sqref="P18">
    <cfRule type="expression" dxfId="149" priority="181">
      <formula>O18=1</formula>
    </cfRule>
    <cfRule type="expression" dxfId="148" priority="182">
      <formula>O18=2</formula>
    </cfRule>
    <cfRule type="expression" dxfId="147" priority="183">
      <formula>O18=3</formula>
    </cfRule>
  </conditionalFormatting>
  <conditionalFormatting sqref="O18">
    <cfRule type="cellIs" dxfId="146" priority="178" operator="equal">
      <formula>1</formula>
    </cfRule>
    <cfRule type="cellIs" dxfId="145" priority="179" operator="equal">
      <formula>2</formula>
    </cfRule>
    <cfRule type="cellIs" dxfId="144" priority="180" operator="equal">
      <formula>3</formula>
    </cfRule>
  </conditionalFormatting>
  <conditionalFormatting sqref="V35:V47">
    <cfRule type="iconSet" priority="177">
      <iconSet iconSet="3Symbols" showValue="0">
        <cfvo type="percent" val="0"/>
        <cfvo type="num" val="2"/>
        <cfvo type="num" val="2" gte="0"/>
      </iconSet>
    </cfRule>
  </conditionalFormatting>
  <conditionalFormatting sqref="W35:W47">
    <cfRule type="expression" dxfId="143" priority="174">
      <formula>V35=1</formula>
    </cfRule>
    <cfRule type="expression" dxfId="142" priority="175">
      <formula>V35=2</formula>
    </cfRule>
    <cfRule type="expression" dxfId="141" priority="176">
      <formula>V35=3</formula>
    </cfRule>
  </conditionalFormatting>
  <conditionalFormatting sqref="AH35:AH47">
    <cfRule type="expression" dxfId="140" priority="108">
      <formula>AG35=1</formula>
    </cfRule>
    <cfRule type="expression" dxfId="139" priority="109">
      <formula>AG35=2</formula>
    </cfRule>
    <cfRule type="expression" dxfId="138" priority="110">
      <formula>AG35=3</formula>
    </cfRule>
  </conditionalFormatting>
  <conditionalFormatting sqref="AD34">
    <cfRule type="cellIs" dxfId="137" priority="145" operator="equal">
      <formula>1</formula>
    </cfRule>
    <cfRule type="cellIs" dxfId="136" priority="146" operator="equal">
      <formula>2</formula>
    </cfRule>
    <cfRule type="cellIs" dxfId="135" priority="147" operator="equal">
      <formula>3</formula>
    </cfRule>
  </conditionalFormatting>
  <conditionalFormatting sqref="AE22">
    <cfRule type="expression" dxfId="134" priority="152">
      <formula>AD22=1</formula>
    </cfRule>
    <cfRule type="expression" dxfId="133" priority="153">
      <formula>AD22=2</formula>
    </cfRule>
    <cfRule type="expression" dxfId="132" priority="154">
      <formula>AD22=3</formula>
    </cfRule>
  </conditionalFormatting>
  <conditionalFormatting sqref="AD1:AD6 AD8:AD9 AD14:AD21 AD23:AD25 AD11:AD12 AD27:AD33 AD48:AD1048576">
    <cfRule type="iconSet" priority="173">
      <iconSet iconSet="3Symbols" showValue="0">
        <cfvo type="percent" val="0"/>
        <cfvo type="num" val="2"/>
        <cfvo type="num" val="2" gte="0"/>
      </iconSet>
    </cfRule>
  </conditionalFormatting>
  <conditionalFormatting sqref="AE2:AE6 AE8:AE9 AE14:AE21 AE23:AE25 AE11:AE12 AE27:AE33 AE48:AE1048576">
    <cfRule type="expression" dxfId="131" priority="170">
      <formula>AD2=1</formula>
    </cfRule>
    <cfRule type="expression" dxfId="130" priority="171">
      <formula>AD2=2</formula>
    </cfRule>
    <cfRule type="expression" dxfId="129" priority="172">
      <formula>AD2=3</formula>
    </cfRule>
  </conditionalFormatting>
  <conditionalFormatting sqref="AE1">
    <cfRule type="expression" dxfId="128" priority="167">
      <formula>AD1=1</formula>
    </cfRule>
    <cfRule type="expression" dxfId="127" priority="168">
      <formula>AD1=2</formula>
    </cfRule>
    <cfRule type="expression" dxfId="126" priority="169">
      <formula>AD1=3</formula>
    </cfRule>
  </conditionalFormatting>
  <conditionalFormatting sqref="AD1">
    <cfRule type="cellIs" dxfId="125" priority="164" operator="equal">
      <formula>1</formula>
    </cfRule>
    <cfRule type="cellIs" dxfId="124" priority="165" operator="equal">
      <formula>2</formula>
    </cfRule>
    <cfRule type="cellIs" dxfId="123" priority="166" operator="equal">
      <formula>3</formula>
    </cfRule>
  </conditionalFormatting>
  <conditionalFormatting sqref="AD7">
    <cfRule type="iconSet" priority="163">
      <iconSet iconSet="3Symbols" showValue="0">
        <cfvo type="percent" val="0"/>
        <cfvo type="num" val="2"/>
        <cfvo type="num" val="2" gte="0"/>
      </iconSet>
    </cfRule>
  </conditionalFormatting>
  <conditionalFormatting sqref="AE7">
    <cfRule type="expression" dxfId="122" priority="160">
      <formula>AD7=1</formula>
    </cfRule>
    <cfRule type="expression" dxfId="121" priority="161">
      <formula>AD7=2</formula>
    </cfRule>
    <cfRule type="expression" dxfId="120" priority="162">
      <formula>AD7=3</formula>
    </cfRule>
  </conditionalFormatting>
  <conditionalFormatting sqref="AD13">
    <cfRule type="iconSet" priority="159">
      <iconSet iconSet="3Symbols" showValue="0">
        <cfvo type="percent" val="0"/>
        <cfvo type="num" val="2"/>
        <cfvo type="num" val="2" gte="0"/>
      </iconSet>
    </cfRule>
  </conditionalFormatting>
  <conditionalFormatting sqref="AE13">
    <cfRule type="expression" dxfId="119" priority="156">
      <formula>AD13=1</formula>
    </cfRule>
    <cfRule type="expression" dxfId="118" priority="157">
      <formula>AD13=2</formula>
    </cfRule>
    <cfRule type="expression" dxfId="117" priority="158">
      <formula>AD13=3</formula>
    </cfRule>
  </conditionalFormatting>
  <conditionalFormatting sqref="AD22">
    <cfRule type="iconSet" priority="155">
      <iconSet iconSet="3Symbols" showValue="0">
        <cfvo type="percent" val="0"/>
        <cfvo type="num" val="2"/>
        <cfvo type="num" val="2" gte="0"/>
      </iconSet>
    </cfRule>
  </conditionalFormatting>
  <conditionalFormatting sqref="AD34">
    <cfRule type="iconSet" priority="151">
      <iconSet iconSet="3Symbols" showValue="0">
        <cfvo type="percent" val="0"/>
        <cfvo type="num" val="2"/>
        <cfvo type="num" val="2" gte="0"/>
      </iconSet>
    </cfRule>
  </conditionalFormatting>
  <conditionalFormatting sqref="AE34">
    <cfRule type="expression" dxfId="116" priority="148">
      <formula>AD34=1</formula>
    </cfRule>
    <cfRule type="expression" dxfId="115" priority="149">
      <formula>AD34=2</formula>
    </cfRule>
    <cfRule type="expression" dxfId="114" priority="150">
      <formula>AD34=3</formula>
    </cfRule>
  </conditionalFormatting>
  <conditionalFormatting sqref="AD35:AD47">
    <cfRule type="iconSet" priority="144">
      <iconSet iconSet="3Symbols" showValue="0">
        <cfvo type="percent" val="0"/>
        <cfvo type="num" val="2"/>
        <cfvo type="num" val="2" gte="0"/>
      </iconSet>
    </cfRule>
  </conditionalFormatting>
  <conditionalFormatting sqref="AE35:AE47">
    <cfRule type="expression" dxfId="113" priority="141">
      <formula>AD35=1</formula>
    </cfRule>
    <cfRule type="expression" dxfId="112" priority="142">
      <formula>AD35=2</formula>
    </cfRule>
    <cfRule type="expression" dxfId="111" priority="143">
      <formula>AD35=3</formula>
    </cfRule>
  </conditionalFormatting>
  <conditionalFormatting sqref="AG34 AG26 AG10">
    <cfRule type="cellIs" dxfId="110" priority="112" operator="equal">
      <formula>1</formula>
    </cfRule>
    <cfRule type="cellIs" dxfId="109" priority="113" operator="equal">
      <formula>2</formula>
    </cfRule>
    <cfRule type="cellIs" dxfId="108" priority="114" operator="equal">
      <formula>3</formula>
    </cfRule>
  </conditionalFormatting>
  <conditionalFormatting sqref="AH22">
    <cfRule type="expression" dxfId="107" priority="119">
      <formula>AG22=1</formula>
    </cfRule>
    <cfRule type="expression" dxfId="106" priority="120">
      <formula>AG22=2</formula>
    </cfRule>
    <cfRule type="expression" dxfId="105" priority="121">
      <formula>AG22=3</formula>
    </cfRule>
  </conditionalFormatting>
  <conditionalFormatting sqref="AG1:AG6 AG8:AG9 AG14:AG21 AG23:AG25 AG11:AG12 AG27:AG33 AG48:AG1048576">
    <cfRule type="iconSet" priority="140">
      <iconSet iconSet="3Symbols" showValue="0">
        <cfvo type="percent" val="0"/>
        <cfvo type="num" val="2"/>
        <cfvo type="num" val="2" gte="0"/>
      </iconSet>
    </cfRule>
  </conditionalFormatting>
  <conditionalFormatting sqref="AH2:AH6 AH8:AH9 AH14:AH21 AH23:AH25 AH11:AH12 AH27:AH33 AH48:AH1048576">
    <cfRule type="expression" dxfId="104" priority="137">
      <formula>AG2=1</formula>
    </cfRule>
    <cfRule type="expression" dxfId="103" priority="138">
      <formula>AG2=2</formula>
    </cfRule>
    <cfRule type="expression" dxfId="102" priority="139">
      <formula>AG2=3</formula>
    </cfRule>
  </conditionalFormatting>
  <conditionalFormatting sqref="AH1">
    <cfRule type="expression" dxfId="101" priority="134">
      <formula>AG1=1</formula>
    </cfRule>
    <cfRule type="expression" dxfId="100" priority="135">
      <formula>AG1=2</formula>
    </cfRule>
    <cfRule type="expression" dxfId="99" priority="136">
      <formula>AG1=3</formula>
    </cfRule>
  </conditionalFormatting>
  <conditionalFormatting sqref="AG1">
    <cfRule type="cellIs" dxfId="98" priority="131" operator="equal">
      <formula>1</formula>
    </cfRule>
    <cfRule type="cellIs" dxfId="97" priority="132" operator="equal">
      <formula>2</formula>
    </cfRule>
    <cfRule type="cellIs" dxfId="96" priority="133" operator="equal">
      <formula>3</formula>
    </cfRule>
  </conditionalFormatting>
  <conditionalFormatting sqref="AG7">
    <cfRule type="iconSet" priority="130">
      <iconSet iconSet="3Symbols" showValue="0">
        <cfvo type="percent" val="0"/>
        <cfvo type="num" val="2"/>
        <cfvo type="num" val="2" gte="0"/>
      </iconSet>
    </cfRule>
  </conditionalFormatting>
  <conditionalFormatting sqref="AH7">
    <cfRule type="expression" dxfId="95" priority="127">
      <formula>AG7=1</formula>
    </cfRule>
    <cfRule type="expression" dxfId="94" priority="128">
      <formula>AG7=2</formula>
    </cfRule>
    <cfRule type="expression" dxfId="93" priority="129">
      <formula>AG7=3</formula>
    </cfRule>
  </conditionalFormatting>
  <conditionalFormatting sqref="AG13">
    <cfRule type="iconSet" priority="126">
      <iconSet iconSet="3Symbols" showValue="0">
        <cfvo type="percent" val="0"/>
        <cfvo type="num" val="2"/>
        <cfvo type="num" val="2" gte="0"/>
      </iconSet>
    </cfRule>
  </conditionalFormatting>
  <conditionalFormatting sqref="AH13">
    <cfRule type="expression" dxfId="92" priority="123">
      <formula>AG13=1</formula>
    </cfRule>
    <cfRule type="expression" dxfId="91" priority="124">
      <formula>AG13=2</formula>
    </cfRule>
    <cfRule type="expression" dxfId="90" priority="125">
      <formula>AG13=3</formula>
    </cfRule>
  </conditionalFormatting>
  <conditionalFormatting sqref="AG22">
    <cfRule type="iconSet" priority="122">
      <iconSet iconSet="3Symbols" showValue="0">
        <cfvo type="percent" val="0"/>
        <cfvo type="num" val="2"/>
        <cfvo type="num" val="2" gte="0"/>
      </iconSet>
    </cfRule>
  </conditionalFormatting>
  <conditionalFormatting sqref="AG34 AG26 AG10">
    <cfRule type="iconSet" priority="118">
      <iconSet iconSet="3Symbols" showValue="0">
        <cfvo type="percent" val="0"/>
        <cfvo type="num" val="2"/>
        <cfvo type="num" val="2" gte="0"/>
      </iconSet>
    </cfRule>
  </conditionalFormatting>
  <conditionalFormatting sqref="AH34 AH26 AH10">
    <cfRule type="expression" dxfId="89" priority="115">
      <formula>AG10=1</formula>
    </cfRule>
    <cfRule type="expression" dxfId="88" priority="116">
      <formula>AG10=2</formula>
    </cfRule>
    <cfRule type="expression" dxfId="87" priority="117">
      <formula>AG10=3</formula>
    </cfRule>
  </conditionalFormatting>
  <conditionalFormatting sqref="AG35:AG47">
    <cfRule type="iconSet" priority="111">
      <iconSet iconSet="3Symbols" showValue="0">
        <cfvo type="percent" val="0"/>
        <cfvo type="num" val="2"/>
        <cfvo type="num" val="2" gte="0"/>
      </iconSet>
    </cfRule>
  </conditionalFormatting>
  <conditionalFormatting sqref="AD26">
    <cfRule type="iconSet" priority="107">
      <iconSet iconSet="3Symbols" showValue="0">
        <cfvo type="percent" val="0"/>
        <cfvo type="num" val="2"/>
        <cfvo type="num" val="2" gte="0"/>
      </iconSet>
    </cfRule>
  </conditionalFormatting>
  <conditionalFormatting sqref="AE26">
    <cfRule type="expression" dxfId="86" priority="104">
      <formula>AD26=1</formula>
    </cfRule>
    <cfRule type="expression" dxfId="85" priority="105">
      <formula>AD26=2</formula>
    </cfRule>
    <cfRule type="expression" dxfId="84" priority="106">
      <formula>AD26=3</formula>
    </cfRule>
  </conditionalFormatting>
  <conditionalFormatting sqref="AD10">
    <cfRule type="iconSet" priority="103">
      <iconSet iconSet="3Symbols" showValue="0">
        <cfvo type="percent" val="0"/>
        <cfvo type="num" val="2"/>
        <cfvo type="num" val="2" gte="0"/>
      </iconSet>
    </cfRule>
  </conditionalFormatting>
  <conditionalFormatting sqref="AE10">
    <cfRule type="expression" dxfId="83" priority="100">
      <formula>AD10=1</formula>
    </cfRule>
    <cfRule type="expression" dxfId="82" priority="101">
      <formula>AD10=2</formula>
    </cfRule>
    <cfRule type="expression" dxfId="81" priority="102">
      <formula>AD10=3</formula>
    </cfRule>
  </conditionalFormatting>
  <conditionalFormatting sqref="AK35:AK47">
    <cfRule type="expression" dxfId="80" priority="67">
      <formula>AJ35=1</formula>
    </cfRule>
    <cfRule type="expression" dxfId="79" priority="68">
      <formula>AJ35=2</formula>
    </cfRule>
    <cfRule type="expression" dxfId="78" priority="69">
      <formula>AJ35=3</formula>
    </cfRule>
  </conditionalFormatting>
  <conditionalFormatting sqref="AJ34 AJ26 AJ10">
    <cfRule type="cellIs" dxfId="77" priority="71" operator="equal">
      <formula>1</formula>
    </cfRule>
    <cfRule type="cellIs" dxfId="76" priority="72" operator="equal">
      <formula>2</formula>
    </cfRule>
    <cfRule type="cellIs" dxfId="75" priority="73" operator="equal">
      <formula>3</formula>
    </cfRule>
  </conditionalFormatting>
  <conditionalFormatting sqref="AK22">
    <cfRule type="expression" dxfId="74" priority="78">
      <formula>AJ22=1</formula>
    </cfRule>
    <cfRule type="expression" dxfId="73" priority="79">
      <formula>AJ22=2</formula>
    </cfRule>
    <cfRule type="expression" dxfId="72" priority="80">
      <formula>AJ22=3</formula>
    </cfRule>
  </conditionalFormatting>
  <conditionalFormatting sqref="AJ1:AJ6 AJ8:AJ9 AJ14:AJ21 AJ23:AJ25 AJ11:AJ12 AJ27:AJ33 AJ48:AJ1048576">
    <cfRule type="iconSet" priority="99">
      <iconSet iconSet="3Symbols" showValue="0">
        <cfvo type="percent" val="0"/>
        <cfvo type="num" val="2"/>
        <cfvo type="num" val="2" gte="0"/>
      </iconSet>
    </cfRule>
  </conditionalFormatting>
  <conditionalFormatting sqref="AK2:AK6 AK8:AK9 AK14:AK21 AK23:AK25 AK11:AK12 AK27:AK33 AK48:AK1048576">
    <cfRule type="expression" dxfId="71" priority="96">
      <formula>AJ2=1</formula>
    </cfRule>
    <cfRule type="expression" dxfId="70" priority="97">
      <formula>AJ2=2</formula>
    </cfRule>
    <cfRule type="expression" dxfId="69" priority="98">
      <formula>AJ2=3</formula>
    </cfRule>
  </conditionalFormatting>
  <conditionalFormatting sqref="AK1">
    <cfRule type="expression" dxfId="68" priority="93">
      <formula>AJ1=1</formula>
    </cfRule>
    <cfRule type="expression" dxfId="67" priority="94">
      <formula>AJ1=2</formula>
    </cfRule>
    <cfRule type="expression" dxfId="66" priority="95">
      <formula>AJ1=3</formula>
    </cfRule>
  </conditionalFormatting>
  <conditionalFormatting sqref="AJ1">
    <cfRule type="cellIs" dxfId="65" priority="90" operator="equal">
      <formula>1</formula>
    </cfRule>
    <cfRule type="cellIs" dxfId="64" priority="91" operator="equal">
      <formula>2</formula>
    </cfRule>
    <cfRule type="cellIs" dxfId="63" priority="92" operator="equal">
      <formula>3</formula>
    </cfRule>
  </conditionalFormatting>
  <conditionalFormatting sqref="AJ7">
    <cfRule type="iconSet" priority="89">
      <iconSet iconSet="3Symbols" showValue="0">
        <cfvo type="percent" val="0"/>
        <cfvo type="num" val="2"/>
        <cfvo type="num" val="2" gte="0"/>
      </iconSet>
    </cfRule>
  </conditionalFormatting>
  <conditionalFormatting sqref="AK7">
    <cfRule type="expression" dxfId="62" priority="86">
      <formula>AJ7=1</formula>
    </cfRule>
    <cfRule type="expression" dxfId="61" priority="87">
      <formula>AJ7=2</formula>
    </cfRule>
    <cfRule type="expression" dxfId="60" priority="88">
      <formula>AJ7=3</formula>
    </cfRule>
  </conditionalFormatting>
  <conditionalFormatting sqref="AJ13">
    <cfRule type="iconSet" priority="85">
      <iconSet iconSet="3Symbols" showValue="0">
        <cfvo type="percent" val="0"/>
        <cfvo type="num" val="2"/>
        <cfvo type="num" val="2" gte="0"/>
      </iconSet>
    </cfRule>
  </conditionalFormatting>
  <conditionalFormatting sqref="AK13">
    <cfRule type="expression" dxfId="59" priority="82">
      <formula>AJ13=1</formula>
    </cfRule>
    <cfRule type="expression" dxfId="58" priority="83">
      <formula>AJ13=2</formula>
    </cfRule>
    <cfRule type="expression" dxfId="57" priority="84">
      <formula>AJ13=3</formula>
    </cfRule>
  </conditionalFormatting>
  <conditionalFormatting sqref="AJ22">
    <cfRule type="iconSet" priority="81">
      <iconSet iconSet="3Symbols" showValue="0">
        <cfvo type="percent" val="0"/>
        <cfvo type="num" val="2"/>
        <cfvo type="num" val="2" gte="0"/>
      </iconSet>
    </cfRule>
  </conditionalFormatting>
  <conditionalFormatting sqref="AJ34 AJ26 AJ10">
    <cfRule type="iconSet" priority="77">
      <iconSet iconSet="3Symbols" showValue="0">
        <cfvo type="percent" val="0"/>
        <cfvo type="num" val="2"/>
        <cfvo type="num" val="2" gte="0"/>
      </iconSet>
    </cfRule>
  </conditionalFormatting>
  <conditionalFormatting sqref="AK34 AK26 AK10">
    <cfRule type="expression" dxfId="56" priority="74">
      <formula>AJ10=1</formula>
    </cfRule>
    <cfRule type="expression" dxfId="55" priority="75">
      <formula>AJ10=2</formula>
    </cfRule>
    <cfRule type="expression" dxfId="54" priority="76">
      <formula>AJ10=3</formula>
    </cfRule>
  </conditionalFormatting>
  <conditionalFormatting sqref="AJ35:AJ47">
    <cfRule type="iconSet" priority="70">
      <iconSet iconSet="3Symbols" showValue="0">
        <cfvo type="percent" val="0"/>
        <cfvo type="num" val="2"/>
        <cfvo type="num" val="2" gte="0"/>
      </iconSet>
    </cfRule>
  </conditionalFormatting>
  <conditionalFormatting sqref="AN35:AN47">
    <cfRule type="expression" dxfId="53" priority="34">
      <formula>AM35=1</formula>
    </cfRule>
    <cfRule type="expression" dxfId="52" priority="35">
      <formula>AM35=2</formula>
    </cfRule>
    <cfRule type="expression" dxfId="51" priority="36">
      <formula>AM35=3</formula>
    </cfRule>
  </conditionalFormatting>
  <conditionalFormatting sqref="AM34 AM26 AM10">
    <cfRule type="cellIs" dxfId="50" priority="38" operator="equal">
      <formula>1</formula>
    </cfRule>
    <cfRule type="cellIs" dxfId="49" priority="39" operator="equal">
      <formula>2</formula>
    </cfRule>
    <cfRule type="cellIs" dxfId="48" priority="40" operator="equal">
      <formula>3</formula>
    </cfRule>
  </conditionalFormatting>
  <conditionalFormatting sqref="AN22">
    <cfRule type="expression" dxfId="47" priority="45">
      <formula>AM22=1</formula>
    </cfRule>
    <cfRule type="expression" dxfId="46" priority="46">
      <formula>AM22=2</formula>
    </cfRule>
    <cfRule type="expression" dxfId="45" priority="47">
      <formula>AM22=3</formula>
    </cfRule>
  </conditionalFormatting>
  <conditionalFormatting sqref="AM1:AM6 AM8:AM9 AM14:AM21 AM23:AM25 AM11:AM12 AM27:AM33 AM48:AM1048576">
    <cfRule type="iconSet" priority="66">
      <iconSet iconSet="3Symbols" showValue="0">
        <cfvo type="percent" val="0"/>
        <cfvo type="num" val="2"/>
        <cfvo type="num" val="2" gte="0"/>
      </iconSet>
    </cfRule>
  </conditionalFormatting>
  <conditionalFormatting sqref="AN2:AN6 AN8:AN9 AN14:AN21 AN23:AN25 AN11:AN12 AN27:AN33 AN48:AN1048576">
    <cfRule type="expression" dxfId="44" priority="63">
      <formula>AM2=1</formula>
    </cfRule>
    <cfRule type="expression" dxfId="43" priority="64">
      <formula>AM2=2</formula>
    </cfRule>
    <cfRule type="expression" dxfId="42" priority="65">
      <formula>AM2=3</formula>
    </cfRule>
  </conditionalFormatting>
  <conditionalFormatting sqref="AN1">
    <cfRule type="expression" dxfId="41" priority="60">
      <formula>AM1=1</formula>
    </cfRule>
    <cfRule type="expression" dxfId="40" priority="61">
      <formula>AM1=2</formula>
    </cfRule>
    <cfRule type="expression" dxfId="39" priority="62">
      <formula>AM1=3</formula>
    </cfRule>
  </conditionalFormatting>
  <conditionalFormatting sqref="AM1">
    <cfRule type="cellIs" dxfId="38" priority="57" operator="equal">
      <formula>1</formula>
    </cfRule>
    <cfRule type="cellIs" dxfId="37" priority="58" operator="equal">
      <formula>2</formula>
    </cfRule>
    <cfRule type="cellIs" dxfId="36" priority="59" operator="equal">
      <formula>3</formula>
    </cfRule>
  </conditionalFormatting>
  <conditionalFormatting sqref="AM7">
    <cfRule type="iconSet" priority="56">
      <iconSet iconSet="3Symbols" showValue="0">
        <cfvo type="percent" val="0"/>
        <cfvo type="num" val="2"/>
        <cfvo type="num" val="2" gte="0"/>
      </iconSet>
    </cfRule>
  </conditionalFormatting>
  <conditionalFormatting sqref="AN7">
    <cfRule type="expression" dxfId="35" priority="53">
      <formula>AM7=1</formula>
    </cfRule>
    <cfRule type="expression" dxfId="34" priority="54">
      <formula>AM7=2</formula>
    </cfRule>
    <cfRule type="expression" dxfId="33" priority="55">
      <formula>AM7=3</formula>
    </cfRule>
  </conditionalFormatting>
  <conditionalFormatting sqref="AM13">
    <cfRule type="iconSet" priority="52">
      <iconSet iconSet="3Symbols" showValue="0">
        <cfvo type="percent" val="0"/>
        <cfvo type="num" val="2"/>
        <cfvo type="num" val="2" gte="0"/>
      </iconSet>
    </cfRule>
  </conditionalFormatting>
  <conditionalFormatting sqref="AN13">
    <cfRule type="expression" dxfId="32" priority="49">
      <formula>AM13=1</formula>
    </cfRule>
    <cfRule type="expression" dxfId="31" priority="50">
      <formula>AM13=2</formula>
    </cfRule>
    <cfRule type="expression" dxfId="30" priority="51">
      <formula>AM13=3</formula>
    </cfRule>
  </conditionalFormatting>
  <conditionalFormatting sqref="AM22">
    <cfRule type="iconSet" priority="48">
      <iconSet iconSet="3Symbols" showValue="0">
        <cfvo type="percent" val="0"/>
        <cfvo type="num" val="2"/>
        <cfvo type="num" val="2" gte="0"/>
      </iconSet>
    </cfRule>
  </conditionalFormatting>
  <conditionalFormatting sqref="AM34 AM26 AM10">
    <cfRule type="iconSet" priority="44">
      <iconSet iconSet="3Symbols" showValue="0">
        <cfvo type="percent" val="0"/>
        <cfvo type="num" val="2"/>
        <cfvo type="num" val="2" gte="0"/>
      </iconSet>
    </cfRule>
  </conditionalFormatting>
  <conditionalFormatting sqref="AN34 AN26 AN10">
    <cfRule type="expression" dxfId="29" priority="41">
      <formula>AM10=1</formula>
    </cfRule>
    <cfRule type="expression" dxfId="28" priority="42">
      <formula>AM10=2</formula>
    </cfRule>
    <cfRule type="expression" dxfId="27" priority="43">
      <formula>AM10=3</formula>
    </cfRule>
  </conditionalFormatting>
  <conditionalFormatting sqref="AM35:AM47">
    <cfRule type="iconSet" priority="37">
      <iconSet iconSet="3Symbols" showValue="0">
        <cfvo type="percent" val="0"/>
        <cfvo type="num" val="2"/>
        <cfvo type="num" val="2" gte="0"/>
      </iconSet>
    </cfRule>
  </conditionalFormatting>
  <conditionalFormatting sqref="AQ35:AQ47">
    <cfRule type="expression" dxfId="26" priority="1">
      <formula>AP35=1</formula>
    </cfRule>
    <cfRule type="expression" dxfId="25" priority="2">
      <formula>AP35=2</formula>
    </cfRule>
    <cfRule type="expression" dxfId="24" priority="3">
      <formula>AP35=3</formula>
    </cfRule>
  </conditionalFormatting>
  <conditionalFormatting sqref="AP34 AP26 AP10">
    <cfRule type="cellIs" dxfId="23" priority="5" operator="equal">
      <formula>1</formula>
    </cfRule>
    <cfRule type="cellIs" dxfId="22" priority="6" operator="equal">
      <formula>2</formula>
    </cfRule>
    <cfRule type="cellIs" dxfId="21" priority="7" operator="equal">
      <formula>3</formula>
    </cfRule>
  </conditionalFormatting>
  <conditionalFormatting sqref="AQ22">
    <cfRule type="expression" dxfId="20" priority="12">
      <formula>AP22=1</formula>
    </cfRule>
    <cfRule type="expression" dxfId="19" priority="13">
      <formula>AP22=2</formula>
    </cfRule>
    <cfRule type="expression" dxfId="18" priority="14">
      <formula>AP22=3</formula>
    </cfRule>
  </conditionalFormatting>
  <conditionalFormatting sqref="AP1:AP6 AP8:AP9 AP14:AP21 AP23:AP25 AP11:AP12 AP27:AP33 AP48:AP1048576">
    <cfRule type="iconSet" priority="33">
      <iconSet iconSet="3Symbols" showValue="0">
        <cfvo type="percent" val="0"/>
        <cfvo type="num" val="2"/>
        <cfvo type="num" val="2" gte="0"/>
      </iconSet>
    </cfRule>
  </conditionalFormatting>
  <conditionalFormatting sqref="AQ2:AQ6 AQ8:AQ9 AQ14:AQ21 AQ23:AQ25 AQ11:AQ12 AQ27:AQ33 AQ48:AQ1048576">
    <cfRule type="expression" dxfId="17" priority="30">
      <formula>AP2=1</formula>
    </cfRule>
    <cfRule type="expression" dxfId="16" priority="31">
      <formula>AP2=2</formula>
    </cfRule>
    <cfRule type="expression" dxfId="15" priority="32">
      <formula>AP2=3</formula>
    </cfRule>
  </conditionalFormatting>
  <conditionalFormatting sqref="AQ1">
    <cfRule type="expression" dxfId="14" priority="27">
      <formula>AP1=1</formula>
    </cfRule>
    <cfRule type="expression" dxfId="13" priority="28">
      <formula>AP1=2</formula>
    </cfRule>
    <cfRule type="expression" dxfId="12" priority="29">
      <formula>AP1=3</formula>
    </cfRule>
  </conditionalFormatting>
  <conditionalFormatting sqref="AP1">
    <cfRule type="cellIs" dxfId="11" priority="24" operator="equal">
      <formula>1</formula>
    </cfRule>
    <cfRule type="cellIs" dxfId="10" priority="25" operator="equal">
      <formula>2</formula>
    </cfRule>
    <cfRule type="cellIs" dxfId="9" priority="26" operator="equal">
      <formula>3</formula>
    </cfRule>
  </conditionalFormatting>
  <conditionalFormatting sqref="AP7">
    <cfRule type="iconSet" priority="23">
      <iconSet iconSet="3Symbols" showValue="0">
        <cfvo type="percent" val="0"/>
        <cfvo type="num" val="2"/>
        <cfvo type="num" val="2" gte="0"/>
      </iconSet>
    </cfRule>
  </conditionalFormatting>
  <conditionalFormatting sqref="AQ7">
    <cfRule type="expression" dxfId="8" priority="20">
      <formula>AP7=1</formula>
    </cfRule>
    <cfRule type="expression" dxfId="7" priority="21">
      <formula>AP7=2</formula>
    </cfRule>
    <cfRule type="expression" dxfId="6" priority="22">
      <formula>AP7=3</formula>
    </cfRule>
  </conditionalFormatting>
  <conditionalFormatting sqref="AP13">
    <cfRule type="iconSet" priority="19">
      <iconSet iconSet="3Symbols" showValue="0">
        <cfvo type="percent" val="0"/>
        <cfvo type="num" val="2"/>
        <cfvo type="num" val="2" gte="0"/>
      </iconSet>
    </cfRule>
  </conditionalFormatting>
  <conditionalFormatting sqref="AQ13">
    <cfRule type="expression" dxfId="5" priority="16">
      <formula>AP13=1</formula>
    </cfRule>
    <cfRule type="expression" dxfId="4" priority="17">
      <formula>AP13=2</formula>
    </cfRule>
    <cfRule type="expression" dxfId="3" priority="18">
      <formula>AP13=3</formula>
    </cfRule>
  </conditionalFormatting>
  <conditionalFormatting sqref="AP22">
    <cfRule type="iconSet" priority="15">
      <iconSet iconSet="3Symbols" showValue="0">
        <cfvo type="percent" val="0"/>
        <cfvo type="num" val="2"/>
        <cfvo type="num" val="2" gte="0"/>
      </iconSet>
    </cfRule>
  </conditionalFormatting>
  <conditionalFormatting sqref="AP34 AP26 AP10">
    <cfRule type="iconSet" priority="11">
      <iconSet iconSet="3Symbols" showValue="0">
        <cfvo type="percent" val="0"/>
        <cfvo type="num" val="2"/>
        <cfvo type="num" val="2" gte="0"/>
      </iconSet>
    </cfRule>
  </conditionalFormatting>
  <conditionalFormatting sqref="AQ34 AQ26 AQ10">
    <cfRule type="expression" dxfId="2" priority="8">
      <formula>AP10=1</formula>
    </cfRule>
    <cfRule type="expression" dxfId="1" priority="9">
      <formula>AP10=2</formula>
    </cfRule>
    <cfRule type="expression" dxfId="0" priority="10">
      <formula>AP10=3</formula>
    </cfRule>
  </conditionalFormatting>
  <conditionalFormatting sqref="AP35:AP47">
    <cfRule type="iconSet" priority="4">
      <iconSet iconSet="3Symbols" showValue="0">
        <cfvo type="percent" val="0"/>
        <cfvo type="num" val="2"/>
        <cfvo type="num" val="2" gte="0"/>
      </iconSet>
    </cfRule>
  </conditionalFormatting>
  <dataValidations count="1">
    <dataValidation type="list" allowBlank="1" showInputMessage="1" showErrorMessage="1" errorTitle="Excliq Lite" error="Sólo 1, 2, o 3" sqref="C1:C1048576 F1:F1048576 I1:I1048576 L1:L1048576 Y1:Y1048576 O1:O1048576 R1:R1048576 V1:V1048576 AD1:AD1048576 AG1:AG1048576 AJ1:AJ1048576 AM1:AM1048576 AP1:AP1048576" xr:uid="{463CC1E5-22CE-43DC-9E18-2E84720D089C}">
      <formula1>"3,2,1"</formula1>
    </dataValidation>
  </dataValidations>
  <pageMargins left="0.7" right="0.7" top="0.75" bottom="0.75" header="0.3" footer="0.3"/>
  <legacyDrawing r:id="rId1"/>
</worksheet>
</file>

<file path=customUI/_rels/customUI14.xml.rels><?xml version="1.0" encoding="UTF-8" standalone="yes"?>
<Relationships xmlns="http://schemas.openxmlformats.org/package/2006/relationships"><Relationship Id="sim-table32" Type="http://schemas.openxmlformats.org/officeDocument/2006/relationships/image" Target="images/e364d4ea-633d-4afe-bad8-4e5ea3988e2d.png"/><Relationship Id="sim-tablegreeneq32" Type="http://schemas.openxmlformats.org/officeDocument/2006/relationships/image" Target="images/7e4ad3fb-7016-4b5e-8042-7a406be5c19a.png"/><Relationship Id="sim-tablexl32" Type="http://schemas.openxmlformats.org/officeDocument/2006/relationships/image" Target="images/214aa180-0790-41ca-8f4a-1798782c1a7a.png"/><Relationship Id="hlp-excliq32" Type="http://schemas.openxmlformats.org/officeDocument/2006/relationships/image" Target="images/6e589f64-a2de-4c69-8f3a-8b63f88da613.png"/><Relationship Id="hlp-help-bal-sel32" Type="http://schemas.openxmlformats.org/officeDocument/2006/relationships/image" Target="images/34682ed4-1922-40d2-8eb5-2bcc45c8215d.png"/><Relationship Id="sim-balmet32" Type="http://schemas.openxmlformats.org/officeDocument/2006/relationships/image" Target="images/bafe8b4f-3966-4c3e-bb87-46a77f7268e9.png"/><Relationship Id="sim-linearregression32" Type="http://schemas.openxmlformats.org/officeDocument/2006/relationships/image" Target="images/fba57634-7457-4080-966f-a44733062c64.png"/><Relationship Id="sim-tablebluexl32" Type="http://schemas.openxmlformats.org/officeDocument/2006/relationships/image" Target="images/d14ab9f2-418a-4d42-97ef-1071536061ae.png"/><Relationship Id="hlp-help32" Type="http://schemas.openxmlformats.org/officeDocument/2006/relationships/image" Target="images/c26524c9-b1e9-44be-8cf3-5e26d145264e.png"/><Relationship Id="hlp-help-reg-sel32" Type="http://schemas.openxmlformats.org/officeDocument/2006/relationships/image" Target="images/1c15b007-b4f6-4cec-988c-0030c0e629ea.png"/><Relationship Id="sim-linearregression-sel32" Type="http://schemas.openxmlformats.org/officeDocument/2006/relationships/image" Target="images/0d36a0c4-d158-4a7e-b5a8-bb83a9d2ddb7.png"/><Relationship Id="sim-liqcnc32" Type="http://schemas.openxmlformats.org/officeDocument/2006/relationships/image" Target="images/4bf6ea8d-b50a-4a4a-81d4-619b2e0ad8ae.png"/><Relationship Id="sim-liqmin32" Type="http://schemas.openxmlformats.org/officeDocument/2006/relationships/image" Target="images/59573c6b-b510-43c8-b80b-4adf1865f6f1.png"/><Relationship Id="con-sys-setting32" Type="http://schemas.openxmlformats.org/officeDocument/2006/relationships/image" Target="images/4848570e-7b43-4b29-b5bd-93940e8eadc8.png"/><Relationship Id="hlp-help-udf-sel32" Type="http://schemas.openxmlformats.org/officeDocument/2006/relationships/image" Target="images/a30fff3f-cd5f-4b7c-9a83-1169657b0264.png"/><Relationship Id="hlp-info32" Type="http://schemas.openxmlformats.org/officeDocument/2006/relationships/image" Target="images/9636abe4-f9f7-4360-9574-fcd21bc83858.png"/><Relationship Id="sim-notable32" Type="http://schemas.openxmlformats.org/officeDocument/2006/relationships/image" Target="images/7557bcd0-e9a5-4ecb-90a0-6955d8baf381.png"/><Relationship Id="sim-balmeteco32" Type="http://schemas.openxmlformats.org/officeDocument/2006/relationships/image" Target="images/f6ff4bc3-09b6-4c8c-9cea-c3c476f87c33.png"/><Relationship Id="sim-balmet-sel32" Type="http://schemas.openxmlformats.org/officeDocument/2006/relationships/image" Target="images/bb9c781b-fc92-4d9f-b9ea-54211a273974.png"/><Relationship Id="sim-projection32" Type="http://schemas.openxmlformats.org/officeDocument/2006/relationships/image" Target="images/04c22067-85ce-4cdf-8136-009ebc09b3b2.png"/><Relationship Id="sim-tablegreyeq32" Type="http://schemas.openxmlformats.org/officeDocument/2006/relationships/image" Target="images/4fa8c3b2-d19d-45bf-a469-7ae09bc6e1bb.png"/></Relationships>
</file>

<file path=customUI/customUI14.xml><?xml version="1.0" encoding="utf-8"?>
<customUI xmlns="http://schemas.microsoft.com/office/2009/07/customui" onLoad="ExcliqliteRibbonBegin">
  <ribbon>
    <tabs>
      <tab id="TabExcliqLite" label="Excliq Lite" insertAfterMso="TabAddIns" keytip="E">
        <group id="GrpSim" label="Simulaciones" image="sim-linearregression32">
          <box id="GrpSimBox1" boxStyle="vertical">
            <button id="Regression" tag="GrpSimBox1BtnFrmReg" label="Regresión Lineal" supertip="Permite obtener la Regresión lineal de muchos datos." keytip="RE" onAction="Index.ExcliqliteRibbonActionExecutor" getEnabled="Index.ExcliqliteRibbonGetEnabled" size="large" image="sim-linearregression32"/>
            <button id="Balmet" tag="GrpSimBox1BtnFrmBal" label="Balance Metalúrgico" supertip="Permite obtener Balances Metalúrgicos de hasta cinco productos." keytip="BA" onAction="Index.ExcliqliteRibbonActionExecutor" getEnabled="Index.ExcliqliteRibbonGetEnabled" size="large" image="sim-balmet32"/>
          </box>
          <box id="GrpSimBox2" boxStyle="vertical">
            <button id="Regressionselection" tag="GrpSimBox2BtnFrmRsl" label="RL Selección" supertip="Permite obtener la Regresión lineal de muchos datos a partir de una selección de celdas." keytip="R1" onAction="Index.ExcliqliteRibbonActionExecutor" getEnabled="Index.ExcliqliteRibbonGetEnabled" size="normal" image="sim-linearregression-sel32"/>
            <button id="Balmetselection" tag="GrpSimBox2BtnFrmBsl" label="BalMet Selección" supertip="Permite obtener Balances Metalúrgicos de hasta cinco productos a partir de una selección de un rango de celdas." keytip="B1" onAction="Index.ExcliqliteRibbonActionExecutor" getEnabled="Index.ExcliqliteRibbonGetEnabled" size="normal" image="sim-balmet-sel32"/>
            <button id="Balmeteco" tag="GrpSimBox2BtnFrmBec" label="BalMet Económico" supertip="Permite obtener Balances Metalúrgicos que incluyen los datos de leyes de alimentación o productos para evaluación económica." keytip="B2" onAction="Index.ExcliqliteRibbonActionExecutor" getEnabled="Index.ExcliqliteRibbonGetEnabled" image="sim-balmeteco32"/>
          </box>
          <separator id="GrpSimSep1"/>
          <box id="GrpSimBox3" boxStyle="vertical">
            <button id="Projection" tag="GrpSimBox3BtnFrmPro" label="Proyección Proyecto" supertip="Permite conocer la rentabilidad de un proyecto minero-metalúrgico." keytip="P" onAction="Index.ExcliqliteRibbonActionExecutor" getEnabled="Index.ExcliqliteRibbonGetEnabled" size="large" image="sim-projection32"/>
            <button id="Oreinvoice" tag="GrpSimBox3BtnFrmOre" label="Liquidación Minerales" supertip="Permite realizar una liquidación de minerales." keytip="M" onAction="Index.ExcliqliteRibbonActionExecutor" getEnabled="Index.ExcliqliteRibbonGetEnabled" size="large" image="sim-liqmin32"/>
            <button id="Concentrateinvoice" tag="GrpSimBox3BtnFrmCnc" label="Liquidación Concentrados" supertip="Permite realizar una liquidación de productos concentrados de minerales." keytip="L" onAction="Index.ExcliqliteRibbonActionExecutor" getEnabled="Index.ExcliqliteRibbonGetEnabled" size="large" image="sim-liqcnc32"/>
          </box>
        </group>
        <group id="GrpCon" label="Configuración" image="con-sys-setting32">
          <box id="GrpConBox1" boxStyle="vertical">
            <dropDown id="TableType" tag="GrpConBox1DrpCtrTtp" label="Tipo tabla" keytip="CT" onAction="Index.ExcliqliteRibbonActionExecutor" getEnabled="Index.ExcliqliteRibbonGetEnabled" getSelectedItemIndex="Index.ExcliqliteRibbonGetInitialValues" supertip="Los resultados se mostrarán en tablas sin diseño, con diseño o tablas con diseño y estilos.">
              <item id="GrpConBox1DrpCtrTtpNotable" label="Sin Tabla" image="sim-notable32"/>
              <item id="GrpConBox1DrpCtrTtpTable" label="Tabla Plana" image="sim-table32"/>
              <item id="GrpConBox1DrpCtrTtpTablexl" label="Tabla Excel" image="sim-tablexl32"/>
            </dropDown>
            <dropDown id="TableStyle" tag="GrpConBox1DrpCtrTst" label="Estilo tabla" keytip="CE" onAction="Index.ExcliqliteRibbonActionExecutor" getEnabled="Index.ExcliqliteRibbonGetEnabled" getSelectedItemIndex="Index.ExcliqliteRibbonGetInitialValues" supertip="Las tablas resultantes tendrán el estilo que seleccione.">
              <item id="GrpConBox1DrpCtrTstTablegrey" label="Gris ExcliqLite" image="sim-tablegreyeq32"/>
              <item id="GrpConBox1DrpCtrTstTablegreen" label="Verde ExcliqLite" image="sim-tablegreeneq32"/>
              <item id="GrpConBox1DrpCtrTstTableblue" label="Azul Excel" image="sim-tablebluexl32"/>
            </dropDown>
          </box>
          <box id="GrpConBox2" boxStyle="vertical">
            <checkBox id="Formulas" tag="GrpConBox2ChkCtrFor" label="Fórmulas en resultados" keytip="CF" onAction="Index.ExcliqliteRibbonActionExecutor" getEnabled="Index.ExcliqliteRibbonGetEnabled" getPressed="Index.ExcliqliteRibbonGetInitialValues" supertip="Se obtendrán resultados mediante fórmulas o sin ellas."/>
            <checkBox id="Rowshadows" tag="GrpConBox2ChkCtrRow" label="Sombrear filas de tabla" keytip="CS" onAction="Index.ExcliqliteRibbonActionExecutor" getEnabled="Index.ExcliqliteRibbonGetEnabled" getPressed="Index.ExcliqliteRibbonGetInitialValues" supertip="Las tablas resultantes tendrán sombras en filas intercaladas."/>
            <checkBox id="Cellforselections" tag="GrpConBox2ChkCtrCell" label="Pedir celda RL y Balmet" keytip="CP" onAction="Index.ExcliqliteRibbonActionExecutor" getEnabled="Index.ExcliqliteRibbonGetEnabled" getPressed="Index.ExcliqliteRibbonGetInitialValues" supertip="Si se activa, se pedirá la referencia de una celda en la hoja elegida para mostrar el resultado de RL Selección o Balmet Selección cuando use estas opciones.                              Por defecto, Excliq Lite mostrará el resultado de estos módulos en una hoja de cálculo nueva en el libro actual."/>
          </box>
          <dialogBoxLauncher>
            <button id="Configlauncher" tag="GrpConDlgFrmLch" screentip="Configurar más opciones." keytip="CO" onAction="Index.ExcliqliteRibbonActionExecutor" getEnabled="Index.ExcliqliteRibbonGetEnabled"/>
          </dialogBoxLauncher>
        </group>
        <group id="GrpHlp" label="Ayuda" image="hlp-help32">
          <splitButton id="GrpHlpSpl1" keytip="AH" size="large">
            <button id="Help" tag="GrpHlpSpl1BtnFrmWeb" label="Ayuda de Excliq Lite" supertip="Muestra la ayuda de Excliq Lite en el navegador de internet (se requiere una conexión a internet)." keytip="AH" onAction="Index.ExcliqliteRibbonActionExecutor" getEnabled="Index.ExcliqliteRibbonGetEnabled" image="hlp-help32"/>
            <menu id="GrpHlpSpl1Mnu1" label="Ayuda de Excliq Lite" supertip="Ayuda rápida del sistema." keytip="AR" itemSize="normal">
              <menuSeparator id="GrpHlpSpl1Mnu1Sep1" title="Ayuda rápida selecciones"/>
              <button id="HelpRLSelection" tag="GrpHlpSpl1Mnu1BtnFrmRLS" label="Ayuda RL Selección" supertip="Muestra la ayuda rápida de RL Selección." keytip="AS" onAction="Index.ExcliqliteRibbonActionExecutor" getEnabled="Index.ExcliqliteRibbonGetEnabled" image="hlp-help-reg-sel32"/>
              <button id="HelpBalmetSelection" tag="GrpHlpSpl1Mnu1BtnFrmBSE" label="Ayuda Balmet Selección" supertip="Muestra la ayuda rápida de Balmet Selección." keytip="AB" onAction="Index.ExcliqliteRibbonActionExecutor" getEnabled="Index.ExcliqliteRibbonGetEnabled" image="hlp-help-bal-sel32"/>
              <button id="HelpUDF" tag="GrpHlpSpl1Mnu1BtnFrmUDF" label="Ayuda de funciones Excliq Lite" supertip="Muestra la ayuda rápida de las funciones de Excliq Lite." keytip="AF" onAction="Index.ExcliqliteRibbonActionExecutor" getEnabled="Index.ExcliqliteRibbonGetEnabled" image="hlp-help-udf-sel32"/>
            </menu>
          </splitButton>
          <splitButton id="GrpHlpSpl2" keytip="AL" size="large">
            <button id="About" tag="GrpHlpSpl2BtnFrmAbt" label="A cerca de Excliq Lite" supertip="Muestra los créditos de Excliq Lite." keytip="AC" onAction="Index.ExcliqliteRibbonActionExecutor" getEnabled="Index.ExcliqliteRibbonGetEnabled" image="hlp-excliq32"/>
            <menu id="menuHAbout" label="Acerca de Excliq Lite" supertip="Información de la versión." keytip="AL" itemSize="normal">
              <menuSeparator id="menuHAboutSeparatorB" title="Información de Licencia"/>
              <button id="License" tag="GrpHlpSpl2BtnFrmLic" label="Licencia" supertip="Muestra la Licencia de Excliq Lite." keytip="AI" onAction="Index.ExcliqliteRibbonActionExecutor" getEnabled="Index.ExcliqliteRibbonGetEnabled" image="hlp-info32"/>
            </menu>
          </splitButton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10</vt:i4>
      </vt:variant>
    </vt:vector>
  </HeadingPairs>
  <TitlesOfParts>
    <vt:vector size="22" baseType="lpstr">
      <vt:lpstr>excliqlite</vt:lpstr>
      <vt:lpstr>excliqlitedatasheetsys</vt:lpstr>
      <vt:lpstr>excliqlitedatasheetpur</vt:lpstr>
      <vt:lpstr>excliqlitedatasheettmp</vt:lpstr>
      <vt:lpstr>ModelFilterTests</vt:lpstr>
      <vt:lpstr>RegrTests</vt:lpstr>
      <vt:lpstr>BalmetTests</vt:lpstr>
      <vt:lpstr>ProjecTests</vt:lpstr>
      <vt:lpstr>LiqMinTests</vt:lpstr>
      <vt:lpstr>LiqCncTests</vt:lpstr>
      <vt:lpstr>ConfigTest</vt:lpstr>
      <vt:lpstr>ToDo</vt:lpstr>
      <vt:lpstr>ModelFilterTests!Criterios</vt:lpstr>
      <vt:lpstr>LiqCncTests!LiqCtzA</vt:lpstr>
      <vt:lpstr>LiqCncTests!LiqCtzB</vt:lpstr>
      <vt:lpstr>LiqCncTests!LiqDTrat</vt:lpstr>
      <vt:lpstr>LiqCncTests!LiqLeyA</vt:lpstr>
      <vt:lpstr>LiqCncTests!LiqLeyB</vt:lpstr>
      <vt:lpstr>LiqCncTests!LiqTMH</vt:lpstr>
      <vt:lpstr>LiqCncTests!LiqTMS</vt:lpstr>
      <vt:lpstr>LiqCncTests!LiqTotalNeto</vt:lpstr>
      <vt:lpstr>LiqCncTests!LiqValorBruto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Roccou</dc:creator>
  <cp:lastModifiedBy>Roccou</cp:lastModifiedBy>
  <cp:lastPrinted>2021-10-07T20:44:58Z</cp:lastPrinted>
  <dcterms:created xsi:type="dcterms:W3CDTF">2019-07-20T04:02:06Z</dcterms:created>
  <dcterms:modified xsi:type="dcterms:W3CDTF">2021-10-11T23:49:08Z</dcterms:modified>
</cp:coreProperties>
</file>