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khair.assaf\RSI Informática\Time William Silva - Documentos\CLIENTES\02 - Safra\"/>
    </mc:Choice>
  </mc:AlternateContent>
  <xr:revisionPtr revIDLastSave="426" documentId="11_9773056CEAC626BAE13AE9BEE2E7086848B1A279" xr6:coauthVersionLast="41" xr6:coauthVersionMax="41" xr10:uidLastSave="{F424396A-5FB4-4ED3-B9D4-690ABB299AD2}"/>
  <bookViews>
    <workbookView xWindow="-120" yWindow="-120" windowWidth="20730" windowHeight="11160" tabRatio="784" activeTab="9" xr2:uid="{00000000-000D-0000-FFFF-FFFF00000000}"/>
  </bookViews>
  <sheets>
    <sheet name="Controle de Horas" sheetId="7" r:id="rId1"/>
    <sheet name="Proposta 1" sheetId="1" state="hidden" r:id="rId2"/>
    <sheet name="Proposta 71 K" sheetId="5" state="hidden" r:id="rId3"/>
    <sheet name="Proposta 3" sheetId="6" state="hidden" r:id="rId4"/>
    <sheet name="Proposta 4" sheetId="8" r:id="rId5"/>
    <sheet name="Proposta 5" sheetId="10" r:id="rId6"/>
    <sheet name="Proposta 6" sheetId="11" r:id="rId7"/>
    <sheet name="Proposta 7" sheetId="14" r:id="rId8"/>
    <sheet name="Proposta 8" sheetId="15" r:id="rId9"/>
    <sheet name="Safra II - Proposta I" sheetId="9" r:id="rId10"/>
    <sheet name="Safra II - Proposta II" sheetId="13" r:id="rId11"/>
    <sheet name="Controle de Horas - Aprovadas" sheetId="2" state="hidden" r:id="rId12"/>
    <sheet name="Controle de Horas - Necessárias" sheetId="4" state="hidden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4" i="9" l="1"/>
  <c r="T22" i="9"/>
  <c r="T17" i="9"/>
  <c r="J13" i="15" l="1"/>
  <c r="J14" i="15"/>
  <c r="J15" i="15"/>
  <c r="J16" i="15"/>
  <c r="J9" i="15"/>
  <c r="J10" i="15"/>
  <c r="J11" i="15"/>
  <c r="J12" i="15"/>
  <c r="I14" i="15"/>
  <c r="I15" i="15"/>
  <c r="I16" i="15"/>
  <c r="G14" i="15"/>
  <c r="G15" i="15"/>
  <c r="G16" i="15"/>
  <c r="H16" i="15"/>
  <c r="H15" i="15"/>
  <c r="H14" i="15"/>
  <c r="E17" i="15"/>
  <c r="D17" i="15"/>
  <c r="C17" i="15"/>
  <c r="D10" i="14" l="1"/>
  <c r="D9" i="14"/>
  <c r="E9" i="14"/>
  <c r="K16" i="15" l="1"/>
  <c r="D3" i="15"/>
  <c r="C14" i="7"/>
  <c r="D14" i="7"/>
  <c r="G24" i="15" l="1"/>
  <c r="F14" i="15"/>
  <c r="F11" i="15"/>
  <c r="F13" i="15"/>
  <c r="F12" i="15"/>
  <c r="F10" i="15"/>
  <c r="F16" i="15"/>
  <c r="F15" i="15"/>
  <c r="F9" i="15"/>
  <c r="H9" i="15" s="1"/>
  <c r="D5" i="15"/>
  <c r="G23" i="15"/>
  <c r="I13" i="15"/>
  <c r="G11" i="15" l="1"/>
  <c r="I11" i="15"/>
  <c r="H11" i="15"/>
  <c r="H10" i="15"/>
  <c r="G10" i="15"/>
  <c r="I10" i="15"/>
  <c r="H12" i="15"/>
  <c r="G12" i="15"/>
  <c r="I12" i="15"/>
  <c r="C18" i="15"/>
  <c r="C5" i="15" s="1"/>
  <c r="E5" i="15" s="1"/>
  <c r="G13" i="15"/>
  <c r="I9" i="15"/>
  <c r="I17" i="15" s="1"/>
  <c r="G9" i="15"/>
  <c r="H13" i="15"/>
  <c r="H17" i="15" s="1"/>
  <c r="G17" i="15" l="1"/>
  <c r="K13" i="15"/>
  <c r="G18" i="15" l="1"/>
  <c r="K9" i="15"/>
  <c r="J17" i="15"/>
  <c r="K17" i="15" s="1"/>
  <c r="P13" i="15"/>
  <c r="P17" i="15" s="1"/>
  <c r="E31" i="7" l="1"/>
  <c r="E30" i="7"/>
  <c r="I11" i="14" l="1"/>
  <c r="H11" i="14"/>
  <c r="G11" i="14"/>
  <c r="F11" i="14"/>
  <c r="E15" i="14"/>
  <c r="J14" i="14"/>
  <c r="K14" i="14" s="1"/>
  <c r="K13" i="14"/>
  <c r="J13" i="14"/>
  <c r="D3" i="14"/>
  <c r="G22" i="14" s="1"/>
  <c r="E12" i="7"/>
  <c r="K17" i="7" s="1"/>
  <c r="K18" i="7" s="1"/>
  <c r="K19" i="7" l="1"/>
  <c r="J11" i="14"/>
  <c r="C15" i="14"/>
  <c r="F10" i="14"/>
  <c r="I10" i="14" s="1"/>
  <c r="D15" i="14"/>
  <c r="F9" i="14"/>
  <c r="G9" i="14" s="1"/>
  <c r="D5" i="14"/>
  <c r="I9" i="14"/>
  <c r="G21" i="14"/>
  <c r="F12" i="7"/>
  <c r="G12" i="7"/>
  <c r="C3" i="13"/>
  <c r="D3" i="13" s="1"/>
  <c r="H13" i="13" s="1"/>
  <c r="G14" i="13"/>
  <c r="C14" i="13"/>
  <c r="T12" i="13"/>
  <c r="T14" i="13" s="1"/>
  <c r="D12" i="13"/>
  <c r="D11" i="13"/>
  <c r="D10" i="13"/>
  <c r="C16" i="14" l="1"/>
  <c r="C5" i="14" s="1"/>
  <c r="E5" i="14" s="1"/>
  <c r="I15" i="14"/>
  <c r="G10" i="14"/>
  <c r="G15" i="14" s="1"/>
  <c r="H10" i="14"/>
  <c r="H9" i="14"/>
  <c r="J9" i="14" s="1"/>
  <c r="H15" i="14"/>
  <c r="D14" i="13"/>
  <c r="H9" i="13"/>
  <c r="L9" i="13" s="1"/>
  <c r="H10" i="13"/>
  <c r="D5" i="13"/>
  <c r="H11" i="13"/>
  <c r="E14" i="13"/>
  <c r="H12" i="13"/>
  <c r="F14" i="13"/>
  <c r="J10" i="14" l="1"/>
  <c r="K10" i="14" s="1"/>
  <c r="K9" i="14"/>
  <c r="G16" i="14"/>
  <c r="I9" i="13"/>
  <c r="J9" i="13"/>
  <c r="K9" i="13"/>
  <c r="I11" i="13"/>
  <c r="M11" i="13"/>
  <c r="K11" i="13"/>
  <c r="L11" i="13"/>
  <c r="K10" i="13"/>
  <c r="M10" i="13"/>
  <c r="I10" i="13"/>
  <c r="L10" i="13"/>
  <c r="C15" i="13"/>
  <c r="C5" i="13" s="1"/>
  <c r="E5" i="13" s="1"/>
  <c r="J10" i="13"/>
  <c r="I20" i="13"/>
  <c r="M9" i="13"/>
  <c r="I12" i="13"/>
  <c r="K12" i="13"/>
  <c r="I13" i="13"/>
  <c r="N13" i="13" s="1"/>
  <c r="O13" i="13" s="1"/>
  <c r="M12" i="13"/>
  <c r="L12" i="13"/>
  <c r="J12" i="13"/>
  <c r="J11" i="13"/>
  <c r="P10" i="14" l="1"/>
  <c r="P15" i="14" s="1"/>
  <c r="J15" i="14"/>
  <c r="K15" i="14" s="1"/>
  <c r="N9" i="13"/>
  <c r="O9" i="13" s="1"/>
  <c r="K14" i="13"/>
  <c r="L14" i="13"/>
  <c r="J14" i="13"/>
  <c r="N11" i="13"/>
  <c r="O11" i="13" s="1"/>
  <c r="N10" i="13"/>
  <c r="O10" i="13" s="1"/>
  <c r="I14" i="13"/>
  <c r="N12" i="13"/>
  <c r="O12" i="13" s="1"/>
  <c r="M14" i="13"/>
  <c r="N14" i="13" l="1"/>
  <c r="O14" i="13" s="1"/>
  <c r="H15" i="13"/>
  <c r="T12" i="9" l="1"/>
  <c r="E28" i="7" l="1"/>
  <c r="E29" i="7" l="1"/>
  <c r="E27" i="7"/>
  <c r="E26" i="7"/>
  <c r="E25" i="7" l="1"/>
  <c r="C9" i="11" l="1"/>
  <c r="C15" i="11" s="1"/>
  <c r="E9" i="11"/>
  <c r="D9" i="11"/>
  <c r="D15" i="11" s="1"/>
  <c r="D12" i="8"/>
  <c r="J14" i="11"/>
  <c r="K14" i="11" s="1"/>
  <c r="J13" i="11"/>
  <c r="K13" i="11" s="1"/>
  <c r="D3" i="11"/>
  <c r="G21" i="11" s="1"/>
  <c r="E15" i="11" l="1"/>
  <c r="C16" i="11"/>
  <c r="C5" i="11" s="1"/>
  <c r="G22" i="11"/>
  <c r="D5" i="11"/>
  <c r="F10" i="11"/>
  <c r="F9" i="11"/>
  <c r="E24" i="7"/>
  <c r="E5" i="11" l="1"/>
  <c r="I10" i="11"/>
  <c r="H10" i="11"/>
  <c r="G10" i="11"/>
  <c r="I9" i="11"/>
  <c r="H9" i="11"/>
  <c r="G9" i="11"/>
  <c r="D9" i="7"/>
  <c r="J10" i="11" l="1"/>
  <c r="K10" i="11" s="1"/>
  <c r="H15" i="11"/>
  <c r="I15" i="11"/>
  <c r="G15" i="11"/>
  <c r="J9" i="11"/>
  <c r="E23" i="7"/>
  <c r="G16" i="11" l="1"/>
  <c r="J15" i="11"/>
  <c r="K15" i="11" s="1"/>
  <c r="K9" i="11"/>
  <c r="P10" i="11"/>
  <c r="P15" i="11" s="1"/>
  <c r="T14" i="9"/>
  <c r="K7" i="7" l="1"/>
  <c r="E22" i="7" l="1"/>
  <c r="E13" i="7" s="1"/>
  <c r="E17" i="7" l="1"/>
  <c r="E18" i="7" s="1"/>
  <c r="E14" i="7"/>
  <c r="F13" i="7"/>
  <c r="G13" i="7"/>
  <c r="F11" i="7"/>
  <c r="G11" i="7"/>
  <c r="G7" i="7"/>
  <c r="E15" i="10" l="1"/>
  <c r="C15" i="10"/>
  <c r="J14" i="10"/>
  <c r="K14" i="10" s="1"/>
  <c r="J13" i="10"/>
  <c r="K13" i="10" s="1"/>
  <c r="D3" i="10"/>
  <c r="D10" i="9"/>
  <c r="G22" i="10" l="1"/>
  <c r="F10" i="10"/>
  <c r="G21" i="10"/>
  <c r="D15" i="10"/>
  <c r="C16" i="10" s="1"/>
  <c r="C5" i="10" s="1"/>
  <c r="F9" i="10"/>
  <c r="D5" i="10"/>
  <c r="I10" i="10" l="1"/>
  <c r="H10" i="10"/>
  <c r="G10" i="10"/>
  <c r="E5" i="10"/>
  <c r="H9" i="10"/>
  <c r="G9" i="10"/>
  <c r="I9" i="10"/>
  <c r="H15" i="10" l="1"/>
  <c r="I15" i="10"/>
  <c r="J10" i="10"/>
  <c r="K10" i="10" s="1"/>
  <c r="G15" i="10"/>
  <c r="J9" i="10"/>
  <c r="G16" i="10" l="1"/>
  <c r="K9" i="10"/>
  <c r="J15" i="10"/>
  <c r="K15" i="10" s="1"/>
  <c r="P10" i="10"/>
  <c r="P15" i="10" s="1"/>
  <c r="D11" i="9"/>
  <c r="D9" i="9"/>
  <c r="D12" i="9" l="1"/>
  <c r="F9" i="9"/>
  <c r="F14" i="9" s="1"/>
  <c r="E9" i="9"/>
  <c r="E14" i="9" s="1"/>
  <c r="C9" i="9"/>
  <c r="F9" i="7" l="1"/>
  <c r="G9" i="7" l="1"/>
  <c r="D14" i="9" l="1"/>
  <c r="G14" i="9"/>
  <c r="C14" i="9"/>
  <c r="D3" i="9"/>
  <c r="H11" i="9" l="1"/>
  <c r="H13" i="9"/>
  <c r="H9" i="9"/>
  <c r="I20" i="9" s="1"/>
  <c r="H10" i="9"/>
  <c r="H12" i="9"/>
  <c r="C15" i="9"/>
  <c r="C5" i="9" s="1"/>
  <c r="D5" i="9"/>
  <c r="E5" i="9" l="1"/>
  <c r="I13" i="9"/>
  <c r="M12" i="9"/>
  <c r="I12" i="9"/>
  <c r="K12" i="9"/>
  <c r="L12" i="9"/>
  <c r="J12" i="9"/>
  <c r="K10" i="9"/>
  <c r="L10" i="9"/>
  <c r="M10" i="9"/>
  <c r="J10" i="9"/>
  <c r="I10" i="9"/>
  <c r="L9" i="9"/>
  <c r="M9" i="9"/>
  <c r="K9" i="9"/>
  <c r="I9" i="9"/>
  <c r="J9" i="9"/>
  <c r="K11" i="9"/>
  <c r="M11" i="9"/>
  <c r="I11" i="9"/>
  <c r="L11" i="9"/>
  <c r="J11" i="9"/>
  <c r="E15" i="8"/>
  <c r="D15" i="8"/>
  <c r="C15" i="8"/>
  <c r="J14" i="8"/>
  <c r="K14" i="8" s="1"/>
  <c r="D3" i="8"/>
  <c r="N10" i="9" l="1"/>
  <c r="O10" i="9" s="1"/>
  <c r="F10" i="8"/>
  <c r="G10" i="8" s="1"/>
  <c r="F13" i="8"/>
  <c r="M14" i="9"/>
  <c r="N11" i="9"/>
  <c r="O11" i="9" s="1"/>
  <c r="I14" i="9"/>
  <c r="K14" i="9"/>
  <c r="L14" i="9"/>
  <c r="F9" i="8"/>
  <c r="H9" i="8" s="1"/>
  <c r="G21" i="8"/>
  <c r="G22" i="8"/>
  <c r="N12" i="9"/>
  <c r="O12" i="9" s="1"/>
  <c r="J14" i="9"/>
  <c r="N13" i="9"/>
  <c r="O13" i="9" s="1"/>
  <c r="N9" i="9"/>
  <c r="C16" i="8"/>
  <c r="C5" i="8" s="1"/>
  <c r="F11" i="8"/>
  <c r="D5" i="8"/>
  <c r="F12" i="8"/>
  <c r="I13" i="8" l="1"/>
  <c r="H13" i="8"/>
  <c r="G13" i="8"/>
  <c r="I10" i="8"/>
  <c r="H10" i="8"/>
  <c r="J10" i="8" s="1"/>
  <c r="K10" i="8" s="1"/>
  <c r="I9" i="8"/>
  <c r="G9" i="8"/>
  <c r="H15" i="9"/>
  <c r="O9" i="9"/>
  <c r="N14" i="9"/>
  <c r="O14" i="9" s="1"/>
  <c r="E5" i="8"/>
  <c r="I11" i="8"/>
  <c r="H11" i="8"/>
  <c r="G11" i="8"/>
  <c r="G12" i="8"/>
  <c r="I12" i="8"/>
  <c r="H12" i="8"/>
  <c r="J13" i="8" l="1"/>
  <c r="K13" i="8" s="1"/>
  <c r="J9" i="8"/>
  <c r="J11" i="8"/>
  <c r="K11" i="8" s="1"/>
  <c r="H15" i="8"/>
  <c r="I15" i="8"/>
  <c r="J12" i="8"/>
  <c r="K12" i="8" s="1"/>
  <c r="K9" i="8"/>
  <c r="G15" i="8"/>
  <c r="G16" i="8" l="1"/>
  <c r="J15" i="8"/>
  <c r="K15" i="8" l="1"/>
  <c r="P12" i="8"/>
  <c r="P15" i="8" s="1"/>
  <c r="K6" i="7"/>
  <c r="F7" i="7"/>
  <c r="F8" i="7" l="1"/>
  <c r="I14" i="7" l="1"/>
  <c r="C29" i="4"/>
  <c r="C34" i="4"/>
  <c r="D5" i="7" l="1"/>
  <c r="K5" i="7" s="1"/>
  <c r="C5" i="7"/>
  <c r="D4" i="7"/>
  <c r="C4" i="7"/>
  <c r="F5" i="7" l="1"/>
  <c r="G5" i="7"/>
  <c r="F4" i="7"/>
  <c r="G4" i="7"/>
  <c r="G6" i="7"/>
  <c r="F6" i="7"/>
  <c r="K4" i="7"/>
  <c r="K14" i="7" s="1"/>
  <c r="G21" i="6"/>
  <c r="F14" i="7" l="1"/>
  <c r="G14" i="7"/>
  <c r="AD27" i="4"/>
  <c r="AD26" i="4"/>
  <c r="AD25" i="4"/>
  <c r="AD24" i="4"/>
  <c r="AD28" i="4" l="1"/>
  <c r="E19" i="7"/>
  <c r="M9" i="6"/>
  <c r="N9" i="6"/>
  <c r="O9" i="6"/>
  <c r="D20" i="5"/>
  <c r="D23" i="1"/>
  <c r="E14" i="6"/>
  <c r="D14" i="6"/>
  <c r="C14" i="6"/>
  <c r="J13" i="6"/>
  <c r="K13" i="6" s="1"/>
  <c r="J12" i="6"/>
  <c r="K12" i="6" s="1"/>
  <c r="P14" i="6"/>
  <c r="D3" i="6"/>
  <c r="F11" i="6" s="1"/>
  <c r="E14" i="5"/>
  <c r="D14" i="5"/>
  <c r="C14" i="5"/>
  <c r="J13" i="5"/>
  <c r="K13" i="5" s="1"/>
  <c r="J12" i="5"/>
  <c r="K12" i="5" s="1"/>
  <c r="P14" i="5"/>
  <c r="M9" i="5"/>
  <c r="D3" i="5"/>
  <c r="F11" i="5" s="1"/>
  <c r="C15" i="6" l="1"/>
  <c r="C5" i="6" s="1"/>
  <c r="D5" i="6"/>
  <c r="F9" i="6"/>
  <c r="H9" i="6" s="1"/>
  <c r="C15" i="5"/>
  <c r="C5" i="5" s="1"/>
  <c r="D5" i="5"/>
  <c r="F9" i="5"/>
  <c r="G11" i="6"/>
  <c r="I11" i="6"/>
  <c r="H11" i="6"/>
  <c r="F10" i="6"/>
  <c r="I11" i="5"/>
  <c r="H11" i="5"/>
  <c r="G11" i="5"/>
  <c r="F10" i="5"/>
  <c r="I9" i="5" l="1"/>
  <c r="H9" i="5"/>
  <c r="E5" i="6"/>
  <c r="G9" i="6"/>
  <c r="I9" i="6"/>
  <c r="E5" i="5"/>
  <c r="G9" i="5"/>
  <c r="J11" i="5"/>
  <c r="K11" i="5" s="1"/>
  <c r="H10" i="6"/>
  <c r="H14" i="6" s="1"/>
  <c r="G10" i="6"/>
  <c r="I10" i="6"/>
  <c r="J11" i="6"/>
  <c r="K11" i="6" s="1"/>
  <c r="H10" i="5"/>
  <c r="G10" i="5"/>
  <c r="I10" i="5"/>
  <c r="C16" i="4"/>
  <c r="J9" i="5" l="1"/>
  <c r="K9" i="5" s="1"/>
  <c r="J9" i="6"/>
  <c r="H14" i="5"/>
  <c r="J10" i="6"/>
  <c r="K10" i="6" s="1"/>
  <c r="I14" i="6"/>
  <c r="G14" i="6"/>
  <c r="J10" i="5"/>
  <c r="K10" i="5" s="1"/>
  <c r="I14" i="5"/>
  <c r="G14" i="5"/>
  <c r="C36" i="4"/>
  <c r="K38" i="4" s="1"/>
  <c r="K9" i="6" l="1"/>
  <c r="G15" i="6"/>
  <c r="G15" i="5"/>
  <c r="J14" i="6"/>
  <c r="K14" i="6" s="1"/>
  <c r="J14" i="5"/>
  <c r="K14" i="5" s="1"/>
  <c r="C41" i="2"/>
  <c r="C36" i="2"/>
  <c r="C19" i="2"/>
  <c r="C43" i="2" l="1"/>
  <c r="P12" i="1"/>
  <c r="P11" i="1"/>
  <c r="H5" i="1" l="1"/>
  <c r="H4" i="1"/>
  <c r="O10" i="1" l="1"/>
  <c r="O11" i="1"/>
  <c r="O12" i="1"/>
  <c r="O9" i="1"/>
  <c r="N10" i="1"/>
  <c r="N11" i="1"/>
  <c r="N12" i="1"/>
  <c r="N9" i="1"/>
  <c r="M10" i="1"/>
  <c r="M11" i="1"/>
  <c r="M12" i="1"/>
  <c r="M9" i="1"/>
  <c r="J15" i="1"/>
  <c r="K15" i="1" s="1"/>
  <c r="J16" i="1"/>
  <c r="K16" i="1" s="1"/>
  <c r="E17" i="1"/>
  <c r="P17" i="1" l="1"/>
  <c r="C17" i="1" l="1"/>
  <c r="D3" i="1" l="1"/>
  <c r="F10" i="1" l="1"/>
  <c r="F14" i="1"/>
  <c r="F11" i="1"/>
  <c r="F12" i="1"/>
  <c r="F9" i="1"/>
  <c r="I9" i="1" s="1"/>
  <c r="F13" i="1"/>
  <c r="D5" i="1"/>
  <c r="G12" i="1" l="1"/>
  <c r="I12" i="1"/>
  <c r="G11" i="1"/>
  <c r="I11" i="1"/>
  <c r="G13" i="1"/>
  <c r="I13" i="1"/>
  <c r="G14" i="1"/>
  <c r="I14" i="1"/>
  <c r="G10" i="1"/>
  <c r="I10" i="1"/>
  <c r="G9" i="1"/>
  <c r="H9" i="1"/>
  <c r="K10" i="1"/>
  <c r="H14" i="1"/>
  <c r="H13" i="1"/>
  <c r="I17" i="1" l="1"/>
  <c r="J11" i="1"/>
  <c r="J14" i="1"/>
  <c r="K14" i="1" s="1"/>
  <c r="J13" i="1"/>
  <c r="K13" i="1" s="1"/>
  <c r="J12" i="1"/>
  <c r="C20" i="6" s="1"/>
  <c r="J9" i="1"/>
  <c r="K9" i="1" s="1"/>
  <c r="H17" i="1"/>
  <c r="D17" i="1"/>
  <c r="C18" i="1" l="1"/>
  <c r="C5" i="1" s="1"/>
  <c r="G17" i="1"/>
  <c r="G18" i="1" s="1"/>
  <c r="E5" i="1" l="1"/>
  <c r="K11" i="1" l="1"/>
  <c r="K2" i="1"/>
  <c r="K12" i="1"/>
  <c r="J17" i="1"/>
  <c r="K17" i="1" s="1"/>
</calcChain>
</file>

<file path=xl/sharedStrings.xml><?xml version="1.0" encoding="utf-8"?>
<sst xmlns="http://schemas.openxmlformats.org/spreadsheetml/2006/main" count="426" uniqueCount="138">
  <si>
    <t>Total de Horas</t>
  </si>
  <si>
    <t>Não Apontadas</t>
  </si>
  <si>
    <t>TOTAL APONTADAS</t>
  </si>
  <si>
    <t>Total Horas Projeto</t>
  </si>
  <si>
    <t>Vlr Hora</t>
  </si>
  <si>
    <t>Vlr Total Projeto</t>
  </si>
  <si>
    <t>Liquido</t>
  </si>
  <si>
    <t>Senior</t>
  </si>
  <si>
    <t>Pleno</t>
  </si>
  <si>
    <t>Bruto Senior</t>
  </si>
  <si>
    <t>Bruto Pleno</t>
  </si>
  <si>
    <t>Emissão Notas</t>
  </si>
  <si>
    <t>Ref. Março e abril</t>
  </si>
  <si>
    <t>Ref. Maio</t>
  </si>
  <si>
    <t>Ref. Junho</t>
  </si>
  <si>
    <t>Bruto Total</t>
  </si>
  <si>
    <t>Junior</t>
  </si>
  <si>
    <t>Hora</t>
  </si>
  <si>
    <t>Bruto Junior</t>
  </si>
  <si>
    <t>Março</t>
  </si>
  <si>
    <t>Abril</t>
  </si>
  <si>
    <t>Maio</t>
  </si>
  <si>
    <t>Junho</t>
  </si>
  <si>
    <t>Cristiane Beltrame Lopes</t>
  </si>
  <si>
    <t>Pamela Cremonez Babetto</t>
  </si>
  <si>
    <t>Carolina Correia dos Santos Lima</t>
  </si>
  <si>
    <t>Marcelo Honorio Da Silva</t>
  </si>
  <si>
    <t>Caique Pires</t>
  </si>
  <si>
    <t>Alexandre Soares de Oliveira</t>
  </si>
  <si>
    <t>Lucas Guardia Magalhães</t>
  </si>
  <si>
    <t>Paulo Roberto Ribeiro da Silva</t>
  </si>
  <si>
    <t>Leonardo Bernardo de Souza</t>
  </si>
  <si>
    <t>Eduardo Basile Vargas</t>
  </si>
  <si>
    <t>Profissional</t>
  </si>
  <si>
    <t>Proposta 1 - Andamento</t>
  </si>
  <si>
    <t>Analista 1</t>
  </si>
  <si>
    <t>Analista 2</t>
  </si>
  <si>
    <t>Analista 3</t>
  </si>
  <si>
    <t>Analista 4</t>
  </si>
  <si>
    <t>Analista 5</t>
  </si>
  <si>
    <t>Analista 6</t>
  </si>
  <si>
    <t>Analista 7</t>
  </si>
  <si>
    <t>Analista 8</t>
  </si>
  <si>
    <t>Analista 9</t>
  </si>
  <si>
    <t>Analista 10</t>
  </si>
  <si>
    <t>Subtotal Proposta em Andamento</t>
  </si>
  <si>
    <t>Solicitação + 10 Profissionais</t>
  </si>
  <si>
    <t>Subtotal Proposta + 10 Profissionais</t>
  </si>
  <si>
    <t>Total Geral</t>
  </si>
  <si>
    <t>Horas Extras</t>
  </si>
  <si>
    <t>Sub Total Horas Extras (Peso 2)</t>
  </si>
  <si>
    <t>Ronaldo Barbosa Da Silva</t>
  </si>
  <si>
    <t>Julho</t>
  </si>
  <si>
    <t>Agosto</t>
  </si>
  <si>
    <t>Deyvis da Silva Gomes</t>
  </si>
  <si>
    <t>Guilherme de Oliveira Andrade</t>
  </si>
  <si>
    <t>Leandro Domingos da Silva</t>
  </si>
  <si>
    <t>Victor augusto Carvalho Silva</t>
  </si>
  <si>
    <t>Weverton Bruno do Nascimento Queiroz</t>
  </si>
  <si>
    <t>Joao Vitor de Almeida</t>
  </si>
  <si>
    <t>Daniel Silva Matoso</t>
  </si>
  <si>
    <t>Gustavo Vassão Oliveira</t>
  </si>
  <si>
    <t>Horas junho</t>
  </si>
  <si>
    <t>Previsto</t>
  </si>
  <si>
    <t>Diferença</t>
  </si>
  <si>
    <t>5 profissionais</t>
  </si>
  <si>
    <t>Previsto em Proposta</t>
  </si>
  <si>
    <t>Proposta 1</t>
  </si>
  <si>
    <t>Horas</t>
  </si>
  <si>
    <t>Consideração</t>
  </si>
  <si>
    <t>Contratação</t>
  </si>
  <si>
    <t>Proposta 2 - Aditivo 71 K</t>
  </si>
  <si>
    <t>Mês</t>
  </si>
  <si>
    <t>Pendente</t>
  </si>
  <si>
    <t>Notas Pendentes</t>
  </si>
  <si>
    <t>Marcelo Honorio</t>
  </si>
  <si>
    <t>Kevin Kleinschmidt Abreu</t>
  </si>
  <si>
    <t>Valor Proposta</t>
  </si>
  <si>
    <t>Valor Nota</t>
  </si>
  <si>
    <t>Consumo</t>
  </si>
  <si>
    <t>H</t>
  </si>
  <si>
    <t>%</t>
  </si>
  <si>
    <t>Proposta</t>
  </si>
  <si>
    <t>Proposta 3 - Aditivo 393 K (Junho)</t>
  </si>
  <si>
    <t>Proposta 3 - Aditivo 393 K (Julho)</t>
  </si>
  <si>
    <t>Horas Disponíveis</t>
  </si>
  <si>
    <t>Data Fim das Horas</t>
  </si>
  <si>
    <t>Normais</t>
  </si>
  <si>
    <t>Notas Pagas</t>
  </si>
  <si>
    <t xml:space="preserve">Mês </t>
  </si>
  <si>
    <t>-</t>
  </si>
  <si>
    <t>Março, Abril, Maio e Junho</t>
  </si>
  <si>
    <t>Notas quitadas</t>
  </si>
  <si>
    <t>Plano H. Extras</t>
  </si>
  <si>
    <t>Horas Previstas Fds sem peso</t>
  </si>
  <si>
    <t>Automação</t>
  </si>
  <si>
    <t>Dias Uteis</t>
  </si>
  <si>
    <t>Horas (Peso 2)</t>
  </si>
  <si>
    <t>Sr.</t>
  </si>
  <si>
    <t>Pl.</t>
  </si>
  <si>
    <t>Jr.</t>
  </si>
  <si>
    <t>Funcional</t>
  </si>
  <si>
    <t>Cadastro</t>
  </si>
  <si>
    <t>ago/19 (plus)</t>
  </si>
  <si>
    <t>Proposta 5 - Alocação 15 (Setembro)</t>
  </si>
  <si>
    <t>Proposta 4 - Alocação 15 (Agosto)</t>
  </si>
  <si>
    <t>Proposta 4 - Alocação    3 (Set-Out)</t>
  </si>
  <si>
    <t>Proposta 6 - Alocação 14 (Outubro)</t>
  </si>
  <si>
    <t>16/10 - Nota ref.setembro 7456, enviada (vcto. para 25/11)</t>
  </si>
  <si>
    <t>Setembro</t>
  </si>
  <si>
    <t>07/10 - Nota ref.setembro  7405, enviada (vcto. para 15/11)
05/11 - Notas ref. Outubro/Novembro 7499, 7500 7501 (vcto. 10/12)</t>
  </si>
  <si>
    <t>Nota Fiscal</t>
  </si>
  <si>
    <t>07/11 - Nota ref.Outubro  7538, enviada (vcto. para 10/12)</t>
  </si>
  <si>
    <t>Proposta 7 - Alocação 5 (Novembro)</t>
  </si>
  <si>
    <t>Outubro</t>
  </si>
  <si>
    <t>Proposta 8 - Alocação 14 profissionais</t>
  </si>
  <si>
    <t>Proposta 7 - Alocação 5 profissionais</t>
  </si>
  <si>
    <t>Proposta 8 - Alocação 14 (Novembro)</t>
  </si>
  <si>
    <t xml:space="preserve"> </t>
  </si>
  <si>
    <t>Valor</t>
  </si>
  <si>
    <t>Horas Proposta</t>
  </si>
  <si>
    <t>Perfil</t>
  </si>
  <si>
    <t>Horas Novembro</t>
  </si>
  <si>
    <t>Horas Dezembro</t>
  </si>
  <si>
    <t>PROPOSTA COMERCIAL - SERVIÇOS DE TESTE FUNCIONAIS - 1 PROFISSIONAL</t>
  </si>
  <si>
    <t>Daniel Silva Motoso</t>
  </si>
  <si>
    <t xml:space="preserve">Pleno </t>
  </si>
  <si>
    <t>PROPOSTA COMERCIAL - SERVIÇOS DE TESTE FUNCIONAIS - 2 PROFISSIONAIS</t>
  </si>
  <si>
    <t>PROPOSTA COMERCIAL - SERVIÇOS DE TESTE FUNCIONAIS - 5 PROFISSIONAIS</t>
  </si>
  <si>
    <t>Jonathan Bueno Dias</t>
  </si>
  <si>
    <t xml:space="preserve">Valner da Silva Junior </t>
  </si>
  <si>
    <t>Marcelo Peresclevicius</t>
  </si>
  <si>
    <t>Rithielle Araujo Sathler</t>
  </si>
  <si>
    <t>Mikael Gomes e Gomes</t>
  </si>
  <si>
    <t>21/11 à 24/11</t>
  </si>
  <si>
    <t>Proposta 1 Prof</t>
  </si>
  <si>
    <t>Proposta 2 Prof</t>
  </si>
  <si>
    <t>Proposta 5 Prof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</si>
</sst>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  <numFmt numFmtId="165" formatCode="_(* #,##0.00_);_(* \(#,##0.00\);_(* &quot;-&quot;??_);_(@_)"/>
    <numFmt numFmtId="166" formatCode="#,##0.0"/>
    <numFmt numFmtId="167" formatCode="#,##0.00_ ;\-#,##0.00\ 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z val="10"/>
      <color rgb="FF00B05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00206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5" fontId="4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4" fontId="0" fillId="0" borderId="1" xfId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44" fontId="2" fillId="0" borderId="1" xfId="1" applyFont="1" applyBorder="1"/>
    <xf numFmtId="44" fontId="0" fillId="0" borderId="0" xfId="0" applyNumberFormat="1"/>
    <xf numFmtId="17" fontId="0" fillId="0" borderId="1" xfId="0" applyNumberFormat="1" applyBorder="1" applyAlignment="1">
      <alignment horizontal="left"/>
    </xf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44" fontId="2" fillId="0" borderId="1" xfId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44" fontId="2" fillId="0" borderId="0" xfId="1" applyFont="1" applyBorder="1" applyAlignment="1">
      <alignment horizontal="center" vertical="center"/>
    </xf>
    <xf numFmtId="44" fontId="2" fillId="0" borderId="0" xfId="1" applyFont="1" applyBorder="1"/>
    <xf numFmtId="44" fontId="2" fillId="0" borderId="0" xfId="0" applyNumberFormat="1" applyFont="1"/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44" fontId="0" fillId="0" borderId="1" xfId="1" applyFont="1" applyFill="1" applyBorder="1"/>
    <xf numFmtId="44" fontId="0" fillId="0" borderId="0" xfId="1" applyFont="1" applyFill="1" applyBorder="1"/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7" fontId="0" fillId="3" borderId="1" xfId="0" applyNumberFormat="1" applyFill="1" applyBorder="1" applyAlignment="1">
      <alignment horizontal="left"/>
    </xf>
    <xf numFmtId="0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44" fontId="0" fillId="3" borderId="1" xfId="1" applyFont="1" applyFill="1" applyBorder="1"/>
    <xf numFmtId="44" fontId="0" fillId="3" borderId="0" xfId="1" applyFon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0" fontId="5" fillId="0" borderId="0" xfId="2" applyFont="1" applyFill="1" applyBorder="1" applyProtection="1">
      <protection locked="0"/>
    </xf>
    <xf numFmtId="166" fontId="8" fillId="0" borderId="0" xfId="3" applyNumberFormat="1" applyFont="1" applyBorder="1" applyAlignment="1" applyProtection="1">
      <alignment horizontal="center" vertical="center"/>
      <protection locked="0"/>
    </xf>
    <xf numFmtId="0" fontId="3" fillId="5" borderId="0" xfId="0" applyFont="1" applyFill="1" applyBorder="1"/>
    <xf numFmtId="44" fontId="0" fillId="0" borderId="0" xfId="0" applyNumberFormat="1" applyAlignment="1">
      <alignment wrapText="1"/>
    </xf>
    <xf numFmtId="44" fontId="0" fillId="0" borderId="0" xfId="0" applyNumberForma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2" borderId="0" xfId="2" applyFont="1" applyFill="1" applyBorder="1" applyProtection="1">
      <protection locked="0"/>
    </xf>
    <xf numFmtId="3" fontId="5" fillId="0" borderId="0" xfId="0" applyNumberFormat="1" applyFont="1" applyFill="1" applyBorder="1" applyAlignment="1">
      <alignment horizontal="center" vertical="center"/>
    </xf>
    <xf numFmtId="0" fontId="0" fillId="0" borderId="0" xfId="0" applyFill="1"/>
    <xf numFmtId="0" fontId="2" fillId="0" borderId="0" xfId="0" applyFont="1" applyFill="1" applyAlignment="1">
      <alignment horizontal="center"/>
    </xf>
    <xf numFmtId="0" fontId="0" fillId="0" borderId="0" xfId="0" applyAlignment="1">
      <alignment horizontal="right"/>
    </xf>
    <xf numFmtId="44" fontId="0" fillId="0" borderId="0" xfId="0" applyNumberFormat="1" applyAlignment="1">
      <alignment horizontal="center"/>
    </xf>
    <xf numFmtId="44" fontId="0" fillId="3" borderId="0" xfId="0" applyNumberFormat="1" applyFill="1"/>
    <xf numFmtId="0" fontId="0" fillId="3" borderId="0" xfId="0" applyFill="1"/>
    <xf numFmtId="166" fontId="8" fillId="0" borderId="0" xfId="3" applyNumberFormat="1" applyFont="1" applyFill="1" applyBorder="1" applyAlignment="1" applyProtection="1">
      <alignment horizontal="center" vertical="center"/>
      <protection locked="0"/>
    </xf>
    <xf numFmtId="0" fontId="8" fillId="0" borderId="0" xfId="2" applyFont="1" applyFill="1" applyBorder="1" applyProtection="1">
      <protection locked="0"/>
    </xf>
    <xf numFmtId="0" fontId="8" fillId="0" borderId="0" xfId="0" applyFont="1" applyFill="1" applyBorder="1" applyAlignment="1">
      <alignment horizontal="center" vertical="center"/>
    </xf>
    <xf numFmtId="166" fontId="7" fillId="0" borderId="0" xfId="0" applyNumberFormat="1" applyFont="1" applyFill="1" applyBorder="1" applyAlignment="1">
      <alignment horizontal="center" vertical="center"/>
    </xf>
    <xf numFmtId="3" fontId="7" fillId="0" borderId="0" xfId="0" applyNumberFormat="1" applyFont="1" applyFill="1" applyBorder="1" applyAlignment="1">
      <alignment horizontal="center" vertical="center"/>
    </xf>
    <xf numFmtId="166" fontId="5" fillId="0" borderId="0" xfId="0" applyNumberFormat="1" applyFont="1" applyFill="1" applyBorder="1" applyAlignment="1">
      <alignment horizontal="center" vertical="center"/>
    </xf>
    <xf numFmtId="16" fontId="0" fillId="0" borderId="0" xfId="0" applyNumberFormat="1"/>
    <xf numFmtId="166" fontId="8" fillId="2" borderId="0" xfId="3" applyNumberFormat="1" applyFont="1" applyFill="1" applyBorder="1" applyAlignment="1" applyProtection="1">
      <alignment horizontal="center" vertical="center"/>
      <protection locked="0"/>
    </xf>
    <xf numFmtId="166" fontId="10" fillId="0" borderId="0" xfId="3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44" fontId="11" fillId="0" borderId="0" xfId="0" applyNumberFormat="1" applyFont="1" applyAlignment="1">
      <alignment horizontal="center" vertical="center"/>
    </xf>
    <xf numFmtId="0" fontId="11" fillId="0" borderId="0" xfId="0" applyNumberFormat="1" applyFont="1" applyAlignment="1">
      <alignment horizontal="center" vertical="center"/>
    </xf>
    <xf numFmtId="9" fontId="11" fillId="0" borderId="0" xfId="4" applyFont="1" applyAlignment="1">
      <alignment horizontal="center" vertical="center"/>
    </xf>
    <xf numFmtId="0" fontId="7" fillId="0" borderId="0" xfId="0" applyFont="1"/>
    <xf numFmtId="44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44" fontId="7" fillId="0" borderId="0" xfId="0" applyNumberFormat="1" applyFont="1" applyAlignment="1">
      <alignment horizontal="center" vertical="center"/>
    </xf>
    <xf numFmtId="9" fontId="7" fillId="0" borderId="0" xfId="4" applyFont="1" applyAlignment="1">
      <alignment horizontal="center" vertical="center"/>
    </xf>
    <xf numFmtId="0" fontId="7" fillId="0" borderId="0" xfId="0" applyFont="1" applyAlignment="1">
      <alignment horizontal="left"/>
    </xf>
    <xf numFmtId="44" fontId="8" fillId="0" borderId="0" xfId="0" applyNumberFormat="1" applyFont="1" applyAlignment="1">
      <alignment horizontal="center" vertical="center"/>
    </xf>
    <xf numFmtId="0" fontId="11" fillId="0" borderId="0" xfId="0" quotePrefix="1" applyFont="1" applyAlignment="1">
      <alignment horizontal="center" vertical="center"/>
    </xf>
    <xf numFmtId="44" fontId="8" fillId="0" borderId="0" xfId="0" quotePrefix="1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9" fontId="8" fillId="0" borderId="0" xfId="4" applyFont="1" applyAlignment="1">
      <alignment horizontal="center" vertical="center"/>
    </xf>
    <xf numFmtId="0" fontId="8" fillId="0" borderId="0" xfId="0" quotePrefix="1" applyFont="1" applyAlignment="1">
      <alignment horizontal="center" vertical="center"/>
    </xf>
    <xf numFmtId="0" fontId="11" fillId="0" borderId="0" xfId="0" applyFont="1" applyAlignment="1">
      <alignment horizontal="left" wrapText="1"/>
    </xf>
    <xf numFmtId="0" fontId="7" fillId="0" borderId="3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1" fontId="7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14" fontId="7" fillId="0" borderId="8" xfId="0" applyNumberFormat="1" applyFont="1" applyBorder="1" applyAlignment="1">
      <alignment horizontal="center" vertical="center"/>
    </xf>
    <xf numFmtId="0" fontId="6" fillId="7" borderId="9" xfId="0" applyFont="1" applyFill="1" applyBorder="1" applyAlignment="1">
      <alignment horizontal="left" vertical="center"/>
    </xf>
    <xf numFmtId="0" fontId="6" fillId="7" borderId="10" xfId="0" applyFont="1" applyFill="1" applyBorder="1" applyAlignment="1">
      <alignment horizontal="center" vertical="center"/>
    </xf>
    <xf numFmtId="16" fontId="5" fillId="0" borderId="11" xfId="0" applyNumberFormat="1" applyFont="1" applyBorder="1" applyAlignment="1">
      <alignment horizontal="left" vertical="center"/>
    </xf>
    <xf numFmtId="0" fontId="5" fillId="0" borderId="12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1" xfId="0" applyFont="1" applyBorder="1" applyAlignment="1">
      <alignment horizontal="left" vertical="center"/>
    </xf>
    <xf numFmtId="16" fontId="5" fillId="0" borderId="13" xfId="0" applyNumberFormat="1" applyFont="1" applyBorder="1" applyAlignment="1">
      <alignment horizontal="left" vertical="center"/>
    </xf>
    <xf numFmtId="0" fontId="5" fillId="0" borderId="14" xfId="0" applyFont="1" applyBorder="1" applyAlignment="1">
      <alignment horizontal="center" vertical="center"/>
    </xf>
    <xf numFmtId="0" fontId="5" fillId="0" borderId="13" xfId="0" applyFont="1" applyBorder="1" applyAlignment="1">
      <alignment horizontal="left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" fontId="0" fillId="0" borderId="0" xfId="0" applyNumberFormat="1" applyFill="1" applyAlignment="1">
      <alignment horizontal="center" vertical="center"/>
    </xf>
    <xf numFmtId="44" fontId="0" fillId="0" borderId="0" xfId="0" applyNumberFormat="1" applyFill="1"/>
    <xf numFmtId="44" fontId="0" fillId="10" borderId="0" xfId="1" applyFont="1" applyFill="1" applyBorder="1"/>
    <xf numFmtId="44" fontId="2" fillId="10" borderId="0" xfId="1" applyFont="1" applyFill="1" applyBorder="1"/>
    <xf numFmtId="0" fontId="0" fillId="0" borderId="0" xfId="0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44" fontId="2" fillId="0" borderId="2" xfId="1" applyFont="1" applyBorder="1"/>
    <xf numFmtId="0" fontId="0" fillId="0" borderId="0" xfId="0" applyBorder="1" applyAlignment="1">
      <alignment horizontal="center" vertical="center"/>
    </xf>
    <xf numFmtId="44" fontId="2" fillId="0" borderId="0" xfId="0" applyNumberFormat="1" applyFont="1" applyBorder="1"/>
    <xf numFmtId="0" fontId="15" fillId="0" borderId="0" xfId="0" applyFont="1" applyAlignment="1">
      <alignment horizontal="center" vertical="center"/>
    </xf>
    <xf numFmtId="44" fontId="15" fillId="0" borderId="0" xfId="0" applyNumberFormat="1" applyFont="1" applyAlignment="1">
      <alignment horizontal="center" vertical="center"/>
    </xf>
    <xf numFmtId="0" fontId="15" fillId="0" borderId="0" xfId="0" applyNumberFormat="1" applyFont="1" applyAlignment="1">
      <alignment horizontal="center" vertical="center"/>
    </xf>
    <xf numFmtId="44" fontId="16" fillId="0" borderId="0" xfId="0" applyNumberFormat="1" applyFont="1" applyAlignment="1">
      <alignment horizontal="center" vertical="center"/>
    </xf>
    <xf numFmtId="0" fontId="13" fillId="0" borderId="0" xfId="0" applyFont="1" applyFill="1" applyAlignment="1">
      <alignment horizontal="left" vertical="center" indent="2"/>
    </xf>
    <xf numFmtId="0" fontId="6" fillId="7" borderId="15" xfId="0" applyFont="1" applyFill="1" applyBorder="1" applyAlignment="1">
      <alignment horizontal="center" vertical="center"/>
    </xf>
    <xf numFmtId="0" fontId="5" fillId="10" borderId="12" xfId="0" applyNumberFormat="1" applyFont="1" applyFill="1" applyBorder="1" applyAlignment="1">
      <alignment horizontal="center" vertical="center"/>
    </xf>
    <xf numFmtId="0" fontId="14" fillId="10" borderId="0" xfId="0" applyFont="1" applyFill="1" applyBorder="1" applyAlignment="1">
      <alignment horizontal="left" vertical="center" indent="2"/>
    </xf>
    <xf numFmtId="164" fontId="2" fillId="0" borderId="0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4" fontId="0" fillId="0" borderId="0" xfId="0" applyNumberFormat="1" applyFill="1" applyAlignment="1">
      <alignment horizontal="left"/>
    </xf>
    <xf numFmtId="0" fontId="0" fillId="0" borderId="0" xfId="0" applyAlignment="1">
      <alignment horizontal="center"/>
    </xf>
    <xf numFmtId="44" fontId="0" fillId="8" borderId="1" xfId="1" applyFont="1" applyFill="1" applyBorder="1"/>
    <xf numFmtId="0" fontId="18" fillId="0" borderId="0" xfId="0" applyFont="1"/>
    <xf numFmtId="0" fontId="19" fillId="0" borderId="0" xfId="0" applyFont="1" applyAlignment="1">
      <alignment horizontal="center" vertical="center"/>
    </xf>
    <xf numFmtId="44" fontId="19" fillId="0" borderId="0" xfId="0" applyNumberFormat="1" applyFont="1" applyAlignment="1">
      <alignment horizontal="center" vertical="center"/>
    </xf>
    <xf numFmtId="44" fontId="20" fillId="0" borderId="0" xfId="0" applyNumberFormat="1" applyFont="1" applyAlignment="1">
      <alignment horizontal="center" vertical="center"/>
    </xf>
    <xf numFmtId="0" fontId="2" fillId="0" borderId="0" xfId="0" applyFont="1" applyFill="1"/>
    <xf numFmtId="0" fontId="2" fillId="0" borderId="0" xfId="0" applyFont="1" applyFill="1" applyAlignment="1">
      <alignment horizontal="center" vertical="center"/>
    </xf>
    <xf numFmtId="17" fontId="0" fillId="0" borderId="1" xfId="0" applyNumberFormat="1" applyFill="1" applyBorder="1" applyAlignment="1">
      <alignment horizontal="left"/>
    </xf>
    <xf numFmtId="1" fontId="0" fillId="3" borderId="0" xfId="0" applyNumberFormat="1" applyFill="1" applyAlignment="1">
      <alignment horizontal="center" vertical="center"/>
    </xf>
    <xf numFmtId="17" fontId="0" fillId="3" borderId="1" xfId="0" quotePrefix="1" applyNumberFormat="1" applyFill="1" applyBorder="1" applyAlignment="1">
      <alignment horizontal="left"/>
    </xf>
    <xf numFmtId="44" fontId="0" fillId="3" borderId="0" xfId="0" applyNumberFormat="1" applyFill="1" applyAlignment="1">
      <alignment horizontal="left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4" fontId="0" fillId="0" borderId="0" xfId="1" applyFont="1"/>
    <xf numFmtId="44" fontId="11" fillId="0" borderId="0" xfId="0" quotePrefix="1" applyNumberFormat="1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44" fontId="5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0" fontId="21" fillId="0" borderId="0" xfId="0" applyFont="1"/>
    <xf numFmtId="0" fontId="22" fillId="0" borderId="0" xfId="0" applyFont="1" applyAlignment="1">
      <alignment horizontal="center" vertical="center"/>
    </xf>
    <xf numFmtId="44" fontId="22" fillId="0" borderId="0" xfId="0" applyNumberFormat="1" applyFont="1" applyAlignment="1">
      <alignment horizontal="center" vertical="center"/>
    </xf>
    <xf numFmtId="0" fontId="22" fillId="0" borderId="0" xfId="0" applyNumberFormat="1" applyFont="1" applyAlignment="1">
      <alignment horizontal="center" vertical="center"/>
    </xf>
    <xf numFmtId="44" fontId="23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44" fontId="24" fillId="0" borderId="0" xfId="0" applyNumberFormat="1" applyFont="1" applyFill="1" applyBorder="1" applyAlignment="1">
      <alignment horizontal="center" vertical="center"/>
    </xf>
    <xf numFmtId="44" fontId="6" fillId="0" borderId="0" xfId="0" applyNumberFormat="1" applyFont="1" applyFill="1" applyBorder="1" applyAlignment="1">
      <alignment horizontal="left" vertical="center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Border="1"/>
    <xf numFmtId="0" fontId="0" fillId="0" borderId="0" xfId="0" applyNumberFormat="1" applyFill="1"/>
    <xf numFmtId="0" fontId="0" fillId="0" borderId="0" xfId="0" applyAlignment="1">
      <alignment horizontal="center"/>
    </xf>
    <xf numFmtId="164" fontId="2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44" fontId="0" fillId="0" borderId="0" xfId="0" applyNumberFormat="1" applyFont="1" applyAlignment="1">
      <alignment horizontal="center" vertical="center"/>
    </xf>
    <xf numFmtId="3" fontId="22" fillId="0" borderId="0" xfId="0" applyNumberFormat="1" applyFont="1" applyAlignment="1">
      <alignment horizontal="center" vertical="center"/>
    </xf>
    <xf numFmtId="3" fontId="7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6" xfId="0" applyBorder="1"/>
    <xf numFmtId="0" fontId="0" fillId="2" borderId="16" xfId="0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44" fontId="0" fillId="0" borderId="16" xfId="1" applyFont="1" applyFill="1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44" fontId="0" fillId="10" borderId="1" xfId="1" applyFont="1" applyFill="1" applyBorder="1"/>
    <xf numFmtId="1" fontId="0" fillId="0" borderId="1" xfId="0" applyNumberFormat="1" applyFill="1" applyBorder="1" applyAlignment="1">
      <alignment horizontal="center" vertical="center"/>
    </xf>
    <xf numFmtId="44" fontId="0" fillId="0" borderId="1" xfId="0" applyNumberFormat="1" applyFill="1" applyBorder="1"/>
    <xf numFmtId="1" fontId="0" fillId="0" borderId="1" xfId="0" applyNumberFormat="1" applyBorder="1" applyAlignment="1">
      <alignment horizontal="center" vertical="center"/>
    </xf>
    <xf numFmtId="44" fontId="0" fillId="0" borderId="1" xfId="0" applyNumberFormat="1" applyBorder="1"/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0" xfId="0" applyBorder="1"/>
    <xf numFmtId="8" fontId="0" fillId="0" borderId="1" xfId="0" applyNumberFormat="1" applyBorder="1"/>
    <xf numFmtId="0" fontId="0" fillId="0" borderId="21" xfId="0" applyBorder="1" applyAlignment="1">
      <alignment horizontal="center"/>
    </xf>
    <xf numFmtId="0" fontId="0" fillId="0" borderId="23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20" fontId="5" fillId="0" borderId="0" xfId="0" applyNumberFormat="1" applyFont="1" applyAlignment="1">
      <alignment horizontal="center" vertical="center"/>
    </xf>
    <xf numFmtId="0" fontId="0" fillId="0" borderId="23" xfId="0" applyBorder="1" applyAlignment="1">
      <alignment horizontal="center" vertical="center"/>
    </xf>
    <xf numFmtId="44" fontId="1" fillId="0" borderId="1" xfId="1" applyFont="1" applyFill="1" applyBorder="1"/>
    <xf numFmtId="17" fontId="2" fillId="0" borderId="17" xfId="0" applyNumberFormat="1" applyFont="1" applyBorder="1" applyAlignment="1">
      <alignment horizontal="left"/>
    </xf>
    <xf numFmtId="0" fontId="2" fillId="0" borderId="18" xfId="0" applyNumberFormat="1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/>
    </xf>
    <xf numFmtId="44" fontId="2" fillId="0" borderId="18" xfId="1" applyFont="1" applyFill="1" applyBorder="1"/>
    <xf numFmtId="44" fontId="2" fillId="0" borderId="19" xfId="1" applyFont="1" applyFill="1" applyBorder="1"/>
    <xf numFmtId="17" fontId="0" fillId="0" borderId="20" xfId="0" applyNumberFormat="1" applyBorder="1" applyAlignment="1">
      <alignment horizontal="left"/>
    </xf>
    <xf numFmtId="44" fontId="0" fillId="0" borderId="21" xfId="1" applyFont="1" applyFill="1" applyBorder="1"/>
    <xf numFmtId="17" fontId="0" fillId="0" borderId="22" xfId="0" applyNumberFormat="1" applyBorder="1" applyAlignment="1">
      <alignment horizontal="left"/>
    </xf>
    <xf numFmtId="0" fontId="0" fillId="0" borderId="23" xfId="0" applyNumberFormat="1" applyFill="1" applyBorder="1" applyAlignment="1">
      <alignment horizontal="center" vertical="center"/>
    </xf>
    <xf numFmtId="0" fontId="0" fillId="0" borderId="23" xfId="0" applyFill="1" applyBorder="1" applyAlignment="1">
      <alignment horizontal="center"/>
    </xf>
    <xf numFmtId="44" fontId="0" fillId="0" borderId="23" xfId="1" applyFont="1" applyFill="1" applyBorder="1"/>
    <xf numFmtId="44" fontId="0" fillId="0" borderId="24" xfId="1" applyFont="1" applyFill="1" applyBorder="1"/>
    <xf numFmtId="0" fontId="2" fillId="0" borderId="16" xfId="0" applyFont="1" applyBorder="1"/>
    <xf numFmtId="0" fontId="2" fillId="0" borderId="16" xfId="0" applyFont="1" applyBorder="1" applyAlignment="1">
      <alignment horizontal="center"/>
    </xf>
    <xf numFmtId="44" fontId="2" fillId="0" borderId="16" xfId="1" applyFont="1" applyBorder="1"/>
    <xf numFmtId="44" fontId="1" fillId="0" borderId="21" xfId="1" applyFont="1" applyFill="1" applyBorder="1"/>
    <xf numFmtId="44" fontId="1" fillId="0" borderId="23" xfId="1" applyFont="1" applyFill="1" applyBorder="1"/>
    <xf numFmtId="44" fontId="0" fillId="0" borderId="23" xfId="1" applyFont="1" applyBorder="1"/>
    <xf numFmtId="44" fontId="1" fillId="0" borderId="24" xfId="1" applyFont="1" applyFill="1" applyBorder="1"/>
    <xf numFmtId="0" fontId="17" fillId="0" borderId="0" xfId="0" applyFont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8" fontId="0" fillId="0" borderId="23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Alignment="1">
      <alignment horizontal="center"/>
    </xf>
    <xf numFmtId="164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6" fontId="7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6" fontId="3" fillId="5" borderId="0" xfId="0" applyNumberFormat="1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66" fontId="9" fillId="0" borderId="0" xfId="3" applyNumberFormat="1" applyFont="1" applyBorder="1" applyAlignment="1" applyProtection="1">
      <alignment horizontal="center" vertical="center"/>
      <protection locked="0"/>
    </xf>
    <xf numFmtId="3" fontId="3" fillId="5" borderId="0" xfId="0" applyNumberFormat="1" applyFont="1" applyFill="1" applyBorder="1" applyAlignment="1">
      <alignment horizontal="center" vertical="center"/>
    </xf>
    <xf numFmtId="167" fontId="0" fillId="0" borderId="0" xfId="0" applyNumberFormat="1"/>
    <xf numFmtId="20" fontId="0" fillId="0" borderId="0" xfId="0" applyNumberFormat="1" applyAlignment="1">
      <alignment horizontal="center" vertical="center"/>
    </xf>
  </cellXfs>
  <cellStyles count="5">
    <cellStyle name="Moeda" xfId="1" builtinId="4"/>
    <cellStyle name="Normal" xfId="0" builtinId="0"/>
    <cellStyle name="Normal 3" xfId="2" xr:uid="{00000000-0005-0000-0000-000002000000}"/>
    <cellStyle name="Porcentagem" xfId="4" builtinId="5"/>
    <cellStyle name="Separador de milhares 2" xfId="3" xr:uid="{00000000-0005-0000-0000-000004000000}"/>
  </cellStyles>
  <dxfs count="76">
    <dxf>
      <font>
        <b/>
        <i val="0"/>
        <color rgb="FFC00000"/>
      </font>
      <fill>
        <patternFill>
          <bgColor theme="5" tint="0.39994506668294322"/>
        </patternFill>
      </fill>
    </dxf>
    <dxf>
      <font>
        <b/>
        <i val="0"/>
        <color rgb="FFC00000"/>
      </font>
      <fill>
        <patternFill>
          <bgColor theme="5" tint="0.39994506668294322"/>
        </patternFill>
      </fill>
    </dxf>
    <dxf>
      <font>
        <b/>
        <i val="0"/>
        <color rgb="FFC00000"/>
      </font>
      <fill>
        <patternFill>
          <bgColor theme="5" tint="0.39994506668294322"/>
        </patternFill>
      </fill>
    </dxf>
    <dxf>
      <font>
        <b/>
        <i val="0"/>
        <color rgb="FFC00000"/>
      </font>
      <fill>
        <patternFill>
          <bgColor theme="5" tint="0.39994506668294322"/>
        </patternFill>
      </fill>
    </dxf>
    <dxf>
      <font>
        <b/>
        <i val="0"/>
        <color rgb="FFC00000"/>
      </font>
      <fill>
        <patternFill>
          <bgColor theme="5" tint="0.39994506668294322"/>
        </patternFill>
      </fill>
    </dxf>
    <dxf>
      <font>
        <b/>
        <i val="0"/>
        <color rgb="FFC00000"/>
      </font>
      <fill>
        <patternFill>
          <bgColor theme="5" tint="0.39994506668294322"/>
        </patternFill>
      </fill>
    </dxf>
    <dxf>
      <font>
        <b/>
        <i val="0"/>
        <color rgb="FFC00000"/>
      </font>
      <fill>
        <patternFill>
          <bgColor theme="5" tint="0.39994506668294322"/>
        </patternFill>
      </fill>
    </dxf>
    <dxf>
      <font>
        <b/>
        <i val="0"/>
        <color rgb="FFC00000"/>
      </font>
      <fill>
        <patternFill>
          <bgColor theme="5" tint="0.39994506668294322"/>
        </patternFill>
      </fill>
    </dxf>
    <dxf>
      <font>
        <b/>
        <i val="0"/>
        <color rgb="FFC00000"/>
      </font>
      <fill>
        <patternFill>
          <bgColor theme="5" tint="0.39994506668294322"/>
        </patternFill>
      </fill>
    </dxf>
    <dxf>
      <font>
        <b/>
        <i val="0"/>
        <color rgb="FFC00000"/>
      </font>
      <fill>
        <patternFill>
          <bgColor theme="5" tint="0.39994506668294322"/>
        </patternFill>
      </fill>
    </dxf>
    <dxf>
      <font>
        <b/>
        <i val="0"/>
        <color rgb="FFC00000"/>
      </font>
      <fill>
        <patternFill>
          <bgColor theme="5" tint="0.39994506668294322"/>
        </patternFill>
      </fill>
    </dxf>
    <dxf>
      <font>
        <b/>
        <i val="0"/>
        <color rgb="FFC00000"/>
      </font>
      <fill>
        <patternFill>
          <bgColor theme="5" tint="0.39994506668294322"/>
        </patternFill>
      </fill>
    </dxf>
    <dxf>
      <font>
        <b/>
        <i val="0"/>
        <color rgb="FFC00000"/>
      </font>
      <fill>
        <patternFill>
          <bgColor theme="5" tint="0.39994506668294322"/>
        </patternFill>
      </fill>
    </dxf>
    <dxf>
      <font>
        <b/>
        <i val="0"/>
        <color rgb="FFC00000"/>
      </font>
      <fill>
        <patternFill>
          <bgColor theme="5" tint="0.39994506668294322"/>
        </patternFill>
      </fill>
    </dxf>
    <dxf>
      <font>
        <b/>
        <i val="0"/>
        <color rgb="FFC00000"/>
      </font>
      <fill>
        <patternFill>
          <bgColor theme="5" tint="0.39994506668294322"/>
        </patternFill>
      </fill>
    </dxf>
    <dxf>
      <font>
        <b/>
        <i val="0"/>
        <color rgb="FFC00000"/>
      </font>
      <fill>
        <patternFill>
          <bgColor theme="5" tint="0.39994506668294322"/>
        </patternFill>
      </fill>
    </dxf>
    <dxf>
      <font>
        <b/>
        <i val="0"/>
        <color rgb="FFC00000"/>
      </font>
      <fill>
        <patternFill>
          <bgColor theme="5" tint="0.39994506668294322"/>
        </patternFill>
      </fill>
    </dxf>
    <dxf>
      <font>
        <b/>
        <i val="0"/>
        <color rgb="FFC00000"/>
      </font>
      <fill>
        <patternFill>
          <bgColor theme="5" tint="0.39994506668294322"/>
        </patternFill>
      </fill>
    </dxf>
    <dxf>
      <font>
        <b/>
        <i val="0"/>
        <color rgb="FFC00000"/>
      </font>
      <fill>
        <patternFill>
          <bgColor theme="5" tint="0.39994506668294322"/>
        </patternFill>
      </fill>
    </dxf>
    <dxf>
      <font>
        <b/>
        <i val="0"/>
        <color rgb="FFC00000"/>
      </font>
      <fill>
        <patternFill>
          <bgColor theme="5" tint="0.39994506668294322"/>
        </patternFill>
      </fill>
    </dxf>
    <dxf>
      <font>
        <b/>
        <i val="0"/>
        <color rgb="FFC00000"/>
      </font>
      <fill>
        <patternFill>
          <bgColor theme="5" tint="0.39994506668294322"/>
        </patternFill>
      </fill>
    </dxf>
    <dxf>
      <font>
        <b/>
        <i val="0"/>
        <color rgb="FFC00000"/>
      </font>
      <fill>
        <patternFill>
          <bgColor theme="5" tint="0.39994506668294322"/>
        </patternFill>
      </fill>
    </dxf>
    <dxf>
      <font>
        <b/>
        <i val="0"/>
        <color rgb="FFC00000"/>
      </font>
      <fill>
        <patternFill>
          <bgColor theme="5" tint="0.39994506668294322"/>
        </patternFill>
      </fill>
    </dxf>
    <dxf>
      <font>
        <b/>
        <i val="0"/>
        <color rgb="FFC00000"/>
      </font>
      <fill>
        <patternFill>
          <bgColor theme="5" tint="0.39994506668294322"/>
        </patternFill>
      </fill>
    </dxf>
    <dxf>
      <font>
        <b/>
        <i val="0"/>
        <color rgb="FFC00000"/>
      </font>
      <fill>
        <patternFill>
          <bgColor theme="5" tint="0.39994506668294322"/>
        </patternFill>
      </fill>
    </dxf>
    <dxf>
      <font>
        <b/>
        <i val="0"/>
        <color rgb="FFC00000"/>
      </font>
      <fill>
        <patternFill>
          <bgColor theme="5" tint="0.39994506668294322"/>
        </patternFill>
      </fill>
    </dxf>
    <dxf>
      <font>
        <b/>
        <i val="0"/>
        <color rgb="FFC00000"/>
      </font>
      <fill>
        <patternFill>
          <bgColor theme="5" tint="0.39994506668294322"/>
        </patternFill>
      </fill>
    </dxf>
    <dxf>
      <font>
        <b/>
        <i val="0"/>
        <color rgb="FFC00000"/>
      </font>
      <fill>
        <patternFill>
          <bgColor theme="5" tint="0.39994506668294322"/>
        </patternFill>
      </fill>
    </dxf>
    <dxf>
      <font>
        <b/>
        <i val="0"/>
        <color rgb="FFC00000"/>
      </font>
      <fill>
        <patternFill>
          <bgColor theme="5" tint="0.39994506668294322"/>
        </patternFill>
      </fill>
    </dxf>
    <dxf>
      <font>
        <b/>
        <i val="0"/>
        <color rgb="FFC00000"/>
      </font>
      <fill>
        <patternFill>
          <bgColor theme="5" tint="0.39994506668294322"/>
        </patternFill>
      </fill>
    </dxf>
    <dxf>
      <font>
        <b/>
        <i val="0"/>
        <color rgb="FFC00000"/>
      </font>
      <fill>
        <patternFill>
          <bgColor theme="5" tint="0.39994506668294322"/>
        </patternFill>
      </fill>
    </dxf>
    <dxf>
      <font>
        <b/>
        <i val="0"/>
        <color rgb="FFC00000"/>
      </font>
      <fill>
        <patternFill>
          <bgColor theme="5" tint="0.39994506668294322"/>
        </patternFill>
      </fill>
    </dxf>
    <dxf>
      <font>
        <b/>
        <i val="0"/>
        <color rgb="FFC00000"/>
      </font>
      <fill>
        <patternFill>
          <bgColor theme="5" tint="0.39994506668294322"/>
        </patternFill>
      </fill>
    </dxf>
    <dxf>
      <font>
        <b/>
        <i val="0"/>
        <color rgb="FFC00000"/>
      </font>
      <fill>
        <patternFill>
          <bgColor theme="5" tint="0.39994506668294322"/>
        </patternFill>
      </fill>
    </dxf>
    <dxf>
      <font>
        <b/>
        <i val="0"/>
        <color rgb="FFC00000"/>
      </font>
      <fill>
        <patternFill>
          <bgColor theme="5" tint="0.39994506668294322"/>
        </patternFill>
      </fill>
    </dxf>
    <dxf>
      <font>
        <b/>
        <i val="0"/>
        <color rgb="FFC00000"/>
      </font>
      <fill>
        <patternFill>
          <bgColor theme="5" tint="0.39994506668294322"/>
        </patternFill>
      </fill>
    </dxf>
    <dxf>
      <font>
        <b/>
        <i val="0"/>
        <color rgb="FFC00000"/>
      </font>
      <fill>
        <patternFill>
          <bgColor theme="5" tint="0.39994506668294322"/>
        </patternFill>
      </fill>
    </dxf>
    <dxf>
      <font>
        <b/>
        <i val="0"/>
        <color rgb="FFC00000"/>
      </font>
      <fill>
        <patternFill>
          <bgColor theme="5" tint="0.39994506668294322"/>
        </patternFill>
      </fill>
    </dxf>
    <dxf>
      <font>
        <b/>
        <i val="0"/>
        <color rgb="FFC00000"/>
      </font>
      <fill>
        <patternFill>
          <bgColor theme="5" tint="0.39994506668294322"/>
        </patternFill>
      </fill>
    </dxf>
    <dxf>
      <font>
        <b/>
        <i val="0"/>
        <color rgb="FFC00000"/>
      </font>
      <fill>
        <patternFill>
          <bgColor theme="5" tint="0.39994506668294322"/>
        </patternFill>
      </fill>
    </dxf>
    <dxf>
      <font>
        <b/>
        <i val="0"/>
        <color rgb="FFC00000"/>
      </font>
      <fill>
        <patternFill>
          <bgColor theme="5" tint="0.39994506668294322"/>
        </patternFill>
      </fill>
    </dxf>
    <dxf>
      <font>
        <b/>
        <i val="0"/>
        <color rgb="FFC00000"/>
      </font>
      <fill>
        <patternFill>
          <bgColor theme="5" tint="0.39994506668294322"/>
        </patternFill>
      </fill>
    </dxf>
    <dxf>
      <font>
        <b/>
        <i val="0"/>
        <color rgb="FFC00000"/>
      </font>
      <fill>
        <patternFill>
          <bgColor theme="5" tint="0.39994506668294322"/>
        </patternFill>
      </fill>
    </dxf>
    <dxf>
      <font>
        <b/>
        <i val="0"/>
        <color rgb="FFC00000"/>
      </font>
      <fill>
        <patternFill>
          <bgColor theme="5" tint="0.39994506668294322"/>
        </patternFill>
      </fill>
    </dxf>
    <dxf>
      <font>
        <b/>
        <i val="0"/>
        <color rgb="FFC00000"/>
      </font>
      <fill>
        <patternFill>
          <bgColor theme="5" tint="0.39994506668294322"/>
        </patternFill>
      </fill>
    </dxf>
    <dxf>
      <font>
        <b/>
        <i val="0"/>
        <color rgb="FFC00000"/>
      </font>
      <fill>
        <patternFill>
          <bgColor theme="5" tint="0.39994506668294322"/>
        </patternFill>
      </fill>
    </dxf>
    <dxf>
      <font>
        <b/>
        <i val="0"/>
        <color rgb="FFC00000"/>
      </font>
      <fill>
        <patternFill>
          <bgColor theme="5" tint="0.39994506668294322"/>
        </patternFill>
      </fill>
    </dxf>
    <dxf>
      <font>
        <b/>
        <i val="0"/>
        <color rgb="FFC00000"/>
      </font>
      <fill>
        <patternFill>
          <bgColor theme="5" tint="0.39994506668294322"/>
        </patternFill>
      </fill>
    </dxf>
    <dxf>
      <font>
        <b/>
        <i val="0"/>
        <color rgb="FFC00000"/>
      </font>
      <fill>
        <patternFill>
          <bgColor theme="5" tint="0.39994506668294322"/>
        </patternFill>
      </fill>
    </dxf>
    <dxf>
      <font>
        <b/>
        <i val="0"/>
        <color rgb="FFC00000"/>
      </font>
      <fill>
        <patternFill>
          <bgColor theme="5" tint="0.39994506668294322"/>
        </patternFill>
      </fill>
    </dxf>
    <dxf>
      <font>
        <b/>
        <i val="0"/>
        <color rgb="FFC00000"/>
      </font>
      <fill>
        <patternFill>
          <bgColor theme="5" tint="0.39994506668294322"/>
        </patternFill>
      </fill>
    </dxf>
    <dxf>
      <font>
        <b/>
        <i val="0"/>
        <color rgb="FFC00000"/>
      </font>
      <fill>
        <patternFill>
          <bgColor theme="5" tint="0.39994506668294322"/>
        </patternFill>
      </fill>
    </dxf>
    <dxf>
      <font>
        <b/>
        <i val="0"/>
        <color rgb="FFC00000"/>
      </font>
      <fill>
        <patternFill>
          <bgColor theme="5" tint="0.39994506668294322"/>
        </patternFill>
      </fill>
    </dxf>
    <dxf>
      <font>
        <b/>
        <i val="0"/>
        <color rgb="FFC00000"/>
      </font>
      <fill>
        <patternFill>
          <bgColor theme="5" tint="0.39994506668294322"/>
        </patternFill>
      </fill>
    </dxf>
    <dxf>
      <font>
        <b/>
        <i val="0"/>
        <color rgb="FFC00000"/>
      </font>
      <fill>
        <patternFill>
          <bgColor theme="5" tint="0.39994506668294322"/>
        </patternFill>
      </fill>
    </dxf>
    <dxf>
      <font>
        <b/>
        <i val="0"/>
        <color rgb="FFC00000"/>
      </font>
      <fill>
        <patternFill>
          <bgColor theme="5" tint="0.39994506668294322"/>
        </patternFill>
      </fill>
    </dxf>
    <dxf>
      <font>
        <b/>
        <i val="0"/>
        <color rgb="FFC00000"/>
      </font>
      <fill>
        <patternFill>
          <bgColor theme="5" tint="0.39994506668294322"/>
        </patternFill>
      </fill>
    </dxf>
    <dxf>
      <font>
        <b/>
        <i val="0"/>
        <color rgb="FFC00000"/>
      </font>
      <fill>
        <patternFill>
          <bgColor theme="5" tint="0.39994506668294322"/>
        </patternFill>
      </fill>
    </dxf>
    <dxf>
      <font>
        <b/>
        <i val="0"/>
        <color rgb="FFC00000"/>
      </font>
      <fill>
        <patternFill>
          <bgColor theme="5" tint="0.39994506668294322"/>
        </patternFill>
      </fill>
    </dxf>
    <dxf>
      <font>
        <b/>
        <i val="0"/>
        <color rgb="FFC00000"/>
      </font>
      <fill>
        <patternFill>
          <bgColor theme="5" tint="0.39994506668294322"/>
        </patternFill>
      </fill>
    </dxf>
    <dxf>
      <font>
        <b/>
        <i val="0"/>
        <color rgb="FFC00000"/>
      </font>
      <fill>
        <patternFill>
          <bgColor theme="5" tint="0.39994506668294322"/>
        </patternFill>
      </fill>
    </dxf>
    <dxf>
      <font>
        <b/>
        <i val="0"/>
        <color rgb="FFC00000"/>
      </font>
      <fill>
        <patternFill>
          <bgColor theme="5" tint="0.39994506668294322"/>
        </patternFill>
      </fill>
    </dxf>
    <dxf>
      <font>
        <b/>
        <i val="0"/>
        <color rgb="FFC00000"/>
      </font>
      <fill>
        <patternFill>
          <bgColor theme="5" tint="0.39994506668294322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B3:L13" totalsRowShown="0" headerRowDxfId="75" dataDxfId="74">
  <autoFilter ref="B3:L13" xr:uid="{00000000-0009-0000-0100-000001000000}"/>
  <tableColumns count="11">
    <tableColumn id="1" xr3:uid="{00000000-0010-0000-0000-000001000000}" name="Proposta" dataDxfId="73"/>
    <tableColumn id="2" xr3:uid="{00000000-0010-0000-0000-000002000000}" name="Horas" dataDxfId="72"/>
    <tableColumn id="3" xr3:uid="{00000000-0010-0000-0000-000003000000}" name="Valor Proposta" dataDxfId="71"/>
    <tableColumn id="4" xr3:uid="{00000000-0010-0000-0000-000004000000}" name="H" dataDxfId="70"/>
    <tableColumn id="5" xr3:uid="{00000000-0010-0000-0000-000005000000}" name="%" dataDxfId="69">
      <calculatedColumnFormula>Tabela1[[#This Row],[H]]/Tabela1[[#This Row],[Horas]]</calculatedColumnFormula>
    </tableColumn>
    <tableColumn id="6" xr3:uid="{00000000-0010-0000-0000-000006000000}" name="Diferença" dataDxfId="68">
      <calculatedColumnFormula>Tabela1[[#This Row],[Horas]]-Tabela1[[#This Row],[H]]</calculatedColumnFormula>
    </tableColumn>
    <tableColumn id="7" xr3:uid="{00000000-0010-0000-0000-000007000000}" name="Mês" dataDxfId="67"/>
    <tableColumn id="8" xr3:uid="{00000000-0010-0000-0000-000008000000}" name="Valor Nota" dataDxfId="66"/>
    <tableColumn id="11" xr3:uid="{00000000-0010-0000-0000-00000B000000}" name="Mês " dataDxfId="65"/>
    <tableColumn id="9" xr3:uid="{00000000-0010-0000-0000-000009000000}" name="Pendente" dataDxfId="64"/>
    <tableColumn id="10" xr3:uid="{00000000-0010-0000-0000-00000A000000}" name="Consideração" dataDxfId="63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45"/>
  <sheetViews>
    <sheetView showGridLines="0" topLeftCell="A13" zoomScale="80" zoomScaleNormal="80" workbookViewId="0">
      <selection activeCell="B2" sqref="B2:L31"/>
    </sheetView>
  </sheetViews>
  <sheetFormatPr defaultRowHeight="12.75" outlineLevelRow="1" x14ac:dyDescent="0.2"/>
  <cols>
    <col min="1" max="1" width="2.7109375" style="61" customWidth="1"/>
    <col min="2" max="2" width="31.5703125" style="61" bestFit="1" customWidth="1"/>
    <col min="3" max="3" width="12.140625" style="62" customWidth="1"/>
    <col min="4" max="4" width="18" style="62" bestFit="1" customWidth="1"/>
    <col min="5" max="5" width="12.5703125" style="62" customWidth="1"/>
    <col min="6" max="6" width="12.28515625" style="62" customWidth="1"/>
    <col min="7" max="7" width="15.28515625" style="62" customWidth="1"/>
    <col min="8" max="8" width="23.42578125" style="62" customWidth="1"/>
    <col min="9" max="9" width="22.7109375" style="62" customWidth="1"/>
    <col min="10" max="10" width="16.85546875" style="62" bestFit="1" customWidth="1"/>
    <col min="11" max="11" width="15.42578125" style="62" customWidth="1"/>
    <col min="12" max="12" width="52" style="63" customWidth="1"/>
    <col min="13" max="13" width="2.140625" style="61" customWidth="1"/>
    <col min="14" max="16384" width="9.140625" style="61"/>
  </cols>
  <sheetData>
    <row r="2" spans="2:12" x14ac:dyDescent="0.2">
      <c r="B2" s="61" t="s">
        <v>118</v>
      </c>
      <c r="C2" s="210" t="s">
        <v>70</v>
      </c>
      <c r="D2" s="210"/>
      <c r="E2" s="211" t="s">
        <v>79</v>
      </c>
      <c r="F2" s="211"/>
      <c r="G2" s="211"/>
      <c r="H2" s="212" t="s">
        <v>88</v>
      </c>
      <c r="I2" s="212"/>
      <c r="J2" s="213" t="s">
        <v>74</v>
      </c>
      <c r="K2" s="213"/>
    </row>
    <row r="3" spans="2:12" x14ac:dyDescent="0.2">
      <c r="B3" s="61" t="s">
        <v>82</v>
      </c>
      <c r="C3" s="62" t="s">
        <v>68</v>
      </c>
      <c r="D3" s="62" t="s">
        <v>77</v>
      </c>
      <c r="E3" s="62" t="s">
        <v>80</v>
      </c>
      <c r="F3" s="62" t="s">
        <v>81</v>
      </c>
      <c r="G3" s="62" t="s">
        <v>64</v>
      </c>
      <c r="H3" s="62" t="s">
        <v>72</v>
      </c>
      <c r="I3" s="62" t="s">
        <v>78</v>
      </c>
      <c r="J3" s="62" t="s">
        <v>89</v>
      </c>
      <c r="K3" s="62" t="s">
        <v>73</v>
      </c>
      <c r="L3" s="64" t="s">
        <v>69</v>
      </c>
    </row>
    <row r="4" spans="2:12" outlineLevel="1" x14ac:dyDescent="0.2">
      <c r="B4" s="65" t="s">
        <v>67</v>
      </c>
      <c r="C4" s="66">
        <f>'Proposta 1'!C3</f>
        <v>3168</v>
      </c>
      <c r="D4" s="67">
        <f>'Proposta 1'!E3</f>
        <v>268200</v>
      </c>
      <c r="E4" s="68">
        <v>3168</v>
      </c>
      <c r="F4" s="69">
        <f>Tabela1[[#This Row],[H]]/Tabela1[[#This Row],[Horas]]</f>
        <v>1</v>
      </c>
      <c r="G4" s="68">
        <f>Tabela1[[#This Row],[Horas]]-Tabela1[[#This Row],[H]]</f>
        <v>0</v>
      </c>
      <c r="H4" s="67" t="s">
        <v>91</v>
      </c>
      <c r="I4" s="67">
        <v>268200</v>
      </c>
      <c r="J4" s="67"/>
      <c r="K4" s="67">
        <f>D4-I4</f>
        <v>0</v>
      </c>
      <c r="L4" s="82" t="s">
        <v>92</v>
      </c>
    </row>
    <row r="5" spans="2:12" outlineLevel="1" x14ac:dyDescent="0.2">
      <c r="B5" s="65" t="s">
        <v>71</v>
      </c>
      <c r="C5" s="66">
        <f>'Proposta 71 K'!C3</f>
        <v>840</v>
      </c>
      <c r="D5" s="67">
        <f>'Proposta 71 K'!E3</f>
        <v>71000</v>
      </c>
      <c r="E5" s="68">
        <v>840</v>
      </c>
      <c r="F5" s="69">
        <f>Tabela1[[#This Row],[H]]/Tabela1[[#This Row],[Horas]]</f>
        <v>1</v>
      </c>
      <c r="G5" s="68">
        <f>Tabela1[[#This Row],[Horas]]-Tabela1[[#This Row],[H]]</f>
        <v>0</v>
      </c>
      <c r="H5" s="77" t="s">
        <v>22</v>
      </c>
      <c r="I5" s="67">
        <v>71000</v>
      </c>
      <c r="J5" s="67" t="s">
        <v>22</v>
      </c>
      <c r="K5" s="67">
        <f>D5-I5</f>
        <v>0</v>
      </c>
      <c r="L5" s="82" t="s">
        <v>92</v>
      </c>
    </row>
    <row r="6" spans="2:12" outlineLevel="1" x14ac:dyDescent="0.2">
      <c r="B6" s="65" t="s">
        <v>83</v>
      </c>
      <c r="C6" s="66">
        <v>1104</v>
      </c>
      <c r="D6" s="67">
        <v>128004.56024096387</v>
      </c>
      <c r="E6" s="66">
        <v>1104</v>
      </c>
      <c r="F6" s="69">
        <f>Tabela1[[#This Row],[H]]/Tabela1[[#This Row],[Horas]]</f>
        <v>1</v>
      </c>
      <c r="G6" s="68">
        <f>Tabela1[[#This Row],[Horas]]-Tabela1[[#This Row],[H]]</f>
        <v>0</v>
      </c>
      <c r="H6" s="77" t="s">
        <v>22</v>
      </c>
      <c r="I6" s="67">
        <v>128004.56024096387</v>
      </c>
      <c r="J6" s="67" t="s">
        <v>22</v>
      </c>
      <c r="K6" s="67">
        <f>D6-I6</f>
        <v>0</v>
      </c>
      <c r="L6" s="82" t="s">
        <v>92</v>
      </c>
    </row>
    <row r="7" spans="2:12" s="70" customFormat="1" outlineLevel="1" x14ac:dyDescent="0.2">
      <c r="B7" s="65" t="s">
        <v>84</v>
      </c>
      <c r="C7" s="66">
        <v>3544</v>
      </c>
      <c r="D7" s="67">
        <v>265490.93975903618</v>
      </c>
      <c r="E7" s="66">
        <v>3570</v>
      </c>
      <c r="F7" s="69">
        <f>Tabela1[[#This Row],[H]]/Tabela1[[#This Row],[Horas]]</f>
        <v>1.0073363431151241</v>
      </c>
      <c r="G7" s="68">
        <f>Tabela1[[#This Row],[Horas]]-Tabela1[[#This Row],[H]]</f>
        <v>-26</v>
      </c>
      <c r="H7" s="138" t="s">
        <v>52</v>
      </c>
      <c r="I7" s="67">
        <v>265490.93975903618</v>
      </c>
      <c r="J7" s="138" t="s">
        <v>52</v>
      </c>
      <c r="K7" s="67">
        <f>D7-I7</f>
        <v>0</v>
      </c>
      <c r="L7" s="82" t="s">
        <v>92</v>
      </c>
    </row>
    <row r="8" spans="2:12" s="70" customFormat="1" x14ac:dyDescent="0.2">
      <c r="B8" s="65" t="s">
        <v>105</v>
      </c>
      <c r="C8" s="66">
        <v>3040</v>
      </c>
      <c r="D8" s="67">
        <v>255000</v>
      </c>
      <c r="E8" s="66">
        <v>3195</v>
      </c>
      <c r="F8" s="69">
        <f>Tabela1[[#This Row],[H]]/Tabela1[[#This Row],[Horas]]</f>
        <v>1.0509868421052631</v>
      </c>
      <c r="G8" s="68">
        <v>-155</v>
      </c>
      <c r="H8" s="77" t="s">
        <v>53</v>
      </c>
      <c r="I8" s="67">
        <v>255000</v>
      </c>
      <c r="J8" s="138"/>
      <c r="K8" s="71"/>
      <c r="L8" s="82" t="s">
        <v>92</v>
      </c>
    </row>
    <row r="9" spans="2:12" s="70" customFormat="1" ht="38.25" x14ac:dyDescent="0.2">
      <c r="B9" s="150" t="s">
        <v>106</v>
      </c>
      <c r="C9" s="110">
        <v>1080</v>
      </c>
      <c r="D9" s="111">
        <f>90908.74+891.26</f>
        <v>91800</v>
      </c>
      <c r="E9" s="79">
        <v>1080</v>
      </c>
      <c r="F9" s="80">
        <f>Tabela1[[#This Row],[H]]/Tabela1[[#This Row],[Horas]]</f>
        <v>1</v>
      </c>
      <c r="G9" s="112">
        <f>Tabela1[[#This Row],[Horas]]-Tabela1[[#This Row],[H]]</f>
        <v>0</v>
      </c>
      <c r="H9" s="81" t="s">
        <v>90</v>
      </c>
      <c r="I9" s="76">
        <v>0</v>
      </c>
      <c r="J9" s="78" t="s">
        <v>109</v>
      </c>
      <c r="K9" s="113"/>
      <c r="L9" s="149" t="s">
        <v>110</v>
      </c>
    </row>
    <row r="10" spans="2:12" s="70" customFormat="1" x14ac:dyDescent="0.2">
      <c r="B10" s="123" t="s">
        <v>104</v>
      </c>
      <c r="C10" s="124">
        <v>3160</v>
      </c>
      <c r="D10" s="125">
        <v>268600</v>
      </c>
      <c r="E10" s="79">
        <v>3213</v>
      </c>
      <c r="F10" s="80">
        <v>1.0167721518987343</v>
      </c>
      <c r="G10" s="112">
        <v>-53</v>
      </c>
      <c r="H10" s="81" t="s">
        <v>90</v>
      </c>
      <c r="I10" s="76">
        <v>0</v>
      </c>
      <c r="J10" s="78" t="s">
        <v>109</v>
      </c>
      <c r="K10" s="126"/>
      <c r="L10" s="75" t="s">
        <v>108</v>
      </c>
    </row>
    <row r="11" spans="2:12" s="70" customFormat="1" x14ac:dyDescent="0.2">
      <c r="B11" s="144" t="s">
        <v>107</v>
      </c>
      <c r="C11" s="145">
        <v>2936</v>
      </c>
      <c r="D11" s="146">
        <v>249560</v>
      </c>
      <c r="E11" s="79">
        <v>2936</v>
      </c>
      <c r="F11" s="80">
        <f>Tabela1[[#This Row],[H]]/Tabela1[[#This Row],[Horas]]</f>
        <v>1</v>
      </c>
      <c r="G11" s="147">
        <f>Tabela1[[#This Row],[Horas]]-Tabela1[[#This Row],[H]]</f>
        <v>0</v>
      </c>
      <c r="H11" s="81" t="s">
        <v>90</v>
      </c>
      <c r="I11" s="76">
        <v>0</v>
      </c>
      <c r="J11" s="78" t="s">
        <v>114</v>
      </c>
      <c r="K11" s="148"/>
      <c r="L11" s="149" t="s">
        <v>112</v>
      </c>
    </row>
    <row r="12" spans="2:12" s="70" customFormat="1" x14ac:dyDescent="0.2">
      <c r="B12" s="70" t="s">
        <v>113</v>
      </c>
      <c r="C12" s="163">
        <v>1680</v>
      </c>
      <c r="D12" s="146">
        <v>142800</v>
      </c>
      <c r="E12" s="79">
        <f>SUM(I22:I31,K22:K31)</f>
        <v>136</v>
      </c>
      <c r="F12" s="80">
        <f>Tabela1[[#This Row],[H]]/Tabela1[[#This Row],[Horas]]</f>
        <v>8.0952380952380956E-2</v>
      </c>
      <c r="G12" s="147">
        <f>Tabela1[[#This Row],[Horas]]-Tabela1[[#This Row],[H]]</f>
        <v>1544</v>
      </c>
      <c r="H12" s="81" t="s">
        <v>90</v>
      </c>
      <c r="I12" s="76">
        <v>0</v>
      </c>
      <c r="J12" s="78"/>
      <c r="K12" s="148"/>
      <c r="L12" s="149"/>
    </row>
    <row r="13" spans="2:12" s="70" customFormat="1" x14ac:dyDescent="0.2">
      <c r="B13" s="70" t="s">
        <v>117</v>
      </c>
      <c r="C13" s="163">
        <v>2284</v>
      </c>
      <c r="D13" s="146">
        <v>194140</v>
      </c>
      <c r="E13" s="79">
        <f>SUM(C22:C31,E22:E31)</f>
        <v>971</v>
      </c>
      <c r="F13" s="80">
        <f>Tabela1[[#This Row],[H]]/Tabela1[[#This Row],[Horas]]</f>
        <v>0.42513134851138351</v>
      </c>
      <c r="G13" s="147">
        <f>Tabela1[[#This Row],[Horas]]-Tabela1[[#This Row],[H]]</f>
        <v>1313</v>
      </c>
      <c r="H13" s="81" t="s">
        <v>90</v>
      </c>
      <c r="I13" s="76">
        <v>0</v>
      </c>
      <c r="J13" s="78"/>
      <c r="K13" s="148"/>
      <c r="L13" s="149"/>
    </row>
    <row r="14" spans="2:12" s="70" customFormat="1" ht="15" x14ac:dyDescent="0.2">
      <c r="C14" s="161">
        <f>SUM(C4:C13)</f>
        <v>22836</v>
      </c>
      <c r="D14" s="162">
        <f>SUM(D4:D13)</f>
        <v>1934595.5</v>
      </c>
      <c r="E14" s="161">
        <f>SUM(E4:E13)</f>
        <v>20213</v>
      </c>
      <c r="F14" s="74">
        <f>E14/C14</f>
        <v>0.88513750218952536</v>
      </c>
      <c r="G14" s="72">
        <f>C14-E14</f>
        <v>2623</v>
      </c>
      <c r="H14" s="72"/>
      <c r="I14" s="73">
        <f>SUM(Tabela1[Valor Nota])</f>
        <v>987695.5</v>
      </c>
      <c r="J14" s="73"/>
      <c r="K14" s="73">
        <f>SUM(Tabela1[Pendente])</f>
        <v>0</v>
      </c>
      <c r="L14" s="75"/>
    </row>
    <row r="15" spans="2:12" x14ac:dyDescent="0.2">
      <c r="L15" s="142"/>
    </row>
    <row r="16" spans="2:12" ht="13.5" thickBot="1" x14ac:dyDescent="0.25">
      <c r="L16" s="142"/>
    </row>
    <row r="17" spans="2:12" ht="12.75" customHeight="1" x14ac:dyDescent="0.2">
      <c r="B17" s="208" t="s">
        <v>115</v>
      </c>
      <c r="C17" s="209"/>
      <c r="D17" s="83" t="s">
        <v>85</v>
      </c>
      <c r="E17" s="164">
        <f>C13-E13</f>
        <v>1313</v>
      </c>
      <c r="H17" s="208" t="s">
        <v>116</v>
      </c>
      <c r="I17" s="209"/>
      <c r="J17" s="83" t="s">
        <v>85</v>
      </c>
      <c r="K17" s="164">
        <f>C12-E12</f>
        <v>1544</v>
      </c>
      <c r="L17" s="153"/>
    </row>
    <row r="18" spans="2:12" ht="12.75" customHeight="1" x14ac:dyDescent="0.2">
      <c r="B18" s="208"/>
      <c r="C18" s="209"/>
      <c r="D18" s="84" t="s">
        <v>96</v>
      </c>
      <c r="E18" s="85">
        <f>E17/13/8</f>
        <v>12.625</v>
      </c>
      <c r="F18" s="86"/>
      <c r="H18" s="208"/>
      <c r="I18" s="209"/>
      <c r="J18" s="84" t="s">
        <v>96</v>
      </c>
      <c r="K18" s="85">
        <f>K17/4/8</f>
        <v>48.25</v>
      </c>
      <c r="L18" s="154"/>
    </row>
    <row r="19" spans="2:12" ht="13.5" customHeight="1" thickBot="1" x14ac:dyDescent="0.25">
      <c r="B19" s="208"/>
      <c r="C19" s="209"/>
      <c r="D19" s="87" t="s">
        <v>86</v>
      </c>
      <c r="E19" s="88">
        <f ca="1">WORKDAY((TODAY()),E18)</f>
        <v>43817</v>
      </c>
      <c r="H19" s="208"/>
      <c r="I19" s="209"/>
      <c r="J19" s="87" t="s">
        <v>86</v>
      </c>
      <c r="K19" s="88">
        <f ca="1">WORKDAY((TODAY()),K18)</f>
        <v>43867</v>
      </c>
      <c r="L19" s="155"/>
    </row>
    <row r="20" spans="2:12" ht="13.5" thickBot="1" x14ac:dyDescent="0.25">
      <c r="H20" s="156"/>
      <c r="I20" s="155"/>
      <c r="J20" s="155"/>
      <c r="K20" s="155"/>
      <c r="L20" s="155"/>
    </row>
    <row r="21" spans="2:12" x14ac:dyDescent="0.2">
      <c r="B21" s="89" t="s">
        <v>87</v>
      </c>
      <c r="C21" s="90" t="s">
        <v>68</v>
      </c>
      <c r="D21" s="89" t="s">
        <v>93</v>
      </c>
      <c r="E21" s="115" t="s">
        <v>97</v>
      </c>
      <c r="F21" s="114" t="s">
        <v>94</v>
      </c>
      <c r="G21" s="61"/>
      <c r="H21" s="89" t="s">
        <v>87</v>
      </c>
      <c r="I21" s="90" t="s">
        <v>68</v>
      </c>
      <c r="J21" s="89" t="s">
        <v>93</v>
      </c>
      <c r="K21" s="115" t="s">
        <v>97</v>
      </c>
      <c r="L21" s="114" t="s">
        <v>94</v>
      </c>
    </row>
    <row r="22" spans="2:12" x14ac:dyDescent="0.2">
      <c r="B22" s="91" t="s">
        <v>134</v>
      </c>
      <c r="C22" s="92">
        <v>356</v>
      </c>
      <c r="D22" s="91"/>
      <c r="E22" s="116">
        <f t="shared" ref="E22:E31" si="0">F22*2</f>
        <v>0</v>
      </c>
      <c r="F22" s="117"/>
      <c r="G22" s="61"/>
      <c r="H22" s="91">
        <v>43794</v>
      </c>
      <c r="I22" s="92">
        <v>16</v>
      </c>
      <c r="J22" s="91"/>
      <c r="K22" s="116"/>
      <c r="L22" s="117"/>
    </row>
    <row r="23" spans="2:12" x14ac:dyDescent="0.2">
      <c r="B23" s="91">
        <v>43794</v>
      </c>
      <c r="C23" s="93">
        <v>104</v>
      </c>
      <c r="D23" s="91"/>
      <c r="E23" s="116">
        <f t="shared" si="0"/>
        <v>0</v>
      </c>
      <c r="F23" s="117"/>
      <c r="G23" s="61"/>
      <c r="H23" s="91">
        <v>43795</v>
      </c>
      <c r="I23" s="93">
        <v>24</v>
      </c>
      <c r="J23" s="91"/>
      <c r="K23" s="116"/>
      <c r="L23" s="117"/>
    </row>
    <row r="24" spans="2:12" x14ac:dyDescent="0.2">
      <c r="B24" s="91">
        <v>43795</v>
      </c>
      <c r="C24" s="93">
        <v>104</v>
      </c>
      <c r="D24" s="91"/>
      <c r="E24" s="116">
        <f t="shared" si="0"/>
        <v>6</v>
      </c>
      <c r="F24" s="117">
        <v>3</v>
      </c>
      <c r="G24" s="61"/>
      <c r="H24" s="91">
        <v>43796</v>
      </c>
      <c r="I24" s="93">
        <v>32</v>
      </c>
      <c r="J24" s="91"/>
      <c r="K24" s="116"/>
      <c r="L24" s="117">
        <v>1</v>
      </c>
    </row>
    <row r="25" spans="2:12" x14ac:dyDescent="0.2">
      <c r="B25" s="91">
        <v>43796</v>
      </c>
      <c r="C25" s="93">
        <v>104</v>
      </c>
      <c r="D25" s="91"/>
      <c r="E25" s="116">
        <f t="shared" si="0"/>
        <v>14</v>
      </c>
      <c r="F25" s="117">
        <v>7</v>
      </c>
      <c r="G25" s="61"/>
      <c r="H25" s="91">
        <v>43797</v>
      </c>
      <c r="I25" s="93">
        <v>32</v>
      </c>
      <c r="J25" s="91"/>
      <c r="K25" s="116"/>
      <c r="L25" s="117">
        <v>1</v>
      </c>
    </row>
    <row r="26" spans="2:12" x14ac:dyDescent="0.2">
      <c r="B26" s="91">
        <v>43797</v>
      </c>
      <c r="C26" s="93">
        <v>104</v>
      </c>
      <c r="D26" s="91"/>
      <c r="E26" s="116">
        <f t="shared" si="0"/>
        <v>8</v>
      </c>
      <c r="F26" s="117">
        <v>4</v>
      </c>
      <c r="G26" s="61"/>
      <c r="H26" s="91">
        <v>43798</v>
      </c>
      <c r="I26" s="93">
        <v>32</v>
      </c>
      <c r="J26" s="91"/>
      <c r="K26" s="116"/>
      <c r="L26" s="117"/>
    </row>
    <row r="27" spans="2:12" x14ac:dyDescent="0.2">
      <c r="B27" s="91">
        <v>43798</v>
      </c>
      <c r="C27" s="93">
        <v>93</v>
      </c>
      <c r="D27" s="91"/>
      <c r="E27" s="116">
        <f t="shared" si="0"/>
        <v>0</v>
      </c>
      <c r="F27" s="117"/>
      <c r="G27" s="61"/>
      <c r="H27" s="91"/>
      <c r="I27" s="93"/>
      <c r="J27" s="91"/>
      <c r="K27" s="116"/>
      <c r="L27" s="117"/>
    </row>
    <row r="28" spans="2:12" x14ac:dyDescent="0.2">
      <c r="B28" s="91">
        <v>43799</v>
      </c>
      <c r="C28" s="93"/>
      <c r="D28" s="91"/>
      <c r="E28" s="116">
        <f t="shared" si="0"/>
        <v>60</v>
      </c>
      <c r="F28" s="117">
        <v>30</v>
      </c>
      <c r="G28" s="61"/>
      <c r="H28" s="91"/>
      <c r="I28" s="93"/>
      <c r="J28" s="91"/>
      <c r="K28" s="116"/>
      <c r="L28" s="117"/>
    </row>
    <row r="29" spans="2:12" x14ac:dyDescent="0.2">
      <c r="B29" s="91">
        <v>43800</v>
      </c>
      <c r="C29" s="93"/>
      <c r="D29" s="91"/>
      <c r="E29" s="116">
        <f t="shared" si="0"/>
        <v>18</v>
      </c>
      <c r="F29" s="117">
        <v>9</v>
      </c>
      <c r="G29" s="61"/>
      <c r="H29" s="91"/>
      <c r="I29" s="93"/>
      <c r="J29" s="91"/>
      <c r="K29" s="116"/>
      <c r="L29" s="117"/>
    </row>
    <row r="30" spans="2:12" x14ac:dyDescent="0.2">
      <c r="B30" s="91"/>
      <c r="C30" s="93"/>
      <c r="D30" s="94"/>
      <c r="E30" s="116">
        <f t="shared" si="0"/>
        <v>0</v>
      </c>
      <c r="F30" s="117"/>
      <c r="G30" s="61"/>
      <c r="H30" s="91"/>
      <c r="I30" s="93"/>
      <c r="J30" s="94"/>
      <c r="K30" s="116"/>
      <c r="L30" s="117"/>
    </row>
    <row r="31" spans="2:12" ht="13.5" thickBot="1" x14ac:dyDescent="0.25">
      <c r="B31" s="95"/>
      <c r="C31" s="96"/>
      <c r="D31" s="97"/>
      <c r="E31" s="96">
        <f t="shared" si="0"/>
        <v>0</v>
      </c>
      <c r="G31" s="61"/>
      <c r="H31" s="95"/>
      <c r="I31" s="96"/>
      <c r="J31" s="97"/>
      <c r="K31" s="96"/>
      <c r="L31" s="62"/>
    </row>
    <row r="32" spans="2:12" x14ac:dyDescent="0.2">
      <c r="C32" s="61"/>
      <c r="F32" s="64"/>
      <c r="G32" s="64"/>
      <c r="H32" s="64"/>
      <c r="I32" s="64"/>
      <c r="J32" s="64"/>
      <c r="K32" s="64"/>
      <c r="L32" s="64"/>
    </row>
    <row r="36" spans="4:7" x14ac:dyDescent="0.2">
      <c r="D36" s="186"/>
    </row>
    <row r="37" spans="4:7" x14ac:dyDescent="0.2">
      <c r="D37" s="186"/>
    </row>
    <row r="38" spans="4:7" x14ac:dyDescent="0.2">
      <c r="D38" s="186"/>
    </row>
    <row r="39" spans="4:7" x14ac:dyDescent="0.2">
      <c r="D39" s="186"/>
    </row>
    <row r="42" spans="4:7" x14ac:dyDescent="0.2">
      <c r="G42" s="186"/>
    </row>
    <row r="43" spans="4:7" x14ac:dyDescent="0.2">
      <c r="G43" s="186"/>
    </row>
    <row r="44" spans="4:7" x14ac:dyDescent="0.2">
      <c r="G44" s="186"/>
    </row>
    <row r="45" spans="4:7" x14ac:dyDescent="0.2">
      <c r="G45" s="186"/>
    </row>
  </sheetData>
  <mergeCells count="6">
    <mergeCell ref="H17:I19"/>
    <mergeCell ref="C2:D2"/>
    <mergeCell ref="E2:G2"/>
    <mergeCell ref="H2:I2"/>
    <mergeCell ref="J2:K2"/>
    <mergeCell ref="B17:C19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G8 F10:G10" calculatedColumn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U29"/>
  <sheetViews>
    <sheetView showGridLines="0" tabSelected="1" topLeftCell="A8" zoomScale="85" zoomScaleNormal="85" workbookViewId="0">
      <selection activeCell="Q26" sqref="Q26:Q29"/>
    </sheetView>
  </sheetViews>
  <sheetFormatPr defaultRowHeight="15" x14ac:dyDescent="0.25"/>
  <cols>
    <col min="1" max="1" width="4.140625" style="10" bestFit="1" customWidth="1"/>
    <col min="2" max="2" width="18.42578125" bestFit="1" customWidth="1"/>
    <col min="3" max="3" width="10.85546875" style="1" customWidth="1"/>
    <col min="4" max="4" width="10.7109375" customWidth="1"/>
    <col min="5" max="5" width="14.7109375" customWidth="1"/>
    <col min="6" max="6" width="6.42578125" customWidth="1"/>
    <col min="7" max="7" width="9.7109375" customWidth="1"/>
    <col min="8" max="8" width="10.7109375" customWidth="1"/>
    <col min="9" max="9" width="13.42578125" customWidth="1"/>
    <col min="10" max="10" width="14.42578125" customWidth="1"/>
    <col min="11" max="13" width="13.42578125" customWidth="1"/>
    <col min="14" max="14" width="14.42578125" customWidth="1"/>
    <col min="15" max="15" width="14.42578125" style="10" customWidth="1"/>
    <col min="16" max="16" width="1.85546875" style="10" customWidth="1"/>
    <col min="17" max="17" width="6.7109375" style="10" customWidth="1"/>
    <col min="18" max="18" width="6.140625" style="133" customWidth="1"/>
    <col min="19" max="19" width="6.42578125" style="133" customWidth="1"/>
    <col min="20" max="20" width="14.42578125" bestFit="1" customWidth="1"/>
    <col min="21" max="21" width="12.28515625" bestFit="1" customWidth="1"/>
  </cols>
  <sheetData>
    <row r="2" spans="1:21" s="22" customFormat="1" ht="30" x14ac:dyDescent="0.25">
      <c r="A2" s="28"/>
      <c r="C2" s="23" t="s">
        <v>3</v>
      </c>
      <c r="D2" s="23" t="s">
        <v>4</v>
      </c>
      <c r="E2" s="23" t="s">
        <v>5</v>
      </c>
      <c r="F2" s="24"/>
      <c r="H2" s="22">
        <v>4934</v>
      </c>
      <c r="M2" s="41"/>
      <c r="O2" s="28"/>
      <c r="P2" s="28"/>
      <c r="Q2" s="28"/>
      <c r="R2" s="139"/>
      <c r="S2" s="139"/>
    </row>
    <row r="3" spans="1:21" x14ac:dyDescent="0.25">
      <c r="B3" s="6" t="s">
        <v>0</v>
      </c>
      <c r="C3" s="13">
        <v>3528</v>
      </c>
      <c r="D3" s="14">
        <f>E3/C3</f>
        <v>100.08503401360544</v>
      </c>
      <c r="E3" s="14">
        <v>353100</v>
      </c>
      <c r="F3" s="19"/>
    </row>
    <row r="4" spans="1:21" x14ac:dyDescent="0.25">
      <c r="C4" s="10"/>
      <c r="D4" s="10"/>
      <c r="E4" s="10"/>
      <c r="F4" s="10"/>
      <c r="H4" s="8"/>
    </row>
    <row r="5" spans="1:21" x14ac:dyDescent="0.25">
      <c r="B5" s="6" t="s">
        <v>1</v>
      </c>
      <c r="C5" s="13">
        <f>C3-C15</f>
        <v>0</v>
      </c>
      <c r="D5" s="14">
        <f>D3</f>
        <v>100.08503401360544</v>
      </c>
      <c r="E5" s="14">
        <f>C5*D5</f>
        <v>0</v>
      </c>
      <c r="F5" s="19"/>
      <c r="H5" s="8"/>
    </row>
    <row r="7" spans="1:21" x14ac:dyDescent="0.25">
      <c r="C7" s="222" t="s">
        <v>101</v>
      </c>
      <c r="D7" s="222"/>
      <c r="E7" s="222"/>
      <c r="F7" s="222" t="s">
        <v>95</v>
      </c>
      <c r="G7" s="222"/>
      <c r="I7" s="222" t="s">
        <v>101</v>
      </c>
      <c r="J7" s="222"/>
      <c r="K7" s="222"/>
      <c r="L7" s="222" t="s">
        <v>95</v>
      </c>
      <c r="M7" s="222"/>
      <c r="O7"/>
      <c r="R7" s="10"/>
    </row>
    <row r="8" spans="1:21" s="11" customFormat="1" x14ac:dyDescent="0.25">
      <c r="A8" s="15"/>
      <c r="B8" s="6"/>
      <c r="C8" s="13" t="s">
        <v>98</v>
      </c>
      <c r="D8" s="5" t="s">
        <v>99</v>
      </c>
      <c r="E8" s="5" t="s">
        <v>100</v>
      </c>
      <c r="F8" s="5" t="s">
        <v>98</v>
      </c>
      <c r="G8" s="5" t="s">
        <v>100</v>
      </c>
      <c r="H8" s="5" t="s">
        <v>17</v>
      </c>
      <c r="I8" s="13" t="s">
        <v>98</v>
      </c>
      <c r="J8" s="5" t="s">
        <v>99</v>
      </c>
      <c r="K8" s="5" t="s">
        <v>100</v>
      </c>
      <c r="L8" s="5" t="s">
        <v>98</v>
      </c>
      <c r="M8" s="5" t="s">
        <v>100</v>
      </c>
      <c r="N8" s="5" t="s">
        <v>15</v>
      </c>
      <c r="O8" s="170" t="s">
        <v>6</v>
      </c>
      <c r="P8" s="5"/>
      <c r="Q8" s="13" t="s">
        <v>7</v>
      </c>
      <c r="R8" s="13" t="s">
        <v>8</v>
      </c>
      <c r="S8" s="13" t="s">
        <v>16</v>
      </c>
      <c r="T8" s="171" t="s">
        <v>11</v>
      </c>
      <c r="U8" s="11" t="s">
        <v>111</v>
      </c>
    </row>
    <row r="9" spans="1:21" s="46" customFormat="1" x14ac:dyDescent="0.25">
      <c r="A9" s="135">
        <v>176</v>
      </c>
      <c r="B9" s="9">
        <v>43678</v>
      </c>
      <c r="C9" s="98">
        <f>15*8</f>
        <v>120</v>
      </c>
      <c r="D9" s="99">
        <f>2*8*15</f>
        <v>240</v>
      </c>
      <c r="E9" s="99">
        <f>8*15</f>
        <v>120</v>
      </c>
      <c r="F9" s="99">
        <f>8*15</f>
        <v>120</v>
      </c>
      <c r="G9" s="99"/>
      <c r="H9" s="26">
        <f t="shared" ref="H9:H13" si="0">$D$3</f>
        <v>100.08503401360544</v>
      </c>
      <c r="I9" s="26">
        <f>C9*$H$9</f>
        <v>12010.204081632652</v>
      </c>
      <c r="J9" s="26">
        <f t="shared" ref="J9:M9" si="1">D9*$H$9</f>
        <v>24020.408163265303</v>
      </c>
      <c r="K9" s="26">
        <f t="shared" si="1"/>
        <v>12010.204081632652</v>
      </c>
      <c r="L9" s="26">
        <f t="shared" si="1"/>
        <v>12010.204081632652</v>
      </c>
      <c r="M9" s="26">
        <f t="shared" si="1"/>
        <v>0</v>
      </c>
      <c r="N9" s="172">
        <f>SUM(I9:M9)</f>
        <v>60051.020408163255</v>
      </c>
      <c r="O9" s="26">
        <f t="shared" ref="O9:O14" si="2">N9*89.85%</f>
        <v>53955.841836734682</v>
      </c>
      <c r="P9" s="99"/>
      <c r="Q9" s="173"/>
      <c r="R9" s="173"/>
      <c r="S9" s="173"/>
      <c r="T9" s="174">
        <v>59290.21</v>
      </c>
      <c r="U9" s="157">
        <v>7320</v>
      </c>
    </row>
    <row r="10" spans="1:21" x14ac:dyDescent="0.25">
      <c r="A10" s="10">
        <v>168</v>
      </c>
      <c r="B10" s="9">
        <v>43709</v>
      </c>
      <c r="C10" s="17">
        <v>168</v>
      </c>
      <c r="D10" s="99">
        <f>2*168+128</f>
        <v>464</v>
      </c>
      <c r="E10" s="99">
        <v>168</v>
      </c>
      <c r="F10" s="99">
        <v>168</v>
      </c>
      <c r="G10" s="3">
        <v>128</v>
      </c>
      <c r="H10" s="26">
        <f t="shared" si="0"/>
        <v>100.08503401360544</v>
      </c>
      <c r="I10" s="26">
        <f>C10*$H$10</f>
        <v>16814.285714285714</v>
      </c>
      <c r="J10" s="26">
        <f t="shared" ref="J10:M10" si="3">D10*$H$10</f>
        <v>46439.455782312922</v>
      </c>
      <c r="K10" s="26">
        <f t="shared" si="3"/>
        <v>16814.285714285714</v>
      </c>
      <c r="L10" s="26">
        <f t="shared" si="3"/>
        <v>16814.285714285714</v>
      </c>
      <c r="M10" s="26">
        <f t="shared" si="3"/>
        <v>12810.884353741496</v>
      </c>
      <c r="N10" s="172">
        <f t="shared" ref="N10:N13" si="4">SUM(I10:M10)</f>
        <v>109693.19727891155</v>
      </c>
      <c r="O10" s="26">
        <f t="shared" si="2"/>
        <v>98559.337755102024</v>
      </c>
      <c r="P10" s="3"/>
      <c r="Q10" s="175"/>
      <c r="R10" s="175"/>
      <c r="S10" s="175"/>
      <c r="T10" s="174">
        <v>109693.19727891155</v>
      </c>
      <c r="U10">
        <v>7492</v>
      </c>
    </row>
    <row r="11" spans="1:21" x14ac:dyDescent="0.25">
      <c r="A11" s="10">
        <v>184</v>
      </c>
      <c r="B11" s="9">
        <v>43739</v>
      </c>
      <c r="C11" s="17">
        <v>168</v>
      </c>
      <c r="D11" s="99">
        <f>3*168</f>
        <v>504</v>
      </c>
      <c r="E11" s="99">
        <v>168</v>
      </c>
      <c r="F11" s="99">
        <v>168</v>
      </c>
      <c r="G11" s="3">
        <v>168</v>
      </c>
      <c r="H11" s="26">
        <f t="shared" si="0"/>
        <v>100.08503401360544</v>
      </c>
      <c r="I11" s="26">
        <f>C11*$H$11</f>
        <v>16814.285714285714</v>
      </c>
      <c r="J11" s="26">
        <f t="shared" ref="J11:M11" si="5">D11*$H$11</f>
        <v>50442.857142857138</v>
      </c>
      <c r="K11" s="26">
        <f t="shared" si="5"/>
        <v>16814.285714285714</v>
      </c>
      <c r="L11" s="26">
        <f t="shared" si="5"/>
        <v>16814.285714285714</v>
      </c>
      <c r="M11" s="26">
        <f t="shared" si="5"/>
        <v>16814.285714285714</v>
      </c>
      <c r="N11" s="172">
        <f t="shared" si="4"/>
        <v>117699.99999999999</v>
      </c>
      <c r="O11" s="26">
        <f t="shared" si="2"/>
        <v>105753.44999999998</v>
      </c>
      <c r="P11" s="3"/>
      <c r="Q11" s="175"/>
      <c r="R11" s="175"/>
      <c r="S11" s="175"/>
      <c r="T11" s="176">
        <v>129383.32</v>
      </c>
      <c r="U11">
        <v>7539</v>
      </c>
    </row>
    <row r="12" spans="1:21" x14ac:dyDescent="0.25">
      <c r="A12" s="10">
        <v>152</v>
      </c>
      <c r="B12" s="9">
        <v>43770</v>
      </c>
      <c r="C12" s="16">
        <v>134</v>
      </c>
      <c r="D12" s="3">
        <f>3*40</f>
        <v>120</v>
      </c>
      <c r="E12" s="3">
        <v>134</v>
      </c>
      <c r="F12" s="3">
        <v>134</v>
      </c>
      <c r="G12" s="3">
        <v>134</v>
      </c>
      <c r="H12" s="26">
        <f t="shared" si="0"/>
        <v>100.08503401360544</v>
      </c>
      <c r="I12" s="26">
        <f>C12*$H$12</f>
        <v>13411.394557823129</v>
      </c>
      <c r="J12" s="26">
        <f t="shared" ref="J12:M12" si="6">D12*$H$12</f>
        <v>12010.204081632652</v>
      </c>
      <c r="K12" s="26">
        <f t="shared" si="6"/>
        <v>13411.394557823129</v>
      </c>
      <c r="L12" s="26">
        <f t="shared" si="6"/>
        <v>13411.394557823129</v>
      </c>
      <c r="M12" s="26">
        <f t="shared" si="6"/>
        <v>13411.394557823129</v>
      </c>
      <c r="N12" s="172">
        <f t="shared" si="4"/>
        <v>65655.782312925163</v>
      </c>
      <c r="O12" s="26">
        <f t="shared" si="2"/>
        <v>58991.720408163259</v>
      </c>
      <c r="P12" s="3"/>
      <c r="Q12" s="16"/>
      <c r="R12" s="16"/>
      <c r="S12" s="16"/>
      <c r="T12" s="176">
        <f>54657.28+75.99</f>
        <v>54733.27</v>
      </c>
    </row>
    <row r="13" spans="1:21" x14ac:dyDescent="0.25">
      <c r="B13" s="166"/>
      <c r="C13" s="167"/>
      <c r="D13" s="168"/>
      <c r="E13" s="168"/>
      <c r="F13" s="168"/>
      <c r="G13" s="168"/>
      <c r="H13" s="169">
        <f t="shared" si="0"/>
        <v>100.08503401360544</v>
      </c>
      <c r="I13" s="169">
        <f>C13*$H$12</f>
        <v>0</v>
      </c>
      <c r="J13" s="169"/>
      <c r="K13" s="169"/>
      <c r="L13" s="169"/>
      <c r="M13" s="166"/>
      <c r="N13" s="102">
        <f t="shared" si="4"/>
        <v>0</v>
      </c>
      <c r="O13" s="27">
        <f t="shared" si="2"/>
        <v>0</v>
      </c>
      <c r="P13" s="133"/>
      <c r="R13" s="10"/>
      <c r="S13" s="10"/>
    </row>
    <row r="14" spans="1:21" s="104" customFormat="1" x14ac:dyDescent="0.25">
      <c r="A14" s="108"/>
      <c r="B14" s="105" t="s">
        <v>2</v>
      </c>
      <c r="C14" s="106">
        <f>SUM(C9:C13)</f>
        <v>590</v>
      </c>
      <c r="D14" s="106">
        <f>SUM(D9:D13)</f>
        <v>1328</v>
      </c>
      <c r="E14" s="106">
        <f>SUM(E9:E13)</f>
        <v>590</v>
      </c>
      <c r="F14" s="106">
        <f>SUM(F9:F13)</f>
        <v>590</v>
      </c>
      <c r="G14" s="106">
        <f>SUM(G9:G13)</f>
        <v>430</v>
      </c>
      <c r="H14" s="107"/>
      <c r="I14" s="107">
        <f t="shared" ref="I14:N14" si="7">SUM(I9:I13)</f>
        <v>59050.170068027212</v>
      </c>
      <c r="J14" s="107">
        <f t="shared" si="7"/>
        <v>132912.92517006802</v>
      </c>
      <c r="K14" s="107">
        <f t="shared" si="7"/>
        <v>59050.170068027212</v>
      </c>
      <c r="L14" s="107">
        <f t="shared" si="7"/>
        <v>59050.170068027212</v>
      </c>
      <c r="M14" s="107">
        <f t="shared" si="7"/>
        <v>43036.56462585034</v>
      </c>
      <c r="N14" s="103">
        <f t="shared" si="7"/>
        <v>353099.99999999994</v>
      </c>
      <c r="O14" s="20">
        <f t="shared" si="2"/>
        <v>317260.34999999992</v>
      </c>
      <c r="P14" s="141"/>
      <c r="Q14" s="108"/>
      <c r="R14" s="108"/>
      <c r="S14" s="108"/>
      <c r="T14" s="109">
        <f>SUM(T9:T13)</f>
        <v>353099.99727891159</v>
      </c>
    </row>
    <row r="15" spans="1:21" ht="29.25" customHeight="1" x14ac:dyDescent="0.25">
      <c r="C15" s="224">
        <f>SUM(C14:G14)</f>
        <v>3528</v>
      </c>
      <c r="D15" s="224"/>
      <c r="E15" s="224"/>
      <c r="F15" s="224"/>
      <c r="G15" s="224"/>
      <c r="H15" s="223">
        <f>SUM(I14:M14)</f>
        <v>353100</v>
      </c>
      <c r="I15" s="223"/>
      <c r="J15" s="223"/>
      <c r="K15" s="118"/>
      <c r="L15" s="118"/>
      <c r="O15"/>
      <c r="R15" s="10"/>
    </row>
    <row r="16" spans="1:21" x14ac:dyDescent="0.25">
      <c r="N16" s="137">
        <v>54657.279999999999</v>
      </c>
      <c r="T16" s="8"/>
    </row>
    <row r="17" spans="3:20" x14ac:dyDescent="0.25">
      <c r="C17" s="222" t="s">
        <v>102</v>
      </c>
      <c r="D17" s="222"/>
      <c r="E17" s="222"/>
      <c r="F17" s="222"/>
      <c r="G17" s="222"/>
      <c r="J17" s="8"/>
      <c r="K17" s="8"/>
      <c r="L17" s="8"/>
      <c r="N17" s="137">
        <v>129383.32</v>
      </c>
      <c r="T17" s="232">
        <f>T12/100.09</f>
        <v>546.84054351084023</v>
      </c>
    </row>
    <row r="18" spans="3:20" x14ac:dyDescent="0.25">
      <c r="D18" s="8"/>
      <c r="J18" s="8"/>
      <c r="K18" s="8"/>
      <c r="L18" s="8"/>
      <c r="N18" s="137">
        <v>109769.19</v>
      </c>
    </row>
    <row r="19" spans="3:20" s="10" customFormat="1" x14ac:dyDescent="0.25">
      <c r="C19" s="10" t="s">
        <v>98</v>
      </c>
      <c r="D19" s="10" t="s">
        <v>99</v>
      </c>
      <c r="E19" s="10" t="s">
        <v>100</v>
      </c>
      <c r="F19" s="10" t="s">
        <v>98</v>
      </c>
      <c r="G19" s="10" t="s">
        <v>100</v>
      </c>
      <c r="N19" s="137">
        <v>59290.21</v>
      </c>
      <c r="O19" s="136"/>
      <c r="T19" s="233">
        <v>0.33333333333333331</v>
      </c>
    </row>
    <row r="20" spans="3:20" s="10" customFormat="1" x14ac:dyDescent="0.25">
      <c r="C20" s="10">
        <v>120</v>
      </c>
      <c r="D20" s="10">
        <v>384</v>
      </c>
      <c r="E20" s="10">
        <v>152</v>
      </c>
      <c r="F20" s="10">
        <v>152</v>
      </c>
      <c r="G20" s="42">
        <v>80</v>
      </c>
      <c r="H20" s="42"/>
      <c r="I20" s="42">
        <f>M20*H9</f>
        <v>0</v>
      </c>
      <c r="O20" s="136"/>
    </row>
    <row r="21" spans="3:20" s="10" customFormat="1" x14ac:dyDescent="0.25">
      <c r="C21" s="10">
        <v>168</v>
      </c>
      <c r="D21" s="10">
        <v>504</v>
      </c>
      <c r="E21" s="10">
        <v>168</v>
      </c>
      <c r="F21" s="10">
        <v>168</v>
      </c>
      <c r="G21" s="10">
        <v>168</v>
      </c>
      <c r="H21" s="42"/>
      <c r="O21" s="136"/>
    </row>
    <row r="22" spans="3:20" s="10" customFormat="1" x14ac:dyDescent="0.25">
      <c r="C22" s="10">
        <v>184</v>
      </c>
      <c r="D22" s="10">
        <v>552</v>
      </c>
      <c r="E22" s="134">
        <v>184</v>
      </c>
      <c r="F22" s="134">
        <v>184</v>
      </c>
      <c r="G22" s="10">
        <v>184</v>
      </c>
      <c r="O22" s="136"/>
      <c r="S22" s="10">
        <v>547</v>
      </c>
      <c r="T22" s="42">
        <f>S22*D3</f>
        <v>54746.513605442175</v>
      </c>
    </row>
    <row r="23" spans="3:20" s="10" customFormat="1" x14ac:dyDescent="0.25">
      <c r="C23" s="10">
        <v>24</v>
      </c>
      <c r="D23" s="10">
        <v>72</v>
      </c>
      <c r="E23" s="10">
        <v>24</v>
      </c>
      <c r="F23" s="10">
        <v>24</v>
      </c>
      <c r="G23" s="10">
        <v>24</v>
      </c>
      <c r="O23" s="136"/>
    </row>
    <row r="24" spans="3:20" s="10" customFormat="1" x14ac:dyDescent="0.25">
      <c r="S24" s="10">
        <f>547/4</f>
        <v>136.75</v>
      </c>
    </row>
    <row r="26" spans="3:20" x14ac:dyDescent="0.25">
      <c r="Q26" s="10">
        <v>139</v>
      </c>
    </row>
    <row r="27" spans="3:20" x14ac:dyDescent="0.25">
      <c r="Q27" s="10">
        <v>136</v>
      </c>
    </row>
    <row r="28" spans="3:20" x14ac:dyDescent="0.25">
      <c r="Q28" s="10">
        <v>136</v>
      </c>
    </row>
    <row r="29" spans="3:20" x14ac:dyDescent="0.25">
      <c r="Q29" s="10">
        <v>136</v>
      </c>
    </row>
  </sheetData>
  <mergeCells count="7">
    <mergeCell ref="C17:G17"/>
    <mergeCell ref="I7:K7"/>
    <mergeCell ref="L7:M7"/>
    <mergeCell ref="H15:J15"/>
    <mergeCell ref="C7:E7"/>
    <mergeCell ref="F7:G7"/>
    <mergeCell ref="C15:G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FCA3A-EDD2-426D-B299-F985ACD8E3EB}">
  <dimension ref="A2:U24"/>
  <sheetViews>
    <sheetView showGridLines="0" zoomScale="85" zoomScaleNormal="85" workbookViewId="0">
      <selection activeCell="N9" sqref="N9"/>
    </sheetView>
  </sheetViews>
  <sheetFormatPr defaultRowHeight="15" x14ac:dyDescent="0.25"/>
  <cols>
    <col min="1" max="1" width="4.140625" style="10" bestFit="1" customWidth="1"/>
    <col min="2" max="2" width="18.42578125" bestFit="1" customWidth="1"/>
    <col min="3" max="3" width="10.85546875" style="158" customWidth="1"/>
    <col min="4" max="4" width="10.7109375" bestFit="1" customWidth="1"/>
    <col min="5" max="5" width="14.7109375" bestFit="1" customWidth="1"/>
    <col min="6" max="6" width="6.42578125" bestFit="1" customWidth="1"/>
    <col min="7" max="7" width="9.7109375" bestFit="1" customWidth="1"/>
    <col min="8" max="8" width="10.7109375" bestFit="1" customWidth="1"/>
    <col min="9" max="9" width="13.42578125" bestFit="1" customWidth="1"/>
    <col min="10" max="10" width="14.42578125" bestFit="1" customWidth="1"/>
    <col min="11" max="13" width="13.42578125" bestFit="1" customWidth="1"/>
    <col min="14" max="14" width="14.42578125" bestFit="1" customWidth="1"/>
    <col min="15" max="15" width="14.42578125" style="10" bestFit="1" customWidth="1"/>
    <col min="16" max="16" width="1.85546875" style="10" customWidth="1"/>
    <col min="17" max="17" width="6.7109375" style="10" bestFit="1" customWidth="1"/>
    <col min="18" max="18" width="6.140625" style="158" bestFit="1" customWidth="1"/>
    <col min="19" max="19" width="6.42578125" style="158" bestFit="1" customWidth="1"/>
    <col min="20" max="20" width="14.42578125" bestFit="1" customWidth="1"/>
    <col min="21" max="21" width="12.28515625" bestFit="1" customWidth="1"/>
  </cols>
  <sheetData>
    <row r="2" spans="1:21" s="22" customFormat="1" ht="30" x14ac:dyDescent="0.25">
      <c r="A2" s="28"/>
      <c r="C2" s="23" t="s">
        <v>3</v>
      </c>
      <c r="D2" s="23" t="s">
        <v>4</v>
      </c>
      <c r="E2" s="23" t="s">
        <v>5</v>
      </c>
      <c r="F2" s="24"/>
      <c r="H2" s="22">
        <v>4934</v>
      </c>
      <c r="M2" s="41"/>
      <c r="O2" s="28"/>
      <c r="P2" s="28"/>
      <c r="Q2" s="28"/>
      <c r="R2" s="139"/>
      <c r="S2" s="139"/>
    </row>
    <row r="3" spans="1:21" x14ac:dyDescent="0.25">
      <c r="B3" s="6" t="s">
        <v>0</v>
      </c>
      <c r="C3" s="13">
        <f>672*3</f>
        <v>2016</v>
      </c>
      <c r="D3" s="14">
        <f>E3/C3</f>
        <v>100.08502976190476</v>
      </c>
      <c r="E3" s="14">
        <v>201771.42</v>
      </c>
      <c r="F3" s="19"/>
    </row>
    <row r="4" spans="1:21" x14ac:dyDescent="0.25">
      <c r="C4" s="10"/>
      <c r="D4" s="10"/>
      <c r="E4" s="10"/>
      <c r="F4" s="10"/>
      <c r="H4" s="8"/>
    </row>
    <row r="5" spans="1:21" x14ac:dyDescent="0.25">
      <c r="B5" s="6" t="s">
        <v>1</v>
      </c>
      <c r="C5" s="13">
        <f>C3-C15</f>
        <v>-172</v>
      </c>
      <c r="D5" s="14">
        <f>D3</f>
        <v>100.08502976190476</v>
      </c>
      <c r="E5" s="14">
        <f>C5*D5</f>
        <v>-17214.625119047618</v>
      </c>
      <c r="F5" s="19"/>
      <c r="H5" s="8"/>
    </row>
    <row r="7" spans="1:21" x14ac:dyDescent="0.25">
      <c r="C7" s="222" t="s">
        <v>101</v>
      </c>
      <c r="D7" s="222"/>
      <c r="E7" s="222"/>
      <c r="F7" s="222" t="s">
        <v>95</v>
      </c>
      <c r="G7" s="222"/>
      <c r="I7" s="222" t="s">
        <v>101</v>
      </c>
      <c r="J7" s="222"/>
      <c r="K7" s="222"/>
      <c r="L7" s="222" t="s">
        <v>95</v>
      </c>
      <c r="M7" s="222"/>
      <c r="O7"/>
      <c r="R7" s="10"/>
    </row>
    <row r="8" spans="1:21" s="11" customFormat="1" x14ac:dyDescent="0.25">
      <c r="A8" s="15"/>
      <c r="C8" s="15" t="s">
        <v>98</v>
      </c>
      <c r="D8" s="12" t="s">
        <v>99</v>
      </c>
      <c r="E8" s="12" t="s">
        <v>100</v>
      </c>
      <c r="F8" s="12" t="s">
        <v>98</v>
      </c>
      <c r="G8" s="12" t="s">
        <v>100</v>
      </c>
      <c r="H8" s="12" t="s">
        <v>17</v>
      </c>
      <c r="I8" s="15" t="s">
        <v>98</v>
      </c>
      <c r="J8" s="12" t="s">
        <v>99</v>
      </c>
      <c r="K8" s="12" t="s">
        <v>100</v>
      </c>
      <c r="L8" s="12" t="s">
        <v>98</v>
      </c>
      <c r="M8" s="12" t="s">
        <v>100</v>
      </c>
      <c r="N8" s="12" t="s">
        <v>15</v>
      </c>
      <c r="O8" s="18" t="s">
        <v>6</v>
      </c>
      <c r="P8" s="12"/>
      <c r="Q8" s="15" t="s">
        <v>7</v>
      </c>
      <c r="R8" s="15" t="s">
        <v>8</v>
      </c>
      <c r="S8" s="15" t="s">
        <v>16</v>
      </c>
      <c r="T8" s="25" t="s">
        <v>11</v>
      </c>
      <c r="U8" s="11" t="s">
        <v>111</v>
      </c>
    </row>
    <row r="9" spans="1:21" s="46" customFormat="1" x14ac:dyDescent="0.25">
      <c r="A9" s="135">
        <v>176</v>
      </c>
      <c r="B9" s="9">
        <v>43770</v>
      </c>
      <c r="C9" s="98">
        <v>40</v>
      </c>
      <c r="D9" s="99">
        <v>80</v>
      </c>
      <c r="E9" s="99"/>
      <c r="F9" s="99">
        <v>40</v>
      </c>
      <c r="G9" s="99"/>
      <c r="H9" s="26">
        <f t="shared" ref="H9:H13" si="0">$D$3</f>
        <v>100.08502976190476</v>
      </c>
      <c r="I9" s="26">
        <f>C9*$H$9</f>
        <v>4003.4011904761905</v>
      </c>
      <c r="J9" s="26">
        <f t="shared" ref="J9:M9" si="1">D9*$H$9</f>
        <v>8006.8023809523811</v>
      </c>
      <c r="K9" s="26">
        <f t="shared" si="1"/>
        <v>0</v>
      </c>
      <c r="L9" s="26">
        <f t="shared" si="1"/>
        <v>4003.4011904761905</v>
      </c>
      <c r="M9" s="26">
        <f t="shared" si="1"/>
        <v>0</v>
      </c>
      <c r="N9" s="102">
        <f>SUM(I9:M9)</f>
        <v>16013.604761904762</v>
      </c>
      <c r="O9" s="27">
        <f t="shared" ref="O9:O14" si="2">N9*89.85%</f>
        <v>14388.223878571429</v>
      </c>
      <c r="P9" s="140"/>
      <c r="Q9" s="100"/>
      <c r="R9" s="100"/>
      <c r="S9" s="100"/>
      <c r="T9" s="101">
        <v>59290.21</v>
      </c>
      <c r="U9" s="157">
        <v>7320</v>
      </c>
    </row>
    <row r="10" spans="1:21" x14ac:dyDescent="0.25">
      <c r="A10" s="10">
        <v>168</v>
      </c>
      <c r="B10" s="9">
        <v>43800</v>
      </c>
      <c r="C10" s="17">
        <v>168</v>
      </c>
      <c r="D10" s="99">
        <f>2*168+128</f>
        <v>464</v>
      </c>
      <c r="E10" s="99"/>
      <c r="F10" s="99">
        <v>168</v>
      </c>
      <c r="G10" s="3"/>
      <c r="H10" s="26">
        <f t="shared" si="0"/>
        <v>100.08502976190476</v>
      </c>
      <c r="I10" s="26">
        <f>C10*$H$10</f>
        <v>16814.285</v>
      </c>
      <c r="J10" s="26">
        <f t="shared" ref="J10:M10" si="3">D10*$H$10</f>
        <v>46439.453809523809</v>
      </c>
      <c r="K10" s="26">
        <f t="shared" si="3"/>
        <v>0</v>
      </c>
      <c r="L10" s="26">
        <f t="shared" si="3"/>
        <v>16814.285</v>
      </c>
      <c r="M10" s="26">
        <f t="shared" si="3"/>
        <v>0</v>
      </c>
      <c r="N10" s="102">
        <f t="shared" ref="N10:N13" si="4">SUM(I10:M10)</f>
        <v>80068.023809523816</v>
      </c>
      <c r="O10" s="27">
        <f t="shared" si="2"/>
        <v>71941.119392857145</v>
      </c>
      <c r="P10" s="158"/>
      <c r="Q10" s="29"/>
      <c r="R10" s="29"/>
      <c r="S10" s="29"/>
      <c r="T10" s="101">
        <v>109693.19727891155</v>
      </c>
      <c r="U10">
        <v>7492</v>
      </c>
    </row>
    <row r="11" spans="1:21" x14ac:dyDescent="0.25">
      <c r="A11" s="10">
        <v>184</v>
      </c>
      <c r="B11" s="9">
        <v>43831</v>
      </c>
      <c r="C11" s="17">
        <v>168</v>
      </c>
      <c r="D11" s="99">
        <f>3*168</f>
        <v>504</v>
      </c>
      <c r="E11" s="99"/>
      <c r="F11" s="99">
        <v>168</v>
      </c>
      <c r="G11" s="3"/>
      <c r="H11" s="26">
        <f t="shared" si="0"/>
        <v>100.08502976190476</v>
      </c>
      <c r="I11" s="26">
        <f>C11*$H$11</f>
        <v>16814.285</v>
      </c>
      <c r="J11" s="26">
        <f t="shared" ref="J11:M11" si="5">D11*$H$11</f>
        <v>50442.855000000003</v>
      </c>
      <c r="K11" s="26">
        <f t="shared" si="5"/>
        <v>0</v>
      </c>
      <c r="L11" s="26">
        <f t="shared" si="5"/>
        <v>16814.285</v>
      </c>
      <c r="M11" s="26">
        <f t="shared" si="5"/>
        <v>0</v>
      </c>
      <c r="N11" s="102">
        <f t="shared" si="4"/>
        <v>84071.425000000003</v>
      </c>
      <c r="O11" s="27">
        <f t="shared" si="2"/>
        <v>75538.175362499998</v>
      </c>
      <c r="P11" s="158"/>
      <c r="Q11" s="29"/>
      <c r="R11" s="29"/>
      <c r="S11" s="29"/>
      <c r="T11" s="8">
        <v>129383.32</v>
      </c>
      <c r="U11">
        <v>7539</v>
      </c>
    </row>
    <row r="12" spans="1:21" x14ac:dyDescent="0.25">
      <c r="A12" s="10">
        <v>152</v>
      </c>
      <c r="B12" s="9">
        <v>43862</v>
      </c>
      <c r="C12" s="16">
        <v>134</v>
      </c>
      <c r="D12" s="3">
        <f>3*40</f>
        <v>120</v>
      </c>
      <c r="E12" s="3"/>
      <c r="F12" s="3">
        <v>134</v>
      </c>
      <c r="G12" s="3"/>
      <c r="H12" s="26">
        <f t="shared" si="0"/>
        <v>100.08502976190476</v>
      </c>
      <c r="I12" s="26">
        <f>C12*$H$12</f>
        <v>13411.393988095238</v>
      </c>
      <c r="J12" s="26">
        <f t="shared" ref="J12:M12" si="6">D12*$H$12</f>
        <v>12010.203571428572</v>
      </c>
      <c r="K12" s="26">
        <f t="shared" si="6"/>
        <v>0</v>
      </c>
      <c r="L12" s="26">
        <f t="shared" si="6"/>
        <v>13411.393988095238</v>
      </c>
      <c r="M12" s="26">
        <f t="shared" si="6"/>
        <v>0</v>
      </c>
      <c r="N12" s="102">
        <f t="shared" si="4"/>
        <v>38832.991547619051</v>
      </c>
      <c r="O12" s="27">
        <f t="shared" si="2"/>
        <v>34891.442905535718</v>
      </c>
      <c r="P12" s="158"/>
      <c r="R12" s="10"/>
      <c r="S12" s="10"/>
      <c r="T12" s="8">
        <f>54657.28+75.99</f>
        <v>54733.27</v>
      </c>
    </row>
    <row r="13" spans="1:21" x14ac:dyDescent="0.25">
      <c r="B13" s="2"/>
      <c r="C13" s="119"/>
      <c r="D13" s="3"/>
      <c r="E13" s="3"/>
      <c r="F13" s="3"/>
      <c r="G13" s="3"/>
      <c r="H13" s="26">
        <f t="shared" si="0"/>
        <v>100.08502976190476</v>
      </c>
      <c r="I13" s="26">
        <f>C13*$H$12</f>
        <v>0</v>
      </c>
      <c r="J13" s="26"/>
      <c r="K13" s="26"/>
      <c r="L13" s="26"/>
      <c r="M13" s="2"/>
      <c r="N13" s="102">
        <f t="shared" si="4"/>
        <v>0</v>
      </c>
      <c r="O13" s="27">
        <f t="shared" si="2"/>
        <v>0</v>
      </c>
      <c r="P13" s="158"/>
      <c r="R13" s="10"/>
      <c r="S13" s="10"/>
    </row>
    <row r="14" spans="1:21" s="104" customFormat="1" x14ac:dyDescent="0.25">
      <c r="A14" s="108"/>
      <c r="B14" s="105" t="s">
        <v>2</v>
      </c>
      <c r="C14" s="106">
        <f>SUM(C9:C13)</f>
        <v>510</v>
      </c>
      <c r="D14" s="106">
        <f>SUM(D9:D13)</f>
        <v>1168</v>
      </c>
      <c r="E14" s="106">
        <f>SUM(E9:E13)</f>
        <v>0</v>
      </c>
      <c r="F14" s="106">
        <f>SUM(F9:F13)</f>
        <v>510</v>
      </c>
      <c r="G14" s="106">
        <f>SUM(G9:G13)</f>
        <v>0</v>
      </c>
      <c r="H14" s="107"/>
      <c r="I14" s="107">
        <f t="shared" ref="I14:N14" si="7">SUM(I9:I13)</f>
        <v>51043.365178571432</v>
      </c>
      <c r="J14" s="107">
        <f t="shared" si="7"/>
        <v>116899.31476190477</v>
      </c>
      <c r="K14" s="107">
        <f t="shared" si="7"/>
        <v>0</v>
      </c>
      <c r="L14" s="107">
        <f t="shared" si="7"/>
        <v>51043.365178571432</v>
      </c>
      <c r="M14" s="107">
        <f t="shared" si="7"/>
        <v>0</v>
      </c>
      <c r="N14" s="103">
        <f t="shared" si="7"/>
        <v>218986.04511904763</v>
      </c>
      <c r="O14" s="20">
        <f t="shared" si="2"/>
        <v>196758.96153946428</v>
      </c>
      <c r="P14" s="141"/>
      <c r="Q14" s="108"/>
      <c r="R14" s="108"/>
      <c r="S14" s="108"/>
      <c r="T14" s="109">
        <f>SUM(T9:T13)</f>
        <v>353099.99727891159</v>
      </c>
    </row>
    <row r="15" spans="1:21" ht="29.25" customHeight="1" x14ac:dyDescent="0.25">
      <c r="C15" s="224">
        <f>SUM(C14:G14)</f>
        <v>2188</v>
      </c>
      <c r="D15" s="224"/>
      <c r="E15" s="224"/>
      <c r="F15" s="224"/>
      <c r="G15" s="224"/>
      <c r="H15" s="223">
        <f>SUM(I14:M14)</f>
        <v>218986.04511904763</v>
      </c>
      <c r="I15" s="223"/>
      <c r="J15" s="223"/>
      <c r="K15" s="159"/>
      <c r="L15" s="159"/>
      <c r="O15"/>
      <c r="R15" s="10"/>
    </row>
    <row r="16" spans="1:21" x14ac:dyDescent="0.25">
      <c r="N16" s="137">
        <v>54657.279999999999</v>
      </c>
      <c r="T16" s="8"/>
    </row>
    <row r="17" spans="3:15" x14ac:dyDescent="0.25">
      <c r="C17" s="222" t="s">
        <v>102</v>
      </c>
      <c r="D17" s="222"/>
      <c r="E17" s="222"/>
      <c r="F17" s="222"/>
      <c r="G17" s="222"/>
      <c r="J17" s="8"/>
      <c r="K17" s="8"/>
      <c r="L17" s="8"/>
      <c r="N17" s="137">
        <v>129383.32</v>
      </c>
    </row>
    <row r="18" spans="3:15" x14ac:dyDescent="0.25">
      <c r="D18" s="8"/>
      <c r="J18" s="8"/>
      <c r="K18" s="8"/>
      <c r="L18" s="8"/>
      <c r="N18" s="137">
        <v>109769.19</v>
      </c>
    </row>
    <row r="19" spans="3:15" s="10" customFormat="1" x14ac:dyDescent="0.25">
      <c r="C19" s="10" t="s">
        <v>98</v>
      </c>
      <c r="D19" s="10" t="s">
        <v>99</v>
      </c>
      <c r="E19" s="10" t="s">
        <v>100</v>
      </c>
      <c r="F19" s="10" t="s">
        <v>98</v>
      </c>
      <c r="G19" s="10" t="s">
        <v>100</v>
      </c>
      <c r="N19" s="137">
        <v>59290.21</v>
      </c>
      <c r="O19" s="136"/>
    </row>
    <row r="20" spans="3:15" s="10" customFormat="1" x14ac:dyDescent="0.25">
      <c r="C20" s="10">
        <v>120</v>
      </c>
      <c r="D20" s="10">
        <v>384</v>
      </c>
      <c r="E20" s="10">
        <v>152</v>
      </c>
      <c r="F20" s="10">
        <v>152</v>
      </c>
      <c r="G20" s="42">
        <v>80</v>
      </c>
      <c r="H20" s="42"/>
      <c r="I20" s="42">
        <f>M20*H9</f>
        <v>0</v>
      </c>
      <c r="O20" s="136"/>
    </row>
    <row r="21" spans="3:15" s="10" customFormat="1" x14ac:dyDescent="0.25">
      <c r="C21" s="10">
        <v>168</v>
      </c>
      <c r="D21" s="10">
        <v>504</v>
      </c>
      <c r="E21" s="10">
        <v>168</v>
      </c>
      <c r="F21" s="10">
        <v>168</v>
      </c>
      <c r="G21" s="10">
        <v>168</v>
      </c>
      <c r="H21" s="42"/>
      <c r="O21" s="136"/>
    </row>
    <row r="22" spans="3:15" s="10" customFormat="1" x14ac:dyDescent="0.25">
      <c r="C22" s="10">
        <v>184</v>
      </c>
      <c r="D22" s="10">
        <v>552</v>
      </c>
      <c r="E22" s="134">
        <v>184</v>
      </c>
      <c r="F22" s="134">
        <v>184</v>
      </c>
      <c r="G22" s="10">
        <v>184</v>
      </c>
      <c r="O22" s="136"/>
    </row>
    <row r="23" spans="3:15" s="10" customFormat="1" x14ac:dyDescent="0.25">
      <c r="C23" s="10">
        <v>24</v>
      </c>
      <c r="D23" s="10">
        <v>72</v>
      </c>
      <c r="E23" s="10">
        <v>24</v>
      </c>
      <c r="F23" s="10">
        <v>24</v>
      </c>
      <c r="G23" s="10">
        <v>24</v>
      </c>
      <c r="O23" s="136"/>
    </row>
    <row r="24" spans="3:15" s="10" customFormat="1" x14ac:dyDescent="0.25"/>
  </sheetData>
  <mergeCells count="7">
    <mergeCell ref="C17:G17"/>
    <mergeCell ref="C7:E7"/>
    <mergeCell ref="F7:G7"/>
    <mergeCell ref="I7:K7"/>
    <mergeCell ref="L7:M7"/>
    <mergeCell ref="C15:G15"/>
    <mergeCell ref="H15:J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S43"/>
  <sheetViews>
    <sheetView showGridLines="0" workbookViewId="0">
      <selection activeCell="R29" sqref="R29"/>
    </sheetView>
  </sheetViews>
  <sheetFormatPr defaultColWidth="9.28515625" defaultRowHeight="12.75" outlineLevelRow="1" outlineLevelCol="1" x14ac:dyDescent="0.2"/>
  <cols>
    <col min="1" max="1" width="9.28515625" style="35"/>
    <col min="2" max="2" width="31.5703125" style="35" bestFit="1" customWidth="1"/>
    <col min="3" max="3" width="6.7109375" style="36" customWidth="1"/>
    <col min="4" max="6" width="6.7109375" style="36" hidden="1" customWidth="1" outlineLevel="1"/>
    <col min="7" max="7" width="6.7109375" style="36" customWidth="1" collapsed="1"/>
    <col min="8" max="10" width="6.7109375" style="36" hidden="1" customWidth="1" outlineLevel="1"/>
    <col min="11" max="11" width="6.7109375" style="36" customWidth="1" collapsed="1"/>
    <col min="12" max="14" width="6.7109375" style="36" hidden="1" customWidth="1" outlineLevel="1"/>
    <col min="15" max="15" width="6.7109375" style="36" customWidth="1" collapsed="1"/>
    <col min="16" max="19" width="9.28515625" style="36"/>
    <col min="20" max="16384" width="9.28515625" style="35"/>
  </cols>
  <sheetData>
    <row r="2" spans="2:15" x14ac:dyDescent="0.2">
      <c r="B2" s="229" t="s">
        <v>34</v>
      </c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</row>
    <row r="3" spans="2:15" x14ac:dyDescent="0.2">
      <c r="B3" s="37" t="s">
        <v>33</v>
      </c>
      <c r="C3" s="43" t="s">
        <v>19</v>
      </c>
      <c r="D3" s="43"/>
      <c r="E3" s="43"/>
      <c r="F3" s="43"/>
      <c r="G3" s="43" t="s">
        <v>20</v>
      </c>
      <c r="H3" s="43"/>
      <c r="I3" s="43"/>
      <c r="J3" s="43"/>
      <c r="K3" s="43" t="s">
        <v>21</v>
      </c>
      <c r="L3" s="43"/>
      <c r="M3" s="43"/>
      <c r="N3" s="43"/>
      <c r="O3" s="43" t="s">
        <v>22</v>
      </c>
    </row>
    <row r="4" spans="2:15" x14ac:dyDescent="0.2">
      <c r="B4" s="38" t="s">
        <v>23</v>
      </c>
      <c r="C4" s="39">
        <v>56</v>
      </c>
      <c r="D4" s="39"/>
      <c r="E4" s="39"/>
      <c r="F4" s="39"/>
      <c r="G4" s="39">
        <v>168</v>
      </c>
      <c r="H4" s="39"/>
      <c r="I4" s="39"/>
      <c r="J4" s="39"/>
      <c r="K4" s="39">
        <v>176</v>
      </c>
      <c r="L4" s="39"/>
      <c r="M4" s="39"/>
      <c r="N4" s="39"/>
      <c r="O4" s="39">
        <v>72</v>
      </c>
    </row>
    <row r="5" spans="2:15" x14ac:dyDescent="0.2">
      <c r="B5" s="38" t="s">
        <v>24</v>
      </c>
      <c r="C5" s="39">
        <v>56</v>
      </c>
      <c r="D5" s="39"/>
      <c r="E5" s="39"/>
      <c r="F5" s="39"/>
      <c r="G5" s="39">
        <v>168</v>
      </c>
      <c r="H5" s="39"/>
      <c r="I5" s="39"/>
      <c r="J5" s="39"/>
      <c r="K5" s="39">
        <v>176</v>
      </c>
      <c r="L5" s="39"/>
      <c r="M5" s="39"/>
      <c r="N5" s="39"/>
      <c r="O5" s="39">
        <v>72</v>
      </c>
    </row>
    <row r="6" spans="2:15" x14ac:dyDescent="0.2">
      <c r="B6" s="38" t="s">
        <v>25</v>
      </c>
      <c r="C6" s="39"/>
      <c r="D6" s="39"/>
      <c r="E6" s="39"/>
      <c r="F6" s="39"/>
      <c r="G6" s="39">
        <v>128</v>
      </c>
      <c r="H6" s="39"/>
      <c r="I6" s="39"/>
      <c r="J6" s="39"/>
      <c r="K6" s="39">
        <v>176</v>
      </c>
      <c r="L6" s="39"/>
      <c r="M6" s="39"/>
      <c r="N6" s="39"/>
      <c r="O6" s="39">
        <v>72</v>
      </c>
    </row>
    <row r="7" spans="2:15" outlineLevel="1" x14ac:dyDescent="0.2">
      <c r="B7" s="38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</row>
    <row r="8" spans="2:15" x14ac:dyDescent="0.2">
      <c r="B8" s="38" t="s">
        <v>26</v>
      </c>
      <c r="C8" s="39"/>
      <c r="D8" s="39"/>
      <c r="E8" s="39"/>
      <c r="F8" s="39"/>
      <c r="G8" s="39">
        <v>56</v>
      </c>
      <c r="H8" s="39"/>
      <c r="I8" s="39"/>
      <c r="J8" s="39"/>
      <c r="K8" s="39">
        <v>176</v>
      </c>
      <c r="L8" s="39"/>
      <c r="M8" s="39"/>
      <c r="N8" s="39"/>
      <c r="O8" s="39">
        <v>72</v>
      </c>
    </row>
    <row r="9" spans="2:15" x14ac:dyDescent="0.2">
      <c r="B9" s="38" t="s">
        <v>27</v>
      </c>
      <c r="C9" s="39"/>
      <c r="D9" s="39"/>
      <c r="E9" s="39"/>
      <c r="F9" s="39"/>
      <c r="G9" s="39"/>
      <c r="H9" s="39"/>
      <c r="I9" s="39"/>
      <c r="J9" s="39"/>
      <c r="K9" s="39">
        <v>176</v>
      </c>
      <c r="L9" s="39"/>
      <c r="M9" s="39"/>
      <c r="N9" s="39"/>
      <c r="O9" s="39">
        <v>72</v>
      </c>
    </row>
    <row r="10" spans="2:15" outlineLevel="1" x14ac:dyDescent="0.2">
      <c r="B10" s="38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</row>
    <row r="11" spans="2:15" x14ac:dyDescent="0.2">
      <c r="B11" s="38" t="s">
        <v>28</v>
      </c>
      <c r="C11" s="39"/>
      <c r="D11" s="39"/>
      <c r="E11" s="39"/>
      <c r="F11" s="39"/>
      <c r="G11" s="39"/>
      <c r="H11" s="39"/>
      <c r="I11" s="39"/>
      <c r="J11" s="39"/>
      <c r="K11" s="39">
        <v>160</v>
      </c>
      <c r="L11" s="39"/>
      <c r="M11" s="39"/>
      <c r="N11" s="39"/>
      <c r="O11" s="39">
        <v>72</v>
      </c>
    </row>
    <row r="12" spans="2:15" x14ac:dyDescent="0.2">
      <c r="B12" s="38" t="s">
        <v>29</v>
      </c>
      <c r="C12" s="39"/>
      <c r="D12" s="39"/>
      <c r="E12" s="39"/>
      <c r="F12" s="39"/>
      <c r="G12" s="39"/>
      <c r="H12" s="39"/>
      <c r="I12" s="39"/>
      <c r="J12" s="39"/>
      <c r="K12" s="39">
        <v>160</v>
      </c>
      <c r="L12" s="39"/>
      <c r="M12" s="39"/>
      <c r="N12" s="39"/>
      <c r="O12" s="39">
        <v>72</v>
      </c>
    </row>
    <row r="13" spans="2:15" x14ac:dyDescent="0.2">
      <c r="B13" s="38" t="s">
        <v>30</v>
      </c>
      <c r="C13" s="39"/>
      <c r="D13" s="39"/>
      <c r="E13" s="39"/>
      <c r="F13" s="39"/>
      <c r="G13" s="39"/>
      <c r="H13" s="39"/>
      <c r="I13" s="39"/>
      <c r="J13" s="39"/>
      <c r="K13" s="39">
        <v>160</v>
      </c>
      <c r="L13" s="39"/>
      <c r="M13" s="39"/>
      <c r="N13" s="39"/>
      <c r="O13" s="39">
        <v>72</v>
      </c>
    </row>
    <row r="14" spans="2:15" x14ac:dyDescent="0.2">
      <c r="B14" s="38" t="s">
        <v>31</v>
      </c>
      <c r="C14" s="39"/>
      <c r="D14" s="39"/>
      <c r="E14" s="39"/>
      <c r="F14" s="39"/>
      <c r="G14" s="39"/>
      <c r="H14" s="39"/>
      <c r="I14" s="39"/>
      <c r="J14" s="39"/>
      <c r="K14" s="39">
        <v>152</v>
      </c>
      <c r="L14" s="39"/>
      <c r="M14" s="39"/>
      <c r="N14" s="39"/>
      <c r="O14" s="39">
        <v>72</v>
      </c>
    </row>
    <row r="15" spans="2:15" outlineLevel="1" x14ac:dyDescent="0.2">
      <c r="B15" s="38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</row>
    <row r="16" spans="2:15" x14ac:dyDescent="0.2">
      <c r="B16" s="38" t="s">
        <v>32</v>
      </c>
      <c r="C16" s="39"/>
      <c r="D16" s="39"/>
      <c r="E16" s="39"/>
      <c r="F16" s="39"/>
      <c r="G16" s="39"/>
      <c r="H16" s="39"/>
      <c r="I16" s="39"/>
      <c r="J16" s="39"/>
      <c r="K16" s="39">
        <v>120</v>
      </c>
      <c r="L16" s="39"/>
      <c r="M16" s="39"/>
      <c r="N16" s="39"/>
      <c r="O16" s="39">
        <v>72</v>
      </c>
    </row>
    <row r="17" spans="2:15" x14ac:dyDescent="0.2">
      <c r="B17" s="38" t="s">
        <v>51</v>
      </c>
      <c r="C17" s="39"/>
      <c r="D17" s="39"/>
      <c r="E17" s="39"/>
      <c r="F17" s="39"/>
      <c r="G17" s="39"/>
      <c r="H17" s="39"/>
      <c r="I17" s="39"/>
      <c r="J17" s="39"/>
      <c r="K17" s="39">
        <v>120</v>
      </c>
      <c r="L17" s="39"/>
      <c r="M17" s="39"/>
      <c r="N17" s="39"/>
      <c r="O17" s="39">
        <v>64</v>
      </c>
    </row>
    <row r="18" spans="2:15" x14ac:dyDescent="0.2">
      <c r="B18" s="38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</row>
    <row r="19" spans="2:15" x14ac:dyDescent="0.2">
      <c r="B19" s="35" t="s">
        <v>45</v>
      </c>
      <c r="C19" s="230">
        <f>SUM(C4:O18)</f>
        <v>3168</v>
      </c>
      <c r="D19" s="230"/>
      <c r="E19" s="230"/>
      <c r="F19" s="230"/>
      <c r="G19" s="230"/>
      <c r="H19" s="230"/>
      <c r="I19" s="230"/>
      <c r="J19" s="230"/>
      <c r="K19" s="230"/>
      <c r="L19" s="230"/>
      <c r="M19" s="230"/>
      <c r="N19" s="230"/>
      <c r="O19" s="230"/>
    </row>
    <row r="20" spans="2:15" x14ac:dyDescent="0.2"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</row>
    <row r="21" spans="2:15" x14ac:dyDescent="0.2">
      <c r="B21" s="229" t="s">
        <v>46</v>
      </c>
      <c r="C21" s="229"/>
      <c r="D21" s="229"/>
      <c r="E21" s="229"/>
      <c r="F21" s="229"/>
      <c r="G21" s="229"/>
      <c r="H21" s="229"/>
      <c r="I21" s="229"/>
      <c r="J21" s="229"/>
      <c r="K21" s="229"/>
      <c r="L21" s="229"/>
      <c r="M21" s="229"/>
      <c r="N21" s="229"/>
      <c r="O21" s="229"/>
    </row>
    <row r="22" spans="2:15" x14ac:dyDescent="0.2">
      <c r="B22" s="38" t="s">
        <v>35</v>
      </c>
      <c r="C22" s="39"/>
      <c r="D22" s="39"/>
      <c r="E22" s="39"/>
      <c r="F22" s="39"/>
      <c r="G22" s="39"/>
      <c r="H22" s="39"/>
      <c r="I22" s="39"/>
      <c r="J22" s="39"/>
      <c r="K22" s="39">
        <v>40</v>
      </c>
      <c r="L22" s="39"/>
      <c r="M22" s="39"/>
      <c r="N22" s="39"/>
      <c r="O22" s="39">
        <v>44</v>
      </c>
    </row>
    <row r="23" spans="2:15" x14ac:dyDescent="0.2">
      <c r="B23" s="38" t="s">
        <v>36</v>
      </c>
      <c r="C23" s="39"/>
      <c r="D23" s="39"/>
      <c r="E23" s="39"/>
      <c r="F23" s="39"/>
      <c r="G23" s="39"/>
      <c r="H23" s="39"/>
      <c r="I23" s="39"/>
      <c r="J23" s="39"/>
      <c r="K23" s="39">
        <v>40</v>
      </c>
      <c r="L23" s="39"/>
      <c r="M23" s="39"/>
      <c r="N23" s="39"/>
      <c r="O23" s="39">
        <v>44</v>
      </c>
    </row>
    <row r="24" spans="2:15" outlineLevel="1" x14ac:dyDescent="0.2"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</row>
    <row r="25" spans="2:15" x14ac:dyDescent="0.2">
      <c r="B25" s="38" t="s">
        <v>37</v>
      </c>
      <c r="C25" s="39"/>
      <c r="D25" s="39"/>
      <c r="E25" s="39"/>
      <c r="F25" s="39"/>
      <c r="G25" s="39"/>
      <c r="H25" s="39"/>
      <c r="I25" s="39"/>
      <c r="J25" s="39"/>
      <c r="K25" s="39">
        <v>40</v>
      </c>
      <c r="L25" s="39"/>
      <c r="M25" s="39"/>
      <c r="N25" s="39"/>
      <c r="O25" s="39">
        <v>44</v>
      </c>
    </row>
    <row r="26" spans="2:15" x14ac:dyDescent="0.2">
      <c r="B26" s="38" t="s">
        <v>38</v>
      </c>
      <c r="C26" s="39"/>
      <c r="D26" s="39"/>
      <c r="E26" s="39"/>
      <c r="F26" s="39"/>
      <c r="G26" s="39"/>
      <c r="H26" s="39"/>
      <c r="I26" s="39"/>
      <c r="J26" s="39"/>
      <c r="K26" s="39">
        <v>40</v>
      </c>
      <c r="L26" s="39"/>
      <c r="M26" s="39"/>
      <c r="N26" s="39"/>
      <c r="O26" s="39">
        <v>44</v>
      </c>
    </row>
    <row r="27" spans="2:15" outlineLevel="1" x14ac:dyDescent="0.2"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</row>
    <row r="28" spans="2:15" x14ac:dyDescent="0.2">
      <c r="B28" s="38" t="s">
        <v>39</v>
      </c>
      <c r="C28" s="39"/>
      <c r="D28" s="39"/>
      <c r="E28" s="39"/>
      <c r="F28" s="39"/>
      <c r="G28" s="39"/>
      <c r="H28" s="39"/>
      <c r="I28" s="39"/>
      <c r="J28" s="39"/>
      <c r="K28" s="39">
        <v>40</v>
      </c>
      <c r="L28" s="39"/>
      <c r="M28" s="39"/>
      <c r="N28" s="39"/>
      <c r="O28" s="39">
        <v>44</v>
      </c>
    </row>
    <row r="29" spans="2:15" x14ac:dyDescent="0.2">
      <c r="B29" s="38" t="s">
        <v>40</v>
      </c>
      <c r="C29" s="39"/>
      <c r="D29" s="39"/>
      <c r="E29" s="39"/>
      <c r="F29" s="39"/>
      <c r="G29" s="39"/>
      <c r="H29" s="39"/>
      <c r="I29" s="39"/>
      <c r="J29" s="39"/>
      <c r="K29" s="39">
        <v>40</v>
      </c>
      <c r="L29" s="39"/>
      <c r="M29" s="39"/>
      <c r="N29" s="39"/>
      <c r="O29" s="39">
        <v>44</v>
      </c>
    </row>
    <row r="30" spans="2:15" x14ac:dyDescent="0.2">
      <c r="B30" s="38" t="s">
        <v>41</v>
      </c>
      <c r="C30" s="39"/>
      <c r="D30" s="39"/>
      <c r="E30" s="39"/>
      <c r="F30" s="39"/>
      <c r="G30" s="39"/>
      <c r="H30" s="39"/>
      <c r="I30" s="39"/>
      <c r="J30" s="39"/>
      <c r="K30" s="39">
        <v>40</v>
      </c>
      <c r="L30" s="39"/>
      <c r="M30" s="39"/>
      <c r="N30" s="39"/>
      <c r="O30" s="39">
        <v>44</v>
      </c>
    </row>
    <row r="31" spans="2:15" x14ac:dyDescent="0.2">
      <c r="B31" s="38" t="s">
        <v>42</v>
      </c>
      <c r="C31" s="39"/>
      <c r="D31" s="39"/>
      <c r="E31" s="39"/>
      <c r="F31" s="39"/>
      <c r="G31" s="39"/>
      <c r="H31" s="39"/>
      <c r="I31" s="39"/>
      <c r="J31" s="39"/>
      <c r="K31" s="39">
        <v>40</v>
      </c>
      <c r="L31" s="39"/>
      <c r="M31" s="39"/>
      <c r="N31" s="39"/>
      <c r="O31" s="39">
        <v>44</v>
      </c>
    </row>
    <row r="32" spans="2:15" outlineLevel="1" x14ac:dyDescent="0.2"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</row>
    <row r="33" spans="2:15" x14ac:dyDescent="0.2">
      <c r="B33" s="38" t="s">
        <v>43</v>
      </c>
      <c r="C33" s="39"/>
      <c r="D33" s="39"/>
      <c r="E33" s="39"/>
      <c r="F33" s="39"/>
      <c r="G33" s="39"/>
      <c r="H33" s="39"/>
      <c r="I33" s="39"/>
      <c r="J33" s="39"/>
      <c r="K33" s="39">
        <v>40</v>
      </c>
      <c r="L33" s="39"/>
      <c r="M33" s="39"/>
      <c r="N33" s="39"/>
      <c r="O33" s="39">
        <v>44</v>
      </c>
    </row>
    <row r="34" spans="2:15" x14ac:dyDescent="0.2">
      <c r="B34" s="38" t="s">
        <v>44</v>
      </c>
      <c r="C34" s="39"/>
      <c r="D34" s="39"/>
      <c r="E34" s="39"/>
      <c r="F34" s="39"/>
      <c r="G34" s="39"/>
      <c r="H34" s="39"/>
      <c r="I34" s="39"/>
      <c r="J34" s="39"/>
      <c r="K34" s="39">
        <v>40</v>
      </c>
      <c r="L34" s="39"/>
      <c r="M34" s="39"/>
      <c r="N34" s="39"/>
      <c r="O34" s="39">
        <v>44</v>
      </c>
    </row>
    <row r="36" spans="2:15" x14ac:dyDescent="0.2">
      <c r="B36" s="35" t="s">
        <v>47</v>
      </c>
      <c r="C36" s="230">
        <f>SUM(C22:O35)</f>
        <v>840</v>
      </c>
      <c r="D36" s="230"/>
      <c r="E36" s="230"/>
      <c r="F36" s="230"/>
      <c r="G36" s="230"/>
      <c r="H36" s="230"/>
      <c r="I36" s="230"/>
      <c r="J36" s="230"/>
      <c r="K36" s="230"/>
      <c r="L36" s="230"/>
      <c r="M36" s="230"/>
      <c r="N36" s="230"/>
      <c r="O36" s="230"/>
    </row>
    <row r="38" spans="2:15" x14ac:dyDescent="0.2">
      <c r="B38" s="229" t="s">
        <v>49</v>
      </c>
      <c r="C38" s="229"/>
      <c r="D38" s="229"/>
      <c r="E38" s="229"/>
      <c r="F38" s="229"/>
      <c r="G38" s="229"/>
      <c r="H38" s="229"/>
      <c r="I38" s="229"/>
      <c r="J38" s="229"/>
      <c r="K38" s="229"/>
      <c r="L38" s="229"/>
      <c r="M38" s="229"/>
      <c r="N38" s="229"/>
      <c r="O38" s="229"/>
    </row>
    <row r="39" spans="2:15" x14ac:dyDescent="0.2">
      <c r="B39" s="37" t="s">
        <v>49</v>
      </c>
      <c r="C39" s="43" t="s">
        <v>19</v>
      </c>
      <c r="D39" s="43"/>
      <c r="E39" s="43"/>
      <c r="F39" s="43"/>
      <c r="G39" s="43" t="s">
        <v>20</v>
      </c>
      <c r="H39" s="43"/>
      <c r="I39" s="43"/>
      <c r="J39" s="43"/>
      <c r="K39" s="43" t="s">
        <v>21</v>
      </c>
      <c r="L39" s="43"/>
      <c r="M39" s="43"/>
      <c r="N39" s="43"/>
      <c r="O39" s="43" t="s">
        <v>22</v>
      </c>
    </row>
    <row r="40" spans="2:15" x14ac:dyDescent="0.2">
      <c r="B40" s="38"/>
      <c r="C40" s="39"/>
      <c r="D40" s="39"/>
      <c r="E40" s="39"/>
      <c r="F40" s="39"/>
      <c r="G40" s="39"/>
      <c r="H40" s="39"/>
      <c r="I40" s="39"/>
      <c r="J40" s="39"/>
      <c r="K40" s="39">
        <v>82</v>
      </c>
      <c r="L40" s="39"/>
      <c r="M40" s="39"/>
      <c r="N40" s="39"/>
      <c r="O40" s="39"/>
    </row>
    <row r="41" spans="2:15" x14ac:dyDescent="0.2">
      <c r="B41" s="38" t="s">
        <v>50</v>
      </c>
      <c r="C41" s="225">
        <f>C40*1.75+G40*1.75+K40*1.75+O40*1.75</f>
        <v>143.5</v>
      </c>
      <c r="D41" s="226"/>
      <c r="E41" s="226"/>
      <c r="F41" s="226"/>
      <c r="G41" s="226"/>
      <c r="H41" s="226"/>
      <c r="I41" s="226"/>
      <c r="J41" s="226"/>
      <c r="K41" s="226"/>
      <c r="L41" s="226"/>
      <c r="M41" s="226"/>
      <c r="N41" s="226"/>
      <c r="O41" s="226"/>
    </row>
    <row r="43" spans="2:15" ht="15" x14ac:dyDescent="0.25">
      <c r="B43" s="40" t="s">
        <v>48</v>
      </c>
      <c r="C43" s="227">
        <f>SUM(C19,C36,C41)</f>
        <v>4151.5</v>
      </c>
      <c r="D43" s="228"/>
      <c r="E43" s="228"/>
      <c r="F43" s="228"/>
      <c r="G43" s="228"/>
      <c r="H43" s="228"/>
      <c r="I43" s="228"/>
      <c r="J43" s="228"/>
      <c r="K43" s="228"/>
      <c r="L43" s="228"/>
      <c r="M43" s="228"/>
      <c r="N43" s="228"/>
      <c r="O43" s="228"/>
    </row>
  </sheetData>
  <mergeCells count="7">
    <mergeCell ref="C41:O41"/>
    <mergeCell ref="C43:O43"/>
    <mergeCell ref="B38:O38"/>
    <mergeCell ref="B2:O2"/>
    <mergeCell ref="C19:O19"/>
    <mergeCell ref="B21:O21"/>
    <mergeCell ref="C36:O36"/>
  </mergeCells>
  <conditionalFormatting sqref="B8">
    <cfRule type="expression" dxfId="62" priority="62">
      <formula>PROC.valores($B$1:$B$90,Verificador)</formula>
    </cfRule>
  </conditionalFormatting>
  <conditionalFormatting sqref="B4:B7">
    <cfRule type="expression" dxfId="61" priority="61">
      <formula>PROC.valores($B$1:$B$90,Verificador)</formula>
    </cfRule>
  </conditionalFormatting>
  <conditionalFormatting sqref="B9">
    <cfRule type="expression" dxfId="60" priority="60">
      <formula>PROC.valores($B$1:$B$90,Verificador)</formula>
    </cfRule>
  </conditionalFormatting>
  <conditionalFormatting sqref="B10">
    <cfRule type="expression" dxfId="59" priority="59">
      <formula>PROC.valores($B$1:$B$90,Verificador)</formula>
    </cfRule>
  </conditionalFormatting>
  <conditionalFormatting sqref="B10">
    <cfRule type="expression" dxfId="58" priority="58">
      <formula>PROC.valores($B$1:$B$90,Verificador)</formula>
    </cfRule>
  </conditionalFormatting>
  <conditionalFormatting sqref="B7">
    <cfRule type="expression" dxfId="57" priority="57">
      <formula>PROC.valores($B$1:$B$90,Verificador)</formula>
    </cfRule>
  </conditionalFormatting>
  <conditionalFormatting sqref="B9">
    <cfRule type="expression" dxfId="56" priority="56">
      <formula>PROC.valores($B$1:$B$90,Verificador)</formula>
    </cfRule>
  </conditionalFormatting>
  <conditionalFormatting sqref="B8">
    <cfRule type="expression" dxfId="55" priority="55">
      <formula>PROC.valores($B$1:$B$90,Verificador)</formula>
    </cfRule>
  </conditionalFormatting>
  <conditionalFormatting sqref="B15">
    <cfRule type="expression" dxfId="54" priority="54">
      <formula>PROC.valores($B$1:$B$90,Verificador)</formula>
    </cfRule>
  </conditionalFormatting>
  <conditionalFormatting sqref="B15">
    <cfRule type="expression" dxfId="53" priority="53">
      <formula>PROC.valores($B$1:$B$90,Verificador)</formula>
    </cfRule>
  </conditionalFormatting>
  <conditionalFormatting sqref="B9">
    <cfRule type="expression" dxfId="52" priority="52">
      <formula>PROC.valores($B$1:$B$90,Verificador)</formula>
    </cfRule>
  </conditionalFormatting>
  <conditionalFormatting sqref="B8">
    <cfRule type="expression" dxfId="51" priority="51">
      <formula>PROC.valores($B$1:$B$90,Verificador)</formula>
    </cfRule>
  </conditionalFormatting>
  <conditionalFormatting sqref="B10">
    <cfRule type="expression" dxfId="50" priority="50">
      <formula>PROC.valores($B$1:$B$90,Verificador)</formula>
    </cfRule>
  </conditionalFormatting>
  <conditionalFormatting sqref="B15">
    <cfRule type="expression" dxfId="49" priority="49">
      <formula>PROC.valores($B$1:$B$90,Verificador)</formula>
    </cfRule>
  </conditionalFormatting>
  <conditionalFormatting sqref="B15">
    <cfRule type="expression" dxfId="48" priority="48">
      <formula>PROC.valores($B$1:$B$90,Verificador)</formula>
    </cfRule>
  </conditionalFormatting>
  <conditionalFormatting sqref="B8">
    <cfRule type="expression" dxfId="47" priority="47">
      <formula>PROC.valores($B$1:$B$90,Verificador)</formula>
    </cfRule>
  </conditionalFormatting>
  <conditionalFormatting sqref="B10">
    <cfRule type="expression" dxfId="46" priority="46">
      <formula>PROC.valores($B$1:$B$90,Verificador)</formula>
    </cfRule>
  </conditionalFormatting>
  <conditionalFormatting sqref="B9">
    <cfRule type="expression" dxfId="45" priority="45">
      <formula>PROC.valores($B$1:$B$90,Verificador)</formula>
    </cfRule>
  </conditionalFormatting>
  <conditionalFormatting sqref="B13">
    <cfRule type="expression" dxfId="44" priority="44">
      <formula>PROC.valores($B$1:$B$90,Verificador)</formula>
    </cfRule>
  </conditionalFormatting>
  <conditionalFormatting sqref="B13">
    <cfRule type="expression" dxfId="43" priority="43">
      <formula>PROC.valores($B$1:$B$90,Verificador)</formula>
    </cfRule>
  </conditionalFormatting>
  <conditionalFormatting sqref="B13">
    <cfRule type="expression" dxfId="42" priority="42">
      <formula>PROC.valores($B$1:$B$90,Verificador)</formula>
    </cfRule>
  </conditionalFormatting>
  <conditionalFormatting sqref="B13">
    <cfRule type="expression" dxfId="41" priority="41">
      <formula>PROC.valores($B$1:$B$90,Verificador)</formula>
    </cfRule>
  </conditionalFormatting>
  <conditionalFormatting sqref="B16">
    <cfRule type="expression" dxfId="40" priority="40">
      <formula>PROC.valores($B$1:$B$90,Verificador)</formula>
    </cfRule>
  </conditionalFormatting>
  <conditionalFormatting sqref="B16">
    <cfRule type="expression" dxfId="39" priority="39">
      <formula>PROC.valores($B$1:$B$90,Verificador)</formula>
    </cfRule>
  </conditionalFormatting>
  <conditionalFormatting sqref="B16">
    <cfRule type="expression" dxfId="38" priority="38">
      <formula>PROC.valores($B$1:$B$90,Verificador)</formula>
    </cfRule>
  </conditionalFormatting>
  <conditionalFormatting sqref="B17:B18">
    <cfRule type="expression" dxfId="37" priority="37">
      <formula>PROC.valores($B$1:$B$90,Verificador)</formula>
    </cfRule>
  </conditionalFormatting>
  <conditionalFormatting sqref="B17:B18">
    <cfRule type="expression" dxfId="36" priority="36">
      <formula>PROC.valores($B$1:$B$90,Verificador)</formula>
    </cfRule>
  </conditionalFormatting>
  <conditionalFormatting sqref="B17:B18">
    <cfRule type="expression" dxfId="35" priority="35">
      <formula>PROC.valores($B$1:$B$90,Verificador)</formula>
    </cfRule>
  </conditionalFormatting>
  <conditionalFormatting sqref="B17:B18">
    <cfRule type="expression" dxfId="34" priority="34">
      <formula>PROC.valores($B$1:$B$90,Verificador)</formula>
    </cfRule>
  </conditionalFormatting>
  <conditionalFormatting sqref="B11">
    <cfRule type="expression" dxfId="33" priority="33">
      <formula>PROC.valores($B$1:$B$90,Verificador)</formula>
    </cfRule>
  </conditionalFormatting>
  <conditionalFormatting sqref="B11">
    <cfRule type="expression" dxfId="32" priority="32">
      <formula>PROC.valores($B$1:$B$90,Verificador)</formula>
    </cfRule>
  </conditionalFormatting>
  <conditionalFormatting sqref="B11">
    <cfRule type="expression" dxfId="31" priority="31">
      <formula>PROC.valores($B$1:$B$90,Verificador)</formula>
    </cfRule>
  </conditionalFormatting>
  <conditionalFormatting sqref="B11">
    <cfRule type="expression" dxfId="30" priority="30">
      <formula>PROC.valores($B$1:$B$90,Verificador)</formula>
    </cfRule>
  </conditionalFormatting>
  <conditionalFormatting sqref="B12">
    <cfRule type="expression" dxfId="29" priority="29">
      <formula>PROC.valores($B$1:$B$90,Verificador)</formula>
    </cfRule>
  </conditionalFormatting>
  <conditionalFormatting sqref="B12">
    <cfRule type="expression" dxfId="28" priority="28">
      <formula>PROC.valores($B$1:$B$90,Verificador)</formula>
    </cfRule>
  </conditionalFormatting>
  <conditionalFormatting sqref="B12">
    <cfRule type="expression" dxfId="27" priority="27">
      <formula>PROC.valores($B$1:$B$90,Verificador)</formula>
    </cfRule>
  </conditionalFormatting>
  <conditionalFormatting sqref="B12">
    <cfRule type="expression" dxfId="26" priority="26">
      <formula>PROC.valores($B$1:$B$90,Verificador)</formula>
    </cfRule>
  </conditionalFormatting>
  <conditionalFormatting sqref="B14">
    <cfRule type="expression" dxfId="25" priority="25">
      <formula>PROC.valores($B$1:$B$90,Verificador)</formula>
    </cfRule>
  </conditionalFormatting>
  <conditionalFormatting sqref="B14">
    <cfRule type="expression" dxfId="24" priority="24">
      <formula>PROC.valores($B$1:$B$90,Verificador)</formula>
    </cfRule>
  </conditionalFormatting>
  <conditionalFormatting sqref="B14">
    <cfRule type="expression" dxfId="23" priority="23">
      <formula>PROC.valores($B$1:$B$90,Verificador)</formula>
    </cfRule>
  </conditionalFormatting>
  <conditionalFormatting sqref="B14">
    <cfRule type="expression" dxfId="22" priority="22">
      <formula>PROC.valores($B$1:$B$90,Verificador)</formula>
    </cfRule>
  </conditionalFormatting>
  <conditionalFormatting sqref="B22:B23">
    <cfRule type="expression" dxfId="21" priority="21">
      <formula>PROC.valores($B$1:$B$90,Verificador)</formula>
    </cfRule>
  </conditionalFormatting>
  <conditionalFormatting sqref="B22:B23">
    <cfRule type="expression" dxfId="20" priority="20">
      <formula>PROC.valores($B$1:$B$90,Verificador)</formula>
    </cfRule>
  </conditionalFormatting>
  <conditionalFormatting sqref="B22:B23">
    <cfRule type="expression" dxfId="19" priority="19">
      <formula>PROC.valores($B$1:$B$90,Verificador)</formula>
    </cfRule>
  </conditionalFormatting>
  <conditionalFormatting sqref="B22:B23">
    <cfRule type="expression" dxfId="18" priority="18">
      <formula>PROC.valores($B$1:$B$90,Verificador)</formula>
    </cfRule>
  </conditionalFormatting>
  <conditionalFormatting sqref="B25">
    <cfRule type="expression" dxfId="17" priority="17">
      <formula>PROC.valores($B$1:$B$90,Verificador)</formula>
    </cfRule>
  </conditionalFormatting>
  <conditionalFormatting sqref="B25">
    <cfRule type="expression" dxfId="16" priority="16">
      <formula>PROC.valores($B$1:$B$90,Verificador)</formula>
    </cfRule>
  </conditionalFormatting>
  <conditionalFormatting sqref="B25">
    <cfRule type="expression" dxfId="15" priority="15">
      <formula>PROC.valores($B$1:$B$90,Verificador)</formula>
    </cfRule>
  </conditionalFormatting>
  <conditionalFormatting sqref="B25">
    <cfRule type="expression" dxfId="14" priority="14">
      <formula>PROC.valores($B$1:$B$90,Verificador)</formula>
    </cfRule>
  </conditionalFormatting>
  <conditionalFormatting sqref="B26">
    <cfRule type="expression" dxfId="13" priority="13">
      <formula>PROC.valores($B$1:$B$90,Verificador)</formula>
    </cfRule>
  </conditionalFormatting>
  <conditionalFormatting sqref="B26">
    <cfRule type="expression" dxfId="12" priority="12">
      <formula>PROC.valores($B$1:$B$90,Verificador)</formula>
    </cfRule>
  </conditionalFormatting>
  <conditionalFormatting sqref="B26">
    <cfRule type="expression" dxfId="11" priority="11">
      <formula>PROC.valores($B$1:$B$90,Verificador)</formula>
    </cfRule>
  </conditionalFormatting>
  <conditionalFormatting sqref="B26">
    <cfRule type="expression" dxfId="10" priority="10">
      <formula>PROC.valores($B$1:$B$90,Verificador)</formula>
    </cfRule>
  </conditionalFormatting>
  <conditionalFormatting sqref="B28:B31">
    <cfRule type="expression" dxfId="9" priority="9">
      <formula>PROC.valores($B$1:$B$90,Verificador)</formula>
    </cfRule>
  </conditionalFormatting>
  <conditionalFormatting sqref="B28:B31">
    <cfRule type="expression" dxfId="8" priority="8">
      <formula>PROC.valores($B$1:$B$90,Verificador)</formula>
    </cfRule>
  </conditionalFormatting>
  <conditionalFormatting sqref="B28:B31">
    <cfRule type="expression" dxfId="7" priority="7">
      <formula>PROC.valores($B$1:$B$90,Verificador)</formula>
    </cfRule>
  </conditionalFormatting>
  <conditionalFormatting sqref="B28:B31">
    <cfRule type="expression" dxfId="6" priority="6">
      <formula>PROC.valores($B$1:$B$90,Verificador)</formula>
    </cfRule>
  </conditionalFormatting>
  <conditionalFormatting sqref="B33:B34">
    <cfRule type="expression" dxfId="5" priority="5">
      <formula>PROC.valores($B$1:$B$90,Verificador)</formula>
    </cfRule>
  </conditionalFormatting>
  <conditionalFormatting sqref="B33:B34">
    <cfRule type="expression" dxfId="4" priority="4">
      <formula>PROC.valores($B$1:$B$90,Verificador)</formula>
    </cfRule>
  </conditionalFormatting>
  <conditionalFormatting sqref="B33:B34">
    <cfRule type="expression" dxfId="3" priority="3">
      <formula>PROC.valores($B$1:$B$90,Verificador)</formula>
    </cfRule>
  </conditionalFormatting>
  <conditionalFormatting sqref="B33:B34">
    <cfRule type="expression" dxfId="2" priority="2">
      <formula>PROC.valores($B$1:$B$90,Verificador)</formula>
    </cfRule>
  </conditionalFormatting>
  <conditionalFormatting sqref="B40:B41">
    <cfRule type="expression" dxfId="1" priority="1">
      <formula>PROC.valores($B$1:$B$90,Verificador)</formula>
    </cfRule>
  </conditionalFormatting>
  <dataValidations disablePrompts="1" count="1">
    <dataValidation type="list" allowBlank="1" showInputMessage="1" showErrorMessage="1" sqref="B4:B18 B22:B23 B25:B26 B28:B31 B33:B34 B40:B41" xr:uid="{00000000-0002-0000-0800-000000000000}">
      <formula1>Cargo</formula1>
    </dataValidation>
  </dataValidations>
  <pageMargins left="0.511811024" right="0.511811024" top="0.78740157499999996" bottom="0.78740157499999996" header="0.31496062000000002" footer="0.31496062000000002"/>
  <ignoredErrors>
    <ignoredError sqref="C19 C36" unlocked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AW38"/>
  <sheetViews>
    <sheetView showGridLines="0" workbookViewId="0">
      <selection activeCell="R29" sqref="R29"/>
    </sheetView>
  </sheetViews>
  <sheetFormatPr defaultColWidth="9.28515625" defaultRowHeight="12.75" outlineLevelCol="1" x14ac:dyDescent="0.2"/>
  <cols>
    <col min="1" max="1" width="2.42578125" style="35" customWidth="1"/>
    <col min="2" max="2" width="33.140625" style="35" bestFit="1" customWidth="1"/>
    <col min="3" max="3" width="6.7109375" style="36" customWidth="1"/>
    <col min="4" max="6" width="6.7109375" style="36" hidden="1" customWidth="1" outlineLevel="1"/>
    <col min="7" max="7" width="6.7109375" style="36" customWidth="1" collapsed="1"/>
    <col min="8" max="10" width="6.7109375" style="36" hidden="1" customWidth="1" outlineLevel="1"/>
    <col min="11" max="11" width="6.7109375" style="36" customWidth="1" collapsed="1"/>
    <col min="12" max="14" width="6.7109375" style="36" hidden="1" customWidth="1" outlineLevel="1"/>
    <col min="15" max="15" width="6.7109375" style="36" customWidth="1" collapsed="1"/>
    <col min="16" max="18" width="6.7109375" style="36" hidden="1" customWidth="1" outlineLevel="1"/>
    <col min="19" max="19" width="6.7109375" style="36" customWidth="1" collapsed="1"/>
    <col min="20" max="22" width="6.7109375" style="36" hidden="1" customWidth="1" outlineLevel="1"/>
    <col min="23" max="23" width="6.7109375" style="36" customWidth="1" collapsed="1"/>
    <col min="24" max="24" width="3.140625" style="35" customWidth="1"/>
    <col min="25" max="16384" width="9.28515625" style="35"/>
  </cols>
  <sheetData>
    <row r="2" spans="2:26" x14ac:dyDescent="0.2">
      <c r="B2" s="229" t="s">
        <v>34</v>
      </c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29"/>
    </row>
    <row r="3" spans="2:26" x14ac:dyDescent="0.2">
      <c r="B3" s="37" t="s">
        <v>33</v>
      </c>
      <c r="C3" s="43" t="s">
        <v>19</v>
      </c>
      <c r="D3" s="43"/>
      <c r="E3" s="43"/>
      <c r="F3" s="43"/>
      <c r="G3" s="43" t="s">
        <v>20</v>
      </c>
      <c r="H3" s="43"/>
      <c r="I3" s="43"/>
      <c r="J3" s="43"/>
      <c r="K3" s="43" t="s">
        <v>21</v>
      </c>
      <c r="L3" s="43"/>
      <c r="M3" s="43"/>
      <c r="N3" s="43"/>
      <c r="O3" s="43" t="s">
        <v>22</v>
      </c>
      <c r="P3" s="43"/>
      <c r="Q3" s="43"/>
      <c r="R3" s="43"/>
      <c r="S3" s="43" t="s">
        <v>52</v>
      </c>
      <c r="T3" s="43"/>
      <c r="U3" s="43"/>
      <c r="V3" s="43"/>
      <c r="W3" s="43" t="s">
        <v>53</v>
      </c>
    </row>
    <row r="4" spans="2:26" x14ac:dyDescent="0.2">
      <c r="B4" s="53" t="s">
        <v>23</v>
      </c>
      <c r="C4" s="52">
        <v>56</v>
      </c>
      <c r="D4" s="52"/>
      <c r="E4" s="52"/>
      <c r="F4" s="52"/>
      <c r="G4" s="52">
        <v>168</v>
      </c>
      <c r="H4" s="52"/>
      <c r="I4" s="52"/>
      <c r="J4" s="52"/>
      <c r="K4" s="52">
        <v>176</v>
      </c>
      <c r="L4" s="52"/>
      <c r="M4" s="52"/>
      <c r="N4" s="52"/>
      <c r="O4" s="52">
        <v>152</v>
      </c>
      <c r="P4" s="52"/>
      <c r="Q4" s="52"/>
      <c r="R4" s="52"/>
      <c r="S4" s="52">
        <v>176</v>
      </c>
      <c r="T4" s="52"/>
      <c r="U4" s="52"/>
      <c r="V4" s="52"/>
      <c r="W4" s="52"/>
    </row>
    <row r="5" spans="2:26" s="36" customFormat="1" x14ac:dyDescent="0.2">
      <c r="B5" s="53" t="s">
        <v>25</v>
      </c>
      <c r="C5" s="52"/>
      <c r="D5" s="52"/>
      <c r="E5" s="52"/>
      <c r="F5" s="52"/>
      <c r="G5" s="52">
        <v>128</v>
      </c>
      <c r="H5" s="52"/>
      <c r="I5" s="52"/>
      <c r="J5" s="52"/>
      <c r="K5" s="52">
        <v>176</v>
      </c>
      <c r="L5" s="52"/>
      <c r="M5" s="52"/>
      <c r="N5" s="52"/>
      <c r="O5" s="52">
        <v>152</v>
      </c>
      <c r="P5" s="52"/>
      <c r="Q5" s="52"/>
      <c r="R5" s="52"/>
      <c r="S5" s="52">
        <v>176</v>
      </c>
      <c r="T5" s="52"/>
      <c r="U5" s="52"/>
      <c r="V5" s="52"/>
      <c r="W5" s="52"/>
    </row>
    <row r="6" spans="2:26" s="36" customFormat="1" x14ac:dyDescent="0.2">
      <c r="B6" s="53" t="s">
        <v>32</v>
      </c>
      <c r="C6" s="52"/>
      <c r="D6" s="52"/>
      <c r="E6" s="52"/>
      <c r="F6" s="52"/>
      <c r="G6" s="52"/>
      <c r="H6" s="52"/>
      <c r="I6" s="52"/>
      <c r="J6" s="52"/>
      <c r="K6" s="52">
        <v>120</v>
      </c>
      <c r="L6" s="52"/>
      <c r="M6" s="52"/>
      <c r="N6" s="52"/>
      <c r="O6" s="52">
        <v>152</v>
      </c>
      <c r="P6" s="52"/>
      <c r="Q6" s="52"/>
      <c r="R6" s="52"/>
      <c r="S6" s="52">
        <v>176</v>
      </c>
      <c r="T6" s="52"/>
      <c r="U6" s="52"/>
      <c r="V6" s="52"/>
      <c r="W6" s="52"/>
    </row>
    <row r="7" spans="2:26" s="36" customFormat="1" x14ac:dyDescent="0.2">
      <c r="B7" s="53" t="s">
        <v>24</v>
      </c>
      <c r="C7" s="52">
        <v>56</v>
      </c>
      <c r="D7" s="52"/>
      <c r="E7" s="52"/>
      <c r="F7" s="52"/>
      <c r="G7" s="52">
        <v>168</v>
      </c>
      <c r="H7" s="52"/>
      <c r="I7" s="52"/>
      <c r="J7" s="52"/>
      <c r="K7" s="52">
        <v>176</v>
      </c>
      <c r="L7" s="52"/>
      <c r="M7" s="52"/>
      <c r="N7" s="52"/>
      <c r="O7" s="52">
        <v>152</v>
      </c>
      <c r="P7" s="52"/>
      <c r="Q7" s="52"/>
      <c r="R7" s="52"/>
      <c r="S7" s="52">
        <v>176</v>
      </c>
      <c r="T7" s="52"/>
      <c r="U7" s="52"/>
      <c r="V7" s="52"/>
      <c r="W7" s="52"/>
    </row>
    <row r="8" spans="2:26" s="36" customFormat="1" x14ac:dyDescent="0.2">
      <c r="B8" s="44" t="s">
        <v>75</v>
      </c>
      <c r="C8" s="52"/>
      <c r="D8" s="52"/>
      <c r="E8" s="52"/>
      <c r="F8" s="52"/>
      <c r="G8" s="52">
        <v>56</v>
      </c>
      <c r="H8" s="52"/>
      <c r="I8" s="52"/>
      <c r="J8" s="52"/>
      <c r="K8" s="52">
        <v>176</v>
      </c>
      <c r="L8" s="52"/>
      <c r="M8" s="52"/>
      <c r="N8" s="52"/>
      <c r="O8" s="59">
        <v>112</v>
      </c>
      <c r="P8" s="52"/>
      <c r="Q8" s="52"/>
      <c r="R8" s="52"/>
      <c r="S8" s="52"/>
      <c r="T8" s="52"/>
      <c r="U8" s="52"/>
      <c r="V8" s="52"/>
      <c r="W8" s="52"/>
    </row>
    <row r="9" spans="2:26" s="36" customFormat="1" x14ac:dyDescent="0.2">
      <c r="B9" s="53" t="s">
        <v>27</v>
      </c>
      <c r="C9" s="52"/>
      <c r="D9" s="52"/>
      <c r="E9" s="52"/>
      <c r="F9" s="52"/>
      <c r="G9" s="52"/>
      <c r="H9" s="52"/>
      <c r="I9" s="52"/>
      <c r="J9" s="52"/>
      <c r="K9" s="52">
        <v>176</v>
      </c>
      <c r="L9" s="52"/>
      <c r="M9" s="52"/>
      <c r="N9" s="52"/>
      <c r="O9" s="52">
        <v>152</v>
      </c>
      <c r="P9" s="52"/>
      <c r="Q9" s="52"/>
      <c r="R9" s="52"/>
      <c r="S9" s="52">
        <v>176</v>
      </c>
      <c r="T9" s="52"/>
      <c r="U9" s="52"/>
      <c r="V9" s="52"/>
      <c r="W9" s="52"/>
    </row>
    <row r="10" spans="2:26" s="36" customFormat="1" x14ac:dyDescent="0.2">
      <c r="B10" s="53" t="s">
        <v>28</v>
      </c>
      <c r="C10" s="52"/>
      <c r="D10" s="52"/>
      <c r="E10" s="52"/>
      <c r="F10" s="52"/>
      <c r="G10" s="52"/>
      <c r="H10" s="52"/>
      <c r="I10" s="52"/>
      <c r="J10" s="52"/>
      <c r="K10" s="52">
        <v>160</v>
      </c>
      <c r="L10" s="52"/>
      <c r="M10" s="52"/>
      <c r="N10" s="52"/>
      <c r="O10" s="52">
        <v>152</v>
      </c>
      <c r="P10" s="52"/>
      <c r="Q10" s="52"/>
      <c r="R10" s="52"/>
      <c r="S10" s="52">
        <v>176</v>
      </c>
      <c r="T10" s="52"/>
      <c r="U10" s="52"/>
      <c r="V10" s="52"/>
      <c r="W10" s="52"/>
    </row>
    <row r="11" spans="2:26" s="36" customFormat="1" x14ac:dyDescent="0.2">
      <c r="B11" s="53" t="s">
        <v>29</v>
      </c>
      <c r="C11" s="52"/>
      <c r="D11" s="52"/>
      <c r="E11" s="52"/>
      <c r="F11" s="52"/>
      <c r="G11" s="52"/>
      <c r="H11" s="52"/>
      <c r="I11" s="52"/>
      <c r="J11" s="52"/>
      <c r="K11" s="52">
        <v>160</v>
      </c>
      <c r="L11" s="52"/>
      <c r="M11" s="52"/>
      <c r="N11" s="52"/>
      <c r="O11" s="52">
        <v>152</v>
      </c>
      <c r="P11" s="52"/>
      <c r="Q11" s="52"/>
      <c r="R11" s="52"/>
      <c r="S11" s="52">
        <v>176</v>
      </c>
      <c r="T11" s="52"/>
      <c r="U11" s="52"/>
      <c r="V11" s="52"/>
      <c r="W11" s="52"/>
    </row>
    <row r="12" spans="2:26" s="36" customFormat="1" x14ac:dyDescent="0.2">
      <c r="B12" s="53" t="s">
        <v>30</v>
      </c>
      <c r="C12" s="52"/>
      <c r="D12" s="52"/>
      <c r="E12" s="52"/>
      <c r="F12" s="52"/>
      <c r="G12" s="52"/>
      <c r="H12" s="52"/>
      <c r="I12" s="52"/>
      <c r="J12" s="52"/>
      <c r="K12" s="52">
        <v>160</v>
      </c>
      <c r="L12" s="52"/>
      <c r="M12" s="52"/>
      <c r="N12" s="52"/>
      <c r="O12" s="52">
        <v>152</v>
      </c>
      <c r="P12" s="52"/>
      <c r="Q12" s="52"/>
      <c r="R12" s="52"/>
      <c r="S12" s="52">
        <v>176</v>
      </c>
      <c r="T12" s="52"/>
      <c r="U12" s="52"/>
      <c r="V12" s="52"/>
      <c r="W12" s="52"/>
    </row>
    <row r="13" spans="2:26" s="36" customFormat="1" x14ac:dyDescent="0.2">
      <c r="B13" s="53" t="s">
        <v>31</v>
      </c>
      <c r="C13" s="52"/>
      <c r="D13" s="52"/>
      <c r="E13" s="52"/>
      <c r="F13" s="52"/>
      <c r="G13" s="52"/>
      <c r="H13" s="52"/>
      <c r="I13" s="52"/>
      <c r="J13" s="52"/>
      <c r="K13" s="52">
        <v>152</v>
      </c>
      <c r="L13" s="52"/>
      <c r="M13" s="52"/>
      <c r="N13" s="52"/>
      <c r="O13" s="52">
        <v>152</v>
      </c>
      <c r="P13" s="52"/>
      <c r="Q13" s="52"/>
      <c r="R13" s="52"/>
      <c r="S13" s="52">
        <v>176</v>
      </c>
      <c r="T13" s="52"/>
      <c r="U13" s="52"/>
      <c r="V13" s="52"/>
      <c r="W13" s="52"/>
    </row>
    <row r="14" spans="2:26" s="36" customFormat="1" x14ac:dyDescent="0.2">
      <c r="B14" s="53" t="s">
        <v>51</v>
      </c>
      <c r="C14" s="52"/>
      <c r="D14" s="52"/>
      <c r="E14" s="52"/>
      <c r="F14" s="52"/>
      <c r="G14" s="52"/>
      <c r="H14" s="52"/>
      <c r="I14" s="52"/>
      <c r="J14" s="52"/>
      <c r="K14" s="52">
        <v>120</v>
      </c>
      <c r="L14" s="52"/>
      <c r="M14" s="52"/>
      <c r="N14" s="52"/>
      <c r="O14" s="52">
        <v>152</v>
      </c>
      <c r="P14" s="52"/>
      <c r="Q14" s="52"/>
      <c r="R14" s="52"/>
      <c r="S14" s="52">
        <v>176</v>
      </c>
      <c r="T14" s="52"/>
      <c r="U14" s="52"/>
      <c r="V14" s="52"/>
      <c r="W14" s="52"/>
    </row>
    <row r="15" spans="2:26" s="36" customFormat="1" x14ac:dyDescent="0.2">
      <c r="B15" s="38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</row>
    <row r="16" spans="2:26" s="36" customFormat="1" x14ac:dyDescent="0.2">
      <c r="B16" s="35" t="s">
        <v>45</v>
      </c>
      <c r="C16" s="230">
        <f>SUM(C4:W15)</f>
        <v>5776</v>
      </c>
      <c r="D16" s="230"/>
      <c r="E16" s="230"/>
      <c r="F16" s="230"/>
      <c r="G16" s="230"/>
      <c r="H16" s="230"/>
      <c r="I16" s="230"/>
      <c r="J16" s="230"/>
      <c r="K16" s="230"/>
      <c r="L16" s="230"/>
      <c r="M16" s="230"/>
      <c r="N16" s="230"/>
      <c r="O16" s="230"/>
      <c r="Z16" s="36">
        <v>6072</v>
      </c>
    </row>
    <row r="17" spans="2:30" s="36" customFormat="1" x14ac:dyDescent="0.2">
      <c r="B17" s="35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</row>
    <row r="18" spans="2:30" s="36" customFormat="1" x14ac:dyDescent="0.25">
      <c r="B18" s="229" t="s">
        <v>46</v>
      </c>
      <c r="C18" s="229"/>
      <c r="D18" s="229"/>
      <c r="E18" s="229"/>
      <c r="F18" s="229"/>
      <c r="G18" s="229"/>
      <c r="H18" s="229"/>
      <c r="I18" s="229"/>
      <c r="J18" s="229"/>
      <c r="K18" s="229"/>
      <c r="L18" s="229"/>
      <c r="M18" s="229"/>
      <c r="N18" s="229"/>
      <c r="O18" s="229"/>
      <c r="P18" s="229"/>
      <c r="Q18" s="229"/>
      <c r="R18" s="229"/>
      <c r="S18" s="229"/>
      <c r="T18" s="229"/>
      <c r="U18" s="229"/>
      <c r="V18" s="229"/>
      <c r="W18" s="229"/>
    </row>
    <row r="19" spans="2:30" s="36" customFormat="1" x14ac:dyDescent="0.2">
      <c r="B19" s="53" t="s">
        <v>54</v>
      </c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>
        <v>152</v>
      </c>
      <c r="P19" s="52"/>
      <c r="Q19" s="52"/>
      <c r="R19" s="52"/>
      <c r="S19" s="52">
        <v>176</v>
      </c>
      <c r="T19" s="52"/>
      <c r="U19" s="52"/>
      <c r="V19" s="52"/>
      <c r="W19" s="52"/>
      <c r="X19" s="54"/>
    </row>
    <row r="20" spans="2:30" s="36" customFormat="1" x14ac:dyDescent="0.2">
      <c r="B20" s="53" t="s">
        <v>55</v>
      </c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>
        <v>152</v>
      </c>
      <c r="P20" s="52"/>
      <c r="Q20" s="52"/>
      <c r="R20" s="52"/>
      <c r="S20" s="52">
        <v>176</v>
      </c>
      <c r="T20" s="52"/>
      <c r="U20" s="52"/>
      <c r="V20" s="52"/>
      <c r="W20" s="52"/>
      <c r="X20" s="54"/>
    </row>
    <row r="21" spans="2:30" s="36" customFormat="1" x14ac:dyDescent="0.2">
      <c r="B21" s="53" t="s">
        <v>56</v>
      </c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>
        <v>152</v>
      </c>
      <c r="P21" s="52"/>
      <c r="Q21" s="52"/>
      <c r="R21" s="52"/>
      <c r="S21" s="52">
        <v>176</v>
      </c>
      <c r="T21" s="52"/>
      <c r="U21" s="52"/>
      <c r="V21" s="52"/>
      <c r="W21" s="52"/>
      <c r="X21" s="54"/>
    </row>
    <row r="22" spans="2:30" s="36" customFormat="1" x14ac:dyDescent="0.2">
      <c r="B22" s="53" t="s">
        <v>57</v>
      </c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>
        <v>152</v>
      </c>
      <c r="P22" s="52"/>
      <c r="Q22" s="52"/>
      <c r="R22" s="52"/>
      <c r="S22" s="52">
        <v>176</v>
      </c>
      <c r="T22" s="52"/>
      <c r="U22" s="52"/>
      <c r="V22" s="52"/>
      <c r="W22" s="52"/>
      <c r="X22" s="54"/>
    </row>
    <row r="23" spans="2:30" s="36" customFormat="1" x14ac:dyDescent="0.2">
      <c r="B23" s="53" t="s">
        <v>58</v>
      </c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>
        <v>152</v>
      </c>
      <c r="P23" s="52"/>
      <c r="Q23" s="52"/>
      <c r="R23" s="52"/>
      <c r="S23" s="52">
        <v>176</v>
      </c>
      <c r="T23" s="52"/>
      <c r="U23" s="52"/>
      <c r="V23" s="52"/>
      <c r="W23" s="52"/>
      <c r="X23" s="54"/>
      <c r="AC23" s="36" t="s">
        <v>63</v>
      </c>
      <c r="AD23" s="36" t="s">
        <v>64</v>
      </c>
    </row>
    <row r="24" spans="2:30" s="36" customFormat="1" x14ac:dyDescent="0.2">
      <c r="B24" s="44" t="s">
        <v>59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9">
        <v>40</v>
      </c>
      <c r="P24" s="52"/>
      <c r="Q24" s="52"/>
      <c r="R24" s="52"/>
      <c r="S24" s="52"/>
      <c r="T24" s="52"/>
      <c r="U24" s="52"/>
      <c r="V24" s="52"/>
      <c r="W24" s="52"/>
      <c r="X24" s="54"/>
      <c r="AC24" s="52">
        <v>120</v>
      </c>
      <c r="AD24" s="57">
        <f>AC24-O24</f>
        <v>80</v>
      </c>
    </row>
    <row r="25" spans="2:30" s="36" customFormat="1" x14ac:dyDescent="0.2">
      <c r="B25" s="53" t="s">
        <v>60</v>
      </c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60">
        <v>72</v>
      </c>
      <c r="P25" s="52"/>
      <c r="Q25" s="52"/>
      <c r="R25" s="52"/>
      <c r="S25" s="52">
        <v>176</v>
      </c>
      <c r="T25" s="52"/>
      <c r="U25" s="52"/>
      <c r="V25" s="52"/>
      <c r="W25" s="52"/>
      <c r="X25" s="54"/>
      <c r="AC25" s="52">
        <v>120</v>
      </c>
      <c r="AD25" s="57">
        <f>AC25-O25</f>
        <v>48</v>
      </c>
    </row>
    <row r="26" spans="2:30" s="36" customFormat="1" x14ac:dyDescent="0.2">
      <c r="B26" s="53" t="s">
        <v>61</v>
      </c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60">
        <v>72</v>
      </c>
      <c r="P26" s="52"/>
      <c r="Q26" s="52"/>
      <c r="R26" s="52"/>
      <c r="S26" s="52">
        <v>176</v>
      </c>
      <c r="T26" s="52"/>
      <c r="U26" s="52"/>
      <c r="V26" s="52"/>
      <c r="W26" s="52"/>
      <c r="X26" s="54"/>
      <c r="AC26" s="52">
        <v>120</v>
      </c>
      <c r="AD26" s="57">
        <f>AC26-O26</f>
        <v>48</v>
      </c>
    </row>
    <row r="27" spans="2:30" s="36" customFormat="1" x14ac:dyDescent="0.2">
      <c r="B27" s="53" t="s">
        <v>76</v>
      </c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60">
        <v>48</v>
      </c>
      <c r="P27" s="52"/>
      <c r="Q27" s="52"/>
      <c r="R27" s="52"/>
      <c r="S27" s="52">
        <v>176</v>
      </c>
      <c r="T27" s="52"/>
      <c r="U27" s="52"/>
      <c r="V27" s="52"/>
      <c r="W27" s="52"/>
      <c r="X27" s="54"/>
      <c r="AC27" s="52">
        <v>120</v>
      </c>
      <c r="AD27" s="57">
        <f>AC27-O27</f>
        <v>72</v>
      </c>
    </row>
    <row r="28" spans="2:30" x14ac:dyDescent="0.2">
      <c r="AD28" s="55">
        <f>SUM(AD24:AD27)</f>
        <v>248</v>
      </c>
    </row>
    <row r="29" spans="2:30" s="36" customFormat="1" x14ac:dyDescent="0.2">
      <c r="B29" s="35" t="s">
        <v>47</v>
      </c>
      <c r="C29" s="230">
        <f>SUM(C19:W27)</f>
        <v>2400</v>
      </c>
      <c r="D29" s="230"/>
      <c r="E29" s="230"/>
      <c r="F29" s="230"/>
      <c r="G29" s="230"/>
      <c r="H29" s="230"/>
      <c r="I29" s="230"/>
      <c r="J29" s="230"/>
      <c r="K29" s="230"/>
      <c r="L29" s="230"/>
      <c r="M29" s="230"/>
      <c r="N29" s="230"/>
      <c r="O29" s="230"/>
      <c r="Z29" s="36">
        <v>2824</v>
      </c>
    </row>
    <row r="31" spans="2:30" s="36" customFormat="1" x14ac:dyDescent="0.25">
      <c r="B31" s="229" t="s">
        <v>49</v>
      </c>
      <c r="C31" s="229"/>
      <c r="D31" s="229"/>
      <c r="E31" s="229"/>
      <c r="F31" s="229"/>
      <c r="G31" s="229"/>
      <c r="H31" s="229"/>
      <c r="I31" s="229"/>
      <c r="J31" s="229"/>
      <c r="K31" s="229"/>
      <c r="L31" s="229"/>
      <c r="M31" s="229"/>
      <c r="N31" s="229"/>
      <c r="O31" s="229"/>
      <c r="P31" s="229"/>
      <c r="Q31" s="229"/>
      <c r="R31" s="229"/>
      <c r="S31" s="229"/>
      <c r="T31" s="229"/>
      <c r="U31" s="229"/>
      <c r="V31" s="229"/>
      <c r="W31" s="229"/>
    </row>
    <row r="32" spans="2:30" s="36" customFormat="1" x14ac:dyDescent="0.2">
      <c r="B32" s="37" t="s">
        <v>49</v>
      </c>
      <c r="C32" s="43" t="s">
        <v>19</v>
      </c>
      <c r="D32" s="43"/>
      <c r="E32" s="43"/>
      <c r="F32" s="43"/>
      <c r="G32" s="43" t="s">
        <v>20</v>
      </c>
      <c r="H32" s="43"/>
      <c r="I32" s="43"/>
      <c r="J32" s="43"/>
      <c r="K32" s="43" t="s">
        <v>21</v>
      </c>
      <c r="L32" s="43"/>
      <c r="M32" s="43"/>
      <c r="N32" s="43"/>
      <c r="O32" s="43" t="s">
        <v>22</v>
      </c>
      <c r="P32" s="43"/>
      <c r="Q32" s="43"/>
      <c r="R32" s="43"/>
      <c r="S32" s="43" t="s">
        <v>22</v>
      </c>
      <c r="T32" s="43"/>
      <c r="U32" s="43"/>
      <c r="V32" s="43"/>
      <c r="W32" s="43" t="s">
        <v>22</v>
      </c>
    </row>
    <row r="33" spans="2:49" s="36" customFormat="1" x14ac:dyDescent="0.2">
      <c r="B33" s="38"/>
      <c r="C33" s="39"/>
      <c r="D33" s="39"/>
      <c r="E33" s="39"/>
      <c r="F33" s="39"/>
      <c r="G33" s="39"/>
      <c r="H33" s="39"/>
      <c r="I33" s="39"/>
      <c r="J33" s="39"/>
      <c r="K33" s="39">
        <v>45.5</v>
      </c>
      <c r="L33" s="39"/>
      <c r="M33" s="39"/>
      <c r="N33" s="39"/>
      <c r="O33" s="39">
        <v>59</v>
      </c>
      <c r="P33" s="39"/>
      <c r="Q33" s="39"/>
      <c r="R33" s="39"/>
      <c r="S33" s="39"/>
      <c r="T33" s="39"/>
      <c r="U33" s="39"/>
      <c r="V33" s="39"/>
      <c r="W33" s="39"/>
    </row>
    <row r="34" spans="2:49" s="36" customFormat="1" x14ac:dyDescent="0.2">
      <c r="B34" s="38" t="s">
        <v>50</v>
      </c>
      <c r="C34" s="225">
        <f>SUM(C33:W33)</f>
        <v>104.5</v>
      </c>
      <c r="D34" s="225"/>
      <c r="E34" s="225"/>
      <c r="F34" s="225"/>
      <c r="G34" s="225"/>
      <c r="H34" s="225"/>
      <c r="I34" s="225"/>
      <c r="J34" s="225"/>
      <c r="K34" s="225"/>
      <c r="L34" s="225"/>
      <c r="M34" s="225"/>
      <c r="N34" s="225"/>
      <c r="O34" s="225"/>
      <c r="P34" s="225"/>
      <c r="Q34" s="225"/>
      <c r="R34" s="225"/>
      <c r="S34" s="225"/>
      <c r="T34" s="225"/>
      <c r="U34" s="225"/>
      <c r="V34" s="225"/>
      <c r="W34" s="225"/>
    </row>
    <row r="35" spans="2:49" x14ac:dyDescent="0.2">
      <c r="AC35" s="36" t="s">
        <v>66</v>
      </c>
    </row>
    <row r="36" spans="2:49" s="36" customFormat="1" ht="15" x14ac:dyDescent="0.25">
      <c r="B36" s="40" t="s">
        <v>48</v>
      </c>
      <c r="C36" s="231">
        <f>SUM(C16,C29,C34)</f>
        <v>8280.5</v>
      </c>
      <c r="D36" s="231"/>
      <c r="E36" s="231"/>
      <c r="F36" s="231"/>
      <c r="G36" s="231"/>
      <c r="H36" s="231"/>
      <c r="I36" s="231"/>
      <c r="J36" s="231"/>
      <c r="K36" s="231"/>
      <c r="L36" s="231"/>
      <c r="M36" s="231"/>
      <c r="N36" s="231"/>
      <c r="O36" s="231"/>
      <c r="P36" s="231"/>
      <c r="Q36" s="231"/>
      <c r="R36" s="231"/>
      <c r="S36" s="231"/>
      <c r="T36" s="231"/>
      <c r="U36" s="231"/>
      <c r="V36" s="231"/>
      <c r="W36" s="231"/>
      <c r="AC36" s="56">
        <v>8653.5</v>
      </c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</row>
    <row r="38" spans="2:49" x14ac:dyDescent="0.2">
      <c r="K38" s="45">
        <f>C36-4006</f>
        <v>4274.5</v>
      </c>
    </row>
  </sheetData>
  <mergeCells count="7">
    <mergeCell ref="B2:W2"/>
    <mergeCell ref="B18:W18"/>
    <mergeCell ref="B31:W31"/>
    <mergeCell ref="C36:W36"/>
    <mergeCell ref="C34:W34"/>
    <mergeCell ref="C16:O16"/>
    <mergeCell ref="C29:O29"/>
  </mergeCells>
  <conditionalFormatting sqref="B33:B34 B4:B15 B19:B27">
    <cfRule type="expression" dxfId="0" priority="62">
      <formula>PROC.valores($B$1:$B$83,Verificador)</formula>
    </cfRule>
  </conditionalFormatting>
  <dataValidations count="1">
    <dataValidation type="list" allowBlank="1" showInputMessage="1" showErrorMessage="1" sqref="B33:B34 B4:B15 B19:B27" xr:uid="{00000000-0002-0000-0900-000000000000}">
      <formula1>Cargo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R23"/>
  <sheetViews>
    <sheetView showGridLines="0" zoomScale="85" zoomScaleNormal="85" workbookViewId="0">
      <selection activeCell="B13" sqref="B13:K14"/>
    </sheetView>
  </sheetViews>
  <sheetFormatPr defaultRowHeight="15" x14ac:dyDescent="0.25"/>
  <cols>
    <col min="1" max="1" width="6.28515625" customWidth="1"/>
    <col min="2" max="2" width="18.42578125" bestFit="1" customWidth="1"/>
    <col min="3" max="3" width="15.7109375" style="1" customWidth="1"/>
    <col min="4" max="5" width="15.7109375" customWidth="1"/>
    <col min="6" max="6" width="13.85546875" customWidth="1"/>
    <col min="7" max="9" width="14.140625" customWidth="1"/>
    <col min="10" max="11" width="15" customWidth="1"/>
    <col min="12" max="12" width="2.7109375" customWidth="1"/>
    <col min="13" max="15" width="6" style="10" customWidth="1"/>
    <col min="16" max="16" width="18.7109375" customWidth="1"/>
  </cols>
  <sheetData>
    <row r="2" spans="1:18" s="22" customFormat="1" ht="30" x14ac:dyDescent="0.25">
      <c r="C2" s="23" t="s">
        <v>3</v>
      </c>
      <c r="D2" s="23" t="s">
        <v>4</v>
      </c>
      <c r="E2" s="23" t="s">
        <v>5</v>
      </c>
      <c r="F2" s="24"/>
      <c r="J2" s="22">
        <v>155000</v>
      </c>
      <c r="K2" s="41">
        <f>J2-J11</f>
        <v>0</v>
      </c>
      <c r="M2" s="28"/>
      <c r="N2" s="28"/>
      <c r="O2" s="28"/>
    </row>
    <row r="3" spans="1:18" x14ac:dyDescent="0.25">
      <c r="B3" s="6" t="s">
        <v>0</v>
      </c>
      <c r="C3" s="13">
        <v>3168</v>
      </c>
      <c r="D3" s="14">
        <f>E3/C3</f>
        <v>84.659090909090907</v>
      </c>
      <c r="E3" s="14">
        <v>268200</v>
      </c>
      <c r="F3" s="19"/>
    </row>
    <row r="4" spans="1:18" x14ac:dyDescent="0.25">
      <c r="C4" s="10"/>
      <c r="D4" s="10"/>
      <c r="E4" s="10"/>
      <c r="F4" s="10"/>
      <c r="H4" s="8">
        <f>H10+7800</f>
        <v>46077.272727272728</v>
      </c>
    </row>
    <row r="5" spans="1:18" x14ac:dyDescent="0.25">
      <c r="B5" s="6" t="s">
        <v>1</v>
      </c>
      <c r="C5" s="13">
        <f>C3-C18</f>
        <v>0</v>
      </c>
      <c r="D5" s="14">
        <f>D3</f>
        <v>84.659090909090907</v>
      </c>
      <c r="E5" s="14">
        <f>C5*D5</f>
        <v>0</v>
      </c>
      <c r="F5" s="19"/>
      <c r="H5" s="8">
        <f>H11-7800</f>
        <v>63218.181818181823</v>
      </c>
    </row>
    <row r="8" spans="1:18" s="11" customFormat="1" x14ac:dyDescent="0.25">
      <c r="C8" s="15" t="s">
        <v>7</v>
      </c>
      <c r="D8" s="12" t="s">
        <v>8</v>
      </c>
      <c r="E8" s="12" t="s">
        <v>16</v>
      </c>
      <c r="F8" s="12" t="s">
        <v>17</v>
      </c>
      <c r="G8" s="12" t="s">
        <v>9</v>
      </c>
      <c r="H8" s="12" t="s">
        <v>10</v>
      </c>
      <c r="I8" s="12" t="s">
        <v>18</v>
      </c>
      <c r="J8" s="12" t="s">
        <v>15</v>
      </c>
      <c r="K8" s="18" t="s">
        <v>6</v>
      </c>
      <c r="M8" s="15" t="s">
        <v>7</v>
      </c>
      <c r="N8" s="15" t="s">
        <v>8</v>
      </c>
      <c r="O8" s="15" t="s">
        <v>16</v>
      </c>
      <c r="P8" s="25" t="s">
        <v>11</v>
      </c>
    </row>
    <row r="9" spans="1:18" x14ac:dyDescent="0.25">
      <c r="A9">
        <v>56</v>
      </c>
      <c r="B9" s="30">
        <v>43525</v>
      </c>
      <c r="C9" s="31">
        <v>56</v>
      </c>
      <c r="D9" s="32">
        <v>64</v>
      </c>
      <c r="E9" s="32">
        <v>0</v>
      </c>
      <c r="F9" s="33">
        <f t="shared" ref="F9:F14" si="0">$D$3</f>
        <v>84.659090909090907</v>
      </c>
      <c r="G9" s="33">
        <f t="shared" ref="G9:G14" si="1">C9*F9</f>
        <v>4740.909090909091</v>
      </c>
      <c r="H9" s="33">
        <f>D9*F9</f>
        <v>5418.181818181818</v>
      </c>
      <c r="I9" s="33">
        <f>E9*F9</f>
        <v>0</v>
      </c>
      <c r="J9" s="34">
        <f>SUM(G9:I9)</f>
        <v>10159.090909090908</v>
      </c>
      <c r="K9" s="34">
        <f>J9*89.85%</f>
        <v>9127.9431818181802</v>
      </c>
      <c r="M9" s="29">
        <f>C9/A9</f>
        <v>1</v>
      </c>
      <c r="N9" s="29">
        <f>D9/A9</f>
        <v>1.1428571428571428</v>
      </c>
      <c r="O9" s="29">
        <f>E9/A9</f>
        <v>0</v>
      </c>
      <c r="P9" s="8"/>
      <c r="Q9" s="8"/>
    </row>
    <row r="10" spans="1:18" x14ac:dyDescent="0.25">
      <c r="A10">
        <v>168</v>
      </c>
      <c r="B10" s="30">
        <v>43556</v>
      </c>
      <c r="C10" s="31">
        <v>168</v>
      </c>
      <c r="D10" s="32">
        <v>360</v>
      </c>
      <c r="E10" s="32">
        <v>0</v>
      </c>
      <c r="F10" s="33">
        <f t="shared" si="0"/>
        <v>84.659090909090907</v>
      </c>
      <c r="G10" s="33">
        <f t="shared" si="1"/>
        <v>14222.727272727272</v>
      </c>
      <c r="H10" s="33">
        <v>38277.272727272728</v>
      </c>
      <c r="I10" s="33">
        <f t="shared" ref="I10:I14" si="2">E10*F10</f>
        <v>0</v>
      </c>
      <c r="J10" s="34">
        <v>52500</v>
      </c>
      <c r="K10" s="34">
        <f t="shared" ref="K10:K17" si="3">J10*89.85%</f>
        <v>47171.25</v>
      </c>
      <c r="M10" s="29">
        <f t="shared" ref="M10:M12" si="4">C10/A10</f>
        <v>1</v>
      </c>
      <c r="N10" s="29">
        <f t="shared" ref="N10:N12" si="5">D10/A10</f>
        <v>2.1428571428571428</v>
      </c>
      <c r="O10" s="29">
        <f t="shared" ref="O10:O12" si="6">E10/A10</f>
        <v>0</v>
      </c>
      <c r="P10" s="50">
        <v>44700</v>
      </c>
      <c r="Q10" s="50" t="s">
        <v>12</v>
      </c>
      <c r="R10" s="51"/>
    </row>
    <row r="11" spans="1:18" x14ac:dyDescent="0.25">
      <c r="A11">
        <v>176</v>
      </c>
      <c r="B11" s="30">
        <v>43586</v>
      </c>
      <c r="C11" s="31">
        <v>176</v>
      </c>
      <c r="D11" s="32">
        <v>848</v>
      </c>
      <c r="E11" s="32">
        <v>816</v>
      </c>
      <c r="F11" s="33">
        <f t="shared" si="0"/>
        <v>84.659090909090907</v>
      </c>
      <c r="G11" s="33">
        <f t="shared" si="1"/>
        <v>14900</v>
      </c>
      <c r="H11" s="33">
        <v>71018.181818181823</v>
      </c>
      <c r="I11" s="33">
        <f t="shared" si="2"/>
        <v>69081.818181818177</v>
      </c>
      <c r="J11" s="34">
        <f>SUM(G11:I11)</f>
        <v>155000</v>
      </c>
      <c r="K11" s="34">
        <f t="shared" si="3"/>
        <v>139267.5</v>
      </c>
      <c r="M11" s="29">
        <f t="shared" si="4"/>
        <v>1</v>
      </c>
      <c r="N11" s="29">
        <f t="shared" si="5"/>
        <v>4.8181818181818183</v>
      </c>
      <c r="O11" s="29">
        <f t="shared" si="6"/>
        <v>4.6363636363636367</v>
      </c>
      <c r="P11" s="50">
        <f>3*P10</f>
        <v>134100</v>
      </c>
      <c r="Q11" s="50" t="s">
        <v>13</v>
      </c>
      <c r="R11" s="51"/>
    </row>
    <row r="12" spans="1:18" x14ac:dyDescent="0.25">
      <c r="A12">
        <v>152</v>
      </c>
      <c r="B12" s="30">
        <v>43617</v>
      </c>
      <c r="C12" s="31">
        <v>64</v>
      </c>
      <c r="D12" s="32">
        <v>320</v>
      </c>
      <c r="E12" s="32">
        <v>296</v>
      </c>
      <c r="F12" s="33">
        <f t="shared" si="0"/>
        <v>84.659090909090907</v>
      </c>
      <c r="G12" s="33">
        <f t="shared" si="1"/>
        <v>5418.181818181818</v>
      </c>
      <c r="H12" s="33">
        <v>20063.639090909088</v>
      </c>
      <c r="I12" s="33">
        <f t="shared" si="2"/>
        <v>25059.090909090908</v>
      </c>
      <c r="J12" s="34">
        <f>SUM(G12:I12)</f>
        <v>50540.911818181819</v>
      </c>
      <c r="K12" s="34">
        <f t="shared" si="3"/>
        <v>45411.009268636364</v>
      </c>
      <c r="M12" s="29">
        <f t="shared" si="4"/>
        <v>0.42105263157894735</v>
      </c>
      <c r="N12" s="29">
        <f t="shared" si="5"/>
        <v>2.1052631578947367</v>
      </c>
      <c r="O12" s="29">
        <f t="shared" si="6"/>
        <v>1.9473684210526316</v>
      </c>
      <c r="P12" s="50">
        <f>2*P10</f>
        <v>89400</v>
      </c>
      <c r="Q12" s="50" t="s">
        <v>14</v>
      </c>
      <c r="R12" s="51"/>
    </row>
    <row r="13" spans="1:18" x14ac:dyDescent="0.25">
      <c r="A13">
        <v>176</v>
      </c>
      <c r="B13" s="30">
        <v>43647</v>
      </c>
      <c r="C13" s="31"/>
      <c r="D13" s="32"/>
      <c r="E13" s="32"/>
      <c r="F13" s="33">
        <f t="shared" si="0"/>
        <v>84.659090909090907</v>
      </c>
      <c r="G13" s="33">
        <f t="shared" si="1"/>
        <v>0</v>
      </c>
      <c r="H13" s="33">
        <f>D13*F13</f>
        <v>0</v>
      </c>
      <c r="I13" s="33">
        <f t="shared" si="2"/>
        <v>0</v>
      </c>
      <c r="J13" s="34">
        <f t="shared" ref="J13:J16" si="7">SUM(G13:I13)</f>
        <v>0</v>
      </c>
      <c r="K13" s="34">
        <f t="shared" si="3"/>
        <v>0</v>
      </c>
      <c r="M13" s="29"/>
      <c r="N13" s="29"/>
      <c r="O13" s="29"/>
    </row>
    <row r="14" spans="1:18" x14ac:dyDescent="0.25">
      <c r="A14">
        <v>176</v>
      </c>
      <c r="B14" s="30">
        <v>43678</v>
      </c>
      <c r="C14" s="31"/>
      <c r="D14" s="32"/>
      <c r="E14" s="32"/>
      <c r="F14" s="33">
        <f t="shared" si="0"/>
        <v>84.659090909090907</v>
      </c>
      <c r="G14" s="33">
        <f t="shared" si="1"/>
        <v>0</v>
      </c>
      <c r="H14" s="33">
        <f>D14*F14</f>
        <v>0</v>
      </c>
      <c r="I14" s="33">
        <f t="shared" si="2"/>
        <v>0</v>
      </c>
      <c r="J14" s="34">
        <f t="shared" si="7"/>
        <v>0</v>
      </c>
      <c r="K14" s="34">
        <f t="shared" si="3"/>
        <v>0</v>
      </c>
      <c r="M14" s="29"/>
      <c r="N14" s="29"/>
      <c r="O14" s="29"/>
      <c r="P14" s="8"/>
      <c r="Q14" s="8"/>
    </row>
    <row r="15" spans="1:18" x14ac:dyDescent="0.25">
      <c r="B15" s="2"/>
      <c r="C15" s="16"/>
      <c r="D15" s="3"/>
      <c r="E15" s="3"/>
      <c r="F15" s="4"/>
      <c r="G15" s="4"/>
      <c r="H15" s="4"/>
      <c r="I15" s="4"/>
      <c r="J15" s="27">
        <f t="shared" si="7"/>
        <v>0</v>
      </c>
      <c r="K15" s="27">
        <f t="shared" si="3"/>
        <v>0</v>
      </c>
    </row>
    <row r="16" spans="1:18" x14ac:dyDescent="0.25">
      <c r="B16" s="2"/>
      <c r="C16" s="16"/>
      <c r="D16" s="3"/>
      <c r="E16" s="3"/>
      <c r="F16" s="2"/>
      <c r="G16" s="2"/>
      <c r="H16" s="2"/>
      <c r="I16" s="2"/>
      <c r="J16" s="27">
        <f t="shared" si="7"/>
        <v>0</v>
      </c>
      <c r="K16" s="27">
        <f t="shared" si="3"/>
        <v>0</v>
      </c>
    </row>
    <row r="17" spans="2:16" x14ac:dyDescent="0.25">
      <c r="B17" s="6" t="s">
        <v>2</v>
      </c>
      <c r="C17" s="5">
        <f>SUM(C9:C16)</f>
        <v>464</v>
      </c>
      <c r="D17" s="5">
        <f>SUM(D9:D16)</f>
        <v>1592</v>
      </c>
      <c r="E17" s="5">
        <f>SUM(E9:E16)</f>
        <v>1112</v>
      </c>
      <c r="F17" s="7"/>
      <c r="G17" s="7">
        <f>SUM(G9:G16)</f>
        <v>39281.818181818184</v>
      </c>
      <c r="H17" s="7">
        <f>SUM(H9:H16)</f>
        <v>134777.27545454545</v>
      </c>
      <c r="I17" s="7">
        <f t="shared" ref="I17" si="8">SUM(I9:I16)</f>
        <v>94140.909090909088</v>
      </c>
      <c r="J17" s="20">
        <f>SUM(J9:J16)</f>
        <v>268200.00272727275</v>
      </c>
      <c r="K17" s="20">
        <f t="shared" si="3"/>
        <v>240977.70245045456</v>
      </c>
      <c r="P17" s="21">
        <f>SUM(P10:P14)</f>
        <v>268200</v>
      </c>
    </row>
    <row r="18" spans="2:16" x14ac:dyDescent="0.25">
      <c r="C18" s="214">
        <f>SUM(C17:E17)</f>
        <v>3168</v>
      </c>
      <c r="D18" s="214"/>
      <c r="E18" s="214"/>
      <c r="G18" s="215">
        <f>SUM(G17:I17)</f>
        <v>268200.00272727269</v>
      </c>
      <c r="H18" s="215"/>
      <c r="I18" s="215"/>
    </row>
    <row r="19" spans="2:16" x14ac:dyDescent="0.25">
      <c r="L19" s="8"/>
    </row>
    <row r="20" spans="2:16" x14ac:dyDescent="0.25">
      <c r="D20" s="8"/>
      <c r="J20" s="8"/>
    </row>
    <row r="22" spans="2:16" x14ac:dyDescent="0.25">
      <c r="G22" s="42"/>
      <c r="H22" s="8"/>
      <c r="I22" s="8"/>
    </row>
    <row r="23" spans="2:16" x14ac:dyDescent="0.25">
      <c r="C23" s="1" t="s">
        <v>62</v>
      </c>
      <c r="D23" s="10">
        <f>SUM(C12:E12)</f>
        <v>680</v>
      </c>
      <c r="H23" s="8"/>
    </row>
  </sheetData>
  <mergeCells count="2">
    <mergeCell ref="C18:E18"/>
    <mergeCell ref="G18:I1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20"/>
  <sheetViews>
    <sheetView showGridLines="0" zoomScale="85" zoomScaleNormal="85" workbookViewId="0">
      <selection activeCell="P9" sqref="P9"/>
    </sheetView>
  </sheetViews>
  <sheetFormatPr defaultRowHeight="15" x14ac:dyDescent="0.25"/>
  <cols>
    <col min="1" max="1" width="6.28515625" customWidth="1"/>
    <col min="2" max="2" width="18.42578125" bestFit="1" customWidth="1"/>
    <col min="3" max="3" width="15.7109375" style="1" customWidth="1"/>
    <col min="4" max="5" width="15.7109375" customWidth="1"/>
    <col min="6" max="6" width="13.85546875" customWidth="1"/>
    <col min="7" max="9" width="14.140625" customWidth="1"/>
    <col min="10" max="11" width="15" customWidth="1"/>
    <col min="12" max="12" width="2.7109375" customWidth="1"/>
    <col min="13" max="15" width="6" style="10" customWidth="1"/>
    <col min="16" max="16" width="18.7109375" customWidth="1"/>
  </cols>
  <sheetData>
    <row r="2" spans="1:17" s="22" customFormat="1" ht="30" x14ac:dyDescent="0.25">
      <c r="C2" s="23" t="s">
        <v>3</v>
      </c>
      <c r="D2" s="23" t="s">
        <v>4</v>
      </c>
      <c r="E2" s="23" t="s">
        <v>5</v>
      </c>
      <c r="F2" s="24"/>
      <c r="K2" s="41"/>
      <c r="M2" s="28"/>
      <c r="N2" s="28"/>
      <c r="O2" s="28"/>
    </row>
    <row r="3" spans="1:17" x14ac:dyDescent="0.25">
      <c r="B3" s="6" t="s">
        <v>0</v>
      </c>
      <c r="C3" s="13">
        <v>840</v>
      </c>
      <c r="D3" s="14">
        <f>E3/C3</f>
        <v>84.523809523809518</v>
      </c>
      <c r="E3" s="14">
        <v>71000</v>
      </c>
      <c r="F3" s="19"/>
    </row>
    <row r="4" spans="1:17" x14ac:dyDescent="0.25">
      <c r="C4" s="10"/>
      <c r="D4" s="10"/>
      <c r="E4" s="10"/>
      <c r="F4" s="10"/>
      <c r="H4" s="8"/>
    </row>
    <row r="5" spans="1:17" x14ac:dyDescent="0.25">
      <c r="B5" s="6" t="s">
        <v>1</v>
      </c>
      <c r="C5" s="13">
        <f>C3-C15</f>
        <v>0</v>
      </c>
      <c r="D5" s="14">
        <f>D3</f>
        <v>84.523809523809518</v>
      </c>
      <c r="E5" s="14">
        <f>C5*D5</f>
        <v>0</v>
      </c>
      <c r="F5" s="19"/>
      <c r="H5" s="8"/>
    </row>
    <row r="6" spans="1:17" x14ac:dyDescent="0.25">
      <c r="J6" s="46"/>
      <c r="K6" s="46"/>
    </row>
    <row r="7" spans="1:17" x14ac:dyDescent="0.25">
      <c r="J7" s="46"/>
      <c r="K7" s="46"/>
    </row>
    <row r="8" spans="1:17" s="11" customFormat="1" x14ac:dyDescent="0.25">
      <c r="C8" s="15" t="s">
        <v>7</v>
      </c>
      <c r="D8" s="12" t="s">
        <v>8</v>
      </c>
      <c r="E8" s="12" t="s">
        <v>16</v>
      </c>
      <c r="F8" s="12" t="s">
        <v>17</v>
      </c>
      <c r="G8" s="12" t="s">
        <v>9</v>
      </c>
      <c r="H8" s="12" t="s">
        <v>10</v>
      </c>
      <c r="I8" s="12" t="s">
        <v>18</v>
      </c>
      <c r="J8" s="47" t="s">
        <v>15</v>
      </c>
      <c r="K8" s="47" t="s">
        <v>6</v>
      </c>
      <c r="M8" s="15" t="s">
        <v>7</v>
      </c>
      <c r="N8" s="15" t="s">
        <v>8</v>
      </c>
      <c r="O8" s="15" t="s">
        <v>16</v>
      </c>
      <c r="P8" s="25" t="s">
        <v>11</v>
      </c>
    </row>
    <row r="9" spans="1:17" x14ac:dyDescent="0.25">
      <c r="A9">
        <v>152</v>
      </c>
      <c r="B9" s="30">
        <v>43617</v>
      </c>
      <c r="C9" s="31"/>
      <c r="D9" s="32">
        <v>420</v>
      </c>
      <c r="E9" s="32">
        <v>420</v>
      </c>
      <c r="F9" s="33">
        <f t="shared" ref="F9:F11" si="0">$D$3</f>
        <v>84.523809523809518</v>
      </c>
      <c r="G9" s="33">
        <f t="shared" ref="G9:G11" si="1">C9*F9</f>
        <v>0</v>
      </c>
      <c r="H9" s="33">
        <f>D9*F9</f>
        <v>35500</v>
      </c>
      <c r="I9" s="33">
        <f t="shared" ref="I9:I11" si="2">E9*F9</f>
        <v>35500</v>
      </c>
      <c r="J9" s="34">
        <f>SUM(G9:I9)</f>
        <v>71000</v>
      </c>
      <c r="K9" s="34">
        <f t="shared" ref="K9:K14" si="3">J9*89.85%</f>
        <v>63793.5</v>
      </c>
      <c r="M9" s="29">
        <f t="shared" ref="M9" si="4">C9/A9</f>
        <v>0</v>
      </c>
      <c r="N9" s="29">
        <v>5</v>
      </c>
      <c r="O9" s="29">
        <v>5</v>
      </c>
      <c r="P9" s="50">
        <v>71000</v>
      </c>
      <c r="Q9" s="8" t="s">
        <v>14</v>
      </c>
    </row>
    <row r="10" spans="1:17" x14ac:dyDescent="0.25">
      <c r="A10">
        <v>176</v>
      </c>
      <c r="B10" s="9">
        <v>43647</v>
      </c>
      <c r="C10" s="17"/>
      <c r="D10" s="3"/>
      <c r="E10" s="3"/>
      <c r="F10" s="4">
        <f t="shared" si="0"/>
        <v>84.523809523809518</v>
      </c>
      <c r="G10" s="4">
        <f t="shared" si="1"/>
        <v>0</v>
      </c>
      <c r="H10" s="4">
        <f>D10*F10</f>
        <v>0</v>
      </c>
      <c r="I10" s="26">
        <f t="shared" si="2"/>
        <v>0</v>
      </c>
      <c r="J10" s="27">
        <f t="shared" ref="J10:J13" si="5">SUM(G10:I10)</f>
        <v>0</v>
      </c>
      <c r="K10" s="27">
        <f t="shared" si="3"/>
        <v>0</v>
      </c>
      <c r="M10" s="29"/>
      <c r="N10" s="29"/>
      <c r="O10" s="29"/>
    </row>
    <row r="11" spans="1:17" x14ac:dyDescent="0.25">
      <c r="A11">
        <v>176</v>
      </c>
      <c r="B11" s="9">
        <v>43678</v>
      </c>
      <c r="C11" s="17"/>
      <c r="D11" s="3"/>
      <c r="E11" s="3"/>
      <c r="F11" s="4">
        <f t="shared" si="0"/>
        <v>84.523809523809518</v>
      </c>
      <c r="G11" s="4">
        <f t="shared" si="1"/>
        <v>0</v>
      </c>
      <c r="H11" s="4">
        <f>D11*F11</f>
        <v>0</v>
      </c>
      <c r="I11" s="26">
        <f t="shared" si="2"/>
        <v>0</v>
      </c>
      <c r="J11" s="27">
        <f t="shared" si="5"/>
        <v>0</v>
      </c>
      <c r="K11" s="27">
        <f t="shared" si="3"/>
        <v>0</v>
      </c>
      <c r="M11" s="29"/>
      <c r="N11" s="29"/>
      <c r="O11" s="29"/>
      <c r="P11" s="8"/>
      <c r="Q11" s="8"/>
    </row>
    <row r="12" spans="1:17" x14ac:dyDescent="0.25">
      <c r="B12" s="2"/>
      <c r="C12" s="16"/>
      <c r="D12" s="3"/>
      <c r="E12" s="3"/>
      <c r="F12" s="4"/>
      <c r="G12" s="4"/>
      <c r="H12" s="4"/>
      <c r="I12" s="4"/>
      <c r="J12" s="27">
        <f t="shared" si="5"/>
        <v>0</v>
      </c>
      <c r="K12" s="27">
        <f t="shared" si="3"/>
        <v>0</v>
      </c>
    </row>
    <row r="13" spans="1:17" x14ac:dyDescent="0.25">
      <c r="B13" s="2"/>
      <c r="C13" s="16"/>
      <c r="D13" s="3"/>
      <c r="E13" s="3"/>
      <c r="F13" s="2"/>
      <c r="G13" s="2"/>
      <c r="H13" s="2"/>
      <c r="I13" s="2"/>
      <c r="J13" s="27">
        <f t="shared" si="5"/>
        <v>0</v>
      </c>
      <c r="K13" s="27">
        <f t="shared" si="3"/>
        <v>0</v>
      </c>
    </row>
    <row r="14" spans="1:17" x14ac:dyDescent="0.25">
      <c r="B14" s="6" t="s">
        <v>2</v>
      </c>
      <c r="C14" s="5">
        <f>SUM(C9:C13)</f>
        <v>0</v>
      </c>
      <c r="D14" s="5">
        <f>SUM(D9:D13)</f>
        <v>420</v>
      </c>
      <c r="E14" s="5">
        <f>SUM(E9:E13)</f>
        <v>420</v>
      </c>
      <c r="F14" s="7"/>
      <c r="G14" s="7">
        <f>SUM(G9:G13)</f>
        <v>0</v>
      </c>
      <c r="H14" s="7">
        <f>SUM(H9:H13)</f>
        <v>35500</v>
      </c>
      <c r="I14" s="7">
        <f>SUM(I9:I13)</f>
        <v>35500</v>
      </c>
      <c r="J14" s="20">
        <f>SUM(J9:J13)</f>
        <v>71000</v>
      </c>
      <c r="K14" s="20">
        <f t="shared" si="3"/>
        <v>63793.5</v>
      </c>
      <c r="P14" s="21">
        <f>SUM(P9:P11)</f>
        <v>71000</v>
      </c>
    </row>
    <row r="15" spans="1:17" x14ac:dyDescent="0.25">
      <c r="C15" s="214">
        <f>SUM(C14:E14)</f>
        <v>840</v>
      </c>
      <c r="D15" s="214"/>
      <c r="E15" s="214"/>
      <c r="G15" s="215">
        <f>SUM(G14:I14)</f>
        <v>71000</v>
      </c>
      <c r="H15" s="215"/>
      <c r="I15" s="215"/>
    </row>
    <row r="16" spans="1:17" x14ac:dyDescent="0.25">
      <c r="L16" s="8"/>
    </row>
    <row r="17" spans="3:10" x14ac:dyDescent="0.25">
      <c r="D17" s="8"/>
      <c r="J17" s="8"/>
    </row>
    <row r="19" spans="3:10" x14ac:dyDescent="0.25">
      <c r="G19" s="42"/>
      <c r="H19" s="8"/>
      <c r="I19" s="8"/>
    </row>
    <row r="20" spans="3:10" x14ac:dyDescent="0.25">
      <c r="C20" s="1" t="s">
        <v>62</v>
      </c>
      <c r="D20" s="10">
        <f>SUM(C9:E9)</f>
        <v>840</v>
      </c>
      <c r="H20" s="8"/>
    </row>
  </sheetData>
  <mergeCells count="2">
    <mergeCell ref="C15:E15"/>
    <mergeCell ref="G15:I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Q22"/>
  <sheetViews>
    <sheetView showGridLines="0" zoomScale="85" zoomScaleNormal="85" workbookViewId="0">
      <selection activeCell="P15" sqref="P15"/>
    </sheetView>
  </sheetViews>
  <sheetFormatPr defaultRowHeight="15" x14ac:dyDescent="0.25"/>
  <cols>
    <col min="1" max="1" width="6.28515625" customWidth="1"/>
    <col min="2" max="2" width="18.42578125" bestFit="1" customWidth="1"/>
    <col min="3" max="3" width="15.7109375" style="1" customWidth="1"/>
    <col min="4" max="5" width="15.7109375" customWidth="1"/>
    <col min="6" max="6" width="13.85546875" customWidth="1"/>
    <col min="7" max="9" width="14.140625" customWidth="1"/>
    <col min="10" max="11" width="15" customWidth="1"/>
    <col min="12" max="12" width="2.7109375" customWidth="1"/>
    <col min="13" max="15" width="6" style="10" customWidth="1"/>
    <col min="16" max="16" width="18.7109375" customWidth="1"/>
  </cols>
  <sheetData>
    <row r="2" spans="1:17" s="22" customFormat="1" ht="30" x14ac:dyDescent="0.25">
      <c r="C2" s="23" t="s">
        <v>3</v>
      </c>
      <c r="D2" s="23" t="s">
        <v>4</v>
      </c>
      <c r="E2" s="23" t="s">
        <v>5</v>
      </c>
      <c r="F2" s="24"/>
      <c r="H2" s="22">
        <v>4934</v>
      </c>
      <c r="K2" s="41"/>
      <c r="M2" s="28"/>
      <c r="N2" s="28"/>
      <c r="O2" s="28"/>
    </row>
    <row r="3" spans="1:17" x14ac:dyDescent="0.25">
      <c r="B3" s="6" t="s">
        <v>0</v>
      </c>
      <c r="C3" s="13">
        <v>4648</v>
      </c>
      <c r="D3" s="14">
        <f>E3/C3</f>
        <v>84.659100688468158</v>
      </c>
      <c r="E3" s="14">
        <v>393495.5</v>
      </c>
      <c r="F3" s="19"/>
    </row>
    <row r="4" spans="1:17" x14ac:dyDescent="0.25">
      <c r="C4" s="10"/>
      <c r="D4" s="10"/>
      <c r="E4" s="10"/>
      <c r="F4" s="10"/>
      <c r="H4" s="8"/>
    </row>
    <row r="5" spans="1:17" x14ac:dyDescent="0.25">
      <c r="B5" s="6" t="s">
        <v>1</v>
      </c>
      <c r="C5" s="13">
        <f>C3-C15</f>
        <v>0</v>
      </c>
      <c r="D5" s="14">
        <f>D3</f>
        <v>84.659100688468158</v>
      </c>
      <c r="E5" s="14">
        <f>C5*D5</f>
        <v>0</v>
      </c>
      <c r="F5" s="19"/>
      <c r="H5" s="8"/>
    </row>
    <row r="8" spans="1:17" s="11" customFormat="1" x14ac:dyDescent="0.25">
      <c r="C8" s="15" t="s">
        <v>7</v>
      </c>
      <c r="D8" s="12" t="s">
        <v>8</v>
      </c>
      <c r="E8" s="12" t="s">
        <v>16</v>
      </c>
      <c r="F8" s="12" t="s">
        <v>17</v>
      </c>
      <c r="G8" s="12" t="s">
        <v>9</v>
      </c>
      <c r="H8" s="12" t="s">
        <v>10</v>
      </c>
      <c r="I8" s="12" t="s">
        <v>18</v>
      </c>
      <c r="J8" s="12" t="s">
        <v>15</v>
      </c>
      <c r="K8" s="18" t="s">
        <v>6</v>
      </c>
      <c r="M8" s="15" t="s">
        <v>7</v>
      </c>
      <c r="N8" s="15" t="s">
        <v>8</v>
      </c>
      <c r="O8" s="15" t="s">
        <v>16</v>
      </c>
      <c r="P8" s="25" t="s">
        <v>11</v>
      </c>
    </row>
    <row r="9" spans="1:17" x14ac:dyDescent="0.25">
      <c r="A9">
        <v>152</v>
      </c>
      <c r="B9" s="30">
        <v>43617</v>
      </c>
      <c r="C9" s="31">
        <v>88</v>
      </c>
      <c r="D9" s="32">
        <v>712</v>
      </c>
      <c r="E9" s="32">
        <v>712</v>
      </c>
      <c r="F9" s="33">
        <f t="shared" ref="F9:F11" si="0">$D$3</f>
        <v>84.659100688468158</v>
      </c>
      <c r="G9" s="33">
        <f t="shared" ref="G9:G11" si="1">C9*F9</f>
        <v>7450.0008605851981</v>
      </c>
      <c r="H9" s="33">
        <f>D9*F9</f>
        <v>60277.279690189331</v>
      </c>
      <c r="I9" s="33">
        <f t="shared" ref="I9:I11" si="2">E9*F9</f>
        <v>60277.279690189331</v>
      </c>
      <c r="J9" s="34">
        <f>SUM(G9:I9)</f>
        <v>128004.56024096387</v>
      </c>
      <c r="K9" s="34">
        <f t="shared" ref="K9:K14" si="3">J9*89.85%</f>
        <v>115012.09737650603</v>
      </c>
      <c r="M9" s="29">
        <f t="shared" ref="M9" si="4">C9/A9</f>
        <v>0.57894736842105265</v>
      </c>
      <c r="N9" s="29">
        <f t="shared" ref="N9" si="5">D9/A9</f>
        <v>4.6842105263157894</v>
      </c>
      <c r="O9" s="29">
        <f t="shared" ref="O9" si="6">E9/A9</f>
        <v>4.6842105263157894</v>
      </c>
      <c r="P9" s="50">
        <v>128004.56024096387</v>
      </c>
      <c r="Q9" s="8" t="s">
        <v>14</v>
      </c>
    </row>
    <row r="10" spans="1:17" x14ac:dyDescent="0.25">
      <c r="A10">
        <v>176</v>
      </c>
      <c r="B10" s="30">
        <v>43647</v>
      </c>
      <c r="C10" s="31">
        <v>176</v>
      </c>
      <c r="D10" s="32">
        <v>1480</v>
      </c>
      <c r="E10" s="32">
        <v>1480</v>
      </c>
      <c r="F10" s="33">
        <f t="shared" si="0"/>
        <v>84.659100688468158</v>
      </c>
      <c r="G10" s="33">
        <f t="shared" si="1"/>
        <v>14900.001721170396</v>
      </c>
      <c r="H10" s="33">
        <f>D10*F10</f>
        <v>125295.46901893287</v>
      </c>
      <c r="I10" s="33">
        <f t="shared" si="2"/>
        <v>125295.46901893287</v>
      </c>
      <c r="J10" s="34">
        <f t="shared" ref="J10:J13" si="7">SUM(G10:I10)</f>
        <v>265490.93975903618</v>
      </c>
      <c r="K10" s="34">
        <f t="shared" si="3"/>
        <v>238543.60937349399</v>
      </c>
      <c r="M10" s="29"/>
      <c r="N10" s="29"/>
      <c r="O10" s="29"/>
    </row>
    <row r="11" spans="1:17" x14ac:dyDescent="0.25">
      <c r="A11">
        <v>176</v>
      </c>
      <c r="B11" s="30">
        <v>43678</v>
      </c>
      <c r="C11" s="31"/>
      <c r="D11" s="32"/>
      <c r="E11" s="32"/>
      <c r="F11" s="33">
        <f t="shared" si="0"/>
        <v>84.659100688468158</v>
      </c>
      <c r="G11" s="33">
        <f t="shared" si="1"/>
        <v>0</v>
      </c>
      <c r="H11" s="33">
        <f>D11*F11</f>
        <v>0</v>
      </c>
      <c r="I11" s="33">
        <f t="shared" si="2"/>
        <v>0</v>
      </c>
      <c r="J11" s="34">
        <f t="shared" si="7"/>
        <v>0</v>
      </c>
      <c r="K11" s="34">
        <f t="shared" si="3"/>
        <v>0</v>
      </c>
      <c r="M11" s="29"/>
      <c r="N11" s="29"/>
      <c r="O11" s="29"/>
      <c r="P11" s="8"/>
      <c r="Q11" s="8"/>
    </row>
    <row r="12" spans="1:17" x14ac:dyDescent="0.25">
      <c r="B12" s="2"/>
      <c r="C12" s="16"/>
      <c r="D12" s="3"/>
      <c r="E12" s="3"/>
      <c r="F12" s="4"/>
      <c r="G12" s="4"/>
      <c r="H12" s="4"/>
      <c r="I12" s="4"/>
      <c r="J12" s="27">
        <f t="shared" si="7"/>
        <v>0</v>
      </c>
      <c r="K12" s="27">
        <f t="shared" si="3"/>
        <v>0</v>
      </c>
    </row>
    <row r="13" spans="1:17" x14ac:dyDescent="0.25">
      <c r="B13" s="2"/>
      <c r="C13" s="16"/>
      <c r="D13" s="3"/>
      <c r="E13" s="3"/>
      <c r="F13" s="2"/>
      <c r="G13" s="2"/>
      <c r="H13" s="2"/>
      <c r="I13" s="2"/>
      <c r="J13" s="27">
        <f t="shared" si="7"/>
        <v>0</v>
      </c>
      <c r="K13" s="27">
        <f t="shared" si="3"/>
        <v>0</v>
      </c>
    </row>
    <row r="14" spans="1:17" x14ac:dyDescent="0.25">
      <c r="B14" s="6" t="s">
        <v>2</v>
      </c>
      <c r="C14" s="5">
        <f>SUM(C9:C13)</f>
        <v>264</v>
      </c>
      <c r="D14" s="5">
        <f>SUM(D9:D13)</f>
        <v>2192</v>
      </c>
      <c r="E14" s="5">
        <f>SUM(E9:E13)</f>
        <v>2192</v>
      </c>
      <c r="F14" s="7"/>
      <c r="G14" s="7">
        <f>SUM(G9:G13)</f>
        <v>22350.002581755594</v>
      </c>
      <c r="H14" s="7">
        <f>SUM(H9:H13)</f>
        <v>185572.74870912218</v>
      </c>
      <c r="I14" s="7">
        <f>SUM(I9:I13)</f>
        <v>185572.74870912218</v>
      </c>
      <c r="J14" s="20">
        <f>SUM(J9:J13)</f>
        <v>393495.50000000006</v>
      </c>
      <c r="K14" s="20">
        <f t="shared" si="3"/>
        <v>353555.70675000001</v>
      </c>
      <c r="P14" s="21">
        <f>SUM(P9:P11)</f>
        <v>128004.56024096387</v>
      </c>
    </row>
    <row r="15" spans="1:17" x14ac:dyDescent="0.25">
      <c r="C15" s="214">
        <f>SUM(C14:E14)</f>
        <v>4648</v>
      </c>
      <c r="D15" s="214"/>
      <c r="E15" s="214"/>
      <c r="G15" s="215">
        <f>SUM(G14:I14)</f>
        <v>393495.5</v>
      </c>
      <c r="H15" s="215"/>
      <c r="I15" s="215"/>
    </row>
    <row r="16" spans="1:17" x14ac:dyDescent="0.25">
      <c r="L16" s="8"/>
    </row>
    <row r="17" spans="3:10" x14ac:dyDescent="0.25">
      <c r="D17" s="8"/>
      <c r="J17" s="8"/>
    </row>
    <row r="19" spans="3:10" x14ac:dyDescent="0.25">
      <c r="D19" s="10"/>
      <c r="G19" s="42"/>
      <c r="H19" s="8"/>
      <c r="I19" s="8"/>
    </row>
    <row r="20" spans="3:10" x14ac:dyDescent="0.25">
      <c r="C20" s="49">
        <f>'Proposta 1'!J12+'Proposta 71 K'!J9+'Proposta 3'!J9</f>
        <v>249545.47205914569</v>
      </c>
      <c r="F20" t="s">
        <v>65</v>
      </c>
      <c r="G20">
        <v>200</v>
      </c>
      <c r="H20" s="8"/>
    </row>
    <row r="21" spans="3:10" x14ac:dyDescent="0.25">
      <c r="E21" s="58">
        <v>43633</v>
      </c>
      <c r="F21" s="58">
        <v>43672</v>
      </c>
      <c r="G21">
        <f>(NETWORKDAYS(E21,F21)*8)-8-8</f>
        <v>224</v>
      </c>
    </row>
    <row r="22" spans="3:10" x14ac:dyDescent="0.25">
      <c r="C22" s="48"/>
      <c r="D22" s="10"/>
    </row>
  </sheetData>
  <mergeCells count="2">
    <mergeCell ref="C15:E15"/>
    <mergeCell ref="G15:I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Q23"/>
  <sheetViews>
    <sheetView showGridLines="0" zoomScale="85" zoomScaleNormal="85" workbookViewId="0">
      <selection activeCell="Q7" sqref="Q7"/>
    </sheetView>
  </sheetViews>
  <sheetFormatPr defaultRowHeight="15" x14ac:dyDescent="0.25"/>
  <cols>
    <col min="1" max="1" width="6.28515625" customWidth="1"/>
    <col min="2" max="2" width="18.42578125" bestFit="1" customWidth="1"/>
    <col min="3" max="3" width="15.7109375" style="1" customWidth="1"/>
    <col min="4" max="5" width="15.7109375" customWidth="1"/>
    <col min="6" max="6" width="13.85546875" customWidth="1"/>
    <col min="7" max="9" width="14.140625" customWidth="1"/>
    <col min="10" max="11" width="15" customWidth="1"/>
    <col min="12" max="12" width="2.7109375" customWidth="1"/>
    <col min="13" max="15" width="6" style="10" customWidth="1"/>
    <col min="16" max="16" width="18.7109375" customWidth="1"/>
    <col min="17" max="17" width="14.42578125" bestFit="1" customWidth="1"/>
  </cols>
  <sheetData>
    <row r="2" spans="1:17" s="22" customFormat="1" ht="30" x14ac:dyDescent="0.25">
      <c r="C2" s="23" t="s">
        <v>3</v>
      </c>
      <c r="D2" s="23" t="s">
        <v>4</v>
      </c>
      <c r="E2" s="23" t="s">
        <v>5</v>
      </c>
      <c r="F2" s="24"/>
      <c r="H2" s="22">
        <v>4934</v>
      </c>
      <c r="K2" s="41"/>
      <c r="M2" s="28"/>
      <c r="N2" s="28"/>
      <c r="O2" s="28"/>
    </row>
    <row r="3" spans="1:17" x14ac:dyDescent="0.25">
      <c r="B3" s="6" t="s">
        <v>0</v>
      </c>
      <c r="C3" s="13">
        <v>4120</v>
      </c>
      <c r="D3" s="14">
        <f>E3/C3</f>
        <v>84.174757281553397</v>
      </c>
      <c r="E3" s="14">
        <v>346800</v>
      </c>
      <c r="F3" s="19"/>
    </row>
    <row r="4" spans="1:17" x14ac:dyDescent="0.25">
      <c r="C4" s="10"/>
      <c r="D4" s="10"/>
      <c r="E4" s="10"/>
      <c r="F4" s="10"/>
      <c r="H4" s="8"/>
    </row>
    <row r="5" spans="1:17" x14ac:dyDescent="0.25">
      <c r="B5" s="6" t="s">
        <v>1</v>
      </c>
      <c r="C5" s="13">
        <f>C3-C16</f>
        <v>0</v>
      </c>
      <c r="D5" s="14">
        <f>D3</f>
        <v>84.174757281553397</v>
      </c>
      <c r="E5" s="14">
        <f>C5*D5</f>
        <v>0</v>
      </c>
      <c r="F5" s="19"/>
      <c r="H5" s="8"/>
    </row>
    <row r="8" spans="1:17" s="11" customFormat="1" x14ac:dyDescent="0.25">
      <c r="C8" s="15" t="s">
        <v>7</v>
      </c>
      <c r="D8" s="12" t="s">
        <v>8</v>
      </c>
      <c r="E8" s="12" t="s">
        <v>16</v>
      </c>
      <c r="F8" s="12" t="s">
        <v>17</v>
      </c>
      <c r="G8" s="12" t="s">
        <v>9</v>
      </c>
      <c r="H8" s="12" t="s">
        <v>10</v>
      </c>
      <c r="I8" s="12" t="s">
        <v>18</v>
      </c>
      <c r="J8" s="12" t="s">
        <v>15</v>
      </c>
      <c r="K8" s="18" t="s">
        <v>6</v>
      </c>
      <c r="M8" s="15" t="s">
        <v>7</v>
      </c>
      <c r="N8" s="15" t="s">
        <v>8</v>
      </c>
      <c r="O8" s="15" t="s">
        <v>16</v>
      </c>
      <c r="P8" s="25" t="s">
        <v>11</v>
      </c>
    </row>
    <row r="9" spans="1:17" s="46" customFormat="1" x14ac:dyDescent="0.25">
      <c r="A9" s="46">
        <v>176</v>
      </c>
      <c r="B9" s="30">
        <v>43678</v>
      </c>
      <c r="C9" s="31">
        <v>352</v>
      </c>
      <c r="D9" s="32">
        <v>1328</v>
      </c>
      <c r="E9" s="32">
        <v>952</v>
      </c>
      <c r="F9" s="33">
        <f t="shared" ref="F9:F13" si="0">$D$3</f>
        <v>84.174757281553397</v>
      </c>
      <c r="G9" s="33">
        <f t="shared" ref="G9:G12" si="1">C9*F9</f>
        <v>29629.514563106797</v>
      </c>
      <c r="H9" s="33">
        <f>D9*F9</f>
        <v>111784.07766990291</v>
      </c>
      <c r="I9" s="33">
        <f t="shared" ref="I9:I12" si="2">E9*F9</f>
        <v>80134.368932038837</v>
      </c>
      <c r="J9" s="34">
        <f>SUM(G9:I9)</f>
        <v>221547.96116504853</v>
      </c>
      <c r="K9" s="34">
        <f t="shared" ref="K9:K15" si="3">J9*89.85%</f>
        <v>199060.84310679609</v>
      </c>
      <c r="L9" s="51"/>
      <c r="M9" s="130"/>
      <c r="N9" s="130"/>
      <c r="O9" s="130"/>
      <c r="P9" s="50"/>
      <c r="Q9" s="101"/>
    </row>
    <row r="10" spans="1:17" s="46" customFormat="1" x14ac:dyDescent="0.25">
      <c r="B10" s="131" t="s">
        <v>103</v>
      </c>
      <c r="C10" s="31">
        <v>80</v>
      </c>
      <c r="D10" s="32">
        <v>280</v>
      </c>
      <c r="E10" s="32">
        <v>48</v>
      </c>
      <c r="F10" s="33">
        <f t="shared" si="0"/>
        <v>84.174757281553397</v>
      </c>
      <c r="G10" s="33">
        <f t="shared" ref="G10" si="4">C10*F10</f>
        <v>6733.980582524272</v>
      </c>
      <c r="H10" s="33">
        <f>D10*F10</f>
        <v>23568.932038834952</v>
      </c>
      <c r="I10" s="33">
        <f t="shared" ref="I10" si="5">E10*F10</f>
        <v>4040.3883495145628</v>
      </c>
      <c r="J10" s="34">
        <f>SUM(G10:I10)</f>
        <v>34343.300970873788</v>
      </c>
      <c r="K10" s="34">
        <f t="shared" ref="K10" si="6">J10*89.85%</f>
        <v>30857.455922330097</v>
      </c>
      <c r="L10" s="51"/>
      <c r="M10" s="130"/>
      <c r="N10" s="130"/>
      <c r="O10" s="130"/>
      <c r="P10" s="132">
        <v>255000</v>
      </c>
      <c r="Q10" s="101"/>
    </row>
    <row r="11" spans="1:17" x14ac:dyDescent="0.25">
      <c r="A11">
        <v>168</v>
      </c>
      <c r="B11" s="30">
        <v>43709</v>
      </c>
      <c r="C11" s="31">
        <v>336</v>
      </c>
      <c r="D11" s="32">
        <v>168</v>
      </c>
      <c r="E11" s="32"/>
      <c r="F11" s="33">
        <f t="shared" si="0"/>
        <v>84.174757281553397</v>
      </c>
      <c r="G11" s="33">
        <f t="shared" si="1"/>
        <v>28282.718446601943</v>
      </c>
      <c r="H11" s="33">
        <f>D11*F11</f>
        <v>14141.359223300971</v>
      </c>
      <c r="I11" s="33">
        <f t="shared" si="2"/>
        <v>0</v>
      </c>
      <c r="J11" s="34">
        <f t="shared" ref="J11:J14" si="7">SUM(G11:I11)</f>
        <v>42424.077669902916</v>
      </c>
      <c r="K11" s="34">
        <f t="shared" si="3"/>
        <v>38118.033786407766</v>
      </c>
      <c r="L11" s="51"/>
      <c r="M11" s="130"/>
      <c r="N11" s="130"/>
      <c r="O11" s="130"/>
      <c r="P11" s="132">
        <v>45900</v>
      </c>
      <c r="Q11" s="101"/>
    </row>
    <row r="12" spans="1:17" x14ac:dyDescent="0.25">
      <c r="A12">
        <v>184</v>
      </c>
      <c r="B12" s="30">
        <v>43739</v>
      </c>
      <c r="C12" s="31">
        <v>320</v>
      </c>
      <c r="D12" s="32">
        <f>184</f>
        <v>184</v>
      </c>
      <c r="E12" s="32"/>
      <c r="F12" s="33">
        <f t="shared" si="0"/>
        <v>84.174757281553397</v>
      </c>
      <c r="G12" s="33">
        <f t="shared" si="1"/>
        <v>26935.922330097088</v>
      </c>
      <c r="H12" s="33">
        <f>D12*F12</f>
        <v>15488.155339805826</v>
      </c>
      <c r="I12" s="33">
        <f t="shared" si="2"/>
        <v>0</v>
      </c>
      <c r="J12" s="34">
        <f t="shared" si="7"/>
        <v>42424.077669902916</v>
      </c>
      <c r="K12" s="34">
        <f t="shared" si="3"/>
        <v>38118.033786407766</v>
      </c>
      <c r="L12" s="51"/>
      <c r="M12" s="130"/>
      <c r="N12" s="130"/>
      <c r="O12" s="130"/>
      <c r="P12" s="34">
        <f>J15-P10-P11</f>
        <v>45900.000000000058</v>
      </c>
      <c r="Q12" s="101"/>
    </row>
    <row r="13" spans="1:17" x14ac:dyDescent="0.25">
      <c r="B13" s="30">
        <v>43770</v>
      </c>
      <c r="C13" s="151">
        <v>48</v>
      </c>
      <c r="D13" s="32">
        <v>24</v>
      </c>
      <c r="E13" s="32"/>
      <c r="F13" s="33">
        <f t="shared" si="0"/>
        <v>84.174757281553397</v>
      </c>
      <c r="G13" s="33">
        <f t="shared" ref="G13" si="8">C13*F13</f>
        <v>4040.3883495145628</v>
      </c>
      <c r="H13" s="33">
        <f>D13*F13</f>
        <v>2020.1941747572814</v>
      </c>
      <c r="I13" s="33">
        <f t="shared" ref="I13" si="9">E13*F13</f>
        <v>0</v>
      </c>
      <c r="J13" s="34">
        <f t="shared" ref="J13" si="10">SUM(G13:I13)</f>
        <v>6060.5825242718438</v>
      </c>
      <c r="K13" s="34">
        <f t="shared" si="3"/>
        <v>5445.4333980582514</v>
      </c>
      <c r="L13" s="51"/>
      <c r="M13" s="152"/>
      <c r="N13" s="152"/>
      <c r="O13" s="152"/>
      <c r="P13" s="34"/>
    </row>
    <row r="14" spans="1:17" x14ac:dyDescent="0.25">
      <c r="B14" s="2"/>
      <c r="C14" s="16"/>
      <c r="D14" s="3"/>
      <c r="E14" s="3"/>
      <c r="F14" s="2"/>
      <c r="G14" s="2"/>
      <c r="H14" s="2"/>
      <c r="I14" s="2"/>
      <c r="J14" s="102">
        <f t="shared" si="7"/>
        <v>0</v>
      </c>
      <c r="K14" s="27">
        <f t="shared" si="3"/>
        <v>0</v>
      </c>
      <c r="P14" s="27"/>
    </row>
    <row r="15" spans="1:17" x14ac:dyDescent="0.25">
      <c r="B15" s="6" t="s">
        <v>2</v>
      </c>
      <c r="C15" s="5">
        <f>SUM(C9:C14)</f>
        <v>1136</v>
      </c>
      <c r="D15" s="5">
        <f>SUM(D9:D14)</f>
        <v>1984</v>
      </c>
      <c r="E15" s="5">
        <f>SUM(E9:E14)</f>
        <v>1000</v>
      </c>
      <c r="F15" s="7"/>
      <c r="G15" s="7">
        <f>SUM(G9:G14)</f>
        <v>95622.524271844653</v>
      </c>
      <c r="H15" s="7">
        <f>SUM(H9:H14)</f>
        <v>167002.71844660194</v>
      </c>
      <c r="I15" s="7">
        <f>SUM(I9:I14)</f>
        <v>84174.757281553393</v>
      </c>
      <c r="J15" s="103">
        <f>SUM(J9:J14)</f>
        <v>346800.00000000006</v>
      </c>
      <c r="K15" s="20">
        <f t="shared" si="3"/>
        <v>311599.80000000005</v>
      </c>
      <c r="P15" s="21">
        <f>SUM(P9:P12)</f>
        <v>346800.00000000006</v>
      </c>
    </row>
    <row r="16" spans="1:17" x14ac:dyDescent="0.25">
      <c r="C16" s="214">
        <f>SUM(C15:E15)</f>
        <v>4120</v>
      </c>
      <c r="D16" s="214"/>
      <c r="E16" s="214"/>
      <c r="G16" s="215">
        <f>SUM(G15:I15)</f>
        <v>346800</v>
      </c>
      <c r="H16" s="215"/>
      <c r="I16" s="215"/>
    </row>
    <row r="17" spans="3:12" x14ac:dyDescent="0.25">
      <c r="L17" s="8"/>
    </row>
    <row r="18" spans="3:12" x14ac:dyDescent="0.25">
      <c r="D18" s="8"/>
      <c r="J18" s="8"/>
    </row>
    <row r="20" spans="3:12" x14ac:dyDescent="0.25">
      <c r="D20" s="10"/>
      <c r="G20" s="42"/>
      <c r="H20" s="8"/>
      <c r="I20" s="8"/>
    </row>
    <row r="21" spans="3:12" x14ac:dyDescent="0.25">
      <c r="C21" s="49"/>
      <c r="D21">
        <v>15</v>
      </c>
      <c r="E21">
        <v>3040</v>
      </c>
      <c r="G21" s="8">
        <f>E21*$D$3</f>
        <v>255891.26213592233</v>
      </c>
      <c r="H21" s="8"/>
    </row>
    <row r="22" spans="3:12" x14ac:dyDescent="0.25">
      <c r="D22">
        <v>3</v>
      </c>
      <c r="E22">
        <v>1080</v>
      </c>
      <c r="F22" s="58"/>
      <c r="G22" s="8">
        <f>E22*$D$3</f>
        <v>90908.737864077673</v>
      </c>
    </row>
    <row r="23" spans="3:12" x14ac:dyDescent="0.25">
      <c r="C23" s="48"/>
      <c r="D23" s="10"/>
    </row>
  </sheetData>
  <mergeCells count="2">
    <mergeCell ref="C16:E16"/>
    <mergeCell ref="G16:I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Q23"/>
  <sheetViews>
    <sheetView showGridLines="0" zoomScale="85" zoomScaleNormal="85" workbookViewId="0">
      <selection activeCell="J10" sqref="J10"/>
    </sheetView>
  </sheetViews>
  <sheetFormatPr defaultRowHeight="15" x14ac:dyDescent="0.25"/>
  <cols>
    <col min="1" max="1" width="6.28515625" customWidth="1"/>
    <col min="2" max="2" width="18.42578125" bestFit="1" customWidth="1"/>
    <col min="3" max="3" width="15.7109375" style="121" customWidth="1"/>
    <col min="4" max="5" width="15.7109375" customWidth="1"/>
    <col min="6" max="6" width="13.85546875" customWidth="1"/>
    <col min="7" max="9" width="14.140625" customWidth="1"/>
    <col min="10" max="11" width="15" customWidth="1"/>
    <col min="12" max="12" width="2.7109375" customWidth="1"/>
    <col min="13" max="15" width="6" style="10" customWidth="1"/>
    <col min="16" max="16" width="18.7109375" customWidth="1"/>
  </cols>
  <sheetData>
    <row r="2" spans="1:17" s="22" customFormat="1" ht="30" x14ac:dyDescent="0.25">
      <c r="C2" s="23" t="s">
        <v>3</v>
      </c>
      <c r="D2" s="23" t="s">
        <v>4</v>
      </c>
      <c r="E2" s="23" t="s">
        <v>5</v>
      </c>
      <c r="F2" s="24"/>
      <c r="H2" s="22">
        <v>4934</v>
      </c>
      <c r="K2" s="41"/>
      <c r="M2" s="28"/>
      <c r="N2" s="28"/>
      <c r="O2" s="28"/>
    </row>
    <row r="3" spans="1:17" x14ac:dyDescent="0.25">
      <c r="B3" s="6" t="s">
        <v>0</v>
      </c>
      <c r="C3" s="13">
        <v>3160</v>
      </c>
      <c r="D3" s="14">
        <f>E3/C3</f>
        <v>85</v>
      </c>
      <c r="E3" s="14">
        <v>268600</v>
      </c>
      <c r="F3" s="19"/>
    </row>
    <row r="4" spans="1:17" x14ac:dyDescent="0.25">
      <c r="C4" s="10"/>
      <c r="D4" s="10"/>
      <c r="E4" s="10"/>
      <c r="F4" s="10"/>
      <c r="H4" s="8"/>
    </row>
    <row r="5" spans="1:17" x14ac:dyDescent="0.25">
      <c r="B5" s="6" t="s">
        <v>1</v>
      </c>
      <c r="C5" s="13">
        <f>C3-C16</f>
        <v>0</v>
      </c>
      <c r="D5" s="14">
        <f>D3</f>
        <v>85</v>
      </c>
      <c r="E5" s="14">
        <f>C5*D5</f>
        <v>0</v>
      </c>
      <c r="F5" s="19"/>
      <c r="H5" s="8"/>
    </row>
    <row r="8" spans="1:17" s="11" customFormat="1" x14ac:dyDescent="0.25">
      <c r="B8" s="127"/>
      <c r="C8" s="128" t="s">
        <v>7</v>
      </c>
      <c r="D8" s="47" t="s">
        <v>8</v>
      </c>
      <c r="E8" s="47" t="s">
        <v>16</v>
      </c>
      <c r="F8" s="12" t="s">
        <v>17</v>
      </c>
      <c r="G8" s="12" t="s">
        <v>9</v>
      </c>
      <c r="H8" s="12" t="s">
        <v>10</v>
      </c>
      <c r="I8" s="12" t="s">
        <v>18</v>
      </c>
      <c r="J8" s="12" t="s">
        <v>15</v>
      </c>
      <c r="K8" s="18" t="s">
        <v>6</v>
      </c>
      <c r="M8" s="15" t="s">
        <v>7</v>
      </c>
      <c r="N8" s="15" t="s">
        <v>8</v>
      </c>
      <c r="O8" s="15" t="s">
        <v>16</v>
      </c>
      <c r="P8" s="25" t="s">
        <v>11</v>
      </c>
    </row>
    <row r="9" spans="1:17" s="46" customFormat="1" x14ac:dyDescent="0.25">
      <c r="A9">
        <v>168</v>
      </c>
      <c r="B9" s="129">
        <v>43709</v>
      </c>
      <c r="C9" s="98">
        <v>168</v>
      </c>
      <c r="D9" s="99">
        <v>1200</v>
      </c>
      <c r="E9" s="99">
        <v>960</v>
      </c>
      <c r="F9" s="122">
        <f t="shared" ref="F9:F10" si="0">$D$3</f>
        <v>85</v>
      </c>
      <c r="G9" s="122">
        <f t="shared" ref="G9:G10" si="1">C9*F9</f>
        <v>14280</v>
      </c>
      <c r="H9" s="122">
        <f>D9*F9</f>
        <v>102000</v>
      </c>
      <c r="I9" s="122">
        <f t="shared" ref="I9:I10" si="2">E9*F9</f>
        <v>81600</v>
      </c>
      <c r="J9" s="102">
        <f>SUM(G9:I9)</f>
        <v>197880</v>
      </c>
      <c r="K9" s="27">
        <f t="shared" ref="K9:K15" si="3">J9*89.85%</f>
        <v>177795.18</v>
      </c>
      <c r="M9" s="100"/>
      <c r="N9" s="100"/>
      <c r="O9" s="100"/>
      <c r="P9" s="101"/>
      <c r="Q9" s="101"/>
    </row>
    <row r="10" spans="1:17" s="46" customFormat="1" x14ac:dyDescent="0.25">
      <c r="A10">
        <v>184</v>
      </c>
      <c r="B10" s="9">
        <v>43739</v>
      </c>
      <c r="C10" s="98">
        <v>60</v>
      </c>
      <c r="D10" s="99">
        <v>400</v>
      </c>
      <c r="E10" s="99">
        <v>372</v>
      </c>
      <c r="F10" s="26">
        <f t="shared" si="0"/>
        <v>85</v>
      </c>
      <c r="G10" s="26">
        <f t="shared" si="1"/>
        <v>5100</v>
      </c>
      <c r="H10" s="26">
        <f>D10*F10</f>
        <v>34000</v>
      </c>
      <c r="I10" s="26">
        <f t="shared" si="2"/>
        <v>31620</v>
      </c>
      <c r="J10" s="102">
        <f>SUM(G10:I10)</f>
        <v>70720</v>
      </c>
      <c r="K10" s="27">
        <f t="shared" si="3"/>
        <v>63541.919999999998</v>
      </c>
      <c r="M10" s="100"/>
      <c r="N10" s="100"/>
      <c r="O10" s="100"/>
      <c r="P10" s="120">
        <f>J9+J10</f>
        <v>268600</v>
      </c>
      <c r="Q10" s="101"/>
    </row>
    <row r="11" spans="1:17" x14ac:dyDescent="0.25">
      <c r="B11" s="9"/>
      <c r="C11" s="17"/>
      <c r="D11" s="3"/>
      <c r="E11" s="3"/>
      <c r="F11" s="4"/>
      <c r="G11" s="4"/>
      <c r="H11" s="4"/>
      <c r="I11" s="26"/>
      <c r="J11" s="102"/>
      <c r="K11" s="27"/>
      <c r="M11" s="29"/>
      <c r="N11" s="29"/>
      <c r="O11" s="29"/>
    </row>
    <row r="12" spans="1:17" x14ac:dyDescent="0.25">
      <c r="B12" s="9"/>
      <c r="C12" s="17"/>
      <c r="D12" s="3"/>
      <c r="E12" s="3"/>
      <c r="F12" s="4"/>
      <c r="G12" s="4"/>
      <c r="H12" s="4"/>
      <c r="I12" s="26"/>
      <c r="J12" s="102"/>
      <c r="K12" s="27"/>
      <c r="M12" s="29"/>
      <c r="N12" s="29"/>
      <c r="O12" s="29"/>
      <c r="P12" s="8"/>
      <c r="Q12" s="8"/>
    </row>
    <row r="13" spans="1:17" x14ac:dyDescent="0.25">
      <c r="B13" s="2"/>
      <c r="C13" s="16"/>
      <c r="D13" s="3"/>
      <c r="E13" s="3"/>
      <c r="F13" s="4"/>
      <c r="G13" s="4"/>
      <c r="H13" s="4"/>
      <c r="I13" s="4"/>
      <c r="J13" s="102">
        <f t="shared" ref="J13:J14" si="4">SUM(G13:I13)</f>
        <v>0</v>
      </c>
      <c r="K13" s="27">
        <f t="shared" si="3"/>
        <v>0</v>
      </c>
    </row>
    <row r="14" spans="1:17" x14ac:dyDescent="0.25">
      <c r="B14" s="2"/>
      <c r="C14" s="16"/>
      <c r="D14" s="3"/>
      <c r="E14" s="3"/>
      <c r="F14" s="2"/>
      <c r="G14" s="2"/>
      <c r="H14" s="2"/>
      <c r="I14" s="2"/>
      <c r="J14" s="102">
        <f t="shared" si="4"/>
        <v>0</v>
      </c>
      <c r="K14" s="27">
        <f t="shared" si="3"/>
        <v>0</v>
      </c>
    </row>
    <row r="15" spans="1:17" x14ac:dyDescent="0.25">
      <c r="B15" s="6" t="s">
        <v>2</v>
      </c>
      <c r="C15" s="5">
        <f>SUM(C9:C14)</f>
        <v>228</v>
      </c>
      <c r="D15" s="5">
        <f>SUM(D9:D14)</f>
        <v>1600</v>
      </c>
      <c r="E15" s="5">
        <f>SUM(E9:E14)</f>
        <v>1332</v>
      </c>
      <c r="F15" s="7"/>
      <c r="G15" s="7">
        <f>SUM(G9:G14)</f>
        <v>19380</v>
      </c>
      <c r="H15" s="7">
        <f>SUM(H9:H14)</f>
        <v>136000</v>
      </c>
      <c r="I15" s="7">
        <f>SUM(I9:I14)</f>
        <v>113220</v>
      </c>
      <c r="J15" s="103">
        <f>SUM(J9:J14)</f>
        <v>268600</v>
      </c>
      <c r="K15" s="20">
        <f t="shared" si="3"/>
        <v>241337.09999999998</v>
      </c>
      <c r="P15" s="21">
        <f>SUM(P9:P12)</f>
        <v>268600</v>
      </c>
    </row>
    <row r="16" spans="1:17" x14ac:dyDescent="0.25">
      <c r="C16" s="214">
        <f>SUM(C15:E15)</f>
        <v>3160</v>
      </c>
      <c r="D16" s="214"/>
      <c r="E16" s="214"/>
      <c r="G16" s="215">
        <f>SUM(G15:I15)</f>
        <v>268600</v>
      </c>
      <c r="H16" s="215"/>
      <c r="I16" s="215"/>
    </row>
    <row r="17" spans="3:12" x14ac:dyDescent="0.25">
      <c r="L17" s="8"/>
    </row>
    <row r="18" spans="3:12" x14ac:dyDescent="0.25">
      <c r="D18" s="8"/>
      <c r="J18" s="8"/>
    </row>
    <row r="20" spans="3:12" x14ac:dyDescent="0.25">
      <c r="D20" s="10"/>
      <c r="G20" s="42"/>
      <c r="H20" s="8"/>
      <c r="I20" s="8"/>
      <c r="J20">
        <v>163200</v>
      </c>
    </row>
    <row r="21" spans="3:12" x14ac:dyDescent="0.25">
      <c r="C21" s="49"/>
      <c r="D21">
        <v>15</v>
      </c>
      <c r="E21">
        <v>3040</v>
      </c>
      <c r="G21" s="8">
        <f>E21*$D$3</f>
        <v>258400</v>
      </c>
      <c r="H21" s="8"/>
    </row>
    <row r="22" spans="3:12" x14ac:dyDescent="0.25">
      <c r="D22">
        <v>3</v>
      </c>
      <c r="E22">
        <v>1080</v>
      </c>
      <c r="F22" s="58"/>
      <c r="G22" s="8">
        <f>E22*$D$3</f>
        <v>91800</v>
      </c>
    </row>
    <row r="23" spans="3:12" x14ac:dyDescent="0.25">
      <c r="C23" s="48"/>
      <c r="D23" s="10"/>
    </row>
  </sheetData>
  <mergeCells count="2">
    <mergeCell ref="C16:E16"/>
    <mergeCell ref="G16:I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Q23"/>
  <sheetViews>
    <sheetView showGridLines="0" workbookViewId="0">
      <selection activeCell="C9" sqref="C9"/>
    </sheetView>
  </sheetViews>
  <sheetFormatPr defaultRowHeight="15" x14ac:dyDescent="0.25"/>
  <cols>
    <col min="1" max="1" width="6.28515625" customWidth="1"/>
    <col min="2" max="2" width="18.42578125" bestFit="1" customWidth="1"/>
    <col min="3" max="3" width="15.7109375" style="143" customWidth="1"/>
    <col min="4" max="5" width="15.7109375" customWidth="1"/>
    <col min="6" max="6" width="13.85546875" customWidth="1"/>
    <col min="7" max="9" width="14.140625" customWidth="1"/>
    <col min="10" max="11" width="15" customWidth="1"/>
    <col min="12" max="12" width="2.7109375" customWidth="1"/>
    <col min="13" max="15" width="6" style="10" customWidth="1"/>
    <col min="16" max="16" width="18.7109375" customWidth="1"/>
  </cols>
  <sheetData>
    <row r="2" spans="1:17" s="22" customFormat="1" ht="30" x14ac:dyDescent="0.25">
      <c r="C2" s="23" t="s">
        <v>3</v>
      </c>
      <c r="D2" s="23" t="s">
        <v>4</v>
      </c>
      <c r="E2" s="23" t="s">
        <v>5</v>
      </c>
      <c r="F2" s="24"/>
      <c r="H2" s="22">
        <v>4934</v>
      </c>
      <c r="K2" s="41"/>
      <c r="M2" s="28"/>
      <c r="N2" s="28"/>
      <c r="O2" s="28"/>
    </row>
    <row r="3" spans="1:17" x14ac:dyDescent="0.25">
      <c r="B3" s="6" t="s">
        <v>0</v>
      </c>
      <c r="C3" s="13">
        <v>2936</v>
      </c>
      <c r="D3" s="14">
        <f>E3/C3</f>
        <v>85</v>
      </c>
      <c r="E3" s="14">
        <v>249560</v>
      </c>
      <c r="F3" s="19"/>
    </row>
    <row r="4" spans="1:17" x14ac:dyDescent="0.25">
      <c r="C4" s="10"/>
      <c r="D4" s="10"/>
      <c r="E4" s="10"/>
      <c r="F4" s="10"/>
      <c r="H4" s="8"/>
    </row>
    <row r="5" spans="1:17" x14ac:dyDescent="0.25">
      <c r="B5" s="6" t="s">
        <v>1</v>
      </c>
      <c r="C5" s="13">
        <f>C3-C16</f>
        <v>0</v>
      </c>
      <c r="D5" s="14">
        <f>D3</f>
        <v>85</v>
      </c>
      <c r="E5" s="14">
        <f>C5*D5</f>
        <v>0</v>
      </c>
      <c r="F5" s="19"/>
      <c r="H5" s="8"/>
    </row>
    <row r="8" spans="1:17" s="11" customFormat="1" x14ac:dyDescent="0.25">
      <c r="B8" s="127"/>
      <c r="C8" s="128" t="s">
        <v>7</v>
      </c>
      <c r="D8" s="47" t="s">
        <v>8</v>
      </c>
      <c r="E8" s="47" t="s">
        <v>16</v>
      </c>
      <c r="F8" s="12" t="s">
        <v>17</v>
      </c>
      <c r="G8" s="12" t="s">
        <v>9</v>
      </c>
      <c r="H8" s="12" t="s">
        <v>10</v>
      </c>
      <c r="I8" s="12" t="s">
        <v>18</v>
      </c>
      <c r="J8" s="12" t="s">
        <v>15</v>
      </c>
      <c r="K8" s="18" t="s">
        <v>6</v>
      </c>
      <c r="M8" s="15" t="s">
        <v>7</v>
      </c>
      <c r="N8" s="15" t="s">
        <v>8</v>
      </c>
      <c r="O8" s="15" t="s">
        <v>16</v>
      </c>
      <c r="P8" s="25" t="s">
        <v>11</v>
      </c>
    </row>
    <row r="9" spans="1:17" s="46" customFormat="1" x14ac:dyDescent="0.25">
      <c r="A9">
        <v>184</v>
      </c>
      <c r="B9" s="9">
        <v>43739</v>
      </c>
      <c r="C9" s="98">
        <f>14*8*3</f>
        <v>336</v>
      </c>
      <c r="D9" s="99">
        <f>14*6*8</f>
        <v>672</v>
      </c>
      <c r="E9" s="99">
        <f>14*8*5</f>
        <v>560</v>
      </c>
      <c r="F9" s="26">
        <f t="shared" ref="F9:F10" si="0">$D$3</f>
        <v>85</v>
      </c>
      <c r="G9" s="26">
        <f t="shared" ref="G9:G10" si="1">C9*F9</f>
        <v>28560</v>
      </c>
      <c r="H9" s="26">
        <f>D9*F9</f>
        <v>57120</v>
      </c>
      <c r="I9" s="26">
        <f t="shared" ref="I9:I10" si="2">E9*F9</f>
        <v>47600</v>
      </c>
      <c r="J9" s="102">
        <f>SUM(G9:I9)</f>
        <v>133280</v>
      </c>
      <c r="K9" s="27">
        <f t="shared" ref="K9:K15" si="3">J9*89.85%</f>
        <v>119752.08</v>
      </c>
      <c r="M9" s="100"/>
      <c r="N9" s="100"/>
      <c r="O9" s="100"/>
      <c r="P9" s="101"/>
      <c r="Q9" s="101"/>
    </row>
    <row r="10" spans="1:17" s="46" customFormat="1" x14ac:dyDescent="0.25">
      <c r="A10">
        <v>152</v>
      </c>
      <c r="B10" s="9">
        <v>43770</v>
      </c>
      <c r="C10" s="98">
        <v>312</v>
      </c>
      <c r="D10" s="99">
        <v>576</v>
      </c>
      <c r="E10" s="99">
        <v>480</v>
      </c>
      <c r="F10" s="26">
        <f t="shared" si="0"/>
        <v>85</v>
      </c>
      <c r="G10" s="26">
        <f t="shared" si="1"/>
        <v>26520</v>
      </c>
      <c r="H10" s="26">
        <f>D10*F10</f>
        <v>48960</v>
      </c>
      <c r="I10" s="26">
        <f t="shared" si="2"/>
        <v>40800</v>
      </c>
      <c r="J10" s="102">
        <f>SUM(G10:I10)</f>
        <v>116280</v>
      </c>
      <c r="K10" s="27">
        <f t="shared" si="3"/>
        <v>104477.58</v>
      </c>
      <c r="M10" s="100"/>
      <c r="N10" s="100"/>
      <c r="O10" s="100"/>
      <c r="P10" s="120">
        <f>J9+J10</f>
        <v>249560</v>
      </c>
      <c r="Q10" s="101"/>
    </row>
    <row r="11" spans="1:17" x14ac:dyDescent="0.25">
      <c r="B11" s="9"/>
      <c r="C11" s="17"/>
      <c r="D11" s="3"/>
      <c r="E11" s="3"/>
      <c r="F11" s="4"/>
      <c r="G11" s="4"/>
      <c r="H11" s="4"/>
      <c r="I11" s="26"/>
      <c r="J11" s="102"/>
      <c r="K11" s="27"/>
      <c r="M11" s="29"/>
      <c r="N11" s="29"/>
      <c r="O11" s="29"/>
    </row>
    <row r="12" spans="1:17" x14ac:dyDescent="0.25">
      <c r="B12" s="9"/>
      <c r="C12" s="17"/>
      <c r="D12" s="3"/>
      <c r="E12" s="3"/>
      <c r="F12" s="4"/>
      <c r="G12" s="4"/>
      <c r="H12" s="4"/>
      <c r="I12" s="26"/>
      <c r="J12" s="102"/>
      <c r="K12" s="27"/>
      <c r="M12" s="29"/>
      <c r="N12" s="29"/>
      <c r="O12" s="29"/>
      <c r="P12" s="8"/>
      <c r="Q12" s="8"/>
    </row>
    <row r="13" spans="1:17" x14ac:dyDescent="0.25">
      <c r="B13" s="2"/>
      <c r="C13" s="16"/>
      <c r="D13" s="3"/>
      <c r="E13" s="3"/>
      <c r="F13" s="4"/>
      <c r="G13" s="4"/>
      <c r="H13" s="4"/>
      <c r="I13" s="4"/>
      <c r="J13" s="102">
        <f t="shared" ref="J13:J14" si="4">SUM(G13:I13)</f>
        <v>0</v>
      </c>
      <c r="K13" s="27">
        <f t="shared" si="3"/>
        <v>0</v>
      </c>
    </row>
    <row r="14" spans="1:17" x14ac:dyDescent="0.25">
      <c r="B14" s="2"/>
      <c r="C14" s="16"/>
      <c r="D14" s="3"/>
      <c r="E14" s="3"/>
      <c r="F14" s="2"/>
      <c r="G14" s="2"/>
      <c r="H14" s="2"/>
      <c r="I14" s="2"/>
      <c r="J14" s="102">
        <f t="shared" si="4"/>
        <v>0</v>
      </c>
      <c r="K14" s="27">
        <f t="shared" si="3"/>
        <v>0</v>
      </c>
    </row>
    <row r="15" spans="1:17" x14ac:dyDescent="0.25">
      <c r="B15" s="6" t="s">
        <v>2</v>
      </c>
      <c r="C15" s="5">
        <f>SUM(C9:C14)</f>
        <v>648</v>
      </c>
      <c r="D15" s="5">
        <f>SUM(D9:D14)</f>
        <v>1248</v>
      </c>
      <c r="E15" s="5">
        <f>SUM(E9:E14)</f>
        <v>1040</v>
      </c>
      <c r="F15" s="7"/>
      <c r="G15" s="7">
        <f>SUM(G9:G14)</f>
        <v>55080</v>
      </c>
      <c r="H15" s="7">
        <f>SUM(H9:H14)</f>
        <v>106080</v>
      </c>
      <c r="I15" s="7">
        <f>SUM(I9:I14)</f>
        <v>88400</v>
      </c>
      <c r="J15" s="103">
        <f>SUM(J9:J14)</f>
        <v>249560</v>
      </c>
      <c r="K15" s="20">
        <f t="shared" si="3"/>
        <v>224229.66</v>
      </c>
      <c r="P15" s="21">
        <f>SUM(P9:P12)</f>
        <v>249560</v>
      </c>
    </row>
    <row r="16" spans="1:17" x14ac:dyDescent="0.25">
      <c r="C16" s="214">
        <f>SUM(C15:E15)</f>
        <v>2936</v>
      </c>
      <c r="D16" s="214"/>
      <c r="E16" s="214"/>
      <c r="G16" s="215">
        <f>SUM(G15:I15)</f>
        <v>249560</v>
      </c>
      <c r="H16" s="215"/>
      <c r="I16" s="215"/>
    </row>
    <row r="17" spans="3:12" x14ac:dyDescent="0.25">
      <c r="L17" s="8"/>
    </row>
    <row r="18" spans="3:12" x14ac:dyDescent="0.25">
      <c r="D18" s="8"/>
      <c r="J18" s="8"/>
    </row>
    <row r="20" spans="3:12" x14ac:dyDescent="0.25">
      <c r="D20" s="10"/>
      <c r="G20" s="42"/>
      <c r="H20" s="8"/>
      <c r="I20" s="8"/>
      <c r="J20">
        <v>163200</v>
      </c>
    </row>
    <row r="21" spans="3:12" x14ac:dyDescent="0.25">
      <c r="C21" s="49"/>
      <c r="D21">
        <v>15</v>
      </c>
      <c r="E21">
        <v>3040</v>
      </c>
      <c r="G21" s="8">
        <f>E21*$D$3</f>
        <v>258400</v>
      </c>
      <c r="H21" s="8"/>
    </row>
    <row r="22" spans="3:12" x14ac:dyDescent="0.25">
      <c r="D22">
        <v>3</v>
      </c>
      <c r="E22">
        <v>1080</v>
      </c>
      <c r="F22" s="58"/>
      <c r="G22" s="8">
        <f>E22*$D$3</f>
        <v>91800</v>
      </c>
    </row>
    <row r="23" spans="3:12" x14ac:dyDescent="0.25">
      <c r="C23" s="48"/>
      <c r="D23" s="10"/>
    </row>
  </sheetData>
  <mergeCells count="2">
    <mergeCell ref="C16:E16"/>
    <mergeCell ref="G16:I1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4CBE6-F649-47D1-94C1-07285C763365}">
  <dimension ref="A2:Q23"/>
  <sheetViews>
    <sheetView showGridLines="0" workbookViewId="0">
      <selection activeCell="J9" sqref="J9"/>
    </sheetView>
  </sheetViews>
  <sheetFormatPr defaultRowHeight="15" x14ac:dyDescent="0.25"/>
  <cols>
    <col min="1" max="1" width="6.28515625" customWidth="1"/>
    <col min="2" max="2" width="18.42578125" bestFit="1" customWidth="1"/>
    <col min="3" max="3" width="15.7109375" style="160" customWidth="1"/>
    <col min="4" max="5" width="15.7109375" customWidth="1"/>
    <col min="6" max="6" width="13.85546875" customWidth="1"/>
    <col min="7" max="9" width="14.140625" customWidth="1"/>
    <col min="10" max="11" width="15" customWidth="1"/>
    <col min="12" max="12" width="2.7109375" customWidth="1"/>
    <col min="13" max="15" width="6" style="10" customWidth="1"/>
    <col min="16" max="16" width="18.7109375" customWidth="1"/>
  </cols>
  <sheetData>
    <row r="2" spans="1:17" s="22" customFormat="1" ht="30" x14ac:dyDescent="0.25">
      <c r="C2" s="23" t="s">
        <v>3</v>
      </c>
      <c r="D2" s="23" t="s">
        <v>4</v>
      </c>
      <c r="E2" s="23" t="s">
        <v>5</v>
      </c>
      <c r="F2" s="24"/>
      <c r="H2" s="22">
        <v>4934</v>
      </c>
      <c r="K2" s="41"/>
      <c r="M2" s="28"/>
      <c r="N2" s="28"/>
      <c r="O2" s="28"/>
    </row>
    <row r="3" spans="1:17" x14ac:dyDescent="0.25">
      <c r="B3" s="6" t="s">
        <v>0</v>
      </c>
      <c r="C3" s="13">
        <v>1680</v>
      </c>
      <c r="D3" s="14">
        <f>E3/C3</f>
        <v>85</v>
      </c>
      <c r="E3" s="14">
        <v>142800</v>
      </c>
      <c r="F3" s="19"/>
    </row>
    <row r="4" spans="1:17" x14ac:dyDescent="0.25">
      <c r="C4" s="10"/>
      <c r="D4" s="10"/>
      <c r="E4" s="10"/>
      <c r="F4" s="10"/>
      <c r="H4" s="8"/>
    </row>
    <row r="5" spans="1:17" x14ac:dyDescent="0.25">
      <c r="B5" s="6" t="s">
        <v>1</v>
      </c>
      <c r="C5" s="13">
        <f>C3-C16</f>
        <v>0</v>
      </c>
      <c r="D5" s="14">
        <f>D3</f>
        <v>85</v>
      </c>
      <c r="E5" s="14">
        <f>C5*D5</f>
        <v>0</v>
      </c>
      <c r="F5" s="19"/>
      <c r="H5" s="8"/>
    </row>
    <row r="8" spans="1:17" s="11" customFormat="1" x14ac:dyDescent="0.25">
      <c r="B8" s="127"/>
      <c r="C8" s="128" t="s">
        <v>7</v>
      </c>
      <c r="D8" s="47" t="s">
        <v>8</v>
      </c>
      <c r="E8" s="47" t="s">
        <v>16</v>
      </c>
      <c r="F8" s="12" t="s">
        <v>17</v>
      </c>
      <c r="G8" s="12" t="s">
        <v>9</v>
      </c>
      <c r="H8" s="12" t="s">
        <v>10</v>
      </c>
      <c r="I8" s="12" t="s">
        <v>18</v>
      </c>
      <c r="J8" s="12" t="s">
        <v>15</v>
      </c>
      <c r="K8" s="18" t="s">
        <v>6</v>
      </c>
      <c r="M8" s="15" t="s">
        <v>7</v>
      </c>
      <c r="N8" s="15" t="s">
        <v>8</v>
      </c>
      <c r="O8" s="15" t="s">
        <v>16</v>
      </c>
      <c r="P8" s="25" t="s">
        <v>11</v>
      </c>
    </row>
    <row r="9" spans="1:17" s="46" customFormat="1" x14ac:dyDescent="0.25">
      <c r="A9">
        <v>80</v>
      </c>
      <c r="B9" s="9">
        <v>43770</v>
      </c>
      <c r="C9" s="98">
        <v>0</v>
      </c>
      <c r="D9" s="99">
        <f>40+32+24</f>
        <v>96</v>
      </c>
      <c r="E9" s="99">
        <f>40</f>
        <v>40</v>
      </c>
      <c r="F9" s="26">
        <f t="shared" ref="F9:F11" si="0">$D$3</f>
        <v>85</v>
      </c>
      <c r="G9" s="26">
        <f t="shared" ref="G9:G11" si="1">C9*F9</f>
        <v>0</v>
      </c>
      <c r="H9" s="26">
        <f>D9*F9</f>
        <v>8160</v>
      </c>
      <c r="I9" s="26">
        <f t="shared" ref="I9:I11" si="2">E9*F9</f>
        <v>3400</v>
      </c>
      <c r="J9" s="102">
        <f>SUM(G9:I9)</f>
        <v>11560</v>
      </c>
      <c r="K9" s="27">
        <f t="shared" ref="K9:K15" si="3">J9*89.85%</f>
        <v>10386.66</v>
      </c>
      <c r="M9" s="100"/>
      <c r="N9" s="100"/>
      <c r="O9" s="100"/>
      <c r="P9" s="101"/>
      <c r="Q9" s="101"/>
    </row>
    <row r="10" spans="1:17" s="46" customFormat="1" x14ac:dyDescent="0.25">
      <c r="A10">
        <v>160</v>
      </c>
      <c r="B10" s="9">
        <v>43800</v>
      </c>
      <c r="C10" s="98">
        <v>160</v>
      </c>
      <c r="D10" s="99">
        <f>3*160</f>
        <v>480</v>
      </c>
      <c r="E10" s="99">
        <v>160</v>
      </c>
      <c r="F10" s="26">
        <f t="shared" si="0"/>
        <v>85</v>
      </c>
      <c r="G10" s="26">
        <f t="shared" si="1"/>
        <v>13600</v>
      </c>
      <c r="H10" s="26">
        <f>D10*F10</f>
        <v>40800</v>
      </c>
      <c r="I10" s="26">
        <f t="shared" si="2"/>
        <v>13600</v>
      </c>
      <c r="J10" s="102">
        <f>SUM(G10:I10)</f>
        <v>68000</v>
      </c>
      <c r="K10" s="27">
        <f t="shared" si="3"/>
        <v>61098</v>
      </c>
      <c r="M10" s="100"/>
      <c r="N10" s="100"/>
      <c r="O10" s="100"/>
      <c r="P10" s="120">
        <f>J9+J10</f>
        <v>79560</v>
      </c>
      <c r="Q10" s="101"/>
    </row>
    <row r="11" spans="1:17" x14ac:dyDescent="0.25">
      <c r="A11">
        <v>168</v>
      </c>
      <c r="B11" s="9">
        <v>43831</v>
      </c>
      <c r="C11" s="98">
        <v>148</v>
      </c>
      <c r="D11" s="99">
        <v>448</v>
      </c>
      <c r="E11" s="99">
        <v>148</v>
      </c>
      <c r="F11" s="26">
        <f t="shared" si="0"/>
        <v>85</v>
      </c>
      <c r="G11" s="26">
        <f t="shared" si="1"/>
        <v>12580</v>
      </c>
      <c r="H11" s="26">
        <f>D11*F11</f>
        <v>38080</v>
      </c>
      <c r="I11" s="26">
        <f t="shared" si="2"/>
        <v>12580</v>
      </c>
      <c r="J11" s="102">
        <f>SUM(G11:I11)</f>
        <v>63240</v>
      </c>
      <c r="K11" s="27"/>
      <c r="M11" s="29"/>
      <c r="N11" s="29"/>
      <c r="O11" s="29"/>
    </row>
    <row r="12" spans="1:17" x14ac:dyDescent="0.25">
      <c r="B12" s="9"/>
      <c r="C12" s="17"/>
      <c r="D12" s="3"/>
      <c r="E12" s="3"/>
      <c r="F12" s="4"/>
      <c r="G12" s="4"/>
      <c r="H12" s="4"/>
      <c r="I12" s="26"/>
      <c r="J12" s="102"/>
      <c r="K12" s="27"/>
      <c r="M12" s="29"/>
      <c r="N12" s="29"/>
      <c r="O12" s="29"/>
      <c r="P12" s="8"/>
      <c r="Q12" s="8"/>
    </row>
    <row r="13" spans="1:17" x14ac:dyDescent="0.25">
      <c r="B13" s="2"/>
      <c r="C13" s="16"/>
      <c r="D13" s="3"/>
      <c r="E13" s="3"/>
      <c r="F13" s="4"/>
      <c r="G13" s="4"/>
      <c r="H13" s="4"/>
      <c r="I13" s="4"/>
      <c r="J13" s="102">
        <f t="shared" ref="J13:J14" si="4">SUM(G13:I13)</f>
        <v>0</v>
      </c>
      <c r="K13" s="27">
        <f t="shared" si="3"/>
        <v>0</v>
      </c>
    </row>
    <row r="14" spans="1:17" x14ac:dyDescent="0.25">
      <c r="B14" s="2"/>
      <c r="C14" s="16"/>
      <c r="D14" s="3"/>
      <c r="E14" s="3"/>
      <c r="F14" s="2"/>
      <c r="G14" s="2"/>
      <c r="H14" s="2"/>
      <c r="I14" s="2"/>
      <c r="J14" s="102">
        <f t="shared" si="4"/>
        <v>0</v>
      </c>
      <c r="K14" s="27">
        <f t="shared" si="3"/>
        <v>0</v>
      </c>
    </row>
    <row r="15" spans="1:17" x14ac:dyDescent="0.25">
      <c r="B15" s="6" t="s">
        <v>2</v>
      </c>
      <c r="C15" s="5">
        <f>SUM(C9:C14)</f>
        <v>308</v>
      </c>
      <c r="D15" s="5">
        <f>SUM(D9:D14)</f>
        <v>1024</v>
      </c>
      <c r="E15" s="5">
        <f>SUM(E9:E14)</f>
        <v>348</v>
      </c>
      <c r="F15" s="7"/>
      <c r="G15" s="7">
        <f>SUM(G9:G14)</f>
        <v>26180</v>
      </c>
      <c r="H15" s="7">
        <f>SUM(H9:H14)</f>
        <v>87040</v>
      </c>
      <c r="I15" s="7">
        <f>SUM(I9:I14)</f>
        <v>29580</v>
      </c>
      <c r="J15" s="103">
        <f>SUM(J9:J14)</f>
        <v>142800</v>
      </c>
      <c r="K15" s="20">
        <f t="shared" si="3"/>
        <v>128305.79999999999</v>
      </c>
      <c r="P15" s="21">
        <f>SUM(P9:P12)</f>
        <v>79560</v>
      </c>
    </row>
    <row r="16" spans="1:17" x14ac:dyDescent="0.25">
      <c r="C16" s="214">
        <f>SUM(C15:E15)</f>
        <v>1680</v>
      </c>
      <c r="D16" s="214"/>
      <c r="E16" s="214"/>
      <c r="G16" s="215">
        <f>SUM(G15:I15)</f>
        <v>142800</v>
      </c>
      <c r="H16" s="215"/>
      <c r="I16" s="215"/>
    </row>
    <row r="17" spans="3:12" x14ac:dyDescent="0.25">
      <c r="L17" s="8"/>
    </row>
    <row r="18" spans="3:12" x14ac:dyDescent="0.25">
      <c r="D18" s="8"/>
      <c r="J18" s="8"/>
    </row>
    <row r="20" spans="3:12" x14ac:dyDescent="0.25">
      <c r="D20" s="10"/>
      <c r="G20" s="42"/>
      <c r="H20" s="8"/>
      <c r="I20" s="8"/>
      <c r="J20">
        <v>163200</v>
      </c>
    </row>
    <row r="21" spans="3:12" x14ac:dyDescent="0.25">
      <c r="C21" s="49"/>
      <c r="D21">
        <v>15</v>
      </c>
      <c r="E21">
        <v>3040</v>
      </c>
      <c r="G21" s="8">
        <f>E21*$D$3</f>
        <v>258400</v>
      </c>
      <c r="H21" s="8"/>
    </row>
    <row r="22" spans="3:12" x14ac:dyDescent="0.25">
      <c r="D22">
        <v>3</v>
      </c>
      <c r="E22">
        <v>1080</v>
      </c>
      <c r="F22" s="58"/>
      <c r="G22" s="8">
        <f>E22*$D$3</f>
        <v>91800</v>
      </c>
    </row>
    <row r="23" spans="3:12" x14ac:dyDescent="0.25">
      <c r="C23" s="48"/>
      <c r="D23" s="10"/>
    </row>
  </sheetData>
  <mergeCells count="2">
    <mergeCell ref="C16:E16"/>
    <mergeCell ref="G16:I16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B4426-BBAE-402C-A299-10442A385FAB}">
  <dimension ref="A1:Y25"/>
  <sheetViews>
    <sheetView showGridLines="0" workbookViewId="0">
      <selection activeCell="I16" sqref="I16"/>
    </sheetView>
  </sheetViews>
  <sheetFormatPr defaultRowHeight="15" x14ac:dyDescent="0.25"/>
  <cols>
    <col min="1" max="1" width="4" bestFit="1" customWidth="1"/>
    <col min="2" max="2" width="18.42578125" bestFit="1" customWidth="1"/>
    <col min="3" max="3" width="10.85546875" style="165" bestFit="1" customWidth="1"/>
    <col min="4" max="4" width="9.5703125" bestFit="1" customWidth="1"/>
    <col min="5" max="5" width="15.5703125" bestFit="1" customWidth="1"/>
    <col min="6" max="6" width="9.5703125" bestFit="1" customWidth="1"/>
    <col min="7" max="8" width="14.28515625" bestFit="1" customWidth="1"/>
    <col min="9" max="9" width="13.28515625" bestFit="1" customWidth="1"/>
    <col min="10" max="11" width="14.28515625" bestFit="1" customWidth="1"/>
    <col min="12" max="12" width="2.7109375" customWidth="1"/>
    <col min="13" max="13" width="6.7109375" style="10" bestFit="1" customWidth="1"/>
    <col min="14" max="14" width="6.140625" style="10" bestFit="1" customWidth="1"/>
    <col min="15" max="15" width="6.42578125" style="10" bestFit="1" customWidth="1"/>
    <col min="16" max="16" width="14.28515625" bestFit="1" customWidth="1"/>
    <col min="19" max="19" width="69.7109375" bestFit="1" customWidth="1"/>
    <col min="20" max="20" width="12.7109375" bestFit="1" customWidth="1"/>
    <col min="21" max="21" width="14.42578125" bestFit="1" customWidth="1"/>
    <col min="22" max="22" width="37.5703125" bestFit="1" customWidth="1"/>
    <col min="23" max="23" width="6.7109375" bestFit="1" customWidth="1"/>
    <col min="24" max="24" width="16" bestFit="1" customWidth="1"/>
    <col min="25" max="25" width="15.7109375" bestFit="1" customWidth="1"/>
  </cols>
  <sheetData>
    <row r="1" spans="1:25" ht="15.75" thickBot="1" x14ac:dyDescent="0.3"/>
    <row r="2" spans="1:25" s="22" customFormat="1" ht="30" x14ac:dyDescent="0.25">
      <c r="C2" s="23" t="s">
        <v>3</v>
      </c>
      <c r="D2" s="23" t="s">
        <v>4</v>
      </c>
      <c r="E2" s="23" t="s">
        <v>5</v>
      </c>
      <c r="F2" s="24"/>
      <c r="H2" s="22">
        <v>4934</v>
      </c>
      <c r="K2" s="41"/>
      <c r="M2" s="28"/>
      <c r="N2" s="28"/>
      <c r="O2" s="28"/>
      <c r="S2" s="177" t="s">
        <v>82</v>
      </c>
      <c r="T2" s="178" t="s">
        <v>119</v>
      </c>
      <c r="U2" s="178" t="s">
        <v>120</v>
      </c>
      <c r="V2" s="178" t="s">
        <v>33</v>
      </c>
      <c r="W2" s="178" t="s">
        <v>121</v>
      </c>
      <c r="X2" s="178" t="s">
        <v>122</v>
      </c>
      <c r="Y2" s="179" t="s">
        <v>123</v>
      </c>
    </row>
    <row r="3" spans="1:25" x14ac:dyDescent="0.25">
      <c r="B3" s="6" t="s">
        <v>0</v>
      </c>
      <c r="C3" s="13">
        <v>2284</v>
      </c>
      <c r="D3" s="14">
        <f>E3/C3</f>
        <v>85</v>
      </c>
      <c r="E3" s="14">
        <v>194140</v>
      </c>
      <c r="F3" s="19"/>
      <c r="S3" s="180" t="s">
        <v>124</v>
      </c>
      <c r="T3" s="181">
        <v>14280</v>
      </c>
      <c r="U3" s="16">
        <v>168</v>
      </c>
      <c r="V3" s="2" t="s">
        <v>125</v>
      </c>
      <c r="W3" s="2" t="s">
        <v>126</v>
      </c>
      <c r="X3" s="3">
        <v>48</v>
      </c>
      <c r="Y3" s="182">
        <v>120</v>
      </c>
    </row>
    <row r="4" spans="1:25" x14ac:dyDescent="0.25">
      <c r="C4" s="10"/>
      <c r="D4" s="10"/>
      <c r="E4" s="10"/>
      <c r="F4" s="10"/>
      <c r="H4" s="8"/>
      <c r="S4" s="216" t="s">
        <v>127</v>
      </c>
      <c r="T4" s="217">
        <v>28560</v>
      </c>
      <c r="U4" s="218">
        <v>336</v>
      </c>
      <c r="V4" s="2" t="s">
        <v>76</v>
      </c>
      <c r="W4" s="2" t="s">
        <v>126</v>
      </c>
      <c r="X4" s="3">
        <v>48</v>
      </c>
      <c r="Y4" s="182">
        <v>120</v>
      </c>
    </row>
    <row r="5" spans="1:25" x14ac:dyDescent="0.25">
      <c r="B5" s="6" t="s">
        <v>1</v>
      </c>
      <c r="C5" s="13">
        <f>C3-C18</f>
        <v>0</v>
      </c>
      <c r="D5" s="14">
        <f>D3</f>
        <v>85</v>
      </c>
      <c r="E5" s="14">
        <f>C5*D5</f>
        <v>0</v>
      </c>
      <c r="F5" s="19"/>
      <c r="H5" s="8"/>
      <c r="S5" s="216"/>
      <c r="T5" s="217"/>
      <c r="U5" s="218"/>
      <c r="V5" s="2" t="s">
        <v>29</v>
      </c>
      <c r="W5" s="2" t="s">
        <v>126</v>
      </c>
      <c r="X5" s="3">
        <v>48</v>
      </c>
      <c r="Y5" s="182">
        <v>120</v>
      </c>
    </row>
    <row r="6" spans="1:25" x14ac:dyDescent="0.25">
      <c r="S6" s="216" t="s">
        <v>128</v>
      </c>
      <c r="T6" s="217">
        <v>151300</v>
      </c>
      <c r="U6" s="218">
        <v>712</v>
      </c>
      <c r="V6" s="2" t="s">
        <v>23</v>
      </c>
      <c r="W6" s="2" t="s">
        <v>7</v>
      </c>
      <c r="X6" s="3">
        <v>48</v>
      </c>
      <c r="Y6" s="182">
        <v>120</v>
      </c>
    </row>
    <row r="7" spans="1:25" x14ac:dyDescent="0.25">
      <c r="S7" s="216"/>
      <c r="T7" s="217"/>
      <c r="U7" s="218"/>
      <c r="V7" s="2" t="s">
        <v>129</v>
      </c>
      <c r="W7" s="2" t="s">
        <v>7</v>
      </c>
      <c r="X7" s="3">
        <v>48</v>
      </c>
      <c r="Y7" s="182">
        <v>120</v>
      </c>
    </row>
    <row r="8" spans="1:25" s="11" customFormat="1" ht="15.75" thickBot="1" x14ac:dyDescent="0.3">
      <c r="B8" s="127"/>
      <c r="C8" s="128" t="s">
        <v>7</v>
      </c>
      <c r="D8" s="47" t="s">
        <v>8</v>
      </c>
      <c r="E8" s="47" t="s">
        <v>16</v>
      </c>
      <c r="F8" s="12" t="s">
        <v>17</v>
      </c>
      <c r="G8" s="12" t="s">
        <v>9</v>
      </c>
      <c r="H8" s="12" t="s">
        <v>10</v>
      </c>
      <c r="I8" s="12" t="s">
        <v>18</v>
      </c>
      <c r="J8" s="12" t="s">
        <v>15</v>
      </c>
      <c r="K8" s="18" t="s">
        <v>6</v>
      </c>
      <c r="M8" s="15" t="s">
        <v>7</v>
      </c>
      <c r="N8" s="15" t="s">
        <v>8</v>
      </c>
      <c r="O8" s="15" t="s">
        <v>16</v>
      </c>
      <c r="P8" s="25" t="s">
        <v>11</v>
      </c>
      <c r="S8" s="216"/>
      <c r="T8" s="217"/>
      <c r="U8" s="218"/>
      <c r="V8" s="2" t="s">
        <v>130</v>
      </c>
      <c r="W8" s="2" t="s">
        <v>7</v>
      </c>
      <c r="X8" s="3">
        <v>48</v>
      </c>
      <c r="Y8" s="182">
        <v>120</v>
      </c>
    </row>
    <row r="9" spans="1:25" s="46" customFormat="1" x14ac:dyDescent="0.25">
      <c r="A9">
        <v>80</v>
      </c>
      <c r="B9" s="189">
        <v>43770</v>
      </c>
      <c r="C9" s="190">
        <v>232</v>
      </c>
      <c r="D9" s="191">
        <v>344</v>
      </c>
      <c r="E9" s="191">
        <v>96</v>
      </c>
      <c r="F9" s="192">
        <f t="shared" ref="F9:F16" si="0">$D$3</f>
        <v>85</v>
      </c>
      <c r="G9" s="192">
        <f t="shared" ref="G9:G16" si="1">C9*F9</f>
        <v>19720</v>
      </c>
      <c r="H9" s="192">
        <f>D9*F9</f>
        <v>29240</v>
      </c>
      <c r="I9" s="193">
        <f t="shared" ref="I9:I16" si="2">E9*F9</f>
        <v>8160</v>
      </c>
      <c r="J9" s="102">
        <f>SUM(J10:J12)</f>
        <v>57120</v>
      </c>
      <c r="K9" s="27">
        <f t="shared" ref="K9:K17" si="3">J9*89.85%</f>
        <v>51322.32</v>
      </c>
      <c r="M9" s="100"/>
      <c r="N9" s="100"/>
      <c r="O9" s="100"/>
      <c r="P9" s="101"/>
      <c r="Q9" s="101"/>
      <c r="S9" s="216"/>
      <c r="T9" s="217"/>
      <c r="U9" s="218"/>
      <c r="V9" s="2" t="s">
        <v>131</v>
      </c>
      <c r="W9" s="2" t="s">
        <v>7</v>
      </c>
      <c r="X9" s="3">
        <v>48</v>
      </c>
      <c r="Y9" s="182">
        <v>120</v>
      </c>
    </row>
    <row r="10" spans="1:25" s="46" customFormat="1" x14ac:dyDescent="0.25">
      <c r="A10"/>
      <c r="B10" s="194" t="s">
        <v>135</v>
      </c>
      <c r="C10" s="98"/>
      <c r="D10" s="99">
        <v>48</v>
      </c>
      <c r="E10" s="99"/>
      <c r="F10" s="26">
        <f t="shared" si="0"/>
        <v>85</v>
      </c>
      <c r="G10" s="26">
        <f t="shared" si="1"/>
        <v>0</v>
      </c>
      <c r="H10" s="26">
        <f t="shared" ref="H10:H12" si="4">D10*F10</f>
        <v>4080</v>
      </c>
      <c r="I10" s="195">
        <f t="shared" si="2"/>
        <v>0</v>
      </c>
      <c r="J10" s="102">
        <f t="shared" ref="J10:J12" si="5">SUM(G10:I10)</f>
        <v>4080</v>
      </c>
      <c r="K10" s="27"/>
      <c r="M10" s="100"/>
      <c r="N10" s="100"/>
      <c r="O10" s="100"/>
      <c r="P10" s="101"/>
      <c r="Q10" s="101"/>
      <c r="S10" s="216"/>
      <c r="T10" s="217"/>
      <c r="U10" s="218"/>
      <c r="V10" s="2"/>
      <c r="W10" s="2"/>
      <c r="X10" s="3"/>
      <c r="Y10" s="182"/>
    </row>
    <row r="11" spans="1:25" s="46" customFormat="1" x14ac:dyDescent="0.25">
      <c r="A11"/>
      <c r="B11" s="194" t="s">
        <v>136</v>
      </c>
      <c r="C11" s="98"/>
      <c r="D11" s="99">
        <v>96</v>
      </c>
      <c r="E11" s="99"/>
      <c r="F11" s="26">
        <f t="shared" si="0"/>
        <v>85</v>
      </c>
      <c r="G11" s="26">
        <f t="shared" si="1"/>
        <v>0</v>
      </c>
      <c r="H11" s="26">
        <f t="shared" si="4"/>
        <v>8160</v>
      </c>
      <c r="I11" s="195">
        <f t="shared" si="2"/>
        <v>0</v>
      </c>
      <c r="J11" s="102">
        <f t="shared" si="5"/>
        <v>8160</v>
      </c>
      <c r="K11" s="27"/>
      <c r="M11" s="100"/>
      <c r="N11" s="100"/>
      <c r="O11" s="100"/>
      <c r="P11" s="101"/>
      <c r="Q11" s="101"/>
      <c r="S11" s="216"/>
      <c r="T11" s="217"/>
      <c r="U11" s="218"/>
      <c r="V11" s="2"/>
      <c r="W11" s="2"/>
      <c r="X11" s="3"/>
      <c r="Y11" s="182"/>
    </row>
    <row r="12" spans="1:25" s="46" customFormat="1" ht="15.75" thickBot="1" x14ac:dyDescent="0.3">
      <c r="A12"/>
      <c r="B12" s="196" t="s">
        <v>137</v>
      </c>
      <c r="C12" s="197">
        <v>232</v>
      </c>
      <c r="D12" s="198">
        <v>200</v>
      </c>
      <c r="E12" s="198">
        <v>96</v>
      </c>
      <c r="F12" s="199">
        <f t="shared" si="0"/>
        <v>85</v>
      </c>
      <c r="G12" s="199">
        <f t="shared" si="1"/>
        <v>19720</v>
      </c>
      <c r="H12" s="199">
        <f t="shared" si="4"/>
        <v>17000</v>
      </c>
      <c r="I12" s="200">
        <f t="shared" si="2"/>
        <v>8160</v>
      </c>
      <c r="J12" s="102">
        <f t="shared" si="5"/>
        <v>44880</v>
      </c>
      <c r="K12" s="27"/>
      <c r="M12" s="100"/>
      <c r="N12" s="100"/>
      <c r="O12" s="100"/>
      <c r="P12" s="101"/>
      <c r="Q12" s="101"/>
      <c r="S12" s="216"/>
      <c r="T12" s="217"/>
      <c r="U12" s="218"/>
      <c r="V12" s="2"/>
      <c r="W12" s="2"/>
      <c r="X12" s="3"/>
      <c r="Y12" s="182"/>
    </row>
    <row r="13" spans="1:25" s="46" customFormat="1" x14ac:dyDescent="0.25">
      <c r="A13">
        <v>160</v>
      </c>
      <c r="B13" s="189">
        <v>43800</v>
      </c>
      <c r="C13" s="190">
        <v>480</v>
      </c>
      <c r="D13" s="191">
        <v>872</v>
      </c>
      <c r="E13" s="191">
        <v>260</v>
      </c>
      <c r="F13" s="192">
        <f t="shared" si="0"/>
        <v>85</v>
      </c>
      <c r="G13" s="192">
        <f t="shared" si="1"/>
        <v>40800</v>
      </c>
      <c r="H13" s="192">
        <f>D13*F13</f>
        <v>74120</v>
      </c>
      <c r="I13" s="193">
        <f t="shared" si="2"/>
        <v>22100</v>
      </c>
      <c r="J13" s="102">
        <f>SUM(J14:J16)</f>
        <v>137020</v>
      </c>
      <c r="K13" s="27">
        <f t="shared" si="3"/>
        <v>123112.47</v>
      </c>
      <c r="M13" s="100"/>
      <c r="N13" s="100"/>
      <c r="O13" s="100"/>
      <c r="P13" s="120">
        <f>J9+J13</f>
        <v>194140</v>
      </c>
      <c r="Q13" s="101"/>
      <c r="S13" s="216"/>
      <c r="T13" s="217"/>
      <c r="U13" s="218"/>
      <c r="V13" s="2" t="s">
        <v>132</v>
      </c>
      <c r="W13" s="2" t="s">
        <v>7</v>
      </c>
      <c r="X13" s="3">
        <v>40</v>
      </c>
      <c r="Y13" s="182"/>
    </row>
    <row r="14" spans="1:25" x14ac:dyDescent="0.25">
      <c r="B14" s="194" t="s">
        <v>135</v>
      </c>
      <c r="C14" s="98"/>
      <c r="D14" s="99">
        <v>120</v>
      </c>
      <c r="E14" s="99"/>
      <c r="F14" s="26">
        <f t="shared" si="0"/>
        <v>85</v>
      </c>
      <c r="G14" s="188">
        <f t="shared" si="1"/>
        <v>0</v>
      </c>
      <c r="H14" s="26">
        <f>D14*F14</f>
        <v>10200</v>
      </c>
      <c r="I14" s="204">
        <f t="shared" si="2"/>
        <v>0</v>
      </c>
      <c r="J14" s="102">
        <f t="shared" ref="J14:J16" si="6">SUM(G14:I14)</f>
        <v>10200</v>
      </c>
      <c r="K14" s="27"/>
      <c r="M14" s="29"/>
      <c r="N14" s="29"/>
      <c r="O14" s="29"/>
      <c r="S14" s="216"/>
      <c r="T14" s="217"/>
      <c r="U14" s="218">
        <v>712</v>
      </c>
      <c r="V14" s="2" t="s">
        <v>132</v>
      </c>
      <c r="W14" s="2" t="s">
        <v>126</v>
      </c>
      <c r="X14" s="3">
        <v>8</v>
      </c>
      <c r="Y14" s="182">
        <v>120</v>
      </c>
    </row>
    <row r="15" spans="1:25" x14ac:dyDescent="0.25">
      <c r="B15" s="194" t="s">
        <v>136</v>
      </c>
      <c r="C15" s="17"/>
      <c r="D15" s="3">
        <v>240</v>
      </c>
      <c r="E15" s="3"/>
      <c r="F15" s="26">
        <f t="shared" si="0"/>
        <v>85</v>
      </c>
      <c r="G15" s="188">
        <f t="shared" si="1"/>
        <v>0</v>
      </c>
      <c r="H15" s="4">
        <f>D15*F15</f>
        <v>20400</v>
      </c>
      <c r="I15" s="204">
        <f t="shared" si="2"/>
        <v>0</v>
      </c>
      <c r="J15" s="102">
        <f t="shared" si="6"/>
        <v>20400</v>
      </c>
      <c r="K15" s="27"/>
      <c r="M15" s="29"/>
      <c r="N15" s="29"/>
      <c r="O15" s="29"/>
      <c r="P15" s="8"/>
      <c r="Q15" s="8"/>
      <c r="S15" s="216"/>
      <c r="T15" s="217"/>
      <c r="U15" s="218"/>
      <c r="V15" s="2" t="s">
        <v>30</v>
      </c>
      <c r="W15" s="2" t="s">
        <v>126</v>
      </c>
      <c r="X15" s="3">
        <v>48</v>
      </c>
      <c r="Y15" s="182">
        <v>120</v>
      </c>
    </row>
    <row r="16" spans="1:25" ht="15.75" thickBot="1" x14ac:dyDescent="0.3">
      <c r="B16" s="196" t="s">
        <v>137</v>
      </c>
      <c r="C16" s="187">
        <v>480</v>
      </c>
      <c r="D16" s="184">
        <v>512</v>
      </c>
      <c r="E16" s="184">
        <v>260</v>
      </c>
      <c r="F16" s="199">
        <f t="shared" si="0"/>
        <v>85</v>
      </c>
      <c r="G16" s="205">
        <f t="shared" si="1"/>
        <v>40800</v>
      </c>
      <c r="H16" s="206">
        <f>D16*F16</f>
        <v>43520</v>
      </c>
      <c r="I16" s="207">
        <f t="shared" si="2"/>
        <v>22100</v>
      </c>
      <c r="J16" s="102">
        <f t="shared" si="6"/>
        <v>106420</v>
      </c>
      <c r="K16" s="27">
        <f t="shared" si="3"/>
        <v>95618.37</v>
      </c>
      <c r="S16" s="216"/>
      <c r="T16" s="217"/>
      <c r="U16" s="218"/>
      <c r="V16" s="2" t="s">
        <v>58</v>
      </c>
      <c r="W16" s="2" t="s">
        <v>126</v>
      </c>
      <c r="X16" s="3">
        <v>48</v>
      </c>
      <c r="Y16" s="182">
        <v>120</v>
      </c>
    </row>
    <row r="17" spans="2:25" x14ac:dyDescent="0.25">
      <c r="B17" s="201" t="s">
        <v>2</v>
      </c>
      <c r="C17" s="202">
        <f>SUM(C9,C13)</f>
        <v>712</v>
      </c>
      <c r="D17" s="202">
        <f>SUM(D9,D13)</f>
        <v>1216</v>
      </c>
      <c r="E17" s="202">
        <f>SUM(E9,E13)</f>
        <v>356</v>
      </c>
      <c r="F17" s="202"/>
      <c r="G17" s="203">
        <f>SUM(G9,G13)</f>
        <v>60520</v>
      </c>
      <c r="H17" s="203">
        <f>SUM(H9,H13)</f>
        <v>103360</v>
      </c>
      <c r="I17" s="203">
        <f>SUM(I9,I13)</f>
        <v>30260</v>
      </c>
      <c r="J17" s="103">
        <f>SUM(J9:J16)</f>
        <v>388280</v>
      </c>
      <c r="K17" s="20">
        <f t="shared" si="3"/>
        <v>348869.57999999996</v>
      </c>
      <c r="P17" s="21">
        <f>SUM(P9:P15)</f>
        <v>194140</v>
      </c>
      <c r="S17" s="216"/>
      <c r="T17" s="217"/>
      <c r="U17" s="218"/>
      <c r="V17" s="2" t="s">
        <v>55</v>
      </c>
      <c r="W17" s="2" t="s">
        <v>126</v>
      </c>
      <c r="X17" s="3">
        <v>48</v>
      </c>
      <c r="Y17" s="182">
        <v>32</v>
      </c>
    </row>
    <row r="18" spans="2:25" x14ac:dyDescent="0.25">
      <c r="C18" s="214">
        <f>SUM(C17:E17)</f>
        <v>2284</v>
      </c>
      <c r="D18" s="214"/>
      <c r="E18" s="214"/>
      <c r="G18" s="215">
        <f>SUM(G17:I17)</f>
        <v>194140</v>
      </c>
      <c r="H18" s="215"/>
      <c r="I18" s="215"/>
      <c r="S18" s="216"/>
      <c r="T18" s="217"/>
      <c r="U18" s="218">
        <v>356</v>
      </c>
      <c r="V18" s="2" t="s">
        <v>55</v>
      </c>
      <c r="W18" s="2" t="s">
        <v>16</v>
      </c>
      <c r="X18" s="2"/>
      <c r="Y18" s="182">
        <v>88</v>
      </c>
    </row>
    <row r="19" spans="2:25" x14ac:dyDescent="0.25">
      <c r="L19" s="8"/>
      <c r="S19" s="216"/>
      <c r="T19" s="217"/>
      <c r="U19" s="218"/>
      <c r="V19" s="2" t="s">
        <v>133</v>
      </c>
      <c r="W19" s="2" t="s">
        <v>16</v>
      </c>
      <c r="X19" s="3">
        <v>48</v>
      </c>
      <c r="Y19" s="182">
        <v>86</v>
      </c>
    </row>
    <row r="20" spans="2:25" ht="15.75" thickBot="1" x14ac:dyDescent="0.3">
      <c r="D20" s="8"/>
      <c r="J20" s="8"/>
      <c r="S20" s="219"/>
      <c r="T20" s="220"/>
      <c r="U20" s="221"/>
      <c r="V20" s="183" t="s">
        <v>55</v>
      </c>
      <c r="W20" s="183" t="s">
        <v>16</v>
      </c>
      <c r="X20" s="184">
        <v>48</v>
      </c>
      <c r="Y20" s="185">
        <v>86</v>
      </c>
    </row>
    <row r="22" spans="2:25" x14ac:dyDescent="0.25">
      <c r="D22" s="10"/>
      <c r="G22" s="42"/>
      <c r="H22" s="8"/>
      <c r="I22" s="8"/>
      <c r="J22">
        <v>163200</v>
      </c>
    </row>
    <row r="23" spans="2:25" x14ac:dyDescent="0.25">
      <c r="C23" s="49"/>
      <c r="D23">
        <v>15</v>
      </c>
      <c r="E23">
        <v>3040</v>
      </c>
      <c r="G23" s="8">
        <f>E23*$D$3</f>
        <v>258400</v>
      </c>
      <c r="H23" s="8"/>
    </row>
    <row r="24" spans="2:25" x14ac:dyDescent="0.25">
      <c r="D24">
        <v>3</v>
      </c>
      <c r="E24">
        <v>1080</v>
      </c>
      <c r="F24" s="58"/>
      <c r="G24" s="8">
        <f>E24*$D$3</f>
        <v>91800</v>
      </c>
    </row>
    <row r="25" spans="2:25" x14ac:dyDescent="0.25">
      <c r="C25" s="48"/>
      <c r="D25" s="10"/>
    </row>
  </sheetData>
  <mergeCells count="10">
    <mergeCell ref="C18:E18"/>
    <mergeCell ref="G18:I18"/>
    <mergeCell ref="S4:S5"/>
    <mergeCell ref="T4:T5"/>
    <mergeCell ref="U4:U5"/>
    <mergeCell ref="S6:S20"/>
    <mergeCell ref="T6:T20"/>
    <mergeCell ref="U6:U13"/>
    <mergeCell ref="U14:U17"/>
    <mergeCell ref="U18:U20"/>
  </mergeCells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8141E637EDDAD44AE63D175F62A4A91" ma:contentTypeVersion="7" ma:contentTypeDescription="Crie um novo documento." ma:contentTypeScope="" ma:versionID="2611c5c244f53dc545274229727ba6bf">
  <xsd:schema xmlns:xsd="http://www.w3.org/2001/XMLSchema" xmlns:xs="http://www.w3.org/2001/XMLSchema" xmlns:p="http://schemas.microsoft.com/office/2006/metadata/properties" xmlns:ns2="e23ae788-f6eb-4e76-9946-ca5f66b31572" targetNamespace="http://schemas.microsoft.com/office/2006/metadata/properties" ma:root="true" ma:fieldsID="90f75581d4e73315365359f0336e68fa" ns2:_="">
    <xsd:import namespace="e23ae788-f6eb-4e76-9946-ca5f66b315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3ae788-f6eb-4e76-9946-ca5f66b315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5EE985-697B-4764-8F86-BB2F811CF0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B00E7C0-7235-4747-B1C8-3AE70394ED4E}">
  <ds:schemaRefs>
    <ds:schemaRef ds:uri="http://schemas.microsoft.com/office/infopath/2007/PartnerControls"/>
    <ds:schemaRef ds:uri="http://schemas.microsoft.com/office/2006/metadata/properties"/>
    <ds:schemaRef ds:uri="e23ae788-f6eb-4e76-9946-ca5f66b31572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2C4D098C-B561-4D58-BDC0-0DCDF378C9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3ae788-f6eb-4e76-9946-ca5f66b315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Controle de Horas</vt:lpstr>
      <vt:lpstr>Proposta 1</vt:lpstr>
      <vt:lpstr>Proposta 71 K</vt:lpstr>
      <vt:lpstr>Proposta 3</vt:lpstr>
      <vt:lpstr>Proposta 4</vt:lpstr>
      <vt:lpstr>Proposta 5</vt:lpstr>
      <vt:lpstr>Proposta 6</vt:lpstr>
      <vt:lpstr>Proposta 7</vt:lpstr>
      <vt:lpstr>Proposta 8</vt:lpstr>
      <vt:lpstr>Safra II - Proposta I</vt:lpstr>
      <vt:lpstr>Safra II - Proposta II</vt:lpstr>
      <vt:lpstr>Controle de Horas - Aprovadas</vt:lpstr>
      <vt:lpstr>Controle de Horas - Necessárias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alexandre.reis</dc:creator>
  <cp:lastModifiedBy>Khair Mustafa Assaf</cp:lastModifiedBy>
  <dcterms:created xsi:type="dcterms:W3CDTF">2018-08-28T18:10:21Z</dcterms:created>
  <dcterms:modified xsi:type="dcterms:W3CDTF">2019-12-02T18:16:13Z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0x01010088141E637EDDAD44AE63D175F62A4A91</vt:lpwstr>
  </property>
</Properties>
</file>