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flexsurvPlus\inst\extdata\"/>
    </mc:Choice>
  </mc:AlternateContent>
  <bookViews>
    <workbookView xWindow="0" yWindow="0" windowWidth="28800" windowHeight="14130" activeTab="2"/>
  </bookViews>
  <sheets>
    <sheet name="Extrapolations" sheetId="2" r:id="rId1"/>
    <sheet name="Stat. Parameters" sheetId="3" r:id="rId2"/>
    <sheet name="Exported data" sheetId="1" r:id="rId3"/>
  </sheets>
  <definedNames>
    <definedName name="cycle_length">Extrapolations!$C$5</definedName>
    <definedName name="exp_c_lambda">'Stat. Parameters'!$E$20</definedName>
    <definedName name="exp_i_lambda">'Stat. Parameters'!$E$21</definedName>
    <definedName name="gam_c_gamma">'Stat. Parameters'!$E$64</definedName>
    <definedName name="gam_c_lambda">'Stat. Parameters'!$E$63</definedName>
    <definedName name="gam_i_gamma">'Stat. Parameters'!$E$66</definedName>
    <definedName name="gam_i_lambda">'Stat. Parameters'!$E$65</definedName>
    <definedName name="ggam_c_delta">'Stat. Parameters'!$E$81</definedName>
    <definedName name="ggam_c_gamma">'Stat. Parameters'!$E$80</definedName>
    <definedName name="ggam_c_lambda">'Stat. Parameters'!$E$79</definedName>
    <definedName name="ggam_i_delta">'Stat. Parameters'!$E$84</definedName>
    <definedName name="ggam_i_gamma">'Stat. Parameters'!$E$83</definedName>
    <definedName name="ggam_i_lambda">'Stat. Parameters'!$E$82</definedName>
    <definedName name="gomp_c_gamma">'Stat. Parameters'!$E$115</definedName>
    <definedName name="gomp_c_lambda">'Stat. Parameters'!$E$114</definedName>
    <definedName name="gomp_i_gamma">'Stat. Parameters'!$E$117</definedName>
    <definedName name="gomp_i_lambda">'Stat. Parameters'!$E$116</definedName>
    <definedName name="ll_c_gamma">'Stat. Parameters'!$E$100</definedName>
    <definedName name="ll_c_lambda">'Stat. Parameters'!$E$99</definedName>
    <definedName name="ll_i_gamma">'Stat. Parameters'!$E$102</definedName>
    <definedName name="ll_i_lambda">'Stat. Parameters'!$E$101</definedName>
    <definedName name="ln_c_gamma">'Stat. Parameters'!$E$49</definedName>
    <definedName name="ln_c_lambda">'Stat. Parameters'!$E$48</definedName>
    <definedName name="ln_i_gamma">'Stat. Parameters'!$E$51</definedName>
    <definedName name="ln_i_lambda">'Stat. Parameters'!$E$50</definedName>
    <definedName name="matTexp">'Stat. Parameters'!$W$15:$X$16</definedName>
    <definedName name="matTgam">'Stat. Parameters'!$W$57:$Y$59</definedName>
    <definedName name="matTggam">'Stat. Parameters'!$W$72:$Z$75</definedName>
    <definedName name="matTgomp">'Stat. Parameters'!$W$108:$Y$110</definedName>
    <definedName name="matTllog">'Stat. Parameters'!$W$93:$Y$95</definedName>
    <definedName name="matTlnor">'Stat. Parameters'!$W$42:$Y$44</definedName>
    <definedName name="matTweib">'Stat. Parameters'!$W$27:$Y$29</definedName>
    <definedName name="option_truefalse">Extrapolations!$E$4:$F$4</definedName>
    <definedName name="PSA">Extrapolations!$C$4</definedName>
    <definedName name="rand_1">'Stat. Parameters'!$C$6</definedName>
    <definedName name="rand_2">'Stat. Parameters'!$D$6</definedName>
    <definedName name="rand_3">'Stat. Parameters'!$E$6</definedName>
    <definedName name="rand_4">'Stat. Parameters'!$F$6</definedName>
    <definedName name="rvec_1">'Stat. Parameters'!$H$6</definedName>
    <definedName name="rvec_2">'Stat. Parameters'!$I$6:$I$7</definedName>
    <definedName name="rvec_3">'Stat. Parameters'!$J$6:$J$8</definedName>
    <definedName name="rvec_4">'Stat. Parameters'!$K$6:$K$9</definedName>
    <definedName name="weib_c_gamma">'Stat. Parameters'!$E$34</definedName>
    <definedName name="weib_c_lambda">'Stat. Parameters'!$E$33</definedName>
    <definedName name="weib_i_gamma">'Stat. Parameters'!$E$36</definedName>
    <definedName name="weib_i_lambda">'Stat. Parameters'!$E$35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3" l="1"/>
  <c r="Z75" i="3" l="1"/>
  <c r="Y75" i="3"/>
  <c r="X75" i="3"/>
  <c r="W75" i="3"/>
  <c r="K93" i="3"/>
  <c r="L93" i="3"/>
  <c r="M93" i="3"/>
  <c r="N93" i="3"/>
  <c r="O93" i="3"/>
  <c r="K94" i="3"/>
  <c r="L94" i="3"/>
  <c r="M94" i="3"/>
  <c r="N94" i="3"/>
  <c r="O94" i="3"/>
  <c r="K95" i="3"/>
  <c r="L95" i="3"/>
  <c r="M95" i="3"/>
  <c r="N95" i="3"/>
  <c r="T92" i="3" s="1"/>
  <c r="Y92" i="3" s="1"/>
  <c r="O95" i="3"/>
  <c r="K96" i="3"/>
  <c r="L96" i="3"/>
  <c r="M96" i="3"/>
  <c r="N96" i="3"/>
  <c r="O96" i="3"/>
  <c r="K97" i="3"/>
  <c r="L97" i="3"/>
  <c r="M97" i="3"/>
  <c r="N97" i="3"/>
  <c r="O97" i="3"/>
  <c r="K98" i="3"/>
  <c r="L98" i="3"/>
  <c r="M98" i="3"/>
  <c r="N98" i="3"/>
  <c r="O98" i="3"/>
  <c r="T94" i="3" s="1"/>
  <c r="K99" i="3"/>
  <c r="L99" i="3"/>
  <c r="Q95" i="3" s="1"/>
  <c r="V95" i="3" s="1"/>
  <c r="M99" i="3"/>
  <c r="N99" i="3"/>
  <c r="O99" i="3"/>
  <c r="K100" i="3"/>
  <c r="L100" i="3"/>
  <c r="M100" i="3"/>
  <c r="N100" i="3"/>
  <c r="O100" i="3"/>
  <c r="S95" i="3" s="1"/>
  <c r="K101" i="3"/>
  <c r="L101" i="3"/>
  <c r="M101" i="3"/>
  <c r="N101" i="3"/>
  <c r="O101" i="3"/>
  <c r="K108" i="3"/>
  <c r="L108" i="3"/>
  <c r="M108" i="3"/>
  <c r="N108" i="3"/>
  <c r="O108" i="3"/>
  <c r="K109" i="3"/>
  <c r="L109" i="3"/>
  <c r="M109" i="3"/>
  <c r="N109" i="3"/>
  <c r="S107" i="3" s="1"/>
  <c r="X107" i="3" s="1"/>
  <c r="O109" i="3"/>
  <c r="K110" i="3"/>
  <c r="L110" i="3"/>
  <c r="M110" i="3"/>
  <c r="N110" i="3"/>
  <c r="O110" i="3"/>
  <c r="K111" i="3"/>
  <c r="L111" i="3"/>
  <c r="Q109" i="3" s="1"/>
  <c r="V109" i="3" s="1"/>
  <c r="M111" i="3"/>
  <c r="N111" i="3"/>
  <c r="O111" i="3"/>
  <c r="K112" i="3"/>
  <c r="L112" i="3"/>
  <c r="M112" i="3"/>
  <c r="N112" i="3"/>
  <c r="O112" i="3"/>
  <c r="S109" i="3" s="1"/>
  <c r="K113" i="3"/>
  <c r="L113" i="3"/>
  <c r="M113" i="3"/>
  <c r="N113" i="3"/>
  <c r="O113" i="3"/>
  <c r="K114" i="3"/>
  <c r="L114" i="3"/>
  <c r="Q110" i="3" s="1"/>
  <c r="V110" i="3" s="1"/>
  <c r="M114" i="3"/>
  <c r="N114" i="3"/>
  <c r="O114" i="3"/>
  <c r="K115" i="3"/>
  <c r="L115" i="3"/>
  <c r="M115" i="3"/>
  <c r="N115" i="3"/>
  <c r="O115" i="3"/>
  <c r="S110" i="3" s="1"/>
  <c r="K116" i="3"/>
  <c r="L116" i="3"/>
  <c r="M116" i="3"/>
  <c r="N116" i="3"/>
  <c r="O116" i="3"/>
  <c r="T110" i="3" s="1"/>
  <c r="J109" i="3"/>
  <c r="J110" i="3"/>
  <c r="J111" i="3"/>
  <c r="J112" i="3"/>
  <c r="J113" i="3"/>
  <c r="J114" i="3"/>
  <c r="J115" i="3"/>
  <c r="J116" i="3"/>
  <c r="J108" i="3"/>
  <c r="J94" i="3"/>
  <c r="J95" i="3"/>
  <c r="J96" i="3"/>
  <c r="J97" i="3"/>
  <c r="J98" i="3"/>
  <c r="J99" i="3"/>
  <c r="J100" i="3"/>
  <c r="J101" i="3"/>
  <c r="J93" i="3"/>
  <c r="G108" i="3"/>
  <c r="AB108" i="3" s="1"/>
  <c r="H108" i="3"/>
  <c r="G109" i="3"/>
  <c r="H109" i="3"/>
  <c r="G110" i="3"/>
  <c r="C110" i="3" s="1"/>
  <c r="H110" i="3"/>
  <c r="F109" i="3"/>
  <c r="F110" i="3"/>
  <c r="F108" i="3"/>
  <c r="G93" i="3"/>
  <c r="H93" i="3"/>
  <c r="G94" i="3"/>
  <c r="AB94" i="3" s="1"/>
  <c r="H94" i="3"/>
  <c r="G95" i="3"/>
  <c r="H95" i="3"/>
  <c r="F95" i="3"/>
  <c r="F94" i="3"/>
  <c r="F93" i="3"/>
  <c r="R110" i="3"/>
  <c r="AB110" i="3"/>
  <c r="AB109" i="3"/>
  <c r="T109" i="3"/>
  <c r="R109" i="3"/>
  <c r="C109" i="3"/>
  <c r="T108" i="3"/>
  <c r="S108" i="3"/>
  <c r="R108" i="3"/>
  <c r="W108" i="3" s="1"/>
  <c r="W109" i="3" s="1"/>
  <c r="Q108" i="3"/>
  <c r="V108" i="3" s="1"/>
  <c r="T107" i="3"/>
  <c r="Y107" i="3" s="1"/>
  <c r="R107" i="3"/>
  <c r="W107" i="3" s="1"/>
  <c r="R94" i="3"/>
  <c r="W94" i="3" s="1"/>
  <c r="T95" i="3"/>
  <c r="R95" i="3"/>
  <c r="W95" i="3" s="1"/>
  <c r="T93" i="3"/>
  <c r="C95" i="3"/>
  <c r="S94" i="3"/>
  <c r="Q94" i="3"/>
  <c r="V94" i="3" s="1"/>
  <c r="S92" i="3"/>
  <c r="X92" i="3" s="1"/>
  <c r="AB93" i="3"/>
  <c r="S93" i="3"/>
  <c r="R93" i="3"/>
  <c r="W93" i="3" s="1"/>
  <c r="R92" i="3"/>
  <c r="W92" i="3" s="1"/>
  <c r="Q93" i="3"/>
  <c r="V93" i="3" s="1"/>
  <c r="C93" i="3"/>
  <c r="U75" i="3"/>
  <c r="T75" i="3"/>
  <c r="S75" i="3"/>
  <c r="R75" i="3"/>
  <c r="Q75" i="3"/>
  <c r="Q74" i="3"/>
  <c r="Q73" i="3"/>
  <c r="J87" i="3"/>
  <c r="K87" i="3"/>
  <c r="L87" i="3"/>
  <c r="M87" i="3"/>
  <c r="N87" i="3"/>
  <c r="O87" i="3"/>
  <c r="J84" i="3"/>
  <c r="K84" i="3"/>
  <c r="L84" i="3"/>
  <c r="M84" i="3"/>
  <c r="N84" i="3"/>
  <c r="O84" i="3"/>
  <c r="J85" i="3"/>
  <c r="K85" i="3"/>
  <c r="L85" i="3"/>
  <c r="M85" i="3"/>
  <c r="N85" i="3"/>
  <c r="O85" i="3"/>
  <c r="J86" i="3"/>
  <c r="K86" i="3"/>
  <c r="L86" i="3"/>
  <c r="M86" i="3"/>
  <c r="N86" i="3"/>
  <c r="O86" i="3"/>
  <c r="U73" i="3"/>
  <c r="U74" i="3"/>
  <c r="T74" i="3"/>
  <c r="S74" i="3"/>
  <c r="R74" i="3"/>
  <c r="T73" i="3"/>
  <c r="S73" i="3"/>
  <c r="R73" i="3"/>
  <c r="U72" i="3"/>
  <c r="U71" i="3"/>
  <c r="Z71" i="3" s="1"/>
  <c r="V75" i="3"/>
  <c r="J83" i="3"/>
  <c r="K83" i="3"/>
  <c r="L83" i="3"/>
  <c r="M83" i="3"/>
  <c r="N83" i="3"/>
  <c r="O83" i="3"/>
  <c r="J81" i="3"/>
  <c r="K81" i="3"/>
  <c r="L81" i="3"/>
  <c r="M81" i="3"/>
  <c r="N81" i="3"/>
  <c r="O81" i="3"/>
  <c r="J82" i="3"/>
  <c r="K82" i="3"/>
  <c r="L82" i="3"/>
  <c r="M82" i="3"/>
  <c r="N82" i="3"/>
  <c r="O82" i="3"/>
  <c r="K72" i="3"/>
  <c r="L72" i="3"/>
  <c r="Q72" i="3" s="1"/>
  <c r="V72" i="3" s="1"/>
  <c r="M72" i="3"/>
  <c r="N72" i="3"/>
  <c r="O72" i="3"/>
  <c r="K73" i="3"/>
  <c r="L73" i="3"/>
  <c r="M73" i="3"/>
  <c r="N73" i="3"/>
  <c r="S71" i="3" s="1"/>
  <c r="X71" i="3" s="1"/>
  <c r="O73" i="3"/>
  <c r="K74" i="3"/>
  <c r="L74" i="3"/>
  <c r="M74" i="3"/>
  <c r="N74" i="3"/>
  <c r="O74" i="3"/>
  <c r="K75" i="3"/>
  <c r="L75" i="3"/>
  <c r="V73" i="3" s="1"/>
  <c r="M75" i="3"/>
  <c r="N75" i="3"/>
  <c r="O75" i="3"/>
  <c r="K76" i="3"/>
  <c r="L76" i="3"/>
  <c r="M76" i="3"/>
  <c r="N76" i="3"/>
  <c r="O76" i="3"/>
  <c r="K77" i="3"/>
  <c r="L77" i="3"/>
  <c r="M77" i="3"/>
  <c r="N77" i="3"/>
  <c r="O77" i="3"/>
  <c r="K78" i="3"/>
  <c r="L78" i="3"/>
  <c r="V74" i="3" s="1"/>
  <c r="M78" i="3"/>
  <c r="N78" i="3"/>
  <c r="O78" i="3"/>
  <c r="K79" i="3"/>
  <c r="L79" i="3"/>
  <c r="M79" i="3"/>
  <c r="N79" i="3"/>
  <c r="O79" i="3"/>
  <c r="K80" i="3"/>
  <c r="L80" i="3"/>
  <c r="M80" i="3"/>
  <c r="N80" i="3"/>
  <c r="O80" i="3"/>
  <c r="J73" i="3"/>
  <c r="J74" i="3"/>
  <c r="J75" i="3"/>
  <c r="J76" i="3"/>
  <c r="J77" i="3"/>
  <c r="J78" i="3"/>
  <c r="J79" i="3"/>
  <c r="J80" i="3"/>
  <c r="J72" i="3"/>
  <c r="AB75" i="3"/>
  <c r="G72" i="3"/>
  <c r="AB72" i="3" s="1"/>
  <c r="H72" i="3"/>
  <c r="G73" i="3"/>
  <c r="AB73" i="3" s="1"/>
  <c r="H73" i="3"/>
  <c r="G74" i="3"/>
  <c r="C74" i="3" s="1"/>
  <c r="H74" i="3"/>
  <c r="G75" i="3"/>
  <c r="H75" i="3"/>
  <c r="F73" i="3"/>
  <c r="F74" i="3"/>
  <c r="F75" i="3"/>
  <c r="F72" i="3"/>
  <c r="C75" i="3"/>
  <c r="T72" i="3"/>
  <c r="AB74" i="3"/>
  <c r="C73" i="3"/>
  <c r="S72" i="3"/>
  <c r="R72" i="3"/>
  <c r="W72" i="3" s="1"/>
  <c r="R71" i="3"/>
  <c r="W71" i="3" s="1"/>
  <c r="T71" i="3"/>
  <c r="Y71" i="3" s="1"/>
  <c r="K57" i="3"/>
  <c r="L57" i="3"/>
  <c r="Q57" i="3" s="1"/>
  <c r="V57" i="3" s="1"/>
  <c r="M57" i="3"/>
  <c r="N57" i="3"/>
  <c r="O57" i="3"/>
  <c r="R57" i="3" s="1"/>
  <c r="W57" i="3" s="1"/>
  <c r="W59" i="3" s="1"/>
  <c r="K58" i="3"/>
  <c r="L58" i="3"/>
  <c r="M58" i="3"/>
  <c r="N58" i="3"/>
  <c r="S56" i="3" s="1"/>
  <c r="X56" i="3" s="1"/>
  <c r="O58" i="3"/>
  <c r="S57" i="3" s="1"/>
  <c r="K59" i="3"/>
  <c r="L59" i="3"/>
  <c r="M59" i="3"/>
  <c r="N59" i="3"/>
  <c r="T56" i="3" s="1"/>
  <c r="Y56" i="3" s="1"/>
  <c r="O59" i="3"/>
  <c r="K60" i="3"/>
  <c r="L60" i="3"/>
  <c r="M60" i="3"/>
  <c r="N60" i="3"/>
  <c r="O60" i="3"/>
  <c r="K61" i="3"/>
  <c r="L61" i="3"/>
  <c r="M61" i="3"/>
  <c r="N61" i="3"/>
  <c r="O61" i="3"/>
  <c r="K62" i="3"/>
  <c r="L62" i="3"/>
  <c r="M62" i="3"/>
  <c r="N62" i="3"/>
  <c r="O62" i="3"/>
  <c r="T58" i="3" s="1"/>
  <c r="K63" i="3"/>
  <c r="L63" i="3"/>
  <c r="Q59" i="3" s="1"/>
  <c r="V59" i="3" s="1"/>
  <c r="M63" i="3"/>
  <c r="N63" i="3"/>
  <c r="O63" i="3"/>
  <c r="K64" i="3"/>
  <c r="L64" i="3"/>
  <c r="M64" i="3"/>
  <c r="N64" i="3"/>
  <c r="O64" i="3"/>
  <c r="S59" i="3" s="1"/>
  <c r="K65" i="3"/>
  <c r="L65" i="3"/>
  <c r="M65" i="3"/>
  <c r="N65" i="3"/>
  <c r="O65" i="3"/>
  <c r="T59" i="3" s="1"/>
  <c r="J58" i="3"/>
  <c r="J59" i="3"/>
  <c r="J60" i="3"/>
  <c r="J61" i="3"/>
  <c r="J62" i="3"/>
  <c r="J63" i="3"/>
  <c r="J64" i="3"/>
  <c r="J65" i="3"/>
  <c r="J57" i="3"/>
  <c r="G57" i="3"/>
  <c r="AB57" i="3" s="1"/>
  <c r="H57" i="3"/>
  <c r="G58" i="3"/>
  <c r="H58" i="3"/>
  <c r="G59" i="3"/>
  <c r="AB59" i="3" s="1"/>
  <c r="H59" i="3"/>
  <c r="F58" i="3"/>
  <c r="F59" i="3"/>
  <c r="F57" i="3"/>
  <c r="K42" i="3"/>
  <c r="L42" i="3"/>
  <c r="M42" i="3"/>
  <c r="N42" i="3"/>
  <c r="O42" i="3"/>
  <c r="K43" i="3"/>
  <c r="L43" i="3"/>
  <c r="M43" i="3"/>
  <c r="N43" i="3"/>
  <c r="O43" i="3"/>
  <c r="K44" i="3"/>
  <c r="L44" i="3"/>
  <c r="M44" i="3"/>
  <c r="N44" i="3"/>
  <c r="T41" i="3" s="1"/>
  <c r="Y41" i="3" s="1"/>
  <c r="O44" i="3"/>
  <c r="K45" i="3"/>
  <c r="L45" i="3"/>
  <c r="M45" i="3"/>
  <c r="N45" i="3"/>
  <c r="O45" i="3"/>
  <c r="K46" i="3"/>
  <c r="L46" i="3"/>
  <c r="M46" i="3"/>
  <c r="N46" i="3"/>
  <c r="O46" i="3"/>
  <c r="K47" i="3"/>
  <c r="L47" i="3"/>
  <c r="M47" i="3"/>
  <c r="N47" i="3"/>
  <c r="O47" i="3"/>
  <c r="K48" i="3"/>
  <c r="L48" i="3"/>
  <c r="Q44" i="3" s="1"/>
  <c r="V44" i="3" s="1"/>
  <c r="M48" i="3"/>
  <c r="N48" i="3"/>
  <c r="O48" i="3"/>
  <c r="K49" i="3"/>
  <c r="L49" i="3"/>
  <c r="M49" i="3"/>
  <c r="N49" i="3"/>
  <c r="O49" i="3"/>
  <c r="S44" i="3" s="1"/>
  <c r="K50" i="3"/>
  <c r="L50" i="3"/>
  <c r="M50" i="3"/>
  <c r="N50" i="3"/>
  <c r="O50" i="3"/>
  <c r="J43" i="3"/>
  <c r="J44" i="3"/>
  <c r="J45" i="3"/>
  <c r="J46" i="3"/>
  <c r="J47" i="3"/>
  <c r="J48" i="3"/>
  <c r="J49" i="3"/>
  <c r="J50" i="3"/>
  <c r="J42" i="3"/>
  <c r="G42" i="3"/>
  <c r="H42" i="3"/>
  <c r="G43" i="3"/>
  <c r="AB43" i="3" s="1"/>
  <c r="H43" i="3"/>
  <c r="G44" i="3"/>
  <c r="H44" i="3"/>
  <c r="F43" i="3"/>
  <c r="F44" i="3"/>
  <c r="F42" i="3"/>
  <c r="S58" i="3"/>
  <c r="Q58" i="3"/>
  <c r="V58" i="3" s="1"/>
  <c r="R59" i="3"/>
  <c r="R58" i="3"/>
  <c r="AB58" i="3"/>
  <c r="T57" i="3"/>
  <c r="W56" i="3"/>
  <c r="R56" i="3"/>
  <c r="T44" i="3"/>
  <c r="T43" i="3"/>
  <c r="S43" i="3"/>
  <c r="R44" i="3"/>
  <c r="W44" i="3" s="1"/>
  <c r="T42" i="3"/>
  <c r="AB44" i="3"/>
  <c r="C44" i="3"/>
  <c r="R43" i="3"/>
  <c r="Q43" i="3"/>
  <c r="V43" i="3" s="1"/>
  <c r="AB42" i="3"/>
  <c r="S42" i="3"/>
  <c r="R42" i="3"/>
  <c r="W42" i="3" s="1"/>
  <c r="R41" i="3"/>
  <c r="W41" i="3" s="1"/>
  <c r="Q42" i="3"/>
  <c r="V42" i="3" s="1"/>
  <c r="C42" i="3"/>
  <c r="S41" i="3"/>
  <c r="X41" i="3" s="1"/>
  <c r="Y29" i="3"/>
  <c r="X29" i="3"/>
  <c r="X28" i="3"/>
  <c r="W29" i="3"/>
  <c r="W28" i="3"/>
  <c r="AB29" i="3"/>
  <c r="Y26" i="3"/>
  <c r="V29" i="3"/>
  <c r="T29" i="3"/>
  <c r="S29" i="3"/>
  <c r="T28" i="3"/>
  <c r="R29" i="3"/>
  <c r="R28" i="3"/>
  <c r="T27" i="3"/>
  <c r="S27" i="3"/>
  <c r="R27" i="3"/>
  <c r="T26" i="3"/>
  <c r="Q29" i="3"/>
  <c r="Q28" i="3"/>
  <c r="V28" i="3" s="1"/>
  <c r="J35" i="3"/>
  <c r="K35" i="3"/>
  <c r="L35" i="3"/>
  <c r="M35" i="3"/>
  <c r="N35" i="3"/>
  <c r="O35" i="3"/>
  <c r="J34" i="3"/>
  <c r="K34" i="3"/>
  <c r="L34" i="3"/>
  <c r="M34" i="3"/>
  <c r="N34" i="3"/>
  <c r="O34" i="3"/>
  <c r="K27" i="3"/>
  <c r="L27" i="3"/>
  <c r="Q27" i="3" s="1"/>
  <c r="V27" i="3" s="1"/>
  <c r="M27" i="3"/>
  <c r="N27" i="3"/>
  <c r="R26" i="3" s="1"/>
  <c r="W26" i="3" s="1"/>
  <c r="O27" i="3"/>
  <c r="K28" i="3"/>
  <c r="L28" i="3"/>
  <c r="M28" i="3"/>
  <c r="N28" i="3"/>
  <c r="S26" i="3" s="1"/>
  <c r="X26" i="3" s="1"/>
  <c r="O28" i="3"/>
  <c r="K29" i="3"/>
  <c r="L29" i="3"/>
  <c r="M29" i="3"/>
  <c r="N29" i="3"/>
  <c r="O29" i="3"/>
  <c r="K30" i="3"/>
  <c r="L30" i="3"/>
  <c r="M30" i="3"/>
  <c r="N30" i="3"/>
  <c r="O30" i="3"/>
  <c r="K31" i="3"/>
  <c r="L31" i="3"/>
  <c r="M31" i="3"/>
  <c r="N31" i="3"/>
  <c r="O31" i="3"/>
  <c r="S28" i="3" s="1"/>
  <c r="K32" i="3"/>
  <c r="L32" i="3"/>
  <c r="M32" i="3"/>
  <c r="N32" i="3"/>
  <c r="O32" i="3"/>
  <c r="K33" i="3"/>
  <c r="L33" i="3"/>
  <c r="M33" i="3"/>
  <c r="N33" i="3"/>
  <c r="O33" i="3"/>
  <c r="J28" i="3"/>
  <c r="J29" i="3"/>
  <c r="J30" i="3"/>
  <c r="J31" i="3"/>
  <c r="J32" i="3"/>
  <c r="J33" i="3"/>
  <c r="J27" i="3"/>
  <c r="C29" i="3"/>
  <c r="G27" i="3"/>
  <c r="H27" i="3"/>
  <c r="G28" i="3"/>
  <c r="H28" i="3"/>
  <c r="G29" i="3"/>
  <c r="H29" i="3"/>
  <c r="F29" i="3"/>
  <c r="F28" i="3"/>
  <c r="F27" i="3"/>
  <c r="AB28" i="3"/>
  <c r="C28" i="3"/>
  <c r="W27" i="3"/>
  <c r="AB27" i="3"/>
  <c r="L16" i="3"/>
  <c r="M16" i="3"/>
  <c r="N16" i="3"/>
  <c r="S14" i="3" s="1"/>
  <c r="X14" i="3" s="1"/>
  <c r="O16" i="3"/>
  <c r="S15" i="3" s="1"/>
  <c r="L17" i="3"/>
  <c r="Q16" i="3" s="1"/>
  <c r="V16" i="3" s="1"/>
  <c r="M17" i="3"/>
  <c r="N17" i="3"/>
  <c r="O17" i="3"/>
  <c r="R16" i="3" s="1"/>
  <c r="L18" i="3"/>
  <c r="M18" i="3"/>
  <c r="N18" i="3"/>
  <c r="O18" i="3"/>
  <c r="S16" i="3" s="1"/>
  <c r="M15" i="3"/>
  <c r="N15" i="3"/>
  <c r="R14" i="3" s="1"/>
  <c r="W14" i="3" s="1"/>
  <c r="O15" i="3"/>
  <c r="R15" i="3" s="1"/>
  <c r="W15" i="3" s="1"/>
  <c r="K15" i="3"/>
  <c r="L15" i="3"/>
  <c r="Q15" i="3" s="1"/>
  <c r="V15" i="3" s="1"/>
  <c r="K16" i="3"/>
  <c r="K17" i="3"/>
  <c r="K18" i="3"/>
  <c r="J16" i="3"/>
  <c r="J17" i="3"/>
  <c r="J18" i="3"/>
  <c r="J15" i="3"/>
  <c r="F16" i="3"/>
  <c r="G16" i="3"/>
  <c r="C16" i="3" s="1"/>
  <c r="F15" i="3"/>
  <c r="F6" i="3"/>
  <c r="K9" i="3" s="1"/>
  <c r="D6" i="3"/>
  <c r="I7" i="3" s="1"/>
  <c r="E6" i="3"/>
  <c r="J8" i="3" s="1"/>
  <c r="C6" i="3"/>
  <c r="K6" i="3" s="1"/>
  <c r="H15" i="3"/>
  <c r="H16" i="3"/>
  <c r="G15" i="3"/>
  <c r="AB15" i="3" s="1"/>
  <c r="C94" i="3" l="1"/>
  <c r="W110" i="3"/>
  <c r="X109" i="3"/>
  <c r="X110" i="3" s="1"/>
  <c r="Y110" i="3" s="1"/>
  <c r="C108" i="3"/>
  <c r="X94" i="3"/>
  <c r="X95" i="3" s="1"/>
  <c r="Y95" i="3" s="1"/>
  <c r="AB95" i="3"/>
  <c r="W73" i="3"/>
  <c r="X73" i="3"/>
  <c r="W74" i="3"/>
  <c r="X74" i="3" s="1"/>
  <c r="Y74" i="3" s="1"/>
  <c r="C72" i="3"/>
  <c r="C59" i="3"/>
  <c r="C57" i="3"/>
  <c r="W43" i="3"/>
  <c r="X43" i="3"/>
  <c r="C43" i="3"/>
  <c r="W58" i="3"/>
  <c r="X58" i="3"/>
  <c r="C58" i="3"/>
  <c r="X44" i="3"/>
  <c r="Y44" i="3" s="1"/>
  <c r="C27" i="3"/>
  <c r="C15" i="3"/>
  <c r="AB16" i="3"/>
  <c r="K8" i="3"/>
  <c r="K7" i="3"/>
  <c r="AC72" i="3" s="1"/>
  <c r="D72" i="3" s="1"/>
  <c r="J7" i="3"/>
  <c r="I6" i="3"/>
  <c r="J6" i="3"/>
  <c r="H6" i="3"/>
  <c r="W16" i="3"/>
  <c r="X16" i="3" s="1"/>
  <c r="AC73" i="3" l="1"/>
  <c r="D73" i="3" s="1"/>
  <c r="AC74" i="3"/>
  <c r="D74" i="3" s="1"/>
  <c r="AC75" i="3"/>
  <c r="D75" i="3" s="1"/>
  <c r="AC109" i="3"/>
  <c r="D109" i="3" s="1"/>
  <c r="AC110" i="3"/>
  <c r="D110" i="3" s="1"/>
  <c r="AC95" i="3"/>
  <c r="D95" i="3" s="1"/>
  <c r="AC108" i="3"/>
  <c r="D108" i="3" s="1"/>
  <c r="AC93" i="3"/>
  <c r="D93" i="3" s="1"/>
  <c r="AC94" i="3"/>
  <c r="D94" i="3" s="1"/>
  <c r="AC59" i="3"/>
  <c r="D59" i="3" s="1"/>
  <c r="AC57" i="3"/>
  <c r="D57" i="3" s="1"/>
  <c r="AC58" i="3"/>
  <c r="D58" i="3" s="1"/>
  <c r="X59" i="3"/>
  <c r="Y59" i="3" s="1"/>
  <c r="AC43" i="3"/>
  <c r="D43" i="3" s="1"/>
  <c r="AC44" i="3"/>
  <c r="D44" i="3" s="1"/>
  <c r="AC42" i="3"/>
  <c r="D42" i="3" s="1"/>
  <c r="AC28" i="3"/>
  <c r="D28" i="3" s="1"/>
  <c r="AC29" i="3"/>
  <c r="D29" i="3" s="1"/>
  <c r="AC27" i="3"/>
  <c r="D27" i="3" s="1"/>
  <c r="AC16" i="3"/>
  <c r="D16" i="3" s="1"/>
  <c r="AC15" i="3"/>
  <c r="D15" i="3" s="1"/>
  <c r="E82" i="3" l="1"/>
  <c r="E20" i="3"/>
  <c r="E21" i="3"/>
  <c r="E115" i="3"/>
  <c r="E117" i="3"/>
  <c r="E33" i="3"/>
  <c r="E65" i="3"/>
  <c r="E63" i="3"/>
  <c r="E81" i="3"/>
  <c r="E84" i="3"/>
  <c r="E83" i="3"/>
  <c r="E80" i="3"/>
  <c r="E34" i="3"/>
  <c r="E36" i="3"/>
  <c r="E64" i="3"/>
  <c r="E66" i="3"/>
  <c r="E100" i="3"/>
  <c r="E102" i="3"/>
  <c r="E50" i="3"/>
  <c r="E48" i="3"/>
  <c r="E99" i="3"/>
  <c r="E101" i="3"/>
  <c r="E79" i="3"/>
  <c r="E51" i="3"/>
  <c r="E49" i="3"/>
  <c r="E114" i="3"/>
  <c r="E116" i="3"/>
  <c r="H19" i="2" l="1"/>
  <c r="H27" i="2"/>
  <c r="H35" i="2"/>
  <c r="H43" i="2"/>
  <c r="H51" i="2"/>
  <c r="H59" i="2"/>
  <c r="H67" i="2"/>
  <c r="H75" i="2"/>
  <c r="H83" i="2"/>
  <c r="H13" i="2"/>
  <c r="H21" i="2"/>
  <c r="H29" i="2"/>
  <c r="H37" i="2"/>
  <c r="H45" i="2"/>
  <c r="H53" i="2"/>
  <c r="H61" i="2"/>
  <c r="H69" i="2"/>
  <c r="H77" i="2"/>
  <c r="H85" i="2"/>
  <c r="H15" i="2"/>
  <c r="H23" i="2"/>
  <c r="H31" i="2"/>
  <c r="H39" i="2"/>
  <c r="H47" i="2"/>
  <c r="H55" i="2"/>
  <c r="H63" i="2"/>
  <c r="H71" i="2"/>
  <c r="H79" i="2"/>
  <c r="H87" i="2"/>
  <c r="H14" i="2"/>
  <c r="H26" i="2"/>
  <c r="H40" i="2"/>
  <c r="H52" i="2"/>
  <c r="H65" i="2"/>
  <c r="H78" i="2"/>
  <c r="H90" i="2"/>
  <c r="H98" i="2"/>
  <c r="H106" i="2"/>
  <c r="H114" i="2"/>
  <c r="H122" i="2"/>
  <c r="H130" i="2"/>
  <c r="H138" i="2"/>
  <c r="H146" i="2"/>
  <c r="H154" i="2"/>
  <c r="H162" i="2"/>
  <c r="H170" i="2"/>
  <c r="H178" i="2"/>
  <c r="H186" i="2"/>
  <c r="H194" i="2"/>
  <c r="H202" i="2"/>
  <c r="H210" i="2"/>
  <c r="H16" i="2"/>
  <c r="H28" i="2"/>
  <c r="H41" i="2"/>
  <c r="H54" i="2"/>
  <c r="H66" i="2"/>
  <c r="H80" i="2"/>
  <c r="H91" i="2"/>
  <c r="H99" i="2"/>
  <c r="H107" i="2"/>
  <c r="H115" i="2"/>
  <c r="H123" i="2"/>
  <c r="H131" i="2"/>
  <c r="H139" i="2"/>
  <c r="H147" i="2"/>
  <c r="H155" i="2"/>
  <c r="H163" i="2"/>
  <c r="H171" i="2"/>
  <c r="H179" i="2"/>
  <c r="H187" i="2"/>
  <c r="H195" i="2"/>
  <c r="H203" i="2"/>
  <c r="H20" i="2"/>
  <c r="H33" i="2"/>
  <c r="H46" i="2"/>
  <c r="H58" i="2"/>
  <c r="H72" i="2"/>
  <c r="H84" i="2"/>
  <c r="H94" i="2"/>
  <c r="H102" i="2"/>
  <c r="H110" i="2"/>
  <c r="H118" i="2"/>
  <c r="H126" i="2"/>
  <c r="H134" i="2"/>
  <c r="H142" i="2"/>
  <c r="H150" i="2"/>
  <c r="H158" i="2"/>
  <c r="H166" i="2"/>
  <c r="H174" i="2"/>
  <c r="H182" i="2"/>
  <c r="H190" i="2"/>
  <c r="H198" i="2"/>
  <c r="H206" i="2"/>
  <c r="H24" i="2"/>
  <c r="H44" i="2"/>
  <c r="H64" i="2"/>
  <c r="H86" i="2"/>
  <c r="H100" i="2"/>
  <c r="H112" i="2"/>
  <c r="H125" i="2"/>
  <c r="H137" i="2"/>
  <c r="H151" i="2"/>
  <c r="H164" i="2"/>
  <c r="H176" i="2"/>
  <c r="H189" i="2"/>
  <c r="H201" i="2"/>
  <c r="H25" i="2"/>
  <c r="H48" i="2"/>
  <c r="H68" i="2"/>
  <c r="H88" i="2"/>
  <c r="H101" i="2"/>
  <c r="H113" i="2"/>
  <c r="H127" i="2"/>
  <c r="H140" i="2"/>
  <c r="H152" i="2"/>
  <c r="H30" i="2"/>
  <c r="H49" i="2"/>
  <c r="H70" i="2"/>
  <c r="H89" i="2"/>
  <c r="H103" i="2"/>
  <c r="H116" i="2"/>
  <c r="H128" i="2"/>
  <c r="H141" i="2"/>
  <c r="H153" i="2"/>
  <c r="H167" i="2"/>
  <c r="H180" i="2"/>
  <c r="H192" i="2"/>
  <c r="H205" i="2"/>
  <c r="H32" i="2"/>
  <c r="H50" i="2"/>
  <c r="H73" i="2"/>
  <c r="H92" i="2"/>
  <c r="H104" i="2"/>
  <c r="H117" i="2"/>
  <c r="H129" i="2"/>
  <c r="H143" i="2"/>
  <c r="H156" i="2"/>
  <c r="H168" i="2"/>
  <c r="H181" i="2"/>
  <c r="H193" i="2"/>
  <c r="H207" i="2"/>
  <c r="H12" i="2"/>
  <c r="H34" i="2"/>
  <c r="H56" i="2"/>
  <c r="H74" i="2"/>
  <c r="H93" i="2"/>
  <c r="H105" i="2"/>
  <c r="H119" i="2"/>
  <c r="H132" i="2"/>
  <c r="H144" i="2"/>
  <c r="H157" i="2"/>
  <c r="H169" i="2"/>
  <c r="H183" i="2"/>
  <c r="H196" i="2"/>
  <c r="H208" i="2"/>
  <c r="H17" i="2"/>
  <c r="H36" i="2"/>
  <c r="H57" i="2"/>
  <c r="H76" i="2"/>
  <c r="H95" i="2"/>
  <c r="H108" i="2"/>
  <c r="H120" i="2"/>
  <c r="H133" i="2"/>
  <c r="H145" i="2"/>
  <c r="H159" i="2"/>
  <c r="H18" i="2"/>
  <c r="H38" i="2"/>
  <c r="H60" i="2"/>
  <c r="H81" i="2"/>
  <c r="H96" i="2"/>
  <c r="H109" i="2"/>
  <c r="H121" i="2"/>
  <c r="H135" i="2"/>
  <c r="H148" i="2"/>
  <c r="H160" i="2"/>
  <c r="H173" i="2"/>
  <c r="H185" i="2"/>
  <c r="H199" i="2"/>
  <c r="H11" i="2"/>
  <c r="H82" i="2"/>
  <c r="H172" i="2"/>
  <c r="H204" i="2"/>
  <c r="H97" i="2"/>
  <c r="H175" i="2"/>
  <c r="H209" i="2"/>
  <c r="H111" i="2"/>
  <c r="H177" i="2"/>
  <c r="H124" i="2"/>
  <c r="H184" i="2"/>
  <c r="H136" i="2"/>
  <c r="H188" i="2"/>
  <c r="H22" i="2"/>
  <c r="H149" i="2"/>
  <c r="H191" i="2"/>
  <c r="H42" i="2"/>
  <c r="H161" i="2"/>
  <c r="H197" i="2"/>
  <c r="H62" i="2"/>
  <c r="H165" i="2"/>
  <c r="H200" i="2"/>
  <c r="O18" i="2"/>
  <c r="O26" i="2"/>
  <c r="O34" i="2"/>
  <c r="O42" i="2"/>
  <c r="O50" i="2"/>
  <c r="O58" i="2"/>
  <c r="O66" i="2"/>
  <c r="O74" i="2"/>
  <c r="O82" i="2"/>
  <c r="O90" i="2"/>
  <c r="O98" i="2"/>
  <c r="O106" i="2"/>
  <c r="O114" i="2"/>
  <c r="O122" i="2"/>
  <c r="O130" i="2"/>
  <c r="O138" i="2"/>
  <c r="O146" i="2"/>
  <c r="O154" i="2"/>
  <c r="O162" i="2"/>
  <c r="O170" i="2"/>
  <c r="O178" i="2"/>
  <c r="O186" i="2"/>
  <c r="O194" i="2"/>
  <c r="O202" i="2"/>
  <c r="O210" i="2"/>
  <c r="O12" i="2"/>
  <c r="O20" i="2"/>
  <c r="O28" i="2"/>
  <c r="O36" i="2"/>
  <c r="O44" i="2"/>
  <c r="O52" i="2"/>
  <c r="O60" i="2"/>
  <c r="O68" i="2"/>
  <c r="O76" i="2"/>
  <c r="O84" i="2"/>
  <c r="O92" i="2"/>
  <c r="O100" i="2"/>
  <c r="O108" i="2"/>
  <c r="O116" i="2"/>
  <c r="O124" i="2"/>
  <c r="O132" i="2"/>
  <c r="O140" i="2"/>
  <c r="O148" i="2"/>
  <c r="O156" i="2"/>
  <c r="O164" i="2"/>
  <c r="O172" i="2"/>
  <c r="O180" i="2"/>
  <c r="O188" i="2"/>
  <c r="O196" i="2"/>
  <c r="O204" i="2"/>
  <c r="O14" i="2"/>
  <c r="O22" i="2"/>
  <c r="O30" i="2"/>
  <c r="O38" i="2"/>
  <c r="O46" i="2"/>
  <c r="O54" i="2"/>
  <c r="O62" i="2"/>
  <c r="O70" i="2"/>
  <c r="O78" i="2"/>
  <c r="O86" i="2"/>
  <c r="O94" i="2"/>
  <c r="O102" i="2"/>
  <c r="O110" i="2"/>
  <c r="O118" i="2"/>
  <c r="O126" i="2"/>
  <c r="O134" i="2"/>
  <c r="O142" i="2"/>
  <c r="O150" i="2"/>
  <c r="O158" i="2"/>
  <c r="O166" i="2"/>
  <c r="O174" i="2"/>
  <c r="O182" i="2"/>
  <c r="O190" i="2"/>
  <c r="O198" i="2"/>
  <c r="O206" i="2"/>
  <c r="O21" i="2"/>
  <c r="O33" i="2"/>
  <c r="O47" i="2"/>
  <c r="O59" i="2"/>
  <c r="O72" i="2"/>
  <c r="O85" i="2"/>
  <c r="O97" i="2"/>
  <c r="O111" i="2"/>
  <c r="O123" i="2"/>
  <c r="O136" i="2"/>
  <c r="O149" i="2"/>
  <c r="O161" i="2"/>
  <c r="O175" i="2"/>
  <c r="O187" i="2"/>
  <c r="O200" i="2"/>
  <c r="O23" i="2"/>
  <c r="O35" i="2"/>
  <c r="O48" i="2"/>
  <c r="O61" i="2"/>
  <c r="O73" i="2"/>
  <c r="O87" i="2"/>
  <c r="O99" i="2"/>
  <c r="O112" i="2"/>
  <c r="O125" i="2"/>
  <c r="O137" i="2"/>
  <c r="O151" i="2"/>
  <c r="O163" i="2"/>
  <c r="O176" i="2"/>
  <c r="O189" i="2"/>
  <c r="O201" i="2"/>
  <c r="O11" i="2"/>
  <c r="O15" i="2"/>
  <c r="O27" i="2"/>
  <c r="O40" i="2"/>
  <c r="O53" i="2"/>
  <c r="O65" i="2"/>
  <c r="O79" i="2"/>
  <c r="O91" i="2"/>
  <c r="O104" i="2"/>
  <c r="O117" i="2"/>
  <c r="O129" i="2"/>
  <c r="O143" i="2"/>
  <c r="O155" i="2"/>
  <c r="O168" i="2"/>
  <c r="O181" i="2"/>
  <c r="O193" i="2"/>
  <c r="O207" i="2"/>
  <c r="O17" i="2"/>
  <c r="O39" i="2"/>
  <c r="O57" i="2"/>
  <c r="O80" i="2"/>
  <c r="O101" i="2"/>
  <c r="O120" i="2"/>
  <c r="O141" i="2"/>
  <c r="O160" i="2"/>
  <c r="O183" i="2"/>
  <c r="O203" i="2"/>
  <c r="O19" i="2"/>
  <c r="O41" i="2"/>
  <c r="O63" i="2"/>
  <c r="O81" i="2"/>
  <c r="O103" i="2"/>
  <c r="O121" i="2"/>
  <c r="O144" i="2"/>
  <c r="O165" i="2"/>
  <c r="O184" i="2"/>
  <c r="O205" i="2"/>
  <c r="O24" i="2"/>
  <c r="O43" i="2"/>
  <c r="O64" i="2"/>
  <c r="O83" i="2"/>
  <c r="O105" i="2"/>
  <c r="O127" i="2"/>
  <c r="O145" i="2"/>
  <c r="O167" i="2"/>
  <c r="O185" i="2"/>
  <c r="O208" i="2"/>
  <c r="O25" i="2"/>
  <c r="O45" i="2"/>
  <c r="O67" i="2"/>
  <c r="O88" i="2"/>
  <c r="O107" i="2"/>
  <c r="O128" i="2"/>
  <c r="O147" i="2"/>
  <c r="O169" i="2"/>
  <c r="O191" i="2"/>
  <c r="O209" i="2"/>
  <c r="O29" i="2"/>
  <c r="O49" i="2"/>
  <c r="O69" i="2"/>
  <c r="O89" i="2"/>
  <c r="O109" i="2"/>
  <c r="O131" i="2"/>
  <c r="O152" i="2"/>
  <c r="O171" i="2"/>
  <c r="O192" i="2"/>
  <c r="O31" i="2"/>
  <c r="O51" i="2"/>
  <c r="O71" i="2"/>
  <c r="O93" i="2"/>
  <c r="O113" i="2"/>
  <c r="O133" i="2"/>
  <c r="O153" i="2"/>
  <c r="O173" i="2"/>
  <c r="O195" i="2"/>
  <c r="O13" i="2"/>
  <c r="O32" i="2"/>
  <c r="O55" i="2"/>
  <c r="O75" i="2"/>
  <c r="O95" i="2"/>
  <c r="O115" i="2"/>
  <c r="O135" i="2"/>
  <c r="O157" i="2"/>
  <c r="O177" i="2"/>
  <c r="O197" i="2"/>
  <c r="O119" i="2"/>
  <c r="O139" i="2"/>
  <c r="O159" i="2"/>
  <c r="O16" i="2"/>
  <c r="O179" i="2"/>
  <c r="O37" i="2"/>
  <c r="O199" i="2"/>
  <c r="O56" i="2"/>
  <c r="O77" i="2"/>
  <c r="O96" i="2"/>
  <c r="K13" i="2"/>
  <c r="K21" i="2"/>
  <c r="K29" i="2"/>
  <c r="K37" i="2"/>
  <c r="K45" i="2"/>
  <c r="K53" i="2"/>
  <c r="K61" i="2"/>
  <c r="K69" i="2"/>
  <c r="K77" i="2"/>
  <c r="K85" i="2"/>
  <c r="K93" i="2"/>
  <c r="K101" i="2"/>
  <c r="K109" i="2"/>
  <c r="K117" i="2"/>
  <c r="K125" i="2"/>
  <c r="K133" i="2"/>
  <c r="K141" i="2"/>
  <c r="K149" i="2"/>
  <c r="K157" i="2"/>
  <c r="K165" i="2"/>
  <c r="K173" i="2"/>
  <c r="K181" i="2"/>
  <c r="K189" i="2"/>
  <c r="K197" i="2"/>
  <c r="K205" i="2"/>
  <c r="K14" i="2"/>
  <c r="K22" i="2"/>
  <c r="K30" i="2"/>
  <c r="K38" i="2"/>
  <c r="K46" i="2"/>
  <c r="K54" i="2"/>
  <c r="K62" i="2"/>
  <c r="K70" i="2"/>
  <c r="K78" i="2"/>
  <c r="K86" i="2"/>
  <c r="K94" i="2"/>
  <c r="K102" i="2"/>
  <c r="K110" i="2"/>
  <c r="K118" i="2"/>
  <c r="K126" i="2"/>
  <c r="K134" i="2"/>
  <c r="K142" i="2"/>
  <c r="K150" i="2"/>
  <c r="K158" i="2"/>
  <c r="K166" i="2"/>
  <c r="K174" i="2"/>
  <c r="K182" i="2"/>
  <c r="K190" i="2"/>
  <c r="K198" i="2"/>
  <c r="K206" i="2"/>
  <c r="K17" i="2"/>
  <c r="K25" i="2"/>
  <c r="K33" i="2"/>
  <c r="K41" i="2"/>
  <c r="K49" i="2"/>
  <c r="K57" i="2"/>
  <c r="K65" i="2"/>
  <c r="K73" i="2"/>
  <c r="K81" i="2"/>
  <c r="K89" i="2"/>
  <c r="K97" i="2"/>
  <c r="K105" i="2"/>
  <c r="K113" i="2"/>
  <c r="K121" i="2"/>
  <c r="K129" i="2"/>
  <c r="K137" i="2"/>
  <c r="K145" i="2"/>
  <c r="K153" i="2"/>
  <c r="K161" i="2"/>
  <c r="K169" i="2"/>
  <c r="K177" i="2"/>
  <c r="K185" i="2"/>
  <c r="K193" i="2"/>
  <c r="K201" i="2"/>
  <c r="K209" i="2"/>
  <c r="K15" i="2"/>
  <c r="K27" i="2"/>
  <c r="K40" i="2"/>
  <c r="K52" i="2"/>
  <c r="K66" i="2"/>
  <c r="K79" i="2"/>
  <c r="K91" i="2"/>
  <c r="K104" i="2"/>
  <c r="K116" i="2"/>
  <c r="K130" i="2"/>
  <c r="K143" i="2"/>
  <c r="K155" i="2"/>
  <c r="K168" i="2"/>
  <c r="K180" i="2"/>
  <c r="K194" i="2"/>
  <c r="K207" i="2"/>
  <c r="K16" i="2"/>
  <c r="K28" i="2"/>
  <c r="K42" i="2"/>
  <c r="K55" i="2"/>
  <c r="K67" i="2"/>
  <c r="K80" i="2"/>
  <c r="K92" i="2"/>
  <c r="K106" i="2"/>
  <c r="K119" i="2"/>
  <c r="K131" i="2"/>
  <c r="K144" i="2"/>
  <c r="K156" i="2"/>
  <c r="K170" i="2"/>
  <c r="K183" i="2"/>
  <c r="K195" i="2"/>
  <c r="K208" i="2"/>
  <c r="K18" i="2"/>
  <c r="K31" i="2"/>
  <c r="K43" i="2"/>
  <c r="K56" i="2"/>
  <c r="K68" i="2"/>
  <c r="K82" i="2"/>
  <c r="K95" i="2"/>
  <c r="K107" i="2"/>
  <c r="K120" i="2"/>
  <c r="K132" i="2"/>
  <c r="K146" i="2"/>
  <c r="K159" i="2"/>
  <c r="K171" i="2"/>
  <c r="K184" i="2"/>
  <c r="K196" i="2"/>
  <c r="K210" i="2"/>
  <c r="K19" i="2"/>
  <c r="K32" i="2"/>
  <c r="K44" i="2"/>
  <c r="K58" i="2"/>
  <c r="K71" i="2"/>
  <c r="K83" i="2"/>
  <c r="K96" i="2"/>
  <c r="K108" i="2"/>
  <c r="K122" i="2"/>
  <c r="K135" i="2"/>
  <c r="K147" i="2"/>
  <c r="K160" i="2"/>
  <c r="K172" i="2"/>
  <c r="K186" i="2"/>
  <c r="K199" i="2"/>
  <c r="K11" i="2"/>
  <c r="K20" i="2"/>
  <c r="K34" i="2"/>
  <c r="K47" i="2"/>
  <c r="K59" i="2"/>
  <c r="K72" i="2"/>
  <c r="K84" i="2"/>
  <c r="K98" i="2"/>
  <c r="K111" i="2"/>
  <c r="K123" i="2"/>
  <c r="K136" i="2"/>
  <c r="K148" i="2"/>
  <c r="K162" i="2"/>
  <c r="K175" i="2"/>
  <c r="K187" i="2"/>
  <c r="K200" i="2"/>
  <c r="K23" i="2"/>
  <c r="K35" i="2"/>
  <c r="K48" i="2"/>
  <c r="K60" i="2"/>
  <c r="K74" i="2"/>
  <c r="K87" i="2"/>
  <c r="K99" i="2"/>
  <c r="K112" i="2"/>
  <c r="K124" i="2"/>
  <c r="K138" i="2"/>
  <c r="K151" i="2"/>
  <c r="K163" i="2"/>
  <c r="K176" i="2"/>
  <c r="K188" i="2"/>
  <c r="K202" i="2"/>
  <c r="K24" i="2"/>
  <c r="K36" i="2"/>
  <c r="K50" i="2"/>
  <c r="K63" i="2"/>
  <c r="K75" i="2"/>
  <c r="K88" i="2"/>
  <c r="K100" i="2"/>
  <c r="K114" i="2"/>
  <c r="K127" i="2"/>
  <c r="K139" i="2"/>
  <c r="K152" i="2"/>
  <c r="K164" i="2"/>
  <c r="K178" i="2"/>
  <c r="K191" i="2"/>
  <c r="K203" i="2"/>
  <c r="K39" i="2"/>
  <c r="K140" i="2"/>
  <c r="K26" i="2"/>
  <c r="K51" i="2"/>
  <c r="K154" i="2"/>
  <c r="K179" i="2"/>
  <c r="K64" i="2"/>
  <c r="K167" i="2"/>
  <c r="K76" i="2"/>
  <c r="K90" i="2"/>
  <c r="K192" i="2"/>
  <c r="K12" i="2"/>
  <c r="K103" i="2"/>
  <c r="K204" i="2"/>
  <c r="K115" i="2"/>
  <c r="K128" i="2"/>
  <c r="C14" i="2"/>
  <c r="C22" i="2"/>
  <c r="C30" i="2"/>
  <c r="C38" i="2"/>
  <c r="C46" i="2"/>
  <c r="C54" i="2"/>
  <c r="C62" i="2"/>
  <c r="C70" i="2"/>
  <c r="C78" i="2"/>
  <c r="C86" i="2"/>
  <c r="C94" i="2"/>
  <c r="C102" i="2"/>
  <c r="C110" i="2"/>
  <c r="C118" i="2"/>
  <c r="C126" i="2"/>
  <c r="C134" i="2"/>
  <c r="C142" i="2"/>
  <c r="C150" i="2"/>
  <c r="C158" i="2"/>
  <c r="C166" i="2"/>
  <c r="C174" i="2"/>
  <c r="C182" i="2"/>
  <c r="C190" i="2"/>
  <c r="C198" i="2"/>
  <c r="C206" i="2"/>
  <c r="C15" i="2"/>
  <c r="C23" i="2"/>
  <c r="C31" i="2"/>
  <c r="C39" i="2"/>
  <c r="C47" i="2"/>
  <c r="C55" i="2"/>
  <c r="C63" i="2"/>
  <c r="C71" i="2"/>
  <c r="C79" i="2"/>
  <c r="C87" i="2"/>
  <c r="C95" i="2"/>
  <c r="C103" i="2"/>
  <c r="C111" i="2"/>
  <c r="C119" i="2"/>
  <c r="C127" i="2"/>
  <c r="C135" i="2"/>
  <c r="C143" i="2"/>
  <c r="C151" i="2"/>
  <c r="C159" i="2"/>
  <c r="C167" i="2"/>
  <c r="C175" i="2"/>
  <c r="C183" i="2"/>
  <c r="C191" i="2"/>
  <c r="C199" i="2"/>
  <c r="C207" i="2"/>
  <c r="C16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6" i="2"/>
  <c r="C184" i="2"/>
  <c r="C192" i="2"/>
  <c r="C200" i="2"/>
  <c r="C208" i="2"/>
  <c r="C195" i="2"/>
  <c r="C17" i="2"/>
  <c r="C25" i="2"/>
  <c r="C33" i="2"/>
  <c r="C41" i="2"/>
  <c r="C49" i="2"/>
  <c r="C57" i="2"/>
  <c r="C65" i="2"/>
  <c r="C73" i="2"/>
  <c r="C81" i="2"/>
  <c r="C89" i="2"/>
  <c r="C97" i="2"/>
  <c r="C105" i="2"/>
  <c r="C113" i="2"/>
  <c r="C121" i="2"/>
  <c r="C129" i="2"/>
  <c r="C137" i="2"/>
  <c r="C145" i="2"/>
  <c r="C153" i="2"/>
  <c r="C161" i="2"/>
  <c r="C169" i="2"/>
  <c r="C177" i="2"/>
  <c r="C185" i="2"/>
  <c r="C193" i="2"/>
  <c r="C201" i="2"/>
  <c r="C209" i="2"/>
  <c r="C18" i="2"/>
  <c r="C26" i="2"/>
  <c r="C34" i="2"/>
  <c r="C42" i="2"/>
  <c r="C50" i="2"/>
  <c r="C58" i="2"/>
  <c r="C66" i="2"/>
  <c r="C74" i="2"/>
  <c r="C82" i="2"/>
  <c r="C90" i="2"/>
  <c r="C98" i="2"/>
  <c r="C106" i="2"/>
  <c r="C114" i="2"/>
  <c r="C122" i="2"/>
  <c r="C130" i="2"/>
  <c r="C138" i="2"/>
  <c r="C146" i="2"/>
  <c r="C154" i="2"/>
  <c r="C162" i="2"/>
  <c r="C170" i="2"/>
  <c r="C178" i="2"/>
  <c r="C186" i="2"/>
  <c r="C194" i="2"/>
  <c r="C202" i="2"/>
  <c r="C210" i="2"/>
  <c r="C155" i="2"/>
  <c r="C171" i="2"/>
  <c r="C187" i="2"/>
  <c r="C11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C139" i="2"/>
  <c r="C147" i="2"/>
  <c r="C163" i="2"/>
  <c r="C179" i="2"/>
  <c r="C203" i="2"/>
  <c r="C12" i="2"/>
  <c r="C20" i="2"/>
  <c r="C28" i="2"/>
  <c r="C36" i="2"/>
  <c r="C44" i="2"/>
  <c r="C52" i="2"/>
  <c r="C60" i="2"/>
  <c r="C68" i="2"/>
  <c r="C76" i="2"/>
  <c r="C84" i="2"/>
  <c r="C92" i="2"/>
  <c r="C100" i="2"/>
  <c r="C108" i="2"/>
  <c r="C116" i="2"/>
  <c r="C124" i="2"/>
  <c r="C132" i="2"/>
  <c r="C140" i="2"/>
  <c r="C148" i="2"/>
  <c r="C156" i="2"/>
  <c r="C164" i="2"/>
  <c r="C172" i="2"/>
  <c r="C180" i="2"/>
  <c r="C188" i="2"/>
  <c r="C196" i="2"/>
  <c r="C204" i="2"/>
  <c r="C13" i="2"/>
  <c r="C77" i="2"/>
  <c r="C141" i="2"/>
  <c r="C205" i="2"/>
  <c r="C101" i="2"/>
  <c r="C125" i="2"/>
  <c r="C69" i="2"/>
  <c r="C21" i="2"/>
  <c r="C85" i="2"/>
  <c r="C149" i="2"/>
  <c r="C37" i="2"/>
  <c r="C29" i="2"/>
  <c r="C93" i="2"/>
  <c r="C157" i="2"/>
  <c r="C165" i="2"/>
  <c r="C189" i="2"/>
  <c r="C133" i="2"/>
  <c r="C45" i="2"/>
  <c r="C109" i="2"/>
  <c r="C173" i="2"/>
  <c r="C53" i="2"/>
  <c r="C117" i="2"/>
  <c r="C181" i="2"/>
  <c r="C61" i="2"/>
  <c r="C197" i="2"/>
  <c r="M18" i="2"/>
  <c r="M16" i="2"/>
  <c r="M25" i="2"/>
  <c r="M33" i="2"/>
  <c r="M41" i="2"/>
  <c r="M49" i="2"/>
  <c r="M57" i="2"/>
  <c r="M65" i="2"/>
  <c r="M73" i="2"/>
  <c r="M81" i="2"/>
  <c r="M89" i="2"/>
  <c r="M97" i="2"/>
  <c r="M105" i="2"/>
  <c r="M113" i="2"/>
  <c r="M121" i="2"/>
  <c r="M129" i="2"/>
  <c r="M137" i="2"/>
  <c r="M145" i="2"/>
  <c r="M153" i="2"/>
  <c r="M161" i="2"/>
  <c r="M169" i="2"/>
  <c r="M177" i="2"/>
  <c r="M185" i="2"/>
  <c r="M193" i="2"/>
  <c r="M201" i="2"/>
  <c r="M209" i="2"/>
  <c r="M20" i="2"/>
  <c r="M28" i="2"/>
  <c r="M36" i="2"/>
  <c r="M44" i="2"/>
  <c r="M52" i="2"/>
  <c r="M60" i="2"/>
  <c r="M68" i="2"/>
  <c r="M76" i="2"/>
  <c r="M84" i="2"/>
  <c r="M92" i="2"/>
  <c r="M100" i="2"/>
  <c r="M108" i="2"/>
  <c r="M116" i="2"/>
  <c r="M124" i="2"/>
  <c r="M132" i="2"/>
  <c r="M140" i="2"/>
  <c r="M148" i="2"/>
  <c r="M156" i="2"/>
  <c r="M164" i="2"/>
  <c r="M172" i="2"/>
  <c r="M180" i="2"/>
  <c r="M188" i="2"/>
  <c r="M196" i="2"/>
  <c r="M204" i="2"/>
  <c r="M12" i="2"/>
  <c r="M21" i="2"/>
  <c r="M29" i="2"/>
  <c r="M37" i="2"/>
  <c r="M45" i="2"/>
  <c r="M53" i="2"/>
  <c r="M61" i="2"/>
  <c r="M69" i="2"/>
  <c r="M77" i="2"/>
  <c r="M85" i="2"/>
  <c r="M93" i="2"/>
  <c r="M101" i="2"/>
  <c r="M109" i="2"/>
  <c r="M117" i="2"/>
  <c r="M125" i="2"/>
  <c r="M133" i="2"/>
  <c r="M141" i="2"/>
  <c r="M149" i="2"/>
  <c r="M157" i="2"/>
  <c r="M165" i="2"/>
  <c r="M173" i="2"/>
  <c r="M181" i="2"/>
  <c r="M189" i="2"/>
  <c r="M197" i="2"/>
  <c r="M205" i="2"/>
  <c r="M19" i="2"/>
  <c r="M32" i="2"/>
  <c r="M46" i="2"/>
  <c r="M58" i="2"/>
  <c r="M71" i="2"/>
  <c r="M83" i="2"/>
  <c r="M96" i="2"/>
  <c r="M110" i="2"/>
  <c r="M122" i="2"/>
  <c r="M135" i="2"/>
  <c r="M147" i="2"/>
  <c r="M160" i="2"/>
  <c r="M174" i="2"/>
  <c r="M186" i="2"/>
  <c r="M199" i="2"/>
  <c r="M11" i="2"/>
  <c r="M22" i="2"/>
  <c r="M34" i="2"/>
  <c r="M47" i="2"/>
  <c r="M59" i="2"/>
  <c r="M72" i="2"/>
  <c r="M86" i="2"/>
  <c r="M98" i="2"/>
  <c r="M111" i="2"/>
  <c r="M123" i="2"/>
  <c r="M136" i="2"/>
  <c r="M150" i="2"/>
  <c r="M162" i="2"/>
  <c r="M175" i="2"/>
  <c r="M187" i="2"/>
  <c r="M200" i="2"/>
  <c r="M23" i="2"/>
  <c r="M35" i="2"/>
  <c r="M48" i="2"/>
  <c r="M62" i="2"/>
  <c r="M74" i="2"/>
  <c r="M87" i="2"/>
  <c r="M99" i="2"/>
  <c r="M112" i="2"/>
  <c r="M126" i="2"/>
  <c r="M138" i="2"/>
  <c r="M151" i="2"/>
  <c r="M163" i="2"/>
  <c r="M176" i="2"/>
  <c r="M190" i="2"/>
  <c r="M202" i="2"/>
  <c r="M24" i="2"/>
  <c r="M38" i="2"/>
  <c r="M50" i="2"/>
  <c r="M63" i="2"/>
  <c r="M75" i="2"/>
  <c r="M88" i="2"/>
  <c r="M102" i="2"/>
  <c r="M114" i="2"/>
  <c r="M127" i="2"/>
  <c r="M139" i="2"/>
  <c r="M152" i="2"/>
  <c r="M166" i="2"/>
  <c r="M178" i="2"/>
  <c r="M191" i="2"/>
  <c r="M203" i="2"/>
  <c r="M13" i="2"/>
  <c r="M26" i="2"/>
  <c r="M39" i="2"/>
  <c r="M51" i="2"/>
  <c r="M64" i="2"/>
  <c r="M78" i="2"/>
  <c r="M90" i="2"/>
  <c r="M103" i="2"/>
  <c r="M115" i="2"/>
  <c r="M128" i="2"/>
  <c r="M142" i="2"/>
  <c r="M154" i="2"/>
  <c r="M167" i="2"/>
  <c r="M179" i="2"/>
  <c r="M192" i="2"/>
  <c r="M206" i="2"/>
  <c r="M14" i="2"/>
  <c r="M27" i="2"/>
  <c r="M40" i="2"/>
  <c r="M54" i="2"/>
  <c r="M66" i="2"/>
  <c r="M79" i="2"/>
  <c r="M91" i="2"/>
  <c r="M104" i="2"/>
  <c r="M118" i="2"/>
  <c r="M130" i="2"/>
  <c r="M143" i="2"/>
  <c r="M155" i="2"/>
  <c r="M168" i="2"/>
  <c r="M182" i="2"/>
  <c r="M194" i="2"/>
  <c r="M207" i="2"/>
  <c r="M15" i="2"/>
  <c r="M30" i="2"/>
  <c r="M42" i="2"/>
  <c r="M55" i="2"/>
  <c r="M67" i="2"/>
  <c r="M80" i="2"/>
  <c r="M94" i="2"/>
  <c r="M106" i="2"/>
  <c r="M119" i="2"/>
  <c r="M131" i="2"/>
  <c r="M144" i="2"/>
  <c r="M158" i="2"/>
  <c r="M170" i="2"/>
  <c r="M183" i="2"/>
  <c r="M195" i="2"/>
  <c r="M208" i="2"/>
  <c r="M31" i="2"/>
  <c r="M134" i="2"/>
  <c r="M43" i="2"/>
  <c r="M146" i="2"/>
  <c r="M56" i="2"/>
  <c r="M159" i="2"/>
  <c r="M70" i="2"/>
  <c r="M171" i="2"/>
  <c r="M82" i="2"/>
  <c r="M184" i="2"/>
  <c r="M95" i="2"/>
  <c r="M198" i="2"/>
  <c r="M107" i="2"/>
  <c r="M210" i="2"/>
  <c r="M120" i="2"/>
  <c r="M17" i="2"/>
  <c r="F17" i="2"/>
  <c r="F25" i="2"/>
  <c r="F33" i="2"/>
  <c r="F41" i="2"/>
  <c r="F49" i="2"/>
  <c r="F57" i="2"/>
  <c r="F65" i="2"/>
  <c r="F73" i="2"/>
  <c r="F81" i="2"/>
  <c r="F89" i="2"/>
  <c r="F97" i="2"/>
  <c r="F105" i="2"/>
  <c r="F113" i="2"/>
  <c r="F121" i="2"/>
  <c r="F129" i="2"/>
  <c r="F137" i="2"/>
  <c r="F145" i="2"/>
  <c r="F153" i="2"/>
  <c r="F161" i="2"/>
  <c r="F169" i="2"/>
  <c r="F177" i="2"/>
  <c r="F185" i="2"/>
  <c r="F193" i="2"/>
  <c r="F201" i="2"/>
  <c r="F209" i="2"/>
  <c r="F12" i="2"/>
  <c r="F20" i="2"/>
  <c r="F28" i="2"/>
  <c r="F36" i="2"/>
  <c r="F44" i="2"/>
  <c r="F52" i="2"/>
  <c r="F60" i="2"/>
  <c r="F68" i="2"/>
  <c r="F76" i="2"/>
  <c r="F84" i="2"/>
  <c r="F92" i="2"/>
  <c r="F100" i="2"/>
  <c r="F108" i="2"/>
  <c r="F116" i="2"/>
  <c r="F124" i="2"/>
  <c r="F132" i="2"/>
  <c r="F140" i="2"/>
  <c r="F148" i="2"/>
  <c r="F156" i="2"/>
  <c r="F164" i="2"/>
  <c r="F172" i="2"/>
  <c r="F180" i="2"/>
  <c r="F188" i="2"/>
  <c r="F196" i="2"/>
  <c r="F204" i="2"/>
  <c r="F13" i="2"/>
  <c r="F21" i="2"/>
  <c r="F29" i="2"/>
  <c r="F37" i="2"/>
  <c r="F45" i="2"/>
  <c r="F53" i="2"/>
  <c r="F61" i="2"/>
  <c r="F69" i="2"/>
  <c r="F77" i="2"/>
  <c r="F85" i="2"/>
  <c r="F93" i="2"/>
  <c r="F101" i="2"/>
  <c r="F109" i="2"/>
  <c r="F117" i="2"/>
  <c r="F125" i="2"/>
  <c r="F133" i="2"/>
  <c r="F141" i="2"/>
  <c r="F149" i="2"/>
  <c r="F157" i="2"/>
  <c r="F165" i="2"/>
  <c r="F173" i="2"/>
  <c r="F181" i="2"/>
  <c r="F189" i="2"/>
  <c r="F197" i="2"/>
  <c r="F205" i="2"/>
  <c r="F24" i="2"/>
  <c r="F38" i="2"/>
  <c r="F50" i="2"/>
  <c r="F63" i="2"/>
  <c r="F75" i="2"/>
  <c r="F88" i="2"/>
  <c r="F102" i="2"/>
  <c r="F114" i="2"/>
  <c r="F127" i="2"/>
  <c r="F139" i="2"/>
  <c r="F152" i="2"/>
  <c r="F166" i="2"/>
  <c r="F178" i="2"/>
  <c r="F191" i="2"/>
  <c r="F203" i="2"/>
  <c r="F14" i="2"/>
  <c r="F26" i="2"/>
  <c r="F39" i="2"/>
  <c r="F51" i="2"/>
  <c r="F64" i="2"/>
  <c r="F78" i="2"/>
  <c r="F90" i="2"/>
  <c r="F103" i="2"/>
  <c r="F115" i="2"/>
  <c r="F128" i="2"/>
  <c r="F142" i="2"/>
  <c r="F154" i="2"/>
  <c r="F167" i="2"/>
  <c r="F179" i="2"/>
  <c r="F192" i="2"/>
  <c r="F206" i="2"/>
  <c r="F15" i="2"/>
  <c r="F27" i="2"/>
  <c r="F40" i="2"/>
  <c r="F54" i="2"/>
  <c r="F66" i="2"/>
  <c r="F79" i="2"/>
  <c r="F91" i="2"/>
  <c r="F104" i="2"/>
  <c r="F118" i="2"/>
  <c r="F130" i="2"/>
  <c r="F143" i="2"/>
  <c r="F155" i="2"/>
  <c r="F168" i="2"/>
  <c r="F182" i="2"/>
  <c r="F194" i="2"/>
  <c r="F207" i="2"/>
  <c r="F16" i="2"/>
  <c r="F30" i="2"/>
  <c r="F42" i="2"/>
  <c r="F55" i="2"/>
  <c r="F67" i="2"/>
  <c r="F80" i="2"/>
  <c r="F94" i="2"/>
  <c r="F106" i="2"/>
  <c r="F119" i="2"/>
  <c r="F131" i="2"/>
  <c r="F144" i="2"/>
  <c r="F158" i="2"/>
  <c r="F170" i="2"/>
  <c r="F183" i="2"/>
  <c r="F195" i="2"/>
  <c r="F208" i="2"/>
  <c r="F18" i="2"/>
  <c r="F31" i="2"/>
  <c r="F43" i="2"/>
  <c r="F56" i="2"/>
  <c r="F70" i="2"/>
  <c r="F82" i="2"/>
  <c r="F95" i="2"/>
  <c r="F107" i="2"/>
  <c r="F120" i="2"/>
  <c r="F134" i="2"/>
  <c r="F146" i="2"/>
  <c r="F159" i="2"/>
  <c r="F171" i="2"/>
  <c r="F184" i="2"/>
  <c r="F198" i="2"/>
  <c r="F210" i="2"/>
  <c r="F19" i="2"/>
  <c r="F32" i="2"/>
  <c r="F46" i="2"/>
  <c r="F58" i="2"/>
  <c r="F71" i="2"/>
  <c r="F83" i="2"/>
  <c r="F96" i="2"/>
  <c r="F110" i="2"/>
  <c r="F122" i="2"/>
  <c r="F135" i="2"/>
  <c r="F147" i="2"/>
  <c r="F160" i="2"/>
  <c r="F174" i="2"/>
  <c r="F186" i="2"/>
  <c r="F199" i="2"/>
  <c r="F11" i="2"/>
  <c r="F22" i="2"/>
  <c r="F34" i="2"/>
  <c r="F47" i="2"/>
  <c r="F59" i="2"/>
  <c r="F72" i="2"/>
  <c r="F86" i="2"/>
  <c r="F98" i="2"/>
  <c r="F111" i="2"/>
  <c r="F123" i="2"/>
  <c r="F136" i="2"/>
  <c r="F150" i="2"/>
  <c r="F162" i="2"/>
  <c r="F175" i="2"/>
  <c r="F187" i="2"/>
  <c r="F200" i="2"/>
  <c r="F35" i="2"/>
  <c r="F138" i="2"/>
  <c r="F48" i="2"/>
  <c r="F151" i="2"/>
  <c r="F62" i="2"/>
  <c r="F163" i="2"/>
  <c r="F74" i="2"/>
  <c r="F176" i="2"/>
  <c r="F87" i="2"/>
  <c r="F190" i="2"/>
  <c r="F99" i="2"/>
  <c r="F202" i="2"/>
  <c r="F112" i="2"/>
  <c r="F23" i="2"/>
  <c r="F126" i="2"/>
  <c r="D18" i="2"/>
  <c r="D26" i="2"/>
  <c r="D34" i="2"/>
  <c r="D42" i="2"/>
  <c r="D50" i="2"/>
  <c r="D58" i="2"/>
  <c r="D66" i="2"/>
  <c r="D74" i="2"/>
  <c r="D82" i="2"/>
  <c r="D90" i="2"/>
  <c r="D98" i="2"/>
  <c r="D106" i="2"/>
  <c r="D12" i="2"/>
  <c r="D20" i="2"/>
  <c r="D28" i="2"/>
  <c r="D36" i="2"/>
  <c r="D44" i="2"/>
  <c r="D52" i="2"/>
  <c r="D60" i="2"/>
  <c r="D68" i="2"/>
  <c r="D76" i="2"/>
  <c r="D84" i="2"/>
  <c r="D92" i="2"/>
  <c r="D100" i="2"/>
  <c r="D108" i="2"/>
  <c r="D116" i="2"/>
  <c r="D124" i="2"/>
  <c r="D132" i="2"/>
  <c r="D140" i="2"/>
  <c r="D148" i="2"/>
  <c r="D156" i="2"/>
  <c r="D164" i="2"/>
  <c r="D172" i="2"/>
  <c r="D180" i="2"/>
  <c r="D188" i="2"/>
  <c r="D196" i="2"/>
  <c r="D204" i="2"/>
  <c r="D13" i="2"/>
  <c r="D21" i="2"/>
  <c r="D29" i="2"/>
  <c r="D37" i="2"/>
  <c r="D45" i="2"/>
  <c r="D53" i="2"/>
  <c r="D61" i="2"/>
  <c r="D69" i="2"/>
  <c r="D77" i="2"/>
  <c r="D85" i="2"/>
  <c r="D93" i="2"/>
  <c r="D101" i="2"/>
  <c r="D109" i="2"/>
  <c r="D117" i="2"/>
  <c r="D125" i="2"/>
  <c r="D133" i="2"/>
  <c r="D141" i="2"/>
  <c r="D149" i="2"/>
  <c r="D157" i="2"/>
  <c r="D165" i="2"/>
  <c r="D173" i="2"/>
  <c r="D181" i="2"/>
  <c r="D189" i="2"/>
  <c r="D197" i="2"/>
  <c r="D205" i="2"/>
  <c r="D14" i="2"/>
  <c r="D22" i="2"/>
  <c r="D30" i="2"/>
  <c r="D38" i="2"/>
  <c r="D46" i="2"/>
  <c r="D54" i="2"/>
  <c r="D62" i="2"/>
  <c r="D70" i="2"/>
  <c r="D78" i="2"/>
  <c r="D86" i="2"/>
  <c r="D94" i="2"/>
  <c r="D102" i="2"/>
  <c r="D16" i="2"/>
  <c r="D24" i="2"/>
  <c r="D32" i="2"/>
  <c r="D40" i="2"/>
  <c r="D48" i="2"/>
  <c r="D56" i="2"/>
  <c r="D64" i="2"/>
  <c r="D72" i="2"/>
  <c r="D80" i="2"/>
  <c r="D88" i="2"/>
  <c r="D96" i="2"/>
  <c r="D104" i="2"/>
  <c r="D112" i="2"/>
  <c r="D120" i="2"/>
  <c r="D128" i="2"/>
  <c r="D136" i="2"/>
  <c r="D144" i="2"/>
  <c r="D152" i="2"/>
  <c r="D160" i="2"/>
  <c r="D168" i="2"/>
  <c r="D176" i="2"/>
  <c r="D184" i="2"/>
  <c r="D192" i="2"/>
  <c r="D200" i="2"/>
  <c r="D208" i="2"/>
  <c r="D27" i="2"/>
  <c r="D49" i="2"/>
  <c r="D71" i="2"/>
  <c r="D91" i="2"/>
  <c r="D111" i="2"/>
  <c r="D123" i="2"/>
  <c r="D137" i="2"/>
  <c r="D150" i="2"/>
  <c r="D162" i="2"/>
  <c r="D175" i="2"/>
  <c r="D187" i="2"/>
  <c r="D201" i="2"/>
  <c r="D31" i="2"/>
  <c r="D51" i="2"/>
  <c r="D73" i="2"/>
  <c r="D95" i="2"/>
  <c r="D113" i="2"/>
  <c r="D126" i="2"/>
  <c r="D138" i="2"/>
  <c r="D151" i="2"/>
  <c r="D163" i="2"/>
  <c r="D177" i="2"/>
  <c r="D190" i="2"/>
  <c r="D202" i="2"/>
  <c r="D33" i="2"/>
  <c r="D55" i="2"/>
  <c r="D75" i="2"/>
  <c r="D97" i="2"/>
  <c r="D114" i="2"/>
  <c r="D127" i="2"/>
  <c r="D139" i="2"/>
  <c r="D153" i="2"/>
  <c r="D166" i="2"/>
  <c r="D178" i="2"/>
  <c r="D191" i="2"/>
  <c r="D203" i="2"/>
  <c r="D15" i="2"/>
  <c r="D35" i="2"/>
  <c r="D57" i="2"/>
  <c r="D79" i="2"/>
  <c r="D99" i="2"/>
  <c r="D115" i="2"/>
  <c r="D129" i="2"/>
  <c r="D142" i="2"/>
  <c r="D154" i="2"/>
  <c r="D167" i="2"/>
  <c r="D179" i="2"/>
  <c r="D193" i="2"/>
  <c r="D206" i="2"/>
  <c r="D17" i="2"/>
  <c r="D39" i="2"/>
  <c r="D59" i="2"/>
  <c r="D81" i="2"/>
  <c r="D103" i="2"/>
  <c r="D118" i="2"/>
  <c r="D130" i="2"/>
  <c r="D143" i="2"/>
  <c r="D155" i="2"/>
  <c r="D169" i="2"/>
  <c r="D182" i="2"/>
  <c r="D194" i="2"/>
  <c r="D207" i="2"/>
  <c r="D11" i="2"/>
  <c r="D19" i="2"/>
  <c r="D41" i="2"/>
  <c r="D63" i="2"/>
  <c r="D83" i="2"/>
  <c r="D105" i="2"/>
  <c r="D119" i="2"/>
  <c r="D131" i="2"/>
  <c r="D145" i="2"/>
  <c r="D158" i="2"/>
  <c r="D170" i="2"/>
  <c r="D183" i="2"/>
  <c r="D195" i="2"/>
  <c r="D209" i="2"/>
  <c r="D23" i="2"/>
  <c r="D43" i="2"/>
  <c r="D65" i="2"/>
  <c r="D87" i="2"/>
  <c r="D107" i="2"/>
  <c r="D121" i="2"/>
  <c r="D134" i="2"/>
  <c r="D146" i="2"/>
  <c r="D159" i="2"/>
  <c r="D171" i="2"/>
  <c r="D185" i="2"/>
  <c r="D198" i="2"/>
  <c r="D210" i="2"/>
  <c r="D135" i="2"/>
  <c r="D174" i="2"/>
  <c r="D147" i="2"/>
  <c r="D122" i="2"/>
  <c r="D25" i="2"/>
  <c r="D161" i="2"/>
  <c r="D47" i="2"/>
  <c r="D67" i="2"/>
  <c r="D186" i="2"/>
  <c r="D110" i="2"/>
  <c r="D89" i="2"/>
  <c r="D199" i="2"/>
  <c r="L18" i="2"/>
  <c r="L25" i="2"/>
  <c r="L48" i="2"/>
  <c r="L13" i="2"/>
  <c r="L33" i="2"/>
  <c r="L16" i="2"/>
  <c r="L37" i="2"/>
  <c r="L57" i="2"/>
  <c r="L24" i="2"/>
  <c r="L56" i="2"/>
  <c r="L80" i="2"/>
  <c r="L101" i="2"/>
  <c r="L121" i="2"/>
  <c r="L144" i="2"/>
  <c r="L165" i="2"/>
  <c r="L185" i="2"/>
  <c r="L208" i="2"/>
  <c r="L29" i="2"/>
  <c r="L61" i="2"/>
  <c r="L81" i="2"/>
  <c r="L104" i="2"/>
  <c r="L125" i="2"/>
  <c r="L145" i="2"/>
  <c r="L168" i="2"/>
  <c r="L189" i="2"/>
  <c r="L209" i="2"/>
  <c r="L32" i="2"/>
  <c r="L64" i="2"/>
  <c r="L85" i="2"/>
  <c r="L105" i="2"/>
  <c r="L128" i="2"/>
  <c r="L149" i="2"/>
  <c r="L169" i="2"/>
  <c r="L192" i="2"/>
  <c r="L40" i="2"/>
  <c r="L65" i="2"/>
  <c r="L88" i="2"/>
  <c r="L109" i="2"/>
  <c r="L129" i="2"/>
  <c r="L152" i="2"/>
  <c r="L173" i="2"/>
  <c r="L193" i="2"/>
  <c r="L41" i="2"/>
  <c r="L69" i="2"/>
  <c r="L89" i="2"/>
  <c r="L112" i="2"/>
  <c r="L133" i="2"/>
  <c r="L153" i="2"/>
  <c r="L176" i="2"/>
  <c r="L197" i="2"/>
  <c r="L45" i="2"/>
  <c r="L72" i="2"/>
  <c r="L93" i="2"/>
  <c r="L113" i="2"/>
  <c r="L136" i="2"/>
  <c r="L157" i="2"/>
  <c r="L177" i="2"/>
  <c r="L200" i="2"/>
  <c r="L17" i="2"/>
  <c r="L49" i="2"/>
  <c r="L73" i="2"/>
  <c r="L96" i="2"/>
  <c r="L117" i="2"/>
  <c r="L137" i="2"/>
  <c r="L160" i="2"/>
  <c r="L181" i="2"/>
  <c r="L201" i="2"/>
  <c r="L77" i="2"/>
  <c r="L97" i="2"/>
  <c r="L120" i="2"/>
  <c r="L141" i="2"/>
  <c r="L161" i="2"/>
  <c r="L184" i="2"/>
  <c r="L21" i="2"/>
  <c r="L205" i="2"/>
  <c r="L53" i="2"/>
  <c r="L199" i="2"/>
  <c r="L135" i="2"/>
  <c r="L71" i="2"/>
  <c r="L206" i="2"/>
  <c r="L142" i="2"/>
  <c r="L78" i="2"/>
  <c r="L14" i="2"/>
  <c r="L148" i="2"/>
  <c r="L84" i="2"/>
  <c r="L20" i="2"/>
  <c r="L163" i="2"/>
  <c r="L99" i="2"/>
  <c r="L35" i="2"/>
  <c r="L170" i="2"/>
  <c r="L106" i="2"/>
  <c r="L42" i="2"/>
  <c r="L175" i="2"/>
  <c r="L182" i="2"/>
  <c r="L188" i="2"/>
  <c r="L203" i="2"/>
  <c r="L210" i="2"/>
  <c r="L82" i="2"/>
  <c r="L79" i="2"/>
  <c r="L28" i="2"/>
  <c r="L50" i="2"/>
  <c r="L191" i="2"/>
  <c r="L127" i="2"/>
  <c r="L63" i="2"/>
  <c r="L198" i="2"/>
  <c r="L134" i="2"/>
  <c r="L70" i="2"/>
  <c r="L204" i="2"/>
  <c r="L140" i="2"/>
  <c r="L76" i="2"/>
  <c r="L12" i="2"/>
  <c r="L155" i="2"/>
  <c r="L91" i="2"/>
  <c r="L27" i="2"/>
  <c r="L162" i="2"/>
  <c r="L98" i="2"/>
  <c r="L34" i="2"/>
  <c r="L111" i="2"/>
  <c r="L118" i="2"/>
  <c r="L54" i="2"/>
  <c r="L60" i="2"/>
  <c r="L75" i="2"/>
  <c r="L146" i="2"/>
  <c r="L207" i="2"/>
  <c r="L156" i="2"/>
  <c r="L171" i="2"/>
  <c r="L178" i="2"/>
  <c r="L183" i="2"/>
  <c r="L119" i="2"/>
  <c r="L55" i="2"/>
  <c r="L190" i="2"/>
  <c r="L126" i="2"/>
  <c r="L62" i="2"/>
  <c r="L196" i="2"/>
  <c r="L132" i="2"/>
  <c r="L68" i="2"/>
  <c r="L11" i="2"/>
  <c r="L147" i="2"/>
  <c r="L83" i="2"/>
  <c r="L19" i="2"/>
  <c r="L154" i="2"/>
  <c r="L90" i="2"/>
  <c r="L26" i="2"/>
  <c r="L47" i="2"/>
  <c r="L124" i="2"/>
  <c r="L139" i="2"/>
  <c r="L86" i="2"/>
  <c r="L167" i="2"/>
  <c r="L103" i="2"/>
  <c r="L39" i="2"/>
  <c r="L174" i="2"/>
  <c r="L110" i="2"/>
  <c r="L46" i="2"/>
  <c r="L180" i="2"/>
  <c r="L116" i="2"/>
  <c r="L52" i="2"/>
  <c r="L195" i="2"/>
  <c r="L131" i="2"/>
  <c r="L67" i="2"/>
  <c r="L202" i="2"/>
  <c r="L138" i="2"/>
  <c r="L74" i="2"/>
  <c r="L151" i="2"/>
  <c r="L23" i="2"/>
  <c r="L30" i="2"/>
  <c r="L100" i="2"/>
  <c r="L179" i="2"/>
  <c r="L51" i="2"/>
  <c r="L122" i="2"/>
  <c r="L143" i="2"/>
  <c r="L22" i="2"/>
  <c r="L107" i="2"/>
  <c r="L114" i="2"/>
  <c r="L159" i="2"/>
  <c r="L95" i="2"/>
  <c r="L31" i="2"/>
  <c r="L166" i="2"/>
  <c r="L102" i="2"/>
  <c r="L38" i="2"/>
  <c r="L172" i="2"/>
  <c r="L108" i="2"/>
  <c r="L44" i="2"/>
  <c r="L187" i="2"/>
  <c r="L123" i="2"/>
  <c r="L59" i="2"/>
  <c r="L194" i="2"/>
  <c r="L130" i="2"/>
  <c r="L66" i="2"/>
  <c r="L87" i="2"/>
  <c r="L158" i="2"/>
  <c r="L94" i="2"/>
  <c r="L164" i="2"/>
  <c r="L36" i="2"/>
  <c r="L115" i="2"/>
  <c r="L186" i="2"/>
  <c r="L58" i="2"/>
  <c r="L15" i="2"/>
  <c r="L150" i="2"/>
  <c r="L92" i="2"/>
  <c r="L43" i="2"/>
  <c r="N17" i="2"/>
  <c r="N25" i="2"/>
  <c r="N33" i="2"/>
  <c r="N41" i="2"/>
  <c r="N49" i="2"/>
  <c r="N57" i="2"/>
  <c r="N65" i="2"/>
  <c r="N73" i="2"/>
  <c r="N81" i="2"/>
  <c r="N89" i="2"/>
  <c r="N97" i="2"/>
  <c r="N105" i="2"/>
  <c r="N113" i="2"/>
  <c r="N121" i="2"/>
  <c r="N129" i="2"/>
  <c r="N137" i="2"/>
  <c r="N18" i="2"/>
  <c r="N26" i="2"/>
  <c r="N34" i="2"/>
  <c r="N42" i="2"/>
  <c r="N50" i="2"/>
  <c r="N58" i="2"/>
  <c r="N66" i="2"/>
  <c r="N74" i="2"/>
  <c r="N82" i="2"/>
  <c r="N90" i="2"/>
  <c r="N98" i="2"/>
  <c r="N106" i="2"/>
  <c r="N114" i="2"/>
  <c r="N122" i="2"/>
  <c r="N13" i="2"/>
  <c r="N21" i="2"/>
  <c r="N29" i="2"/>
  <c r="N37" i="2"/>
  <c r="N45" i="2"/>
  <c r="N53" i="2"/>
  <c r="N61" i="2"/>
  <c r="N69" i="2"/>
  <c r="N77" i="2"/>
  <c r="N85" i="2"/>
  <c r="N93" i="2"/>
  <c r="N101" i="2"/>
  <c r="N109" i="2"/>
  <c r="N14" i="2"/>
  <c r="N27" i="2"/>
  <c r="N39" i="2"/>
  <c r="N52" i="2"/>
  <c r="N16" i="2"/>
  <c r="N30" i="2"/>
  <c r="N43" i="2"/>
  <c r="N55" i="2"/>
  <c r="N68" i="2"/>
  <c r="N80" i="2"/>
  <c r="N94" i="2"/>
  <c r="N107" i="2"/>
  <c r="N118" i="2"/>
  <c r="N128" i="2"/>
  <c r="N138" i="2"/>
  <c r="N146" i="2"/>
  <c r="N154" i="2"/>
  <c r="N162" i="2"/>
  <c r="N170" i="2"/>
  <c r="N178" i="2"/>
  <c r="N186" i="2"/>
  <c r="N194" i="2"/>
  <c r="N202" i="2"/>
  <c r="N210" i="2"/>
  <c r="N19" i="2"/>
  <c r="N31" i="2"/>
  <c r="N44" i="2"/>
  <c r="N56" i="2"/>
  <c r="N70" i="2"/>
  <c r="N83" i="2"/>
  <c r="N95" i="2"/>
  <c r="N108" i="2"/>
  <c r="N119" i="2"/>
  <c r="N130" i="2"/>
  <c r="N139" i="2"/>
  <c r="N147" i="2"/>
  <c r="N155" i="2"/>
  <c r="N163" i="2"/>
  <c r="N171" i="2"/>
  <c r="N179" i="2"/>
  <c r="N187" i="2"/>
  <c r="N195" i="2"/>
  <c r="N203" i="2"/>
  <c r="N11" i="2"/>
  <c r="N20" i="2"/>
  <c r="N32" i="2"/>
  <c r="N46" i="2"/>
  <c r="N59" i="2"/>
  <c r="N23" i="2"/>
  <c r="N36" i="2"/>
  <c r="N48" i="2"/>
  <c r="N62" i="2"/>
  <c r="N75" i="2"/>
  <c r="N87" i="2"/>
  <c r="N100" i="2"/>
  <c r="N112" i="2"/>
  <c r="N124" i="2"/>
  <c r="N133" i="2"/>
  <c r="N142" i="2"/>
  <c r="N150" i="2"/>
  <c r="N158" i="2"/>
  <c r="N166" i="2"/>
  <c r="N174" i="2"/>
  <c r="N182" i="2"/>
  <c r="N190" i="2"/>
  <c r="N198" i="2"/>
  <c r="N206" i="2"/>
  <c r="N38" i="2"/>
  <c r="N67" i="2"/>
  <c r="N88" i="2"/>
  <c r="N110" i="2"/>
  <c r="N126" i="2"/>
  <c r="N141" i="2"/>
  <c r="N153" i="2"/>
  <c r="N167" i="2"/>
  <c r="N180" i="2"/>
  <c r="N192" i="2"/>
  <c r="N205" i="2"/>
  <c r="N40" i="2"/>
  <c r="N71" i="2"/>
  <c r="N91" i="2"/>
  <c r="N111" i="2"/>
  <c r="N127" i="2"/>
  <c r="N143" i="2"/>
  <c r="N156" i="2"/>
  <c r="N168" i="2"/>
  <c r="N181" i="2"/>
  <c r="N193" i="2"/>
  <c r="N207" i="2"/>
  <c r="N12" i="2"/>
  <c r="N47" i="2"/>
  <c r="N72" i="2"/>
  <c r="N92" i="2"/>
  <c r="N115" i="2"/>
  <c r="N131" i="2"/>
  <c r="N144" i="2"/>
  <c r="N157" i="2"/>
  <c r="N169" i="2"/>
  <c r="N183" i="2"/>
  <c r="N196" i="2"/>
  <c r="N208" i="2"/>
  <c r="N15" i="2"/>
  <c r="N51" i="2"/>
  <c r="N76" i="2"/>
  <c r="N96" i="2"/>
  <c r="N116" i="2"/>
  <c r="N132" i="2"/>
  <c r="N145" i="2"/>
  <c r="N159" i="2"/>
  <c r="N172" i="2"/>
  <c r="N184" i="2"/>
  <c r="N197" i="2"/>
  <c r="N209" i="2"/>
  <c r="N22" i="2"/>
  <c r="N54" i="2"/>
  <c r="N78" i="2"/>
  <c r="N99" i="2"/>
  <c r="N117" i="2"/>
  <c r="N134" i="2"/>
  <c r="N148" i="2"/>
  <c r="N160" i="2"/>
  <c r="N173" i="2"/>
  <c r="N185" i="2"/>
  <c r="N199" i="2"/>
  <c r="N24" i="2"/>
  <c r="N60" i="2"/>
  <c r="N79" i="2"/>
  <c r="N102" i="2"/>
  <c r="N120" i="2"/>
  <c r="N135" i="2"/>
  <c r="N149" i="2"/>
  <c r="N161" i="2"/>
  <c r="N175" i="2"/>
  <c r="N188" i="2"/>
  <c r="N200" i="2"/>
  <c r="N28" i="2"/>
  <c r="N63" i="2"/>
  <c r="N84" i="2"/>
  <c r="N103" i="2"/>
  <c r="N123" i="2"/>
  <c r="N136" i="2"/>
  <c r="N151" i="2"/>
  <c r="N164" i="2"/>
  <c r="N176" i="2"/>
  <c r="N189" i="2"/>
  <c r="N201" i="2"/>
  <c r="N86" i="2"/>
  <c r="N204" i="2"/>
  <c r="N104" i="2"/>
  <c r="N125" i="2"/>
  <c r="N140" i="2"/>
  <c r="N152" i="2"/>
  <c r="N165" i="2"/>
  <c r="N35" i="2"/>
  <c r="N177" i="2"/>
  <c r="N64" i="2"/>
  <c r="N191" i="2"/>
  <c r="P18" i="2"/>
  <c r="P26" i="2"/>
  <c r="P34" i="2"/>
  <c r="P42" i="2"/>
  <c r="P50" i="2"/>
  <c r="P58" i="2"/>
  <c r="P66" i="2"/>
  <c r="P74" i="2"/>
  <c r="P82" i="2"/>
  <c r="P90" i="2"/>
  <c r="P98" i="2"/>
  <c r="P106" i="2"/>
  <c r="P114" i="2"/>
  <c r="P122" i="2"/>
  <c r="P130" i="2"/>
  <c r="P138" i="2"/>
  <c r="P146" i="2"/>
  <c r="P154" i="2"/>
  <c r="P162" i="2"/>
  <c r="P170" i="2"/>
  <c r="P178" i="2"/>
  <c r="P186" i="2"/>
  <c r="P194" i="2"/>
  <c r="P202" i="2"/>
  <c r="P210" i="2"/>
  <c r="P12" i="2"/>
  <c r="P20" i="2"/>
  <c r="P28" i="2"/>
  <c r="P36" i="2"/>
  <c r="P44" i="2"/>
  <c r="P52" i="2"/>
  <c r="P60" i="2"/>
  <c r="P68" i="2"/>
  <c r="P76" i="2"/>
  <c r="P84" i="2"/>
  <c r="P92" i="2"/>
  <c r="P100" i="2"/>
  <c r="P108" i="2"/>
  <c r="P116" i="2"/>
  <c r="P124" i="2"/>
  <c r="P132" i="2"/>
  <c r="P140" i="2"/>
  <c r="P148" i="2"/>
  <c r="P156" i="2"/>
  <c r="P164" i="2"/>
  <c r="P172" i="2"/>
  <c r="P180" i="2"/>
  <c r="P188" i="2"/>
  <c r="P196" i="2"/>
  <c r="P204" i="2"/>
  <c r="P14" i="2"/>
  <c r="P22" i="2"/>
  <c r="P30" i="2"/>
  <c r="P38" i="2"/>
  <c r="P46" i="2"/>
  <c r="P54" i="2"/>
  <c r="P62" i="2"/>
  <c r="P70" i="2"/>
  <c r="P78" i="2"/>
  <c r="P86" i="2"/>
  <c r="P94" i="2"/>
  <c r="P102" i="2"/>
  <c r="P110" i="2"/>
  <c r="P118" i="2"/>
  <c r="P126" i="2"/>
  <c r="P134" i="2"/>
  <c r="P142" i="2"/>
  <c r="P150" i="2"/>
  <c r="P158" i="2"/>
  <c r="P166" i="2"/>
  <c r="P174" i="2"/>
  <c r="P182" i="2"/>
  <c r="P190" i="2"/>
  <c r="P198" i="2"/>
  <c r="P206" i="2"/>
  <c r="P24" i="2"/>
  <c r="P37" i="2"/>
  <c r="P49" i="2"/>
  <c r="P63" i="2"/>
  <c r="P75" i="2"/>
  <c r="P88" i="2"/>
  <c r="P101" i="2"/>
  <c r="P113" i="2"/>
  <c r="P127" i="2"/>
  <c r="P139" i="2"/>
  <c r="P152" i="2"/>
  <c r="P165" i="2"/>
  <c r="P177" i="2"/>
  <c r="P191" i="2"/>
  <c r="P203" i="2"/>
  <c r="P13" i="2"/>
  <c r="P25" i="2"/>
  <c r="P39" i="2"/>
  <c r="P51" i="2"/>
  <c r="P64" i="2"/>
  <c r="P77" i="2"/>
  <c r="P89" i="2"/>
  <c r="P103" i="2"/>
  <c r="P115" i="2"/>
  <c r="P128" i="2"/>
  <c r="P141" i="2"/>
  <c r="P153" i="2"/>
  <c r="P167" i="2"/>
  <c r="P179" i="2"/>
  <c r="P192" i="2"/>
  <c r="P205" i="2"/>
  <c r="P17" i="2"/>
  <c r="P31" i="2"/>
  <c r="P43" i="2"/>
  <c r="P56" i="2"/>
  <c r="P69" i="2"/>
  <c r="P81" i="2"/>
  <c r="P95" i="2"/>
  <c r="P107" i="2"/>
  <c r="P120" i="2"/>
  <c r="P133" i="2"/>
  <c r="P145" i="2"/>
  <c r="P159" i="2"/>
  <c r="P171" i="2"/>
  <c r="P184" i="2"/>
  <c r="P197" i="2"/>
  <c r="P209" i="2"/>
  <c r="P29" i="2"/>
  <c r="P48" i="2"/>
  <c r="P71" i="2"/>
  <c r="P91" i="2"/>
  <c r="P111" i="2"/>
  <c r="P131" i="2"/>
  <c r="P151" i="2"/>
  <c r="P173" i="2"/>
  <c r="P193" i="2"/>
  <c r="P32" i="2"/>
  <c r="P53" i="2"/>
  <c r="P72" i="2"/>
  <c r="P93" i="2"/>
  <c r="P112" i="2"/>
  <c r="P135" i="2"/>
  <c r="P155" i="2"/>
  <c r="P175" i="2"/>
  <c r="P195" i="2"/>
  <c r="P15" i="2"/>
  <c r="P33" i="2"/>
  <c r="P55" i="2"/>
  <c r="P73" i="2"/>
  <c r="P96" i="2"/>
  <c r="P117" i="2"/>
  <c r="P136" i="2"/>
  <c r="P157" i="2"/>
  <c r="P176" i="2"/>
  <c r="P199" i="2"/>
  <c r="P16" i="2"/>
  <c r="P35" i="2"/>
  <c r="P57" i="2"/>
  <c r="P79" i="2"/>
  <c r="P97" i="2"/>
  <c r="P119" i="2"/>
  <c r="P137" i="2"/>
  <c r="P160" i="2"/>
  <c r="P181" i="2"/>
  <c r="P200" i="2"/>
  <c r="P19" i="2"/>
  <c r="P40" i="2"/>
  <c r="P59" i="2"/>
  <c r="P80" i="2"/>
  <c r="P99" i="2"/>
  <c r="P121" i="2"/>
  <c r="P143" i="2"/>
  <c r="P161" i="2"/>
  <c r="P183" i="2"/>
  <c r="P201" i="2"/>
  <c r="P21" i="2"/>
  <c r="P41" i="2"/>
  <c r="P61" i="2"/>
  <c r="P83" i="2"/>
  <c r="P104" i="2"/>
  <c r="P123" i="2"/>
  <c r="P144" i="2"/>
  <c r="P163" i="2"/>
  <c r="P185" i="2"/>
  <c r="P207" i="2"/>
  <c r="P23" i="2"/>
  <c r="P45" i="2"/>
  <c r="P65" i="2"/>
  <c r="P85" i="2"/>
  <c r="P105" i="2"/>
  <c r="P125" i="2"/>
  <c r="P147" i="2"/>
  <c r="P168" i="2"/>
  <c r="P187" i="2"/>
  <c r="P208" i="2"/>
  <c r="P27" i="2"/>
  <c r="P189" i="2"/>
  <c r="P47" i="2"/>
  <c r="P11" i="2"/>
  <c r="P67" i="2"/>
  <c r="P87" i="2"/>
  <c r="P109" i="2"/>
  <c r="P129" i="2"/>
  <c r="P149" i="2"/>
  <c r="P169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194" i="2"/>
  <c r="G202" i="2"/>
  <c r="G210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G187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7" i="2"/>
  <c r="G31" i="2"/>
  <c r="G44" i="2"/>
  <c r="G56" i="2"/>
  <c r="G69" i="2"/>
  <c r="G81" i="2"/>
  <c r="G95" i="2"/>
  <c r="G108" i="2"/>
  <c r="G120" i="2"/>
  <c r="G133" i="2"/>
  <c r="G145" i="2"/>
  <c r="G159" i="2"/>
  <c r="G172" i="2"/>
  <c r="G184" i="2"/>
  <c r="G196" i="2"/>
  <c r="G20" i="2"/>
  <c r="G32" i="2"/>
  <c r="G45" i="2"/>
  <c r="G57" i="2"/>
  <c r="G21" i="2"/>
  <c r="G33" i="2"/>
  <c r="G47" i="2"/>
  <c r="G60" i="2"/>
  <c r="G72" i="2"/>
  <c r="G85" i="2"/>
  <c r="G97" i="2"/>
  <c r="G111" i="2"/>
  <c r="G124" i="2"/>
  <c r="G136" i="2"/>
  <c r="G149" i="2"/>
  <c r="G161" i="2"/>
  <c r="G175" i="2"/>
  <c r="G188" i="2"/>
  <c r="G198" i="2"/>
  <c r="G207" i="2"/>
  <c r="G23" i="2"/>
  <c r="G36" i="2"/>
  <c r="G48" i="2"/>
  <c r="G61" i="2"/>
  <c r="G12" i="2"/>
  <c r="G24" i="2"/>
  <c r="G37" i="2"/>
  <c r="G49" i="2"/>
  <c r="G63" i="2"/>
  <c r="G76" i="2"/>
  <c r="G88" i="2"/>
  <c r="G101" i="2"/>
  <c r="G113" i="2"/>
  <c r="G127" i="2"/>
  <c r="G140" i="2"/>
  <c r="G152" i="2"/>
  <c r="G165" i="2"/>
  <c r="G177" i="2"/>
  <c r="G191" i="2"/>
  <c r="G13" i="2"/>
  <c r="G25" i="2"/>
  <c r="G39" i="2"/>
  <c r="G52" i="2"/>
  <c r="G64" i="2"/>
  <c r="G77" i="2"/>
  <c r="G89" i="2"/>
  <c r="G103" i="2"/>
  <c r="G116" i="2"/>
  <c r="G128" i="2"/>
  <c r="G141" i="2"/>
  <c r="G153" i="2"/>
  <c r="G167" i="2"/>
  <c r="G180" i="2"/>
  <c r="G192" i="2"/>
  <c r="G201" i="2"/>
  <c r="G11" i="2"/>
  <c r="G15" i="2"/>
  <c r="G28" i="2"/>
  <c r="G40" i="2"/>
  <c r="G53" i="2"/>
  <c r="G65" i="2"/>
  <c r="G79" i="2"/>
  <c r="G92" i="2"/>
  <c r="G104" i="2"/>
  <c r="G117" i="2"/>
  <c r="G129" i="2"/>
  <c r="G143" i="2"/>
  <c r="G156" i="2"/>
  <c r="G168" i="2"/>
  <c r="G181" i="2"/>
  <c r="G193" i="2"/>
  <c r="G203" i="2"/>
  <c r="G80" i="2"/>
  <c r="G112" i="2"/>
  <c r="G148" i="2"/>
  <c r="G183" i="2"/>
  <c r="G205" i="2"/>
  <c r="G16" i="2"/>
  <c r="G84" i="2"/>
  <c r="G119" i="2"/>
  <c r="G151" i="2"/>
  <c r="G185" i="2"/>
  <c r="G206" i="2"/>
  <c r="G29" i="2"/>
  <c r="G87" i="2"/>
  <c r="G121" i="2"/>
  <c r="G157" i="2"/>
  <c r="G189" i="2"/>
  <c r="G208" i="2"/>
  <c r="G41" i="2"/>
  <c r="G93" i="2"/>
  <c r="G125" i="2"/>
  <c r="G160" i="2"/>
  <c r="G195" i="2"/>
  <c r="G209" i="2"/>
  <c r="G55" i="2"/>
  <c r="G96" i="2"/>
  <c r="G132" i="2"/>
  <c r="G164" i="2"/>
  <c r="G197" i="2"/>
  <c r="G68" i="2"/>
  <c r="G100" i="2"/>
  <c r="G135" i="2"/>
  <c r="G169" i="2"/>
  <c r="G199" i="2"/>
  <c r="G71" i="2"/>
  <c r="G105" i="2"/>
  <c r="G137" i="2"/>
  <c r="G173" i="2"/>
  <c r="G200" i="2"/>
  <c r="G73" i="2"/>
  <c r="G109" i="2"/>
  <c r="G144" i="2"/>
  <c r="G176" i="2"/>
  <c r="G204" i="2"/>
  <c r="I18" i="2"/>
  <c r="I26" i="2"/>
  <c r="I34" i="2"/>
  <c r="I42" i="2"/>
  <c r="I50" i="2"/>
  <c r="I58" i="2"/>
  <c r="I66" i="2"/>
  <c r="I74" i="2"/>
  <c r="I82" i="2"/>
  <c r="I90" i="2"/>
  <c r="I98" i="2"/>
  <c r="I106" i="2"/>
  <c r="I114" i="2"/>
  <c r="I122" i="2"/>
  <c r="I130" i="2"/>
  <c r="I138" i="2"/>
  <c r="I146" i="2"/>
  <c r="I154" i="2"/>
  <c r="I162" i="2"/>
  <c r="I170" i="2"/>
  <c r="I178" i="2"/>
  <c r="I186" i="2"/>
  <c r="I194" i="2"/>
  <c r="I202" i="2"/>
  <c r="I210" i="2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80" i="2"/>
  <c r="I188" i="2"/>
  <c r="I196" i="2"/>
  <c r="I204" i="2"/>
  <c r="I14" i="2"/>
  <c r="I22" i="2"/>
  <c r="I30" i="2"/>
  <c r="I38" i="2"/>
  <c r="I46" i="2"/>
  <c r="I54" i="2"/>
  <c r="I62" i="2"/>
  <c r="I70" i="2"/>
  <c r="I78" i="2"/>
  <c r="I86" i="2"/>
  <c r="I94" i="2"/>
  <c r="I102" i="2"/>
  <c r="I110" i="2"/>
  <c r="I118" i="2"/>
  <c r="I126" i="2"/>
  <c r="I134" i="2"/>
  <c r="I142" i="2"/>
  <c r="I150" i="2"/>
  <c r="I158" i="2"/>
  <c r="I166" i="2"/>
  <c r="I174" i="2"/>
  <c r="I182" i="2"/>
  <c r="I190" i="2"/>
  <c r="I198" i="2"/>
  <c r="I206" i="2"/>
  <c r="I16" i="2"/>
  <c r="I29" i="2"/>
  <c r="I41" i="2"/>
  <c r="I55" i="2"/>
  <c r="I67" i="2"/>
  <c r="I80" i="2"/>
  <c r="I93" i="2"/>
  <c r="I105" i="2"/>
  <c r="I119" i="2"/>
  <c r="I131" i="2"/>
  <c r="I144" i="2"/>
  <c r="I157" i="2"/>
  <c r="I169" i="2"/>
  <c r="I183" i="2"/>
  <c r="I195" i="2"/>
  <c r="I208" i="2"/>
  <c r="I17" i="2"/>
  <c r="I31" i="2"/>
  <c r="I43" i="2"/>
  <c r="I56" i="2"/>
  <c r="I69" i="2"/>
  <c r="I81" i="2"/>
  <c r="I95" i="2"/>
  <c r="I107" i="2"/>
  <c r="I120" i="2"/>
  <c r="I133" i="2"/>
  <c r="I145" i="2"/>
  <c r="I159" i="2"/>
  <c r="I171" i="2"/>
  <c r="I184" i="2"/>
  <c r="I197" i="2"/>
  <c r="I209" i="2"/>
  <c r="I23" i="2"/>
  <c r="I35" i="2"/>
  <c r="I48" i="2"/>
  <c r="I61" i="2"/>
  <c r="I73" i="2"/>
  <c r="I87" i="2"/>
  <c r="I99" i="2"/>
  <c r="I112" i="2"/>
  <c r="I125" i="2"/>
  <c r="I137" i="2"/>
  <c r="I151" i="2"/>
  <c r="I163" i="2"/>
  <c r="I176" i="2"/>
  <c r="I189" i="2"/>
  <c r="I201" i="2"/>
  <c r="I13" i="2"/>
  <c r="I33" i="2"/>
  <c r="I53" i="2"/>
  <c r="I75" i="2"/>
  <c r="I96" i="2"/>
  <c r="I115" i="2"/>
  <c r="I136" i="2"/>
  <c r="I155" i="2"/>
  <c r="I177" i="2"/>
  <c r="I199" i="2"/>
  <c r="I15" i="2"/>
  <c r="I37" i="2"/>
  <c r="I57" i="2"/>
  <c r="I77" i="2"/>
  <c r="I97" i="2"/>
  <c r="I117" i="2"/>
  <c r="I139" i="2"/>
  <c r="I160" i="2"/>
  <c r="I179" i="2"/>
  <c r="I200" i="2"/>
  <c r="I19" i="2"/>
  <c r="I39" i="2"/>
  <c r="I59" i="2"/>
  <c r="I79" i="2"/>
  <c r="I101" i="2"/>
  <c r="I121" i="2"/>
  <c r="I141" i="2"/>
  <c r="I161" i="2"/>
  <c r="I181" i="2"/>
  <c r="I203" i="2"/>
  <c r="I21" i="2"/>
  <c r="I40" i="2"/>
  <c r="I63" i="2"/>
  <c r="I83" i="2"/>
  <c r="I103" i="2"/>
  <c r="I123" i="2"/>
  <c r="I143" i="2"/>
  <c r="I165" i="2"/>
  <c r="I185" i="2"/>
  <c r="I205" i="2"/>
  <c r="I24" i="2"/>
  <c r="I45" i="2"/>
  <c r="I64" i="2"/>
  <c r="I85" i="2"/>
  <c r="I104" i="2"/>
  <c r="I127" i="2"/>
  <c r="I147" i="2"/>
  <c r="I167" i="2"/>
  <c r="I187" i="2"/>
  <c r="I207" i="2"/>
  <c r="I25" i="2"/>
  <c r="I47" i="2"/>
  <c r="I65" i="2"/>
  <c r="I88" i="2"/>
  <c r="I109" i="2"/>
  <c r="I128" i="2"/>
  <c r="I149" i="2"/>
  <c r="I168" i="2"/>
  <c r="I191" i="2"/>
  <c r="I11" i="2"/>
  <c r="I27" i="2"/>
  <c r="I49" i="2"/>
  <c r="I71" i="2"/>
  <c r="I89" i="2"/>
  <c r="I111" i="2"/>
  <c r="I129" i="2"/>
  <c r="I152" i="2"/>
  <c r="I173" i="2"/>
  <c r="I192" i="2"/>
  <c r="I153" i="2"/>
  <c r="I175" i="2"/>
  <c r="I32" i="2"/>
  <c r="I193" i="2"/>
  <c r="I51" i="2"/>
  <c r="I72" i="2"/>
  <c r="I91" i="2"/>
  <c r="I113" i="2"/>
  <c r="I135" i="2"/>
  <c r="E18" i="2"/>
  <c r="E26" i="2"/>
  <c r="E34" i="2"/>
  <c r="E42" i="2"/>
  <c r="E50" i="2"/>
  <c r="E58" i="2"/>
  <c r="E66" i="2"/>
  <c r="E74" i="2"/>
  <c r="E82" i="2"/>
  <c r="E90" i="2"/>
  <c r="E98" i="2"/>
  <c r="E106" i="2"/>
  <c r="E114" i="2"/>
  <c r="E122" i="2"/>
  <c r="E130" i="2"/>
  <c r="E138" i="2"/>
  <c r="E146" i="2"/>
  <c r="E154" i="2"/>
  <c r="E162" i="2"/>
  <c r="E170" i="2"/>
  <c r="E178" i="2"/>
  <c r="E186" i="2"/>
  <c r="E194" i="2"/>
  <c r="E202" i="2"/>
  <c r="E210" i="2"/>
  <c r="E19" i="2"/>
  <c r="E27" i="2"/>
  <c r="E35" i="2"/>
  <c r="E43" i="2"/>
  <c r="E51" i="2"/>
  <c r="E59" i="2"/>
  <c r="E67" i="2"/>
  <c r="E75" i="2"/>
  <c r="E83" i="2"/>
  <c r="E91" i="2"/>
  <c r="E99" i="2"/>
  <c r="E107" i="2"/>
  <c r="E115" i="2"/>
  <c r="E123" i="2"/>
  <c r="E131" i="2"/>
  <c r="E139" i="2"/>
  <c r="E12" i="2"/>
  <c r="E20" i="2"/>
  <c r="E28" i="2"/>
  <c r="E36" i="2"/>
  <c r="E44" i="2"/>
  <c r="E52" i="2"/>
  <c r="E60" i="2"/>
  <c r="E68" i="2"/>
  <c r="E76" i="2"/>
  <c r="E84" i="2"/>
  <c r="E92" i="2"/>
  <c r="E100" i="2"/>
  <c r="E108" i="2"/>
  <c r="E116" i="2"/>
  <c r="E124" i="2"/>
  <c r="E132" i="2"/>
  <c r="E140" i="2"/>
  <c r="E148" i="2"/>
  <c r="E156" i="2"/>
  <c r="E164" i="2"/>
  <c r="E172" i="2"/>
  <c r="E180" i="2"/>
  <c r="E188" i="2"/>
  <c r="E196" i="2"/>
  <c r="E204" i="2"/>
  <c r="E13" i="2"/>
  <c r="E21" i="2"/>
  <c r="E29" i="2"/>
  <c r="E37" i="2"/>
  <c r="E45" i="2"/>
  <c r="E53" i="2"/>
  <c r="E61" i="2"/>
  <c r="E69" i="2"/>
  <c r="E77" i="2"/>
  <c r="E85" i="2"/>
  <c r="E93" i="2"/>
  <c r="E101" i="2"/>
  <c r="E109" i="2"/>
  <c r="E117" i="2"/>
  <c r="E125" i="2"/>
  <c r="E133" i="2"/>
  <c r="E141" i="2"/>
  <c r="E149" i="2"/>
  <c r="E157" i="2"/>
  <c r="E165" i="2"/>
  <c r="E173" i="2"/>
  <c r="E181" i="2"/>
  <c r="E189" i="2"/>
  <c r="E197" i="2"/>
  <c r="E205" i="2"/>
  <c r="E14" i="2"/>
  <c r="E22" i="2"/>
  <c r="E30" i="2"/>
  <c r="E38" i="2"/>
  <c r="E46" i="2"/>
  <c r="E54" i="2"/>
  <c r="E62" i="2"/>
  <c r="E70" i="2"/>
  <c r="E78" i="2"/>
  <c r="E86" i="2"/>
  <c r="E94" i="2"/>
  <c r="E102" i="2"/>
  <c r="E110" i="2"/>
  <c r="E118" i="2"/>
  <c r="E126" i="2"/>
  <c r="E134" i="2"/>
  <c r="E142" i="2"/>
  <c r="E150" i="2"/>
  <c r="E158" i="2"/>
  <c r="E166" i="2"/>
  <c r="E174" i="2"/>
  <c r="E182" i="2"/>
  <c r="E190" i="2"/>
  <c r="E198" i="2"/>
  <c r="E206" i="2"/>
  <c r="E15" i="2"/>
  <c r="E23" i="2"/>
  <c r="E31" i="2"/>
  <c r="E39" i="2"/>
  <c r="E47" i="2"/>
  <c r="E55" i="2"/>
  <c r="E63" i="2"/>
  <c r="E71" i="2"/>
  <c r="E79" i="2"/>
  <c r="E87" i="2"/>
  <c r="E95" i="2"/>
  <c r="E103" i="2"/>
  <c r="E111" i="2"/>
  <c r="E119" i="2"/>
  <c r="E127" i="2"/>
  <c r="E16" i="2"/>
  <c r="E24" i="2"/>
  <c r="E32" i="2"/>
  <c r="E40" i="2"/>
  <c r="E48" i="2"/>
  <c r="E56" i="2"/>
  <c r="E64" i="2"/>
  <c r="E72" i="2"/>
  <c r="E80" i="2"/>
  <c r="E88" i="2"/>
  <c r="E96" i="2"/>
  <c r="E104" i="2"/>
  <c r="E112" i="2"/>
  <c r="E120" i="2"/>
  <c r="E128" i="2"/>
  <c r="E136" i="2"/>
  <c r="E144" i="2"/>
  <c r="E152" i="2"/>
  <c r="E160" i="2"/>
  <c r="E168" i="2"/>
  <c r="E176" i="2"/>
  <c r="E184" i="2"/>
  <c r="E192" i="2"/>
  <c r="E200" i="2"/>
  <c r="E208" i="2"/>
  <c r="E25" i="2"/>
  <c r="E89" i="2"/>
  <c r="E143" i="2"/>
  <c r="E163" i="2"/>
  <c r="E185" i="2"/>
  <c r="E207" i="2"/>
  <c r="E33" i="2"/>
  <c r="E97" i="2"/>
  <c r="E145" i="2"/>
  <c r="E167" i="2"/>
  <c r="E187" i="2"/>
  <c r="E209" i="2"/>
  <c r="E41" i="2"/>
  <c r="E105" i="2"/>
  <c r="E147" i="2"/>
  <c r="E169" i="2"/>
  <c r="E191" i="2"/>
  <c r="E11" i="2"/>
  <c r="E49" i="2"/>
  <c r="E113" i="2"/>
  <c r="E151" i="2"/>
  <c r="E171" i="2"/>
  <c r="E193" i="2"/>
  <c r="E57" i="2"/>
  <c r="E121" i="2"/>
  <c r="E153" i="2"/>
  <c r="E175" i="2"/>
  <c r="E195" i="2"/>
  <c r="E65" i="2"/>
  <c r="E129" i="2"/>
  <c r="E155" i="2"/>
  <c r="E177" i="2"/>
  <c r="E199" i="2"/>
  <c r="E73" i="2"/>
  <c r="E135" i="2"/>
  <c r="E159" i="2"/>
  <c r="E179" i="2"/>
  <c r="E201" i="2"/>
  <c r="E183" i="2"/>
  <c r="E203" i="2"/>
  <c r="E161" i="2"/>
  <c r="E17" i="2"/>
  <c r="E81" i="2"/>
  <c r="E137" i="2"/>
  <c r="J12" i="2"/>
  <c r="J20" i="2"/>
  <c r="J28" i="2"/>
  <c r="J36" i="2"/>
  <c r="J44" i="2"/>
  <c r="J52" i="2"/>
  <c r="J60" i="2"/>
  <c r="J68" i="2"/>
  <c r="J76" i="2"/>
  <c r="J84" i="2"/>
  <c r="J92" i="2"/>
  <c r="J100" i="2"/>
  <c r="J108" i="2"/>
  <c r="J116" i="2"/>
  <c r="J124" i="2"/>
  <c r="J132" i="2"/>
  <c r="J140" i="2"/>
  <c r="J148" i="2"/>
  <c r="J156" i="2"/>
  <c r="J164" i="2"/>
  <c r="J13" i="2"/>
  <c r="J21" i="2"/>
  <c r="J29" i="2"/>
  <c r="J37" i="2"/>
  <c r="J45" i="2"/>
  <c r="J53" i="2"/>
  <c r="J61" i="2"/>
  <c r="J69" i="2"/>
  <c r="J77" i="2"/>
  <c r="J85" i="2"/>
  <c r="J93" i="2"/>
  <c r="J101" i="2"/>
  <c r="J109" i="2"/>
  <c r="J117" i="2"/>
  <c r="J125" i="2"/>
  <c r="J133" i="2"/>
  <c r="J141" i="2"/>
  <c r="J149" i="2"/>
  <c r="J16" i="2"/>
  <c r="J24" i="2"/>
  <c r="J32" i="2"/>
  <c r="J40" i="2"/>
  <c r="J48" i="2"/>
  <c r="J56" i="2"/>
  <c r="J64" i="2"/>
  <c r="J72" i="2"/>
  <c r="J80" i="2"/>
  <c r="J88" i="2"/>
  <c r="J96" i="2"/>
  <c r="J104" i="2"/>
  <c r="J112" i="2"/>
  <c r="J120" i="2"/>
  <c r="J128" i="2"/>
  <c r="J136" i="2"/>
  <c r="J144" i="2"/>
  <c r="J18" i="2"/>
  <c r="J31" i="2"/>
  <c r="J43" i="2"/>
  <c r="J57" i="2"/>
  <c r="J70" i="2"/>
  <c r="J82" i="2"/>
  <c r="J95" i="2"/>
  <c r="J107" i="2"/>
  <c r="J121" i="2"/>
  <c r="J134" i="2"/>
  <c r="J146" i="2"/>
  <c r="J157" i="2"/>
  <c r="J166" i="2"/>
  <c r="J174" i="2"/>
  <c r="J182" i="2"/>
  <c r="J190" i="2"/>
  <c r="J198" i="2"/>
  <c r="J206" i="2"/>
  <c r="J19" i="2"/>
  <c r="J33" i="2"/>
  <c r="J46" i="2"/>
  <c r="J58" i="2"/>
  <c r="J71" i="2"/>
  <c r="J83" i="2"/>
  <c r="J97" i="2"/>
  <c r="J110" i="2"/>
  <c r="J122" i="2"/>
  <c r="J135" i="2"/>
  <c r="J147" i="2"/>
  <c r="J158" i="2"/>
  <c r="J167" i="2"/>
  <c r="J175" i="2"/>
  <c r="J183" i="2"/>
  <c r="J191" i="2"/>
  <c r="J199" i="2"/>
  <c r="J207" i="2"/>
  <c r="J22" i="2"/>
  <c r="J34" i="2"/>
  <c r="J47" i="2"/>
  <c r="J59" i="2"/>
  <c r="J73" i="2"/>
  <c r="J86" i="2"/>
  <c r="J98" i="2"/>
  <c r="J111" i="2"/>
  <c r="J123" i="2"/>
  <c r="J137" i="2"/>
  <c r="J150" i="2"/>
  <c r="J159" i="2"/>
  <c r="J168" i="2"/>
  <c r="J176" i="2"/>
  <c r="J184" i="2"/>
  <c r="J192" i="2"/>
  <c r="J200" i="2"/>
  <c r="J208" i="2"/>
  <c r="J23" i="2"/>
  <c r="J35" i="2"/>
  <c r="J49" i="2"/>
  <c r="J62" i="2"/>
  <c r="J74" i="2"/>
  <c r="J87" i="2"/>
  <c r="J99" i="2"/>
  <c r="J113" i="2"/>
  <c r="J126" i="2"/>
  <c r="J138" i="2"/>
  <c r="J151" i="2"/>
  <c r="J160" i="2"/>
  <c r="J169" i="2"/>
  <c r="J177" i="2"/>
  <c r="J185" i="2"/>
  <c r="J193" i="2"/>
  <c r="J201" i="2"/>
  <c r="J209" i="2"/>
  <c r="J25" i="2"/>
  <c r="J38" i="2"/>
  <c r="J50" i="2"/>
  <c r="J63" i="2"/>
  <c r="J75" i="2"/>
  <c r="J89" i="2"/>
  <c r="J102" i="2"/>
  <c r="J114" i="2"/>
  <c r="J127" i="2"/>
  <c r="J139" i="2"/>
  <c r="J152" i="2"/>
  <c r="J161" i="2"/>
  <c r="J170" i="2"/>
  <c r="J178" i="2"/>
  <c r="J186" i="2"/>
  <c r="J194" i="2"/>
  <c r="J202" i="2"/>
  <c r="J210" i="2"/>
  <c r="J14" i="2"/>
  <c r="J26" i="2"/>
  <c r="J39" i="2"/>
  <c r="J51" i="2"/>
  <c r="J65" i="2"/>
  <c r="J78" i="2"/>
  <c r="J90" i="2"/>
  <c r="J103" i="2"/>
  <c r="J115" i="2"/>
  <c r="J129" i="2"/>
  <c r="J142" i="2"/>
  <c r="J153" i="2"/>
  <c r="J162" i="2"/>
  <c r="J171" i="2"/>
  <c r="J179" i="2"/>
  <c r="J187" i="2"/>
  <c r="J195" i="2"/>
  <c r="J203" i="2"/>
  <c r="J11" i="2"/>
  <c r="J15" i="2"/>
  <c r="J27" i="2"/>
  <c r="J41" i="2"/>
  <c r="J54" i="2"/>
  <c r="J66" i="2"/>
  <c r="J79" i="2"/>
  <c r="J91" i="2"/>
  <c r="J105" i="2"/>
  <c r="J118" i="2"/>
  <c r="J130" i="2"/>
  <c r="J143" i="2"/>
  <c r="J154" i="2"/>
  <c r="J163" i="2"/>
  <c r="J172" i="2"/>
  <c r="J180" i="2"/>
  <c r="J188" i="2"/>
  <c r="J196" i="2"/>
  <c r="J204" i="2"/>
  <c r="J42" i="2"/>
  <c r="J145" i="2"/>
  <c r="J81" i="2"/>
  <c r="J55" i="2"/>
  <c r="J155" i="2"/>
  <c r="J205" i="2"/>
  <c r="J67" i="2"/>
  <c r="J165" i="2"/>
  <c r="J173" i="2"/>
  <c r="J30" i="2"/>
  <c r="J94" i="2"/>
  <c r="J181" i="2"/>
  <c r="J17" i="2"/>
  <c r="J131" i="2"/>
  <c r="J106" i="2"/>
  <c r="J189" i="2"/>
  <c r="J119" i="2"/>
  <c r="J197" i="2"/>
  <c r="K8" i="2" l="1"/>
  <c r="D8" i="2"/>
  <c r="G8" i="2"/>
  <c r="I8" i="2"/>
  <c r="E8" i="2"/>
  <c r="O8" i="2"/>
  <c r="J8" i="2"/>
  <c r="L8" i="2"/>
  <c r="C8" i="2"/>
  <c r="H8" i="2"/>
  <c r="F8" i="2"/>
  <c r="N8" i="2"/>
  <c r="P8" i="2"/>
  <c r="M8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</calcChain>
</file>

<file path=xl/sharedStrings.xml><?xml version="1.0" encoding="utf-8"?>
<sst xmlns="http://schemas.openxmlformats.org/spreadsheetml/2006/main" count="542" uniqueCount="91">
  <si>
    <t>Dist</t>
  </si>
  <si>
    <t>Param</t>
  </si>
  <si>
    <t>Estimate</t>
  </si>
  <si>
    <t>rowNum</t>
  </si>
  <si>
    <t>rowParam</t>
  </si>
  <si>
    <t>colNum</t>
  </si>
  <si>
    <t>colParam</t>
  </si>
  <si>
    <t>CovEst</t>
  </si>
  <si>
    <t>Exponential</t>
  </si>
  <si>
    <t>INTERCEPT</t>
  </si>
  <si>
    <t>TX(Intervention)</t>
  </si>
  <si>
    <t>Weibull</t>
  </si>
  <si>
    <t>SCALE</t>
  </si>
  <si>
    <t>Log Normal</t>
  </si>
  <si>
    <t>Gamma</t>
  </si>
  <si>
    <t>Generalized Gamma</t>
  </si>
  <si>
    <t>SHAPE</t>
  </si>
  <si>
    <t>Log Logistic</t>
  </si>
  <si>
    <t>Gompertz</t>
  </si>
  <si>
    <t>Indicates a user control</t>
  </si>
  <si>
    <t>Indicates a value exported from R</t>
  </si>
  <si>
    <t>Estimates</t>
  </si>
  <si>
    <t>Covrariance Estimates</t>
  </si>
  <si>
    <t>Options</t>
  </si>
  <si>
    <t>Arm</t>
  </si>
  <si>
    <t>Random numbers</t>
  </si>
  <si>
    <t>rand_1</t>
  </si>
  <si>
    <t>rand_2</t>
  </si>
  <si>
    <t>rand_3</t>
  </si>
  <si>
    <t>PSA Values</t>
  </si>
  <si>
    <t>rand_4</t>
  </si>
  <si>
    <t>rvec_1</t>
  </si>
  <si>
    <t>rvec_2</t>
  </si>
  <si>
    <t>rvec_3</t>
  </si>
  <si>
    <t>rvec_4</t>
  </si>
  <si>
    <t>Use PSA</t>
  </si>
  <si>
    <t>PSA</t>
  </si>
  <si>
    <t>lambda</t>
  </si>
  <si>
    <t>exp_c_lambda</t>
  </si>
  <si>
    <t>exp_i_lambda</t>
  </si>
  <si>
    <t>control</t>
  </si>
  <si>
    <t>Parameter</t>
  </si>
  <si>
    <t>value</t>
  </si>
  <si>
    <t>intervention</t>
  </si>
  <si>
    <t>matTexp</t>
  </si>
  <si>
    <t>Covariance Matrix</t>
  </si>
  <si>
    <t>Lower Triangular</t>
  </si>
  <si>
    <t>Estimates in use</t>
  </si>
  <si>
    <t>Model parameters</t>
  </si>
  <si>
    <t>gamma</t>
  </si>
  <si>
    <t>matTweib</t>
  </si>
  <si>
    <t>weib_c_lambda</t>
  </si>
  <si>
    <t>weib_c_gamma</t>
  </si>
  <si>
    <t>weib_i_lambda</t>
  </si>
  <si>
    <t>weib_i_gamma</t>
  </si>
  <si>
    <t>matTlnor</t>
  </si>
  <si>
    <t>matTgam</t>
  </si>
  <si>
    <t>ln_c_lambda</t>
  </si>
  <si>
    <t>ln_c_gamma</t>
  </si>
  <si>
    <t>ln_i_lambda</t>
  </si>
  <si>
    <t>ln_i_gamma</t>
  </si>
  <si>
    <t>gam_c_lambda</t>
  </si>
  <si>
    <t>gam_c_gamma</t>
  </si>
  <si>
    <t>gam_i_lambda</t>
  </si>
  <si>
    <t>gam_i_gamma</t>
  </si>
  <si>
    <t>delta</t>
  </si>
  <si>
    <t>ggam_c_lambda</t>
  </si>
  <si>
    <t>ggam_i_gamma</t>
  </si>
  <si>
    <t>ggam_i_delta</t>
  </si>
  <si>
    <t>ggam_c_gamma</t>
  </si>
  <si>
    <t>Log logistic</t>
  </si>
  <si>
    <t>ll_c_lambda</t>
  </si>
  <si>
    <t>ll_c_gamma</t>
  </si>
  <si>
    <t>ll_i_lambda</t>
  </si>
  <si>
    <t>ll_i_gamma</t>
  </si>
  <si>
    <t>matTllog</t>
  </si>
  <si>
    <t>matTgomp</t>
  </si>
  <si>
    <t>matTggam</t>
  </si>
  <si>
    <t>Cycle length</t>
  </si>
  <si>
    <t>Approx mean</t>
  </si>
  <si>
    <t>Time</t>
  </si>
  <si>
    <t>Extrapolated values - Control</t>
  </si>
  <si>
    <t>ggam_c_delta</t>
  </si>
  <si>
    <t>ggam_i_lambda</t>
  </si>
  <si>
    <t>gomp_c_lambda</t>
  </si>
  <si>
    <t>gomp_c_gamma</t>
  </si>
  <si>
    <t>gomp_i_lambda</t>
  </si>
  <si>
    <t>gomp_i_gamma</t>
  </si>
  <si>
    <t>Extrapolated values - Intervention</t>
  </si>
  <si>
    <t>Generalized 
Gamma</t>
  </si>
  <si>
    <t>Generalized
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</si>
</sst>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6" x14ac:knownFonts="1">
    <font>
      <sz val="11"/>
      <color theme="1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2">
    <xf numFmtId="0" fontId="0" fillId="0" borderId="0" xfId="0"/>
    <xf numFmtId="0" fontId="0" fillId="3" borderId="3" xfId="0" applyFill="1" applyBorder="1"/>
    <xf numFmtId="0" fontId="2" fillId="3" borderId="3" xfId="0" applyFont="1" applyFill="1" applyBorder="1"/>
    <xf numFmtId="0" fontId="3" fillId="0" borderId="0" xfId="0" applyFont="1"/>
    <xf numFmtId="0" fontId="4" fillId="0" borderId="0" xfId="0" applyFont="1"/>
    <xf numFmtId="0" fontId="3" fillId="6" borderId="3" xfId="0" applyFont="1" applyFill="1" applyBorder="1"/>
    <xf numFmtId="0" fontId="5" fillId="0" borderId="0" xfId="0" applyFont="1"/>
    <xf numFmtId="0" fontId="0" fillId="0" borderId="3" xfId="0" applyBorder="1"/>
    <xf numFmtId="0" fontId="2" fillId="5" borderId="3" xfId="0" applyFont="1" applyFill="1" applyBorder="1"/>
    <xf numFmtId="0" fontId="0" fillId="5" borderId="3" xfId="0" applyFill="1" applyBorder="1"/>
    <xf numFmtId="0" fontId="2" fillId="5" borderId="6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5" fillId="5" borderId="0" xfId="0" applyFont="1" applyFill="1" applyBorder="1"/>
    <xf numFmtId="0" fontId="0" fillId="5" borderId="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5" fillId="5" borderId="3" xfId="0" applyFont="1" applyFill="1" applyBorder="1"/>
    <xf numFmtId="0" fontId="0" fillId="5" borderId="0" xfId="0" applyFill="1"/>
    <xf numFmtId="0" fontId="5" fillId="5" borderId="0" xfId="0" applyFont="1" applyFill="1" applyBorder="1" applyAlignment="1">
      <alignment horizontal="center" vertical="center"/>
    </xf>
    <xf numFmtId="0" fontId="0" fillId="5" borderId="7" xfId="0" applyFill="1" applyBorder="1" applyAlignment="1"/>
    <xf numFmtId="0" fontId="0" fillId="5" borderId="4" xfId="0" applyFill="1" applyBorder="1"/>
    <xf numFmtId="0" fontId="1" fillId="2" borderId="3" xfId="1" applyBorder="1"/>
    <xf numFmtId="164" fontId="3" fillId="6" borderId="3" xfId="0" applyNumberFormat="1" applyFont="1" applyFill="1" applyBorder="1"/>
    <xf numFmtId="165" fontId="0" fillId="0" borderId="3" xfId="0" applyNumberFormat="1" applyBorder="1"/>
    <xf numFmtId="166" fontId="0" fillId="0" borderId="3" xfId="0" applyNumberFormat="1" applyBorder="1"/>
    <xf numFmtId="164" fontId="3" fillId="6" borderId="3" xfId="0" applyNumberFormat="1" applyFont="1" applyFill="1" applyBorder="1" applyAlignment="1">
      <alignment wrapText="1"/>
    </xf>
    <xf numFmtId="0" fontId="1" fillId="2" borderId="3" xfId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1" fillId="2" borderId="2" xfId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0"/>
  <sheetViews>
    <sheetView workbookViewId="0">
      <selection activeCell="C11" sqref="C11"/>
    </sheetView>
  </sheetViews>
  <sheetFormatPr defaultRowHeight="15" x14ac:dyDescent="0.25"/>
  <cols>
    <col min="2" max="2" width="15.85546875" bestFit="1" customWidth="1"/>
    <col min="3" max="3" width="11.5703125" bestFit="1" customWidth="1"/>
    <col min="4" max="4" width="8.140625" bestFit="1" customWidth="1"/>
    <col min="5" max="5" width="9.85546875" bestFit="1" customWidth="1"/>
    <col min="6" max="7" width="11" bestFit="1" customWidth="1"/>
    <col min="8" max="8" width="7.85546875" bestFit="1" customWidth="1"/>
    <col min="9" max="9" width="11.85546875" bestFit="1" customWidth="1"/>
    <col min="10" max="10" width="11.5703125" bestFit="1" customWidth="1"/>
    <col min="11" max="11" width="8.140625" bestFit="1" customWidth="1"/>
    <col min="12" max="12" width="9.85546875" bestFit="1" customWidth="1"/>
    <col min="13" max="14" width="11" bestFit="1" customWidth="1"/>
    <col min="15" max="15" width="7.85546875" bestFit="1" customWidth="1"/>
    <col min="16" max="16" width="11.85546875" bestFit="1" customWidth="1"/>
  </cols>
  <sheetData>
    <row r="2" spans="2:16" x14ac:dyDescent="0.25">
      <c r="B2" s="30" t="s">
        <v>19</v>
      </c>
      <c r="C2" s="30"/>
      <c r="D2" s="30"/>
      <c r="E2" s="30"/>
    </row>
    <row r="3" spans="2:16" x14ac:dyDescent="0.25">
      <c r="E3" s="3" t="s">
        <v>23</v>
      </c>
    </row>
    <row r="4" spans="2:16" x14ac:dyDescent="0.25">
      <c r="B4" s="3" t="s">
        <v>35</v>
      </c>
      <c r="C4" s="25" t="b">
        <v>0</v>
      </c>
      <c r="D4" s="4" t="s">
        <v>36</v>
      </c>
      <c r="E4" s="4" t="b">
        <v>1</v>
      </c>
      <c r="F4" s="4" t="b">
        <v>0</v>
      </c>
    </row>
    <row r="5" spans="2:16" x14ac:dyDescent="0.25">
      <c r="B5" s="3" t="s">
        <v>78</v>
      </c>
      <c r="C5" s="25">
        <v>10</v>
      </c>
      <c r="H5" s="4"/>
    </row>
    <row r="7" spans="2:16" x14ac:dyDescent="0.25">
      <c r="B7" s="7"/>
      <c r="C7" s="31" t="s">
        <v>81</v>
      </c>
      <c r="D7" s="31"/>
      <c r="E7" s="31"/>
      <c r="F7" s="31"/>
      <c r="G7" s="31"/>
      <c r="H7" s="31"/>
      <c r="I7" s="31"/>
      <c r="J7" s="31" t="s">
        <v>88</v>
      </c>
      <c r="K7" s="31"/>
      <c r="L7" s="31"/>
      <c r="M7" s="31"/>
      <c r="N7" s="31"/>
      <c r="O7" s="31"/>
      <c r="P7" s="31"/>
    </row>
    <row r="8" spans="2:16" x14ac:dyDescent="0.25">
      <c r="B8" s="5" t="s">
        <v>79</v>
      </c>
      <c r="C8" s="28">
        <f t="shared" ref="C8:I8" si="0">SUM(C10:C209)*0.5*cycle_length + SUM(C11:C210)*0.5*cycle_length</f>
        <v>179.13903798398621</v>
      </c>
      <c r="D8" s="28">
        <f t="shared" si="0"/>
        <v>176.81879056324726</v>
      </c>
      <c r="E8" s="28">
        <f t="shared" si="0"/>
        <v>174.98753940583771</v>
      </c>
      <c r="F8" s="28">
        <f t="shared" si="0"/>
        <v>215.17639861610411</v>
      </c>
      <c r="G8" s="28">
        <f t="shared" si="0"/>
        <v>204.49295808692068</v>
      </c>
      <c r="H8" s="28">
        <f t="shared" si="0"/>
        <v>177.2257397262631</v>
      </c>
      <c r="I8" s="28">
        <f t="shared" si="0"/>
        <v>176.83519983063064</v>
      </c>
      <c r="J8" s="28">
        <f t="shared" ref="J8:P8" si="1">SUM(J10:J209)*0.5*cycle_length + SUM(J11:J210)*0.5*cycle_length</f>
        <v>367.27409318463549</v>
      </c>
      <c r="K8" s="28">
        <f t="shared" si="1"/>
        <v>339.02941975274109</v>
      </c>
      <c r="L8" s="28">
        <f t="shared" si="1"/>
        <v>326.29484150372775</v>
      </c>
      <c r="M8" s="28">
        <f t="shared" si="1"/>
        <v>405.65137247421023</v>
      </c>
      <c r="N8" s="28">
        <f t="shared" si="1"/>
        <v>395.58784123741077</v>
      </c>
      <c r="O8" s="28">
        <f t="shared" si="1"/>
        <v>346.75266147003458</v>
      </c>
      <c r="P8" s="28">
        <f t="shared" si="1"/>
        <v>338.82357781967994</v>
      </c>
    </row>
    <row r="9" spans="2:16" ht="30" x14ac:dyDescent="0.25">
      <c r="B9" s="5" t="s">
        <v>80</v>
      </c>
      <c r="C9" s="26" t="s">
        <v>8</v>
      </c>
      <c r="D9" s="26" t="s">
        <v>11</v>
      </c>
      <c r="E9" s="26" t="s">
        <v>18</v>
      </c>
      <c r="F9" s="26" t="s">
        <v>17</v>
      </c>
      <c r="G9" s="26" t="s">
        <v>13</v>
      </c>
      <c r="H9" s="26" t="s">
        <v>14</v>
      </c>
      <c r="I9" s="29" t="s">
        <v>89</v>
      </c>
      <c r="J9" s="26" t="s">
        <v>8</v>
      </c>
      <c r="K9" s="26" t="s">
        <v>11</v>
      </c>
      <c r="L9" s="26" t="s">
        <v>18</v>
      </c>
      <c r="M9" s="26" t="s">
        <v>17</v>
      </c>
      <c r="N9" s="26" t="s">
        <v>13</v>
      </c>
      <c r="O9" s="26" t="s">
        <v>14</v>
      </c>
      <c r="P9" s="29" t="s">
        <v>90</v>
      </c>
    </row>
    <row r="10" spans="2:16" x14ac:dyDescent="0.25">
      <c r="B10" s="7">
        <v>0</v>
      </c>
      <c r="C10" s="27">
        <v>1</v>
      </c>
      <c r="D10" s="27">
        <v>1</v>
      </c>
      <c r="E10" s="27">
        <v>1</v>
      </c>
      <c r="F10" s="27">
        <v>1</v>
      </c>
      <c r="G10" s="27">
        <v>1</v>
      </c>
      <c r="H10" s="27">
        <v>1</v>
      </c>
      <c r="I10" s="27">
        <v>1</v>
      </c>
      <c r="J10" s="27">
        <v>1</v>
      </c>
      <c r="K10" s="27">
        <v>1</v>
      </c>
      <c r="L10" s="27">
        <v>1</v>
      </c>
      <c r="M10" s="27">
        <v>1</v>
      </c>
      <c r="N10" s="27">
        <v>1</v>
      </c>
      <c r="O10" s="27">
        <v>1</v>
      </c>
      <c r="P10" s="27">
        <v>1</v>
      </c>
    </row>
    <row r="11" spans="2:16" x14ac:dyDescent="0.25">
      <c r="B11" s="7">
        <f t="shared" ref="B11:B74" si="2">B10+cycle_length</f>
        <v>10</v>
      </c>
      <c r="C11" s="27">
        <f t="shared" ref="C11:C42" si="3" xml:space="preserve"> EXP(-exp_c_lambda*$B11)</f>
        <v>0.94569395684726609</v>
      </c>
      <c r="D11" s="27">
        <f t="shared" ref="D11:D42" si="4" xml:space="preserve"> EXP(-weib_c_lambda*$B11^weib_c_gamma)</f>
        <v>0.98314297044588705</v>
      </c>
      <c r="E11" s="27">
        <f t="shared" ref="E11:E42" si="5">EXP((gomp_c_lambda/gomp_c_gamma)*(1-EXP(gomp_c_gamma*$B11)))</f>
        <v>0.96089578730562675</v>
      </c>
      <c r="F11" s="27">
        <f t="shared" ref="F11:F42" si="6">1/(1+ll_c_lambda*$B11^ll_c_gamma)</f>
        <v>0.99269894084539068</v>
      </c>
      <c r="G11" s="27">
        <f t="shared" ref="G11:G42" si="7">1-NORMDIST(((LN($B11)-ln_c_lambda)/ln_c_gamma),0,1,TRUE)</f>
        <v>0.99538042745070821</v>
      </c>
      <c r="H11" s="27">
        <f t="shared" ref="H11:H42" si="8">IF(gam_c_gamma&gt;0, 1-GAMMADIST(gam_c_lambda*$B11,gam_c_gamma,1,TRUE), 1- (1-GAMMADIST(gam_c_lambda*$B11,gam_c_gamma,1,TRUE)))</f>
        <v>0.98662902232254812</v>
      </c>
      <c r="I11" s="27">
        <f t="shared" ref="I11:I42" si="9" xml:space="preserve"> IF(ggam_c_gamma&gt;0, 1-GAMMADIST(ggam_c_lambda*$B11^(ggam_c_delta),ggam_c_gamma,1,TRUE), 1-( 1-GAMMADIST(ggam_c_lambda*$B11^(ggam_c_delta),ggam_c_gamma,1,TRUE)))</f>
        <v>0.9829714849787311</v>
      </c>
      <c r="J11" s="27">
        <f t="shared" ref="J11:J42" si="10" xml:space="preserve"> EXP(-exp_i_lambda*$B11)</f>
        <v>0.97325519313357489</v>
      </c>
      <c r="K11" s="27">
        <f t="shared" ref="K11:K42" si="11" xml:space="preserve"> EXP(-weib_i_lambda*$B11^weib_i_gamma)</f>
        <v>0.99308020801270569</v>
      </c>
      <c r="L11" s="27">
        <f t="shared" ref="L11:L42" si="12">EXP((gomp_i_lambda/gomp_i_gamma)*(1-EXP(gomp_i_gamma*$B11)))</f>
        <v>0.98411682498299902</v>
      </c>
      <c r="M11" s="27">
        <f t="shared" ref="M11:M42" si="13">1/(1+ll_i_lambda*$B11^ll_i_gamma)</f>
        <v>0.99800013582386349</v>
      </c>
      <c r="N11" s="27">
        <f t="shared" ref="N11:N42" si="14">1-NORMDIST(((LN($B11)-ln_i_lambda)/ln_i_gamma),0,1,TRUE)</f>
        <v>0.99954042944354848</v>
      </c>
      <c r="O11" s="27">
        <f t="shared" ref="O11:O42" si="15">IF(gam_i_gamma&gt;0, 1-GAMMADIST(gam_i_lambda*$B11,gam_i_gamma,1,TRUE), 1- (1-GAMMADIST(gam_i_lambda*$B11,gam_i_gamma,1,TRUE)))</f>
        <v>0.99538300667879864</v>
      </c>
      <c r="P11" s="27">
        <f t="shared" ref="P11:P42" si="16" xml:space="preserve"> IF(ggam_i_gamma&gt;0, 1-GAMMADIST(ggam_i_lambda*$B11^(ggam_i_delta),ggam_i_gamma,1,TRUE), 1-( 1-GAMMADIST(ggam_i_lambda*$B11^(ggam_i_delta),ggam_i_gamma,1,TRUE)))</f>
        <v>0.99296983079797785</v>
      </c>
    </row>
    <row r="12" spans="2:16" x14ac:dyDescent="0.25">
      <c r="B12" s="7">
        <f t="shared" si="2"/>
        <v>20</v>
      </c>
      <c r="C12" s="27">
        <f t="shared" si="3"/>
        <v>0.89433706001743885</v>
      </c>
      <c r="D12" s="27">
        <f t="shared" si="4"/>
        <v>0.95685152422496356</v>
      </c>
      <c r="E12" s="27">
        <f t="shared" si="5"/>
        <v>0.92243144131202681</v>
      </c>
      <c r="F12" s="27">
        <f t="shared" si="6"/>
        <v>0.9736743016705931</v>
      </c>
      <c r="G12" s="27">
        <f t="shared" si="7"/>
        <v>0.97095673002788951</v>
      </c>
      <c r="H12" s="27">
        <f t="shared" si="8"/>
        <v>0.96101089388212024</v>
      </c>
      <c r="I12" s="27">
        <f t="shared" si="9"/>
        <v>0.95661559970927135</v>
      </c>
      <c r="J12" s="27">
        <f t="shared" si="10"/>
        <v>0.94722567096147214</v>
      </c>
      <c r="K12" s="27">
        <f t="shared" si="11"/>
        <v>0.982146045936797</v>
      </c>
      <c r="L12" s="27">
        <f t="shared" si="12"/>
        <v>0.96811142358969082</v>
      </c>
      <c r="M12" s="27">
        <f t="shared" si="13"/>
        <v>0.99268725832837423</v>
      </c>
      <c r="N12" s="27">
        <f t="shared" si="14"/>
        <v>0.99542158509668865</v>
      </c>
      <c r="O12" s="27">
        <f t="shared" si="15"/>
        <v>0.98616670013816676</v>
      </c>
      <c r="P12" s="27">
        <f t="shared" si="16"/>
        <v>0.98195264324107334</v>
      </c>
    </row>
    <row r="13" spans="2:16" x14ac:dyDescent="0.25">
      <c r="B13" s="7">
        <f t="shared" si="2"/>
        <v>30</v>
      </c>
      <c r="C13" s="27">
        <f t="shared" si="3"/>
        <v>0.84576915304304268</v>
      </c>
      <c r="D13" s="27">
        <f t="shared" si="4"/>
        <v>0.92585448224496758</v>
      </c>
      <c r="E13" s="27">
        <f t="shared" si="5"/>
        <v>0.88463336549592086</v>
      </c>
      <c r="F13" s="27">
        <f t="shared" si="6"/>
        <v>0.94526604742048925</v>
      </c>
      <c r="G13" s="27">
        <f t="shared" si="7"/>
        <v>0.93067968128217715</v>
      </c>
      <c r="H13" s="27">
        <f t="shared" si="8"/>
        <v>0.92871720590911599</v>
      </c>
      <c r="I13" s="27">
        <f t="shared" si="9"/>
        <v>0.92562761164836127</v>
      </c>
      <c r="J13" s="27">
        <f t="shared" si="10"/>
        <v>0.92189230333268768</v>
      </c>
      <c r="K13" s="27">
        <f t="shared" si="11"/>
        <v>0.96902410407298123</v>
      </c>
      <c r="L13" s="27">
        <f t="shared" si="12"/>
        <v>0.95198916686886192</v>
      </c>
      <c r="M13" s="27">
        <f t="shared" si="13"/>
        <v>0.98446875461496997</v>
      </c>
      <c r="N13" s="27">
        <f t="shared" si="14"/>
        <v>0.98580918718678934</v>
      </c>
      <c r="O13" s="27">
        <f t="shared" si="15"/>
        <v>0.97402386523353657</v>
      </c>
      <c r="P13" s="27">
        <f t="shared" si="16"/>
        <v>0.96877573789199412</v>
      </c>
    </row>
    <row r="14" spans="2:16" x14ac:dyDescent="0.25">
      <c r="B14" s="7">
        <f t="shared" si="2"/>
        <v>40</v>
      </c>
      <c r="C14" s="27">
        <f t="shared" si="3"/>
        <v>0.79983877692063599</v>
      </c>
      <c r="D14" s="27">
        <f t="shared" si="4"/>
        <v>0.89187235085612937</v>
      </c>
      <c r="E14" s="27">
        <f t="shared" si="5"/>
        <v>0.84752709241918478</v>
      </c>
      <c r="F14" s="27">
        <f t="shared" si="6"/>
        <v>0.90959127164358144</v>
      </c>
      <c r="G14" s="27">
        <f t="shared" si="7"/>
        <v>0.88238863986316363</v>
      </c>
      <c r="H14" s="27">
        <f t="shared" si="8"/>
        <v>0.89231247404839442</v>
      </c>
      <c r="I14" s="27">
        <f t="shared" si="9"/>
        <v>0.89170111409020081</v>
      </c>
      <c r="J14" s="27">
        <f t="shared" si="10"/>
        <v>0.89723647172841114</v>
      </c>
      <c r="K14" s="27">
        <f t="shared" si="11"/>
        <v>0.95433628383088398</v>
      </c>
      <c r="L14" s="27">
        <f t="shared" si="12"/>
        <v>0.93575571035465777</v>
      </c>
      <c r="M14" s="27">
        <f t="shared" si="13"/>
        <v>0.97363298614451921</v>
      </c>
      <c r="N14" s="27">
        <f t="shared" si="14"/>
        <v>0.97115926250975693</v>
      </c>
      <c r="O14" s="27">
        <f t="shared" si="15"/>
        <v>0.95971144186586965</v>
      </c>
      <c r="P14" s="27">
        <f t="shared" si="16"/>
        <v>0.95405564660152842</v>
      </c>
    </row>
    <row r="15" spans="2:16" x14ac:dyDescent="0.25">
      <c r="B15" s="7">
        <f t="shared" si="2"/>
        <v>50</v>
      </c>
      <c r="C15" s="27">
        <f t="shared" si="3"/>
        <v>0.75640269778595404</v>
      </c>
      <c r="D15" s="27">
        <f t="shared" si="4"/>
        <v>0.855953557297506</v>
      </c>
      <c r="E15" s="27">
        <f t="shared" si="5"/>
        <v>0.81113719666613271</v>
      </c>
      <c r="F15" s="27">
        <f t="shared" si="6"/>
        <v>0.86870350992405609</v>
      </c>
      <c r="G15" s="27">
        <f t="shared" si="7"/>
        <v>0.83124004382196881</v>
      </c>
      <c r="H15" s="27">
        <f t="shared" si="8"/>
        <v>0.85342666199974793</v>
      </c>
      <c r="I15" s="27">
        <f t="shared" si="9"/>
        <v>0.85586580606919849</v>
      </c>
      <c r="J15" s="27">
        <f t="shared" si="10"/>
        <v>0.87324005557852202</v>
      </c>
      <c r="K15" s="27">
        <f t="shared" si="11"/>
        <v>0.93844686905602082</v>
      </c>
      <c r="L15" s="27">
        <f t="shared" si="12"/>
        <v>0.91941699623562967</v>
      </c>
      <c r="M15" s="27">
        <f t="shared" si="13"/>
        <v>0.96044900244863596</v>
      </c>
      <c r="N15" s="27">
        <f t="shared" si="14"/>
        <v>0.95255768309687883</v>
      </c>
      <c r="O15" s="27">
        <f t="shared" si="15"/>
        <v>0.94372500256965008</v>
      </c>
      <c r="P15" s="27">
        <f t="shared" si="16"/>
        <v>0.93815214059087615</v>
      </c>
    </row>
    <row r="16" spans="2:16" x14ac:dyDescent="0.25">
      <c r="B16" s="7">
        <f t="shared" si="2"/>
        <v>60</v>
      </c>
      <c r="C16" s="27">
        <f t="shared" si="3"/>
        <v>0.71532546023914567</v>
      </c>
      <c r="D16" s="27">
        <f t="shared" si="4"/>
        <v>0.8188375593568965</v>
      </c>
      <c r="E16" s="27">
        <f t="shared" si="5"/>
        <v>0.77548720855547526</v>
      </c>
      <c r="F16" s="27">
        <f t="shared" si="6"/>
        <v>0.82449527683603652</v>
      </c>
      <c r="G16" s="27">
        <f t="shared" si="7"/>
        <v>0.78019156692446989</v>
      </c>
      <c r="H16" s="27">
        <f t="shared" si="8"/>
        <v>0.81319485056569452</v>
      </c>
      <c r="I16" s="27">
        <f t="shared" si="9"/>
        <v>0.81884772060128896</v>
      </c>
      <c r="J16" s="27">
        <f t="shared" si="10"/>
        <v>0.84988541894404823</v>
      </c>
      <c r="K16" s="27">
        <f t="shared" si="11"/>
        <v>0.9216078039107134</v>
      </c>
      <c r="L16" s="27">
        <f t="shared" si="12"/>
        <v>0.90297925492646591</v>
      </c>
      <c r="M16" s="27">
        <f t="shared" si="13"/>
        <v>0.94518265805603952</v>
      </c>
      <c r="N16" s="27">
        <f t="shared" si="14"/>
        <v>0.93108742544722045</v>
      </c>
      <c r="O16" s="27">
        <f t="shared" si="15"/>
        <v>0.92642847086159552</v>
      </c>
      <c r="P16" s="27">
        <f t="shared" si="16"/>
        <v>0.92131346709409367</v>
      </c>
    </row>
    <row r="17" spans="2:16" x14ac:dyDescent="0.25">
      <c r="B17" s="7">
        <f t="shared" si="2"/>
        <v>70</v>
      </c>
      <c r="C17" s="27">
        <f t="shared" si="3"/>
        <v>0.67647896492714943</v>
      </c>
      <c r="D17" s="27">
        <f t="shared" si="4"/>
        <v>0.7810833051189815</v>
      </c>
      <c r="E17" s="27">
        <f t="shared" si="5"/>
        <v>0.74059952911343252</v>
      </c>
      <c r="F17" s="27">
        <f t="shared" si="6"/>
        <v>0.77860888153323871</v>
      </c>
      <c r="G17" s="27">
        <f t="shared" si="7"/>
        <v>0.73084791868930987</v>
      </c>
      <c r="H17" s="27">
        <f t="shared" si="8"/>
        <v>0.77244058575986863</v>
      </c>
      <c r="I17" s="27">
        <f t="shared" si="9"/>
        <v>0.78119610146282525</v>
      </c>
      <c r="J17" s="27">
        <f t="shared" si="10"/>
        <v>0.82715539755579881</v>
      </c>
      <c r="K17" s="27">
        <f t="shared" si="11"/>
        <v>0.90400925810282129</v>
      </c>
      <c r="L17" s="27">
        <f t="shared" si="12"/>
        <v>0.88644900599818266</v>
      </c>
      <c r="M17" s="27">
        <f t="shared" si="13"/>
        <v>0.92809872236177926</v>
      </c>
      <c r="N17" s="27">
        <f t="shared" si="14"/>
        <v>0.90765927782646127</v>
      </c>
      <c r="O17" s="27">
        <f t="shared" si="15"/>
        <v>0.90810515528447422</v>
      </c>
      <c r="P17" s="27">
        <f t="shared" si="16"/>
        <v>0.90372674079953108</v>
      </c>
    </row>
    <row r="18" spans="2:16" x14ac:dyDescent="0.25">
      <c r="B18" s="7">
        <f t="shared" si="2"/>
        <v>80</v>
      </c>
      <c r="C18" s="27">
        <f t="shared" si="3"/>
        <v>0.63974206906589892</v>
      </c>
      <c r="D18" s="27">
        <f t="shared" si="4"/>
        <v>0.74312909966060847</v>
      </c>
      <c r="E18" s="27">
        <f t="shared" si="5"/>
        <v>0.70649534681474579</v>
      </c>
      <c r="F18" s="27">
        <f t="shared" si="6"/>
        <v>0.73238908469347308</v>
      </c>
      <c r="G18" s="27">
        <f t="shared" si="7"/>
        <v>0.6840237847549977</v>
      </c>
      <c r="H18" s="27">
        <f t="shared" si="8"/>
        <v>0.73177302380138709</v>
      </c>
      <c r="I18" s="27">
        <f t="shared" si="9"/>
        <v>0.74334229413037289</v>
      </c>
      <c r="J18" s="27">
        <f t="shared" si="10"/>
        <v>0.80503328619964787</v>
      </c>
      <c r="K18" s="27">
        <f t="shared" si="11"/>
        <v>0.88580264619064331</v>
      </c>
      <c r="L18" s="27">
        <f t="shared" si="12"/>
        <v>0.86983305842193981</v>
      </c>
      <c r="M18" s="27">
        <f t="shared" si="13"/>
        <v>0.9094587363734824</v>
      </c>
      <c r="N18" s="27">
        <f t="shared" si="14"/>
        <v>0.88299234275002836</v>
      </c>
      <c r="O18" s="27">
        <f t="shared" si="15"/>
        <v>0.8889833763670183</v>
      </c>
      <c r="P18" s="27">
        <f t="shared" si="16"/>
        <v>0.88554082755683527</v>
      </c>
    </row>
    <row r="19" spans="2:16" x14ac:dyDescent="0.25">
      <c r="B19" s="7">
        <f t="shared" si="2"/>
        <v>90</v>
      </c>
      <c r="C19" s="27">
        <f t="shared" si="3"/>
        <v>0.60500020865658699</v>
      </c>
      <c r="D19" s="27">
        <f t="shared" si="4"/>
        <v>0.70532545018932669</v>
      </c>
      <c r="E19" s="27">
        <f t="shared" si="5"/>
        <v>0.67319455661579641</v>
      </c>
      <c r="F19" s="27">
        <f t="shared" si="6"/>
        <v>0.6868764049015943</v>
      </c>
      <c r="G19" s="27">
        <f t="shared" si="7"/>
        <v>0.64007837372128873</v>
      </c>
      <c r="H19" s="27">
        <f t="shared" si="8"/>
        <v>0.69164583212029096</v>
      </c>
      <c r="I19" s="27">
        <f t="shared" si="9"/>
        <v>0.705631930197961</v>
      </c>
      <c r="J19" s="27">
        <f t="shared" si="10"/>
        <v>0.78350282643919478</v>
      </c>
      <c r="K19" s="27">
        <f t="shared" si="11"/>
        <v>0.86711285101646152</v>
      </c>
      <c r="L19" s="27">
        <f t="shared" si="12"/>
        <v>0.85313851008122144</v>
      </c>
      <c r="M19" s="27">
        <f t="shared" si="13"/>
        <v>0.88951754703647234</v>
      </c>
      <c r="N19" s="27">
        <f t="shared" si="14"/>
        <v>0.85763784712751978</v>
      </c>
      <c r="O19" s="27">
        <f t="shared" si="15"/>
        <v>0.86925129076393415</v>
      </c>
      <c r="P19" s="27">
        <f t="shared" si="16"/>
        <v>0.86687846940800362</v>
      </c>
    </row>
    <row r="20" spans="2:16" x14ac:dyDescent="0.25">
      <c r="B20" s="7">
        <f t="shared" si="2"/>
        <v>100</v>
      </c>
      <c r="C20" s="27">
        <f t="shared" si="3"/>
        <v>0.57214504121786935</v>
      </c>
      <c r="D20" s="27">
        <f t="shared" si="4"/>
        <v>0.66795524367713899</v>
      </c>
      <c r="E20" s="27">
        <f t="shared" si="5"/>
        <v>0.64071568181833138</v>
      </c>
      <c r="F20" s="27">
        <f t="shared" si="6"/>
        <v>0.64282968983216326</v>
      </c>
      <c r="G20" s="27">
        <f t="shared" si="7"/>
        <v>0.59911044272745162</v>
      </c>
      <c r="H20" s="27">
        <f t="shared" si="8"/>
        <v>0.65239610882778754</v>
      </c>
      <c r="I20" s="27">
        <f t="shared" si="9"/>
        <v>0.66834462709339759</v>
      </c>
      <c r="J20" s="27">
        <f t="shared" si="10"/>
        <v>0.76254819466678037</v>
      </c>
      <c r="K20" s="27">
        <f t="shared" si="11"/>
        <v>0.84804541702591973</v>
      </c>
      <c r="L20" s="27">
        <f t="shared" si="12"/>
        <v>0.83637274650690208</v>
      </c>
      <c r="M20" s="27">
        <f t="shared" si="13"/>
        <v>0.86851969917825689</v>
      </c>
      <c r="N20" s="27">
        <f t="shared" si="14"/>
        <v>0.83201129668833962</v>
      </c>
      <c r="O20" s="27">
        <f t="shared" si="15"/>
        <v>0.84906631416337097</v>
      </c>
      <c r="P20" s="27">
        <f t="shared" si="16"/>
        <v>0.84784340544847914</v>
      </c>
    </row>
    <row r="21" spans="2:16" x14ac:dyDescent="0.25">
      <c r="B21" s="7">
        <f t="shared" si="2"/>
        <v>110</v>
      </c>
      <c r="C21" s="27">
        <f t="shared" si="3"/>
        <v>0.54107410791986899</v>
      </c>
      <c r="D21" s="27">
        <f t="shared" si="4"/>
        <v>0.6312472398111113</v>
      </c>
      <c r="E21" s="27">
        <f t="shared" si="5"/>
        <v>0.60907579931297939</v>
      </c>
      <c r="F21" s="27">
        <f t="shared" si="6"/>
        <v>0.60076519847537901</v>
      </c>
      <c r="G21" s="27">
        <f t="shared" si="7"/>
        <v>0.5610722812205442</v>
      </c>
      <c r="H21" s="27">
        <f t="shared" si="8"/>
        <v>0.61427164699320413</v>
      </c>
      <c r="I21" s="27">
        <f t="shared" si="9"/>
        <v>0.63170711937746704</v>
      </c>
      <c r="J21" s="27">
        <f t="shared" si="10"/>
        <v>0.74215399047407615</v>
      </c>
      <c r="K21" s="27">
        <f t="shared" si="11"/>
        <v>0.82869111142418928</v>
      </c>
      <c r="L21" s="27">
        <f t="shared" si="12"/>
        <v>0.81954343878974889</v>
      </c>
      <c r="M21" s="27">
        <f t="shared" si="13"/>
        <v>0.84669622756178009</v>
      </c>
      <c r="N21" s="27">
        <f t="shared" si="14"/>
        <v>0.80642210946327653</v>
      </c>
      <c r="O21" s="27">
        <f t="shared" si="15"/>
        <v>0.82856153026797918</v>
      </c>
      <c r="P21" s="27">
        <f t="shared" si="16"/>
        <v>0.8285248780932265</v>
      </c>
    </row>
    <row r="22" spans="2:16" x14ac:dyDescent="0.25">
      <c r="B22" s="7">
        <f t="shared" si="2"/>
        <v>120</v>
      </c>
      <c r="C22" s="27">
        <f t="shared" si="3"/>
        <v>0.51169051406634569</v>
      </c>
      <c r="D22" s="27">
        <f t="shared" si="4"/>
        <v>0.59538571112043681</v>
      </c>
      <c r="E22" s="27">
        <f t="shared" si="5"/>
        <v>0.57829046875840773</v>
      </c>
      <c r="F22" s="27">
        <f t="shared" si="6"/>
        <v>0.56100177980649013</v>
      </c>
      <c r="G22" s="27">
        <f t="shared" si="7"/>
        <v>0.52583677631085934</v>
      </c>
      <c r="H22" s="27">
        <f t="shared" si="8"/>
        <v>0.57745084008273961</v>
      </c>
      <c r="I22" s="27">
        <f t="shared" si="9"/>
        <v>0.59590261679617007</v>
      </c>
      <c r="J22" s="27">
        <f t="shared" si="10"/>
        <v>0.72230522533370034</v>
      </c>
      <c r="K22" s="27">
        <f t="shared" si="11"/>
        <v>0.80912898686994195</v>
      </c>
      <c r="L22" s="27">
        <f t="shared" si="12"/>
        <v>0.80265854062517528</v>
      </c>
      <c r="M22" s="27">
        <f t="shared" si="13"/>
        <v>0.8242620963272892</v>
      </c>
      <c r="N22" s="27">
        <f t="shared" si="14"/>
        <v>0.7810980524361355</v>
      </c>
      <c r="O22" s="27">
        <f t="shared" si="15"/>
        <v>0.80785027740522697</v>
      </c>
      <c r="P22" s="27">
        <f t="shared" si="16"/>
        <v>0.8090006529854884</v>
      </c>
    </row>
    <row r="23" spans="2:16" x14ac:dyDescent="0.25">
      <c r="B23" s="7">
        <f t="shared" si="2"/>
        <v>130</v>
      </c>
      <c r="C23" s="27">
        <f t="shared" si="3"/>
        <v>0.48390262692861408</v>
      </c>
      <c r="D23" s="27">
        <f t="shared" si="4"/>
        <v>0.56051770102014375</v>
      </c>
      <c r="E23" s="27">
        <f t="shared" si="5"/>
        <v>0.54837366625423545</v>
      </c>
      <c r="F23" s="27">
        <f t="shared" si="6"/>
        <v>0.52370511909787376</v>
      </c>
      <c r="G23" s="27">
        <f t="shared" si="7"/>
        <v>0.49323705074042035</v>
      </c>
      <c r="H23" s="27">
        <f t="shared" si="8"/>
        <v>0.54205765774822745</v>
      </c>
      <c r="I23" s="27">
        <f t="shared" si="9"/>
        <v>0.56107783796093336</v>
      </c>
      <c r="J23" s="27">
        <f t="shared" si="10"/>
        <v>0.70298731158354077</v>
      </c>
      <c r="K23" s="27">
        <f t="shared" si="11"/>
        <v>0.78942853439464999</v>
      </c>
      <c r="L23" s="27">
        <f t="shared" si="12"/>
        <v>0.78572628444562631</v>
      </c>
      <c r="M23" s="27">
        <f t="shared" si="13"/>
        <v>0.80141437255611936</v>
      </c>
      <c r="N23" s="27">
        <f t="shared" si="14"/>
        <v>0.75620450467735967</v>
      </c>
      <c r="O23" s="27">
        <f t="shared" si="15"/>
        <v>0.78702956319025286</v>
      </c>
      <c r="P23" s="27">
        <f t="shared" si="16"/>
        <v>0.78933913770441666</v>
      </c>
    </row>
    <row r="24" spans="2:16" x14ac:dyDescent="0.25">
      <c r="B24" s="7">
        <f t="shared" si="2"/>
        <v>140</v>
      </c>
      <c r="C24" s="27">
        <f t="shared" si="3"/>
        <v>0.45762378998890751</v>
      </c>
      <c r="D24" s="27">
        <f t="shared" si="4"/>
        <v>0.52675872004586821</v>
      </c>
      <c r="E24" s="27">
        <f t="shared" si="5"/>
        <v>0.51933772306329284</v>
      </c>
      <c r="F24" s="27">
        <f t="shared" si="6"/>
        <v>0.48892711045182818</v>
      </c>
      <c r="G24" s="27">
        <f t="shared" si="7"/>
        <v>0.46308986524767493</v>
      </c>
      <c r="H24" s="27">
        <f t="shared" si="8"/>
        <v>0.50817316595903128</v>
      </c>
      <c r="I24" s="27">
        <f t="shared" si="9"/>
        <v>0.5273485259924493</v>
      </c>
      <c r="J24" s="27">
        <f t="shared" si="10"/>
        <v>0.68418605170569158</v>
      </c>
      <c r="K24" s="27">
        <f t="shared" si="11"/>
        <v>0.76965125506003018</v>
      </c>
      <c r="L24" s="27">
        <f t="shared" si="12"/>
        <v>0.76875517659683346</v>
      </c>
      <c r="M24" s="27">
        <f t="shared" si="13"/>
        <v>0.77833112601211996</v>
      </c>
      <c r="N24" s="27">
        <f t="shared" si="14"/>
        <v>0.73185933971598038</v>
      </c>
      <c r="O24" s="27">
        <f t="shared" si="15"/>
        <v>0.7661826877017508</v>
      </c>
      <c r="P24" s="27">
        <f t="shared" si="16"/>
        <v>0.76960092546043901</v>
      </c>
    </row>
    <row r="25" spans="2:16" x14ac:dyDescent="0.25">
      <c r="B25" s="7">
        <f t="shared" si="2"/>
        <v>150</v>
      </c>
      <c r="C25" s="27">
        <f t="shared" si="3"/>
        <v>0.43277205270205227</v>
      </c>
      <c r="D25" s="27">
        <f t="shared" si="4"/>
        <v>0.49419736462657804</v>
      </c>
      <c r="E25" s="27">
        <f t="shared" si="5"/>
        <v>0.4911932699311482</v>
      </c>
      <c r="F25" s="27">
        <f t="shared" si="6"/>
        <v>0.45663870239501608</v>
      </c>
      <c r="G25" s="27">
        <f t="shared" si="7"/>
        <v>0.43520929828258081</v>
      </c>
      <c r="H25" s="27">
        <f t="shared" si="8"/>
        <v>0.47584453752596267</v>
      </c>
      <c r="I25" s="27">
        <f t="shared" si="9"/>
        <v>0.49480392104692206</v>
      </c>
      <c r="J25" s="27">
        <f t="shared" si="10"/>
        <v>0.66588762789212097</v>
      </c>
      <c r="K25" s="27">
        <f t="shared" si="11"/>
        <v>0.74985184447897812</v>
      </c>
      <c r="L25" s="27">
        <f t="shared" si="12"/>
        <v>0.75175399151536892</v>
      </c>
      <c r="M25" s="27">
        <f t="shared" si="13"/>
        <v>0.75517099105045282</v>
      </c>
      <c r="N25" s="27">
        <f t="shared" si="14"/>
        <v>0.70814432247846093</v>
      </c>
      <c r="O25" s="27">
        <f t="shared" si="15"/>
        <v>0.74538131036933819</v>
      </c>
      <c r="P25" s="27">
        <f t="shared" si="16"/>
        <v>0.74983995633609912</v>
      </c>
    </row>
    <row r="26" spans="2:16" x14ac:dyDescent="0.25">
      <c r="B26" s="7">
        <f t="shared" si="2"/>
        <v>160</v>
      </c>
      <c r="C26" s="27">
        <f t="shared" si="3"/>
        <v>0.40926991493271742</v>
      </c>
      <c r="D26" s="27">
        <f t="shared" si="4"/>
        <v>0.46289915825801159</v>
      </c>
      <c r="E26" s="27">
        <f t="shared" si="5"/>
        <v>0.46394918753768588</v>
      </c>
      <c r="F26" s="27">
        <f t="shared" si="6"/>
        <v>0.42675602123565248</v>
      </c>
      <c r="G26" s="27">
        <f t="shared" si="7"/>
        <v>0.40941455139253002</v>
      </c>
      <c r="H26" s="27">
        <f t="shared" si="8"/>
        <v>0.44509218848709275</v>
      </c>
      <c r="I26" s="27">
        <f t="shared" si="9"/>
        <v>0.46351048286950514</v>
      </c>
      <c r="J26" s="27">
        <f t="shared" si="10"/>
        <v>0.6480785918894042</v>
      </c>
      <c r="K26" s="27">
        <f t="shared" si="11"/>
        <v>0.73007911039470685</v>
      </c>
      <c r="L26" s="27">
        <f t="shared" si="12"/>
        <v>0.73473176486647251</v>
      </c>
      <c r="M26" s="27">
        <f t="shared" si="13"/>
        <v>0.73207329605823634</v>
      </c>
      <c r="N26" s="27">
        <f t="shared" si="14"/>
        <v>0.68511380918382336</v>
      </c>
      <c r="O26" s="27">
        <f t="shared" si="15"/>
        <v>0.72468711271829411</v>
      </c>
      <c r="P26" s="27">
        <f t="shared" si="16"/>
        <v>0.73010441518235791</v>
      </c>
    </row>
    <row r="27" spans="2:16" x14ac:dyDescent="0.25">
      <c r="B27" s="7">
        <f t="shared" si="2"/>
        <v>170</v>
      </c>
      <c r="C27" s="27">
        <f t="shared" si="3"/>
        <v>0.38704408527126555</v>
      </c>
      <c r="D27" s="27">
        <f t="shared" si="4"/>
        <v>0.43290980844936633</v>
      </c>
      <c r="E27" s="27">
        <f t="shared" si="5"/>
        <v>0.43761256359663558</v>
      </c>
      <c r="F27" s="27">
        <f t="shared" si="6"/>
        <v>0.39916037213350714</v>
      </c>
      <c r="G27" s="27">
        <f t="shared" si="7"/>
        <v>0.38553418752848234</v>
      </c>
      <c r="H27" s="27">
        <f t="shared" si="8"/>
        <v>0.41591548346190954</v>
      </c>
      <c r="I27" s="27">
        <f t="shared" si="9"/>
        <v>0.43351505173998373</v>
      </c>
      <c r="J27" s="27">
        <f t="shared" si="10"/>
        <v>0.63074585511505732</v>
      </c>
      <c r="K27" s="27">
        <f t="shared" si="11"/>
        <v>0.71037670068466652</v>
      </c>
      <c r="L27" s="27">
        <f t="shared" si="12"/>
        <v>0.71769778560304542</v>
      </c>
      <c r="M27" s="27">
        <f t="shared" si="13"/>
        <v>0.70915865276373924</v>
      </c>
      <c r="N27" s="27">
        <f t="shared" si="14"/>
        <v>0.66280138637063157</v>
      </c>
      <c r="O27" s="27">
        <f t="shared" si="15"/>
        <v>0.70415315920198229</v>
      </c>
      <c r="P27" s="27">
        <f t="shared" si="16"/>
        <v>0.71043744276772736</v>
      </c>
    </row>
    <row r="28" spans="2:16" x14ac:dyDescent="0.25">
      <c r="B28" s="7">
        <f t="shared" si="2"/>
        <v>180</v>
      </c>
      <c r="C28" s="27">
        <f t="shared" si="3"/>
        <v>0.36602525247451378</v>
      </c>
      <c r="D28" s="27">
        <f t="shared" si="4"/>
        <v>0.40425800876452611</v>
      </c>
      <c r="E28" s="27">
        <f t="shared" si="5"/>
        <v>0.41218865709409058</v>
      </c>
      <c r="F28" s="27">
        <f t="shared" si="6"/>
        <v>0.3737130598393365</v>
      </c>
      <c r="G28" s="27">
        <f t="shared" si="7"/>
        <v>0.36340820339997926</v>
      </c>
      <c r="H28" s="27">
        <f t="shared" si="8"/>
        <v>0.38829732866890709</v>
      </c>
      <c r="I28" s="27">
        <f t="shared" si="9"/>
        <v>0.40484757325482734</v>
      </c>
      <c r="J28" s="27">
        <f t="shared" si="10"/>
        <v>0.61387667903820697</v>
      </c>
      <c r="K28" s="27">
        <f t="shared" si="11"/>
        <v>0.69078369325044786</v>
      </c>
      <c r="L28" s="27">
        <f t="shared" si="12"/>
        <v>0.70066158690902824</v>
      </c>
      <c r="M28" s="27">
        <f t="shared" si="13"/>
        <v>0.68652989682905152</v>
      </c>
      <c r="N28" s="27">
        <f t="shared" si="14"/>
        <v>0.64122494303915523</v>
      </c>
      <c r="O28" s="27">
        <f t="shared" si="15"/>
        <v>0.68382502706878179</v>
      </c>
      <c r="P28" s="27">
        <f t="shared" si="16"/>
        <v>0.69087771108329232</v>
      </c>
    </row>
    <row r="29" spans="2:16" x14ac:dyDescent="0.25">
      <c r="B29" s="7">
        <f t="shared" si="2"/>
        <v>190</v>
      </c>
      <c r="C29" s="27">
        <f t="shared" si="3"/>
        <v>0.34614786931864255</v>
      </c>
      <c r="D29" s="27">
        <f t="shared" si="4"/>
        <v>0.3769578753995162</v>
      </c>
      <c r="E29" s="27">
        <f t="shared" si="5"/>
        <v>0.38768087012603925</v>
      </c>
      <c r="F29" s="27">
        <f t="shared" si="6"/>
        <v>0.35026603934760681</v>
      </c>
      <c r="G29" s="27">
        <f t="shared" si="7"/>
        <v>0.34288879566805863</v>
      </c>
      <c r="H29" s="27">
        <f t="shared" si="8"/>
        <v>0.36220788782281144</v>
      </c>
      <c r="I29" s="27">
        <f t="shared" si="9"/>
        <v>0.37752347329061997</v>
      </c>
      <c r="J29" s="27">
        <f t="shared" si="10"/>
        <v>0.59745866581752771</v>
      </c>
      <c r="K29" s="27">
        <f t="shared" si="11"/>
        <v>0.67133508300034728</v>
      </c>
      <c r="L29" s="27">
        <f t="shared" si="12"/>
        <v>0.68363293599312658</v>
      </c>
      <c r="M29" s="27">
        <f t="shared" si="13"/>
        <v>0.66427327815398418</v>
      </c>
      <c r="N29" s="27">
        <f t="shared" si="14"/>
        <v>0.62039055264339016</v>
      </c>
      <c r="O29" s="27">
        <f t="shared" si="15"/>
        <v>0.6637417558908385</v>
      </c>
      <c r="P29" s="27">
        <f t="shared" si="16"/>
        <v>0.67145989759651448</v>
      </c>
    </row>
    <row r="30" spans="2:16" x14ac:dyDescent="0.25">
      <c r="B30" s="7">
        <f t="shared" si="2"/>
        <v>200</v>
      </c>
      <c r="C30" s="27">
        <f t="shared" si="3"/>
        <v>0.32734994819019742</v>
      </c>
      <c r="D30" s="27">
        <f t="shared" si="4"/>
        <v>0.35101108216364524</v>
      </c>
      <c r="E30" s="27">
        <f t="shared" si="5"/>
        <v>0.36409072775765522</v>
      </c>
      <c r="F30" s="27">
        <f t="shared" si="6"/>
        <v>0.32866933060173559</v>
      </c>
      <c r="G30" s="27">
        <f t="shared" si="7"/>
        <v>0.32384035261036725</v>
      </c>
      <c r="H30" s="27">
        <f t="shared" si="8"/>
        <v>0.33760759831719378</v>
      </c>
      <c r="I30" s="27">
        <f t="shared" si="9"/>
        <v>0.35154574448155995</v>
      </c>
      <c r="J30" s="27">
        <f t="shared" si="10"/>
        <v>0.58147974918956591</v>
      </c>
      <c r="K30" s="27">
        <f t="shared" si="11"/>
        <v>0.65206219060560056</v>
      </c>
      <c r="L30" s="27">
        <f t="shared" si="12"/>
        <v>0.66662182270203829</v>
      </c>
      <c r="M30" s="27">
        <f t="shared" si="13"/>
        <v>0.64245981104564909</v>
      </c>
      <c r="N30" s="27">
        <f t="shared" si="14"/>
        <v>0.6002954499699924</v>
      </c>
      <c r="O30" s="27">
        <f t="shared" si="15"/>
        <v>0.64393665376986775</v>
      </c>
      <c r="P30" s="27">
        <f t="shared" si="16"/>
        <v>0.65221508282186735</v>
      </c>
    </row>
    <row r="31" spans="2:16" x14ac:dyDescent="0.25">
      <c r="B31" s="7">
        <f t="shared" si="2"/>
        <v>210</v>
      </c>
      <c r="C31" s="27">
        <f t="shared" si="3"/>
        <v>0.30957286777773541</v>
      </c>
      <c r="D31" s="27">
        <f t="shared" si="4"/>
        <v>0.3264087409028219</v>
      </c>
      <c r="E31" s="27">
        <f t="shared" si="5"/>
        <v>0.34141786628353143</v>
      </c>
      <c r="F31" s="27">
        <f t="shared" si="6"/>
        <v>0.30877599364609415</v>
      </c>
      <c r="G31" s="27">
        <f t="shared" si="7"/>
        <v>0.30613900140264483</v>
      </c>
      <c r="H31" s="27">
        <f t="shared" si="8"/>
        <v>0.31444962395663445</v>
      </c>
      <c r="I31" s="27">
        <f t="shared" si="9"/>
        <v>0.32690678913562676</v>
      </c>
      <c r="J31" s="27">
        <f t="shared" si="10"/>
        <v>0.56592818560075364</v>
      </c>
      <c r="K31" s="27">
        <f t="shared" si="11"/>
        <v>0.63299301070604674</v>
      </c>
      <c r="L31" s="27">
        <f t="shared" si="12"/>
        <v>0.64963844692599204</v>
      </c>
      <c r="M31" s="27">
        <f t="shared" si="13"/>
        <v>0.62114670841786468</v>
      </c>
      <c r="N31" s="27">
        <f t="shared" si="14"/>
        <v>0.58093031800247941</v>
      </c>
      <c r="O31" s="27">
        <f t="shared" si="15"/>
        <v>0.62443798786697347</v>
      </c>
      <c r="P31" s="27">
        <f t="shared" si="16"/>
        <v>0.63317108864287774</v>
      </c>
    </row>
    <row r="32" spans="2:16" x14ac:dyDescent="0.25">
      <c r="B32" s="7">
        <f t="shared" si="2"/>
        <v>220</v>
      </c>
      <c r="C32" s="27">
        <f t="shared" si="3"/>
        <v>0.29276119026128211</v>
      </c>
      <c r="D32" s="27">
        <f t="shared" si="4"/>
        <v>0.30313306307016802</v>
      </c>
      <c r="E32" s="27">
        <f t="shared" si="5"/>
        <v>0.31966003021823891</v>
      </c>
      <c r="F32" s="27">
        <f t="shared" si="6"/>
        <v>0.290445308913032</v>
      </c>
      <c r="G32" s="27">
        <f t="shared" si="7"/>
        <v>0.28967191609409515</v>
      </c>
      <c r="H32" s="27">
        <f t="shared" si="8"/>
        <v>0.29268185052270246</v>
      </c>
      <c r="I32" s="27">
        <f t="shared" si="9"/>
        <v>0.30359005250749194</v>
      </c>
      <c r="J32" s="27">
        <f t="shared" si="10"/>
        <v>0.55079254557659518</v>
      </c>
      <c r="K32" s="27">
        <f t="shared" si="11"/>
        <v>0.61415251246542713</v>
      </c>
      <c r="L32" s="27">
        <f t="shared" si="12"/>
        <v>0.63269320477354796</v>
      </c>
      <c r="M32" s="27">
        <f t="shared" si="13"/>
        <v>0.6003788387257164</v>
      </c>
      <c r="N32" s="27">
        <f t="shared" si="14"/>
        <v>0.56228104715667004</v>
      </c>
      <c r="O32" s="27">
        <f t="shared" si="15"/>
        <v>0.60526958030045364</v>
      </c>
      <c r="P32" s="27">
        <f t="shared" si="16"/>
        <v>0.61435277009659617</v>
      </c>
    </row>
    <row r="33" spans="2:16" x14ac:dyDescent="0.25">
      <c r="B33" s="7">
        <f t="shared" si="2"/>
        <v>230</v>
      </c>
      <c r="C33" s="27">
        <f t="shared" si="3"/>
        <v>0.27686248842950723</v>
      </c>
      <c r="D33" s="27">
        <f t="shared" si="4"/>
        <v>0.28115883035110129</v>
      </c>
      <c r="E33" s="27">
        <f t="shared" si="5"/>
        <v>0.29881307829069309</v>
      </c>
      <c r="F33" s="27">
        <f t="shared" si="6"/>
        <v>0.27354466598882626</v>
      </c>
      <c r="G33" s="27">
        <f t="shared" si="7"/>
        <v>0.274336513045224</v>
      </c>
      <c r="H33" s="27">
        <f t="shared" si="8"/>
        <v>0.27224850815723234</v>
      </c>
      <c r="I33" s="27">
        <f t="shared" si="9"/>
        <v>0.28157147281034822</v>
      </c>
      <c r="J33" s="27">
        <f t="shared" si="10"/>
        <v>0.53606170532168251</v>
      </c>
      <c r="K33" s="27">
        <f t="shared" si="11"/>
        <v>0.59556290205112772</v>
      </c>
      <c r="L33" s="27">
        <f t="shared" si="12"/>
        <v>0.61579667349724709</v>
      </c>
      <c r="M33" s="27">
        <f t="shared" si="13"/>
        <v>0.58019015823313458</v>
      </c>
      <c r="N33" s="27">
        <f t="shared" si="14"/>
        <v>0.54433008973924701</v>
      </c>
      <c r="O33" s="27">
        <f t="shared" si="15"/>
        <v>0.58645132570189507</v>
      </c>
      <c r="P33" s="27">
        <f t="shared" si="16"/>
        <v>0.59578227004443463</v>
      </c>
    </row>
    <row r="34" spans="2:16" x14ac:dyDescent="0.25">
      <c r="B34" s="7">
        <f t="shared" si="2"/>
        <v>240</v>
      </c>
      <c r="C34" s="27">
        <f t="shared" si="3"/>
        <v>0.26182718218548107</v>
      </c>
      <c r="D34" s="27">
        <f t="shared" si="4"/>
        <v>0.26045469677268696</v>
      </c>
      <c r="E34" s="27">
        <f t="shared" si="5"/>
        <v>0.27887099865406745</v>
      </c>
      <c r="F34" s="27">
        <f t="shared" si="6"/>
        <v>0.25795054338522855</v>
      </c>
      <c r="G34" s="27">
        <f t="shared" si="7"/>
        <v>0.26003961125226949</v>
      </c>
      <c r="H34" s="27">
        <f t="shared" si="8"/>
        <v>0.25309148765728784</v>
      </c>
      <c r="I34" s="27">
        <f t="shared" si="9"/>
        <v>0.26082076908735186</v>
      </c>
      <c r="J34" s="27">
        <f t="shared" si="10"/>
        <v>0.52172483854436758</v>
      </c>
      <c r="K34" s="27">
        <f t="shared" si="11"/>
        <v>0.57724385425353131</v>
      </c>
      <c r="L34" s="27">
        <f t="shared" si="12"/>
        <v>0.5989595951568486</v>
      </c>
      <c r="M34" s="27">
        <f t="shared" si="13"/>
        <v>0.56060508373573958</v>
      </c>
      <c r="N34" s="27">
        <f t="shared" si="14"/>
        <v>0.52705750286012165</v>
      </c>
      <c r="O34" s="27">
        <f t="shared" si="15"/>
        <v>0.56799964323292007</v>
      </c>
      <c r="P34" s="27">
        <f t="shared" si="16"/>
        <v>0.57747924382231286</v>
      </c>
    </row>
    <row r="35" spans="2:16" x14ac:dyDescent="0.25">
      <c r="B35" s="7">
        <f t="shared" si="2"/>
        <v>250</v>
      </c>
      <c r="C35" s="27">
        <f t="shared" si="3"/>
        <v>0.24760838393115764</v>
      </c>
      <c r="D35" s="27">
        <f t="shared" si="4"/>
        <v>0.24098434079914671</v>
      </c>
      <c r="E35" s="27">
        <f t="shared" si="5"/>
        <v>0.25982593345572441</v>
      </c>
      <c r="F35" s="27">
        <f t="shared" si="6"/>
        <v>0.24354886388176555</v>
      </c>
      <c r="G35" s="27">
        <f t="shared" si="7"/>
        <v>0.24669660377463765</v>
      </c>
      <c r="H35" s="27">
        <f t="shared" si="8"/>
        <v>0.23515140478368068</v>
      </c>
      <c r="I35" s="27">
        <f t="shared" si="9"/>
        <v>0.24130258431718987</v>
      </c>
      <c r="J35" s="27">
        <f t="shared" si="10"/>
        <v>0.50777140850008162</v>
      </c>
      <c r="K35" s="27">
        <f t="shared" si="11"/>
        <v>0.5592127187572995</v>
      </c>
      <c r="L35" s="27">
        <f t="shared" si="12"/>
        <v>0.58219285901256213</v>
      </c>
      <c r="M35" s="27">
        <f t="shared" si="13"/>
        <v>0.54163978164950388</v>
      </c>
      <c r="N35" s="27">
        <f t="shared" si="14"/>
        <v>0.51044175080623089</v>
      </c>
      <c r="O35" s="27">
        <f t="shared" si="15"/>
        <v>0.54992787326149806</v>
      </c>
      <c r="P35" s="27">
        <f t="shared" si="16"/>
        <v>0.55946105928196133</v>
      </c>
    </row>
    <row r="36" spans="2:16" x14ac:dyDescent="0.25">
      <c r="B36" s="7">
        <f t="shared" si="2"/>
        <v>260</v>
      </c>
      <c r="C36" s="27">
        <f t="shared" si="3"/>
        <v>0.23416175234841347</v>
      </c>
      <c r="D36" s="27">
        <f t="shared" si="4"/>
        <v>0.2227074830375057</v>
      </c>
      <c r="E36" s="27">
        <f t="shared" si="5"/>
        <v>0.24166821283932438</v>
      </c>
      <c r="F36" s="27">
        <f t="shared" si="6"/>
        <v>0.23023493335418094</v>
      </c>
      <c r="G36" s="27">
        <f t="shared" si="7"/>
        <v>0.23423066673450799</v>
      </c>
      <c r="H36" s="27">
        <f t="shared" si="8"/>
        <v>0.21836845655219062</v>
      </c>
      <c r="I36" s="27">
        <f t="shared" si="9"/>
        <v>0.2229774984061168</v>
      </c>
      <c r="J36" s="27">
        <f t="shared" si="10"/>
        <v>0.4941911602474543</v>
      </c>
      <c r="K36" s="27">
        <f t="shared" si="11"/>
        <v>0.5414847053292523</v>
      </c>
      <c r="L36" s="27">
        <f t="shared" si="12"/>
        <v>0.56550748264688167</v>
      </c>
      <c r="M36" s="27">
        <f t="shared" si="13"/>
        <v>0.52330335831349495</v>
      </c>
      <c r="N36" s="27">
        <f t="shared" si="14"/>
        <v>0.49446032116708005</v>
      </c>
      <c r="O36" s="27">
        <f t="shared" si="15"/>
        <v>0.53224662692304547</v>
      </c>
      <c r="P36" s="27">
        <f t="shared" si="16"/>
        <v>0.54174297640429447</v>
      </c>
    </row>
    <row r="37" spans="2:16" x14ac:dyDescent="0.25">
      <c r="B37" s="7">
        <f t="shared" si="2"/>
        <v>270</v>
      </c>
      <c r="C37" s="27">
        <f t="shared" si="3"/>
        <v>0.22144535412066077</v>
      </c>
      <c r="D37" s="27">
        <f t="shared" si="4"/>
        <v>0.20558078302030353</v>
      </c>
      <c r="E37" s="27">
        <f t="shared" si="5"/>
        <v>0.22438639837445043</v>
      </c>
      <c r="F37" s="27">
        <f t="shared" si="6"/>
        <v>0.21791311255000814</v>
      </c>
      <c r="G37" s="27">
        <f t="shared" si="7"/>
        <v>0.22257201990546838</v>
      </c>
      <c r="H37" s="27">
        <f t="shared" si="8"/>
        <v>0.20268310547919099</v>
      </c>
      <c r="I37" s="27">
        <f t="shared" si="9"/>
        <v>0.20580292369673081</v>
      </c>
      <c r="J37" s="27">
        <f t="shared" si="10"/>
        <v>0.48097411311154159</v>
      </c>
      <c r="K37" s="27">
        <f t="shared" si="11"/>
        <v>0.52407305126083481</v>
      </c>
      <c r="L37" s="27">
        <f t="shared" si="12"/>
        <v>0.54891459182035451</v>
      </c>
      <c r="M37" s="27">
        <f t="shared" si="13"/>
        <v>0.50559894349718226</v>
      </c>
      <c r="N37" s="27">
        <f t="shared" si="14"/>
        <v>0.47909019638305228</v>
      </c>
      <c r="O37" s="27">
        <f t="shared" si="15"/>
        <v>0.51496409527395781</v>
      </c>
      <c r="P37" s="27">
        <f t="shared" si="16"/>
        <v>0.52433830975213791</v>
      </c>
    </row>
    <row r="38" spans="2:16" x14ac:dyDescent="0.25">
      <c r="B38" s="7">
        <f t="shared" si="2"/>
        <v>280</v>
      </c>
      <c r="C38" s="27">
        <f t="shared" si="3"/>
        <v>0.20941953316381171</v>
      </c>
      <c r="D38" s="27">
        <f t="shared" si="4"/>
        <v>0.1895586268757577</v>
      </c>
      <c r="E38" s="27">
        <f t="shared" si="5"/>
        <v>0.20796733582844418</v>
      </c>
      <c r="F38" s="27">
        <f t="shared" si="6"/>
        <v>0.20649632755550165</v>
      </c>
      <c r="G38" s="27">
        <f t="shared" si="7"/>
        <v>0.21165724512326556</v>
      </c>
      <c r="H38" s="27">
        <f t="shared" si="8"/>
        <v>0.18803662137498556</v>
      </c>
      <c r="I38" s="27">
        <f t="shared" si="9"/>
        <v>0.18973389408536034</v>
      </c>
      <c r="J38" s="27">
        <f t="shared" si="10"/>
        <v>0.46811055334862334</v>
      </c>
      <c r="K38" s="27">
        <f t="shared" si="11"/>
        <v>0.50698917370626628</v>
      </c>
      <c r="L38" s="27">
        <f t="shared" si="12"/>
        <v>0.53242539907386965</v>
      </c>
      <c r="M38" s="27">
        <f t="shared" si="13"/>
        <v>0.48852466460794219</v>
      </c>
      <c r="N38" s="27">
        <f t="shared" si="14"/>
        <v>0.46430821282432433</v>
      </c>
      <c r="O38" s="27">
        <f t="shared" si="15"/>
        <v>0.49808632356311688</v>
      </c>
      <c r="P38" s="27">
        <f t="shared" si="16"/>
        <v>0.50725857634296945</v>
      </c>
    </row>
    <row r="39" spans="2:16" x14ac:dyDescent="0.25">
      <c r="B39" s="7">
        <f t="shared" si="2"/>
        <v>290</v>
      </c>
      <c r="C39" s="27">
        <f t="shared" si="3"/>
        <v>0.19804678695879241</v>
      </c>
      <c r="D39" s="27">
        <f t="shared" si="4"/>
        <v>0.17459381639056842</v>
      </c>
      <c r="E39" s="27">
        <f t="shared" si="5"/>
        <v>0.19239621711145016</v>
      </c>
      <c r="F39" s="27">
        <f t="shared" si="6"/>
        <v>0.19590549251011977</v>
      </c>
      <c r="G39" s="27">
        <f t="shared" si="7"/>
        <v>0.20142866396535586</v>
      </c>
      <c r="H39" s="27">
        <f t="shared" si="8"/>
        <v>0.17437150514435995</v>
      </c>
      <c r="I39" s="27">
        <f t="shared" si="9"/>
        <v>0.1747237576386742</v>
      </c>
      <c r="J39" s="27">
        <f t="shared" si="10"/>
        <v>0.45559102700717902</v>
      </c>
      <c r="K39" s="27">
        <f t="shared" si="11"/>
        <v>0.49024280902743522</v>
      </c>
      <c r="L39" s="27">
        <f t="shared" si="12"/>
        <v>0.51605118109781445</v>
      </c>
      <c r="M39" s="27">
        <f t="shared" si="13"/>
        <v>0.47207451317418414</v>
      </c>
      <c r="N39" s="27">
        <f t="shared" si="14"/>
        <v>0.4500913322310951</v>
      </c>
      <c r="O39" s="27">
        <f t="shared" si="15"/>
        <v>0.48161745521514232</v>
      </c>
      <c r="P39" s="27">
        <f t="shared" si="16"/>
        <v>0.49051363100055845</v>
      </c>
    </row>
    <row r="40" spans="2:16" x14ac:dyDescent="0.25">
      <c r="B40" s="7">
        <f t="shared" si="2"/>
        <v>300</v>
      </c>
      <c r="C40" s="27">
        <f t="shared" si="3"/>
        <v>0.1872916495999479</v>
      </c>
      <c r="D40" s="27">
        <f t="shared" si="4"/>
        <v>0.16063816891461588</v>
      </c>
      <c r="E40" s="27">
        <f t="shared" si="5"/>
        <v>0.17765665113981066</v>
      </c>
      <c r="F40" s="27">
        <f t="shared" si="6"/>
        <v>0.18606889473672147</v>
      </c>
      <c r="G40" s="27">
        <f t="shared" si="7"/>
        <v>0.1918337732853258</v>
      </c>
      <c r="H40" s="27">
        <f t="shared" si="8"/>
        <v>0.1616318148888034</v>
      </c>
      <c r="I40" s="27">
        <f t="shared" si="9"/>
        <v>0.16072478163585702</v>
      </c>
      <c r="J40" s="27">
        <f t="shared" si="10"/>
        <v>0.4434063329797957</v>
      </c>
      <c r="K40" s="27">
        <f t="shared" si="11"/>
        <v>0.47384214084935311</v>
      </c>
      <c r="L40" s="27">
        <f t="shared" si="12"/>
        <v>0.49980325489672311</v>
      </c>
      <c r="M40" s="27">
        <f t="shared" si="13"/>
        <v>0.45623910806385526</v>
      </c>
      <c r="N40" s="27">
        <f t="shared" si="14"/>
        <v>0.4364168447850223</v>
      </c>
      <c r="O40" s="27">
        <f t="shared" si="15"/>
        <v>0.46555994937661449</v>
      </c>
      <c r="P40" s="27">
        <f t="shared" si="16"/>
        <v>0.47411179084375665</v>
      </c>
    </row>
    <row r="41" spans="2:16" x14ac:dyDescent="0.25">
      <c r="B41" s="7">
        <f t="shared" si="2"/>
        <v>310</v>
      </c>
      <c r="C41" s="27">
        <f t="shared" si="3"/>
        <v>0.17712058119462645</v>
      </c>
      <c r="D41" s="27">
        <f t="shared" si="4"/>
        <v>0.14764303667962306</v>
      </c>
      <c r="E41" s="27">
        <f t="shared" si="5"/>
        <v>0.16373074327590983</v>
      </c>
      <c r="F41" s="27">
        <f t="shared" si="6"/>
        <v>0.17692157566387398</v>
      </c>
      <c r="G41" s="27">
        <f t="shared" si="7"/>
        <v>0.18282473556196022</v>
      </c>
      <c r="H41" s="27">
        <f t="shared" si="8"/>
        <v>0.14976341120212966</v>
      </c>
      <c r="I41" s="27">
        <f t="shared" si="9"/>
        <v>0.14768867816651654</v>
      </c>
      <c r="J41" s="27">
        <f t="shared" si="10"/>
        <v>0.43154751624090132</v>
      </c>
      <c r="K41" s="27">
        <f t="shared" si="11"/>
        <v>0.45779391821402704</v>
      </c>
      <c r="L41" s="27">
        <f t="shared" si="12"/>
        <v>0.48369295278678148</v>
      </c>
      <c r="M41" s="27">
        <f t="shared" si="13"/>
        <v>0.44100636181193464</v>
      </c>
      <c r="N41" s="27">
        <f t="shared" si="14"/>
        <v>0.42326251881476318</v>
      </c>
      <c r="O41" s="27">
        <f t="shared" si="15"/>
        <v>0.44991477527871881</v>
      </c>
      <c r="P41" s="27">
        <f t="shared" si="16"/>
        <v>0.45805995026020807</v>
      </c>
    </row>
    <row r="42" spans="2:16" x14ac:dyDescent="0.25">
      <c r="B42" s="7">
        <f t="shared" si="2"/>
        <v>320</v>
      </c>
      <c r="C42" s="27">
        <f t="shared" si="3"/>
        <v>0.16750186326903374</v>
      </c>
      <c r="D42" s="27">
        <f t="shared" si="4"/>
        <v>0.135559753356673</v>
      </c>
      <c r="E42" s="27">
        <f t="shared" si="5"/>
        <v>0.15059918291541752</v>
      </c>
      <c r="F42" s="27">
        <f t="shared" si="6"/>
        <v>0.16840472900030332</v>
      </c>
      <c r="G42" s="27">
        <f t="shared" si="7"/>
        <v>0.17435792018253837</v>
      </c>
      <c r="H42" s="27">
        <f t="shared" si="8"/>
        <v>0.13871413575450042</v>
      </c>
      <c r="I42" s="27">
        <f t="shared" si="9"/>
        <v>0.13556705773875666</v>
      </c>
      <c r="J42" s="27">
        <f t="shared" si="10"/>
        <v>0.42000586126535294</v>
      </c>
      <c r="K42" s="27">
        <f t="shared" si="11"/>
        <v>0.44210356497343878</v>
      </c>
      <c r="L42" s="27">
        <f t="shared" si="12"/>
        <v>0.4677315962727604</v>
      </c>
      <c r="M42" s="27">
        <f t="shared" si="13"/>
        <v>0.42636205758002066</v>
      </c>
      <c r="N42" s="27">
        <f t="shared" si="14"/>
        <v>0.41060670885102324</v>
      </c>
      <c r="O42" s="27">
        <f t="shared" si="15"/>
        <v>0.43468158618405761</v>
      </c>
      <c r="P42" s="27">
        <f t="shared" si="16"/>
        <v>0.44236368747006671</v>
      </c>
    </row>
    <row r="43" spans="2:16" x14ac:dyDescent="0.25">
      <c r="B43" s="7">
        <f t="shared" si="2"/>
        <v>330</v>
      </c>
      <c r="C43" s="27">
        <f t="shared" ref="C43:C74" si="17" xml:space="preserve"> EXP(-exp_c_lambda*$B43)</f>
        <v>0.15840549985418229</v>
      </c>
      <c r="D43" s="27">
        <f t="shared" ref="D43:D74" si="18" xml:space="preserve"> EXP(-weib_c_lambda*$B43^weib_c_gamma)</f>
        <v>0.12434001502614041</v>
      </c>
      <c r="E43" s="27">
        <f t="shared" ref="E43:E74" si="19">EXP((gomp_c_lambda/gomp_c_gamma)*(1-EXP(gomp_c_gamma*$B43)))</f>
        <v>0.13824133870677882</v>
      </c>
      <c r="F43" s="27">
        <f t="shared" ref="F43:F74" si="20">1/(1+ll_c_lambda*$B43^ll_c_gamma)</f>
        <v>0.16046512926784287</v>
      </c>
      <c r="G43" s="27">
        <f t="shared" ref="G43:G74" si="21">1-NORMDIST(((LN($B43)-ln_c_lambda)/ln_c_gamma),0,1,TRUE)</f>
        <v>0.1663934914343651</v>
      </c>
      <c r="H43" s="27">
        <f t="shared" ref="H43:H74" si="22">IF(gam_c_gamma&gt;0, 1-GAMMADIST(gam_c_lambda*$B43,gam_c_gamma,1,TRUE), 1- (1-GAMMADIST(gam_c_lambda*$B43,gam_c_gamma,1,TRUE)))</f>
        <v>0.12843393494905353</v>
      </c>
      <c r="I43" s="27">
        <f t="shared" ref="I43:I74" si="23" xml:space="preserve"> IF(ggam_c_gamma&gt;0, 1-GAMMADIST(ggam_c_lambda*$B43^(ggam_c_delta),ggam_c_gamma,1,TRUE), 1-( 1-GAMMADIST(ggam_c_lambda*$B43^(ggam_c_delta),ggam_c_gamma,1,TRUE)))</f>
        <v>0.12431181776345746</v>
      </c>
      <c r="J43" s="27">
        <f t="shared" ref="J43:J74" si="24" xml:space="preserve"> EXP(-exp_i_lambda*$B43)</f>
        <v>0.40877288562304454</v>
      </c>
      <c r="K43" s="27">
        <f t="shared" ref="K43:K74" si="25" xml:space="preserve"> EXP(-weib_i_lambda*$B43^weib_i_gamma)</f>
        <v>0.4267752813673108</v>
      </c>
      <c r="L43" s="27">
        <f t="shared" ref="L43:L74" si="26">EXP((gomp_i_lambda/gomp_i_gamma)*(1-EXP(gomp_i_gamma*$B43)))</f>
        <v>0.4519304688605606</v>
      </c>
      <c r="M43" s="27">
        <f t="shared" ref="M43:M74" si="27">1/(1+ll_i_lambda*$B43^ll_i_gamma)</f>
        <v>0.41229034483660182</v>
      </c>
      <c r="N43" s="27">
        <f t="shared" ref="N43:N74" si="28">1-NORMDIST(((LN($B43)-ln_i_lambda)/ln_i_gamma),0,1,TRUE)</f>
        <v>0.39842843120372673</v>
      </c>
      <c r="O43" s="27">
        <f t="shared" ref="O43:O74" si="29">IF(gam_i_gamma&gt;0, 1-GAMMADIST(gam_i_lambda*$B43,gam_i_gamma,1,TRUE), 1- (1-GAMMADIST(gam_i_lambda*$B43,gam_i_gamma,1,TRUE)))</f>
        <v>0.41985887528723853</v>
      </c>
      <c r="P43" s="27">
        <f t="shared" ref="P43:P74" si="30" xml:space="preserve"> IF(ggam_i_gamma&gt;0, 1-GAMMADIST(ggam_i_lambda*$B43^(ggam_i_delta),ggam_i_gamma,1,TRUE), 1-( 1-GAMMADIST(ggam_i_lambda*$B43^(ggam_i_delta),ggam_i_gamma,1,TRUE)))</f>
        <v>0.42702736359358062</v>
      </c>
    </row>
    <row r="44" spans="2:16" x14ac:dyDescent="0.25">
      <c r="B44" s="7">
        <f t="shared" si="2"/>
        <v>340</v>
      </c>
      <c r="C44" s="27">
        <f t="shared" si="17"/>
        <v>0.14980312394347065</v>
      </c>
      <c r="D44" s="27">
        <f t="shared" si="18"/>
        <v>0.11393620215444668</v>
      </c>
      <c r="E44" s="27">
        <f t="shared" si="19"/>
        <v>0.12663536080394525</v>
      </c>
      <c r="F44" s="27">
        <f t="shared" si="20"/>
        <v>0.15305459802382562</v>
      </c>
      <c r="G44" s="27">
        <f t="shared" si="21"/>
        <v>0.15889503893797008</v>
      </c>
      <c r="H44" s="27">
        <f t="shared" si="22"/>
        <v>0.11887493851732944</v>
      </c>
      <c r="I44" s="27">
        <f t="shared" si="23"/>
        <v>0.11387547225687922</v>
      </c>
      <c r="J44" s="27">
        <f t="shared" si="24"/>
        <v>0.39784033374482491</v>
      </c>
      <c r="K44" s="27">
        <f t="shared" si="25"/>
        <v>0.41181213857641008</v>
      </c>
      <c r="L44" s="27">
        <f t="shared" si="26"/>
        <v>0.4363007878715407</v>
      </c>
      <c r="M44" s="27">
        <f t="shared" si="27"/>
        <v>0.39877416198014731</v>
      </c>
      <c r="N44" s="27">
        <f t="shared" si="28"/>
        <v>0.38670741425981503</v>
      </c>
      <c r="O44" s="27">
        <f t="shared" si="29"/>
        <v>0.40544411560990634</v>
      </c>
      <c r="P44" s="27">
        <f t="shared" si="30"/>
        <v>0.41205421498466621</v>
      </c>
    </row>
    <row r="45" spans="2:16" x14ac:dyDescent="0.25">
      <c r="B45" s="7">
        <f t="shared" si="2"/>
        <v>350</v>
      </c>
      <c r="C45" s="27">
        <f t="shared" si="17"/>
        <v>0.14166790903018223</v>
      </c>
      <c r="D45" s="27">
        <f t="shared" si="18"/>
        <v>0.10430164864841497</v>
      </c>
      <c r="E45" s="27">
        <f t="shared" si="19"/>
        <v>0.11575828947301946</v>
      </c>
      <c r="F45" s="27">
        <f t="shared" si="20"/>
        <v>0.14612951117785744</v>
      </c>
      <c r="G45" s="27">
        <f t="shared" si="21"/>
        <v>0.15182924639658757</v>
      </c>
      <c r="H45" s="27">
        <f t="shared" si="22"/>
        <v>0.10999150132147673</v>
      </c>
      <c r="I45" s="27">
        <f t="shared" si="23"/>
        <v>0.10421142862836064</v>
      </c>
      <c r="J45" s="27">
        <f t="shared" si="24"/>
        <v>0.38720017085514546</v>
      </c>
      <c r="K45" s="27">
        <f t="shared" si="25"/>
        <v>0.39721616691812905</v>
      </c>
      <c r="L45" s="27">
        <f t="shared" si="26"/>
        <v>0.42085367533510881</v>
      </c>
      <c r="M45" s="27">
        <f t="shared" si="27"/>
        <v>0.38579559395314883</v>
      </c>
      <c r="N45" s="27">
        <f t="shared" si="28"/>
        <v>0.3754241291621212</v>
      </c>
      <c r="O45" s="27">
        <f t="shared" si="29"/>
        <v>0.39143388565703174</v>
      </c>
      <c r="P45" s="27">
        <f t="shared" si="30"/>
        <v>0.39744643947131431</v>
      </c>
    </row>
    <row r="46" spans="2:16" x14ac:dyDescent="0.25">
      <c r="B46" s="7">
        <f t="shared" si="2"/>
        <v>360</v>
      </c>
      <c r="C46" s="27">
        <f t="shared" si="17"/>
        <v>0.13397448544903154</v>
      </c>
      <c r="D46" s="27">
        <f t="shared" si="18"/>
        <v>9.5390863578348056E-2</v>
      </c>
      <c r="E46" s="27">
        <f t="shared" si="19"/>
        <v>0.10558616929796795</v>
      </c>
      <c r="F46" s="27">
        <f t="shared" si="20"/>
        <v>0.13965034819720115</v>
      </c>
      <c r="G46" s="27">
        <f t="shared" si="21"/>
        <v>0.1451655947798034</v>
      </c>
      <c r="H46" s="27">
        <f t="shared" si="22"/>
        <v>0.10174021529496491</v>
      </c>
      <c r="I46" s="27">
        <f t="shared" si="23"/>
        <v>9.5274216982215609E-2</v>
      </c>
      <c r="J46" s="27">
        <f t="shared" si="24"/>
        <v>0.37684457706697783</v>
      </c>
      <c r="K46" s="27">
        <f t="shared" si="25"/>
        <v>0.38298843825119949</v>
      </c>
      <c r="L46" s="27">
        <f t="shared" si="26"/>
        <v>0.40560012804662171</v>
      </c>
      <c r="M46" s="27">
        <f t="shared" si="27"/>
        <v>0.373336172512789</v>
      </c>
      <c r="N46" s="27">
        <f t="shared" si="28"/>
        <v>0.36455980532747867</v>
      </c>
      <c r="O46" s="27">
        <f t="shared" si="29"/>
        <v>0.37782398237170689</v>
      </c>
      <c r="P46" s="27">
        <f t="shared" si="30"/>
        <v>0.38320527704615837</v>
      </c>
    </row>
    <row r="47" spans="2:16" x14ac:dyDescent="0.25">
      <c r="B47" s="7">
        <f t="shared" si="2"/>
        <v>370</v>
      </c>
      <c r="C47" s="27">
        <f t="shared" si="17"/>
        <v>0.1266988612608711</v>
      </c>
      <c r="D47" s="27">
        <f t="shared" si="18"/>
        <v>8.7159710717224198E-2</v>
      </c>
      <c r="E47" s="27">
        <f t="shared" si="19"/>
        <v>9.6094168161142343E-2</v>
      </c>
      <c r="F47" s="27">
        <f t="shared" si="20"/>
        <v>0.13358128231131089</v>
      </c>
      <c r="G47" s="27">
        <f t="shared" si="21"/>
        <v>0.13887609635355824</v>
      </c>
      <c r="H47" s="27">
        <f t="shared" si="22"/>
        <v>9.407989733313582E-2</v>
      </c>
      <c r="I47" s="27">
        <f t="shared" si="23"/>
        <v>8.7019676955472192E-2</v>
      </c>
      <c r="J47" s="27">
        <f t="shared" si="24"/>
        <v>0.36676594163466181</v>
      </c>
      <c r="K47" s="27">
        <f t="shared" si="25"/>
        <v>0.36912914307546812</v>
      </c>
      <c r="L47" s="27">
        <f t="shared" si="26"/>
        <v>0.3905509868883863</v>
      </c>
      <c r="M47" s="27">
        <f t="shared" si="27"/>
        <v>0.36137712630986718</v>
      </c>
      <c r="N47" s="27">
        <f t="shared" si="28"/>
        <v>0.35409643431950877</v>
      </c>
      <c r="O47" s="27">
        <f t="shared" si="29"/>
        <v>0.36460952273201541</v>
      </c>
      <c r="P47" s="27">
        <f t="shared" si="30"/>
        <v>0.3693310854716465</v>
      </c>
    </row>
    <row r="48" spans="2:16" x14ac:dyDescent="0.25">
      <c r="B48" s="7">
        <f t="shared" si="2"/>
        <v>380</v>
      </c>
      <c r="C48" s="27">
        <f t="shared" si="17"/>
        <v>0.11981834743383604</v>
      </c>
      <c r="D48" s="27">
        <f t="shared" si="18"/>
        <v>7.95655506299425E-2</v>
      </c>
      <c r="E48" s="27">
        <f t="shared" si="19"/>
        <v>8.7256700112319091E-2</v>
      </c>
      <c r="F48" s="27">
        <f t="shared" si="20"/>
        <v>0.12788980978920628</v>
      </c>
      <c r="G48" s="27">
        <f t="shared" si="21"/>
        <v>0.13293505628175228</v>
      </c>
      <c r="H48" s="27">
        <f t="shared" si="22"/>
        <v>8.6971558003244409E-2</v>
      </c>
      <c r="I48" s="27">
        <f t="shared" si="23"/>
        <v>7.9405106730813024E-2</v>
      </c>
      <c r="J48" s="27">
        <f t="shared" si="24"/>
        <v>0.35695685736046029</v>
      </c>
      <c r="K48" s="27">
        <f t="shared" si="25"/>
        <v>0.35563766274660602</v>
      </c>
      <c r="L48" s="27">
        <f t="shared" si="26"/>
        <v>0.37571690552242276</v>
      </c>
      <c r="M48" s="27">
        <f t="shared" si="27"/>
        <v>0.34989958734012927</v>
      </c>
      <c r="N48" s="27">
        <f t="shared" si="28"/>
        <v>0.34401676485018473</v>
      </c>
      <c r="O48" s="27">
        <f t="shared" si="29"/>
        <v>0.35178503516911552</v>
      </c>
      <c r="P48" s="27">
        <f t="shared" si="30"/>
        <v>0.35582341120005267</v>
      </c>
    </row>
    <row r="49" spans="2:16" x14ac:dyDescent="0.25">
      <c r="B49" s="7">
        <f t="shared" si="2"/>
        <v>390</v>
      </c>
      <c r="C49" s="27">
        <f t="shared" si="17"/>
        <v>0.11331148708760487</v>
      </c>
      <c r="D49" s="27">
        <f t="shared" si="18"/>
        <v>7.2567349659578714E-2</v>
      </c>
      <c r="E49" s="27">
        <f t="shared" si="19"/>
        <v>7.9047551186540985E-2</v>
      </c>
      <c r="F49" s="27">
        <f t="shared" si="20"/>
        <v>0.12254641577247974</v>
      </c>
      <c r="G49" s="27">
        <f t="shared" si="21"/>
        <v>0.1273188588366958</v>
      </c>
      <c r="H49" s="27">
        <f t="shared" si="22"/>
        <v>8.037835515063152E-2</v>
      </c>
      <c r="I49" s="27">
        <f t="shared" si="23"/>
        <v>7.2389378503601831E-2</v>
      </c>
      <c r="J49" s="27">
        <f t="shared" si="24"/>
        <v>0.34741011515070874</v>
      </c>
      <c r="K49" s="27">
        <f t="shared" si="25"/>
        <v>0.34251263717155517</v>
      </c>
      <c r="L49" s="27">
        <f t="shared" si="26"/>
        <v>0.36110831857452413</v>
      </c>
      <c r="M49" s="27">
        <f t="shared" si="27"/>
        <v>0.33888475971404458</v>
      </c>
      <c r="N49" s="27">
        <f t="shared" si="28"/>
        <v>0.33430429109985227</v>
      </c>
      <c r="O49" s="27">
        <f t="shared" si="29"/>
        <v>0.33934454184531049</v>
      </c>
      <c r="P49" s="27">
        <f t="shared" si="30"/>
        <v>0.34268105595606912</v>
      </c>
    </row>
    <row r="50" spans="2:16" x14ac:dyDescent="0.25">
      <c r="B50" s="7">
        <f t="shared" si="2"/>
        <v>400</v>
      </c>
      <c r="C50" s="27">
        <f t="shared" si="17"/>
        <v>0.10715798858012494</v>
      </c>
      <c r="D50" s="27">
        <f t="shared" si="18"/>
        <v>6.6125759794306904E-2</v>
      </c>
      <c r="E50" s="27">
        <f t="shared" si="19"/>
        <v>7.1440007187383303E-2</v>
      </c>
      <c r="F50" s="27">
        <f t="shared" si="20"/>
        <v>0.11752427385864678</v>
      </c>
      <c r="G50" s="27">
        <f t="shared" si="21"/>
        <v>0.12200577555474046</v>
      </c>
      <c r="H50" s="27">
        <f t="shared" si="22"/>
        <v>7.4265535808760941E-2</v>
      </c>
      <c r="I50" s="27">
        <f t="shared" si="23"/>
        <v>6.5933024340994129E-2</v>
      </c>
      <c r="J50" s="27">
        <f t="shared" si="24"/>
        <v>0.33811869871756045</v>
      </c>
      <c r="K50" s="27">
        <f t="shared" si="25"/>
        <v>0.32975202830582362</v>
      </c>
      <c r="L50" s="27">
        <f t="shared" si="26"/>
        <v>0.34673540943994802</v>
      </c>
      <c r="M50" s="27">
        <f t="shared" si="27"/>
        <v>0.32831405607281805</v>
      </c>
      <c r="N50" s="27">
        <f t="shared" si="28"/>
        <v>0.32494323608349696</v>
      </c>
      <c r="O50" s="27">
        <f t="shared" si="29"/>
        <v>0.32728163271044874</v>
      </c>
      <c r="P50" s="27">
        <f t="shared" si="30"/>
        <v>0.32990213928650647</v>
      </c>
    </row>
    <row r="51" spans="2:16" x14ac:dyDescent="0.25">
      <c r="B51" s="7">
        <f t="shared" si="2"/>
        <v>410</v>
      </c>
      <c r="C51" s="27">
        <f t="shared" si="17"/>
        <v>0.1013386622281325</v>
      </c>
      <c r="D51" s="27">
        <f t="shared" si="18"/>
        <v>6.0203173057241599E-2</v>
      </c>
      <c r="E51" s="27">
        <f t="shared" si="19"/>
        <v>6.4406982419428452E-2</v>
      </c>
      <c r="F51" s="27">
        <f t="shared" si="20"/>
        <v>0.11279897654299678</v>
      </c>
      <c r="G51" s="27">
        <f t="shared" si="21"/>
        <v>0.11697579295317606</v>
      </c>
      <c r="H51" s="27">
        <f t="shared" si="22"/>
        <v>6.860036925599533E-2</v>
      </c>
      <c r="I51" s="27">
        <f t="shared" si="23"/>
        <v>5.9998296048401456E-2</v>
      </c>
      <c r="J51" s="27">
        <f t="shared" si="24"/>
        <v>0.32907577942243238</v>
      </c>
      <c r="K51" s="27">
        <f t="shared" si="25"/>
        <v>0.3173531797367663</v>
      </c>
      <c r="L51" s="27">
        <f t="shared" si="26"/>
        <v>0.33260807785168767</v>
      </c>
      <c r="M51" s="27">
        <f t="shared" si="27"/>
        <v>0.31816920638089291</v>
      </c>
      <c r="N51" s="27">
        <f t="shared" si="28"/>
        <v>0.31591853142533144</v>
      </c>
      <c r="O51" s="27">
        <f t="shared" si="29"/>
        <v>0.3155895321511013</v>
      </c>
      <c r="P51" s="27">
        <f t="shared" si="30"/>
        <v>0.31748415734593649</v>
      </c>
    </row>
    <row r="52" spans="2:16" x14ac:dyDescent="0.25">
      <c r="B52" s="7">
        <f t="shared" si="2"/>
        <v>420</v>
      </c>
      <c r="C52" s="27">
        <f t="shared" si="17"/>
        <v>9.5835360464131242E-2</v>
      </c>
      <c r="D52" s="27">
        <f t="shared" si="18"/>
        <v>5.4763753740532869E-2</v>
      </c>
      <c r="E52" s="27">
        <f t="shared" si="19"/>
        <v>5.7921148332637729E-2</v>
      </c>
      <c r="F52" s="27">
        <f t="shared" si="20"/>
        <v>0.10834829367092751</v>
      </c>
      <c r="G52" s="27">
        <f t="shared" si="21"/>
        <v>0.11221045768173488</v>
      </c>
      <c r="H52" s="27">
        <f t="shared" si="22"/>
        <v>6.3352073584506785E-2</v>
      </c>
      <c r="I52" s="27">
        <f t="shared" si="23"/>
        <v>5.4549202353093018E-2</v>
      </c>
      <c r="J52" s="27">
        <f t="shared" si="24"/>
        <v>0.32027471125736112</v>
      </c>
      <c r="K52" s="27">
        <f t="shared" si="25"/>
        <v>0.305312872606122</v>
      </c>
      <c r="L52" s="27">
        <f t="shared" si="26"/>
        <v>0.31873590736257829</v>
      </c>
      <c r="M52" s="27">
        <f t="shared" si="27"/>
        <v>0.30843234326188096</v>
      </c>
      <c r="N52" s="27">
        <f t="shared" si="28"/>
        <v>0.30721579461362569</v>
      </c>
      <c r="O52" s="27">
        <f t="shared" si="29"/>
        <v>0.30426115895696126</v>
      </c>
      <c r="P52" s="27">
        <f t="shared" si="30"/>
        <v>0.30542403815743546</v>
      </c>
    </row>
    <row r="53" spans="2:16" x14ac:dyDescent="0.25">
      <c r="B53" s="7">
        <f t="shared" si="2"/>
        <v>430</v>
      </c>
      <c r="C53" s="27">
        <f t="shared" si="17"/>
        <v>9.0630921243208318E-2</v>
      </c>
      <c r="D53" s="27">
        <f t="shared" si="18"/>
        <v>4.9773451503643443E-2</v>
      </c>
      <c r="E53" s="27">
        <f t="shared" si="19"/>
        <v>5.1955061032731217E-2</v>
      </c>
      <c r="F53" s="27">
        <f t="shared" si="20"/>
        <v>0.10415195617738859</v>
      </c>
      <c r="G53" s="27">
        <f t="shared" si="21"/>
        <v>0.10769273721584238</v>
      </c>
      <c r="H53" s="27">
        <f t="shared" si="22"/>
        <v>5.8491737742950356E-2</v>
      </c>
      <c r="I53" s="27">
        <f t="shared" si="23"/>
        <v>4.9551526425839709E-2</v>
      </c>
      <c r="J53" s="27">
        <f t="shared" si="24"/>
        <v>0.31170902596058286</v>
      </c>
      <c r="K53" s="27">
        <f t="shared" si="25"/>
        <v>0.29362737809918965</v>
      </c>
      <c r="L53" s="27">
        <f t="shared" si="26"/>
        <v>0.30512813290236879</v>
      </c>
      <c r="M53" s="27">
        <f t="shared" si="27"/>
        <v>0.29908606752369582</v>
      </c>
      <c r="N53" s="27">
        <f t="shared" si="28"/>
        <v>0.29882130457718725</v>
      </c>
      <c r="O53" s="27">
        <f t="shared" si="29"/>
        <v>0.29328918025062933</v>
      </c>
      <c r="P53" s="27">
        <f t="shared" si="30"/>
        <v>0.29371819356277884</v>
      </c>
    </row>
    <row r="54" spans="2:16" x14ac:dyDescent="0.25">
      <c r="B54" s="7">
        <f t="shared" si="2"/>
        <v>440</v>
      </c>
      <c r="C54" s="27">
        <f t="shared" si="17"/>
        <v>8.5709114523202609E-2</v>
      </c>
      <c r="D54" s="27">
        <f t="shared" si="18"/>
        <v>4.5199998073108344E-2</v>
      </c>
      <c r="E54" s="27">
        <f t="shared" si="19"/>
        <v>4.6481286616209976E-2</v>
      </c>
      <c r="F54" s="27">
        <f t="shared" si="20"/>
        <v>0.1001914625614202</v>
      </c>
      <c r="G54" s="27">
        <f t="shared" si="21"/>
        <v>0.10340689440946838</v>
      </c>
      <c r="H54" s="27">
        <f t="shared" si="22"/>
        <v>5.399224067295616E-2</v>
      </c>
      <c r="I54" s="27">
        <f t="shared" si="23"/>
        <v>4.49728264888829E-2</v>
      </c>
      <c r="J54" s="27">
        <f t="shared" si="24"/>
        <v>0.30337242826274563</v>
      </c>
      <c r="K54" s="27">
        <f t="shared" si="25"/>
        <v>0.28229250670624423</v>
      </c>
      <c r="L54" s="27">
        <f t="shared" si="26"/>
        <v>0.29179360858021086</v>
      </c>
      <c r="M54" s="27">
        <f t="shared" si="27"/>
        <v>0.29011349704363343</v>
      </c>
      <c r="N54" s="27">
        <f t="shared" si="28"/>
        <v>0.29072197624156204</v>
      </c>
      <c r="O54" s="27">
        <f t="shared" si="29"/>
        <v>0.28266605995850802</v>
      </c>
      <c r="P54" s="27">
        <f t="shared" si="30"/>
        <v>0.28236256805563809</v>
      </c>
    </row>
    <row r="55" spans="2:16" x14ac:dyDescent="0.25">
      <c r="B55" s="7">
        <f t="shared" si="2"/>
        <v>450</v>
      </c>
      <c r="C55" s="27">
        <f t="shared" si="17"/>
        <v>8.1054591651322949E-2</v>
      </c>
      <c r="D55" s="27">
        <f t="shared" si="18"/>
        <v>4.1012890016539523E-2</v>
      </c>
      <c r="E55" s="27">
        <f t="shared" si="19"/>
        <v>4.1472523306659452E-2</v>
      </c>
      <c r="F55" s="27">
        <f t="shared" si="20"/>
        <v>9.6449905738633032E-2</v>
      </c>
      <c r="G55" s="27">
        <f t="shared" si="21"/>
        <v>9.9338374414143615E-2</v>
      </c>
      <c r="H55" s="27">
        <f t="shared" si="22"/>
        <v>4.9828168870631795E-2</v>
      </c>
      <c r="I55" s="27">
        <f t="shared" si="23"/>
        <v>4.0782422001768515E-2</v>
      </c>
      <c r="J55" s="27">
        <f t="shared" si="24"/>
        <v>0.29525879126026011</v>
      </c>
      <c r="K55" s="27">
        <f t="shared" si="25"/>
        <v>0.27130365444327958</v>
      </c>
      <c r="L55" s="27">
        <f t="shared" si="26"/>
        <v>0.27874077591162366</v>
      </c>
      <c r="M55" s="27">
        <f t="shared" si="27"/>
        <v>0.28149830175621998</v>
      </c>
      <c r="N55" s="27">
        <f t="shared" si="28"/>
        <v>0.28290533457704736</v>
      </c>
      <c r="O55" s="27">
        <f t="shared" si="29"/>
        <v>0.27238410234058685</v>
      </c>
      <c r="P55" s="27">
        <f t="shared" si="30"/>
        <v>0.27135268467375118</v>
      </c>
    </row>
    <row r="56" spans="2:16" x14ac:dyDescent="0.25">
      <c r="B56" s="7">
        <f t="shared" si="2"/>
        <v>460</v>
      </c>
      <c r="C56" s="27">
        <f t="shared" si="17"/>
        <v>7.6652837499379012E-2</v>
      </c>
      <c r="D56" s="27">
        <f t="shared" si="18"/>
        <v>3.718335981665475E-2</v>
      </c>
      <c r="E56" s="27">
        <f t="shared" si="19"/>
        <v>3.6901719400614215E-2</v>
      </c>
      <c r="F56" s="27">
        <f t="shared" si="20"/>
        <v>9.291181811742745E-2</v>
      </c>
      <c r="G56" s="27">
        <f t="shared" si="21"/>
        <v>9.547370263899102E-2</v>
      </c>
      <c r="H56" s="27">
        <f t="shared" si="22"/>
        <v>4.5975733460012158E-2</v>
      </c>
      <c r="I56" s="27">
        <f t="shared" si="23"/>
        <v>3.6951367675496227E-2</v>
      </c>
      <c r="J56" s="27">
        <f t="shared" si="24"/>
        <v>0.28736215191239034</v>
      </c>
      <c r="K56" s="27">
        <f t="shared" si="25"/>
        <v>0.26065584620339943</v>
      </c>
      <c r="L56" s="27">
        <f t="shared" si="26"/>
        <v>0.26597763265676622</v>
      </c>
      <c r="M56" s="27">
        <f t="shared" si="27"/>
        <v>0.27322472710498574</v>
      </c>
      <c r="N56" s="27">
        <f t="shared" si="28"/>
        <v>0.27535948853437087</v>
      </c>
      <c r="O56" s="27">
        <f t="shared" si="29"/>
        <v>0.26243549104407227</v>
      </c>
      <c r="P56" s="27">
        <f t="shared" si="30"/>
        <v>0.26068368811106835</v>
      </c>
    </row>
    <row r="57" spans="2:16" x14ac:dyDescent="0.25">
      <c r="B57" s="7">
        <f t="shared" si="2"/>
        <v>470</v>
      </c>
      <c r="C57" s="27">
        <f t="shared" si="17"/>
        <v>7.2490125198358221E-2</v>
      </c>
      <c r="D57" s="27">
        <f t="shared" si="18"/>
        <v>3.36843372411125E-2</v>
      </c>
      <c r="E57" s="27">
        <f t="shared" si="19"/>
        <v>3.2742186076443816E-2</v>
      </c>
      <c r="F57" s="27">
        <f t="shared" si="20"/>
        <v>8.9563032945734061E-2</v>
      </c>
      <c r="G57" s="27">
        <f t="shared" si="21"/>
        <v>9.1800392576182444E-2</v>
      </c>
      <c r="H57" s="27">
        <f t="shared" si="22"/>
        <v>4.2412687659092674E-2</v>
      </c>
      <c r="I57" s="27">
        <f t="shared" si="23"/>
        <v>3.345241733971438E-2</v>
      </c>
      <c r="J57" s="27">
        <f t="shared" si="24"/>
        <v>0.27967670665877309</v>
      </c>
      <c r="K57" s="27">
        <f t="shared" si="25"/>
        <v>0.25034377639663602</v>
      </c>
      <c r="L57" s="27">
        <f t="shared" si="26"/>
        <v>0.25351170246361171</v>
      </c>
      <c r="M57" s="27">
        <f t="shared" si="27"/>
        <v>0.26527760798163363</v>
      </c>
      <c r="N57" s="27">
        <f t="shared" si="28"/>
        <v>0.26807310517129601</v>
      </c>
      <c r="O57" s="27">
        <f t="shared" si="29"/>
        <v>0.25281232409926835</v>
      </c>
      <c r="P57" s="27">
        <f t="shared" si="30"/>
        <v>0.25035038519818931</v>
      </c>
    </row>
    <row r="58" spans="2:16" x14ac:dyDescent="0.25">
      <c r="B58" s="7">
        <f t="shared" si="2"/>
        <v>480</v>
      </c>
      <c r="C58" s="27">
        <f t="shared" si="17"/>
        <v>6.8553473331189094E-2</v>
      </c>
      <c r="D58" s="27">
        <f t="shared" si="18"/>
        <v>3.049040279038065E-2</v>
      </c>
      <c r="E58" s="27">
        <f t="shared" si="19"/>
        <v>2.8967704178098751E-2</v>
      </c>
      <c r="F58" s="27">
        <f t="shared" si="20"/>
        <v>8.6390560167843897E-2</v>
      </c>
      <c r="G58" s="27">
        <f t="shared" si="21"/>
        <v>8.8306862448855994E-2</v>
      </c>
      <c r="H58" s="27">
        <f t="shared" si="22"/>
        <v>3.911824534496211E-2</v>
      </c>
      <c r="I58" s="27">
        <f t="shared" si="23"/>
        <v>3.0259979477005094E-2</v>
      </c>
      <c r="J58" s="27">
        <f t="shared" si="24"/>
        <v>0.2721968071541464</v>
      </c>
      <c r="K58" s="27">
        <f t="shared" si="25"/>
        <v>0.24036184702429456</v>
      </c>
      <c r="L58" s="27">
        <f t="shared" si="26"/>
        <v>0.24135000551524471</v>
      </c>
      <c r="M58" s="27">
        <f t="shared" si="27"/>
        <v>0.25764237487939096</v>
      </c>
      <c r="N58" s="27">
        <f t="shared" si="28"/>
        <v>0.26103538419970174</v>
      </c>
      <c r="O58" s="27">
        <f t="shared" si="29"/>
        <v>0.24350664523481935</v>
      </c>
      <c r="P58" s="27">
        <f t="shared" si="30"/>
        <v>0.24034728288837193</v>
      </c>
    </row>
    <row r="59" spans="2:16" x14ac:dyDescent="0.25">
      <c r="B59" s="7">
        <f t="shared" si="2"/>
        <v>490</v>
      </c>
      <c r="C59" s="27">
        <f t="shared" si="17"/>
        <v>6.4830605450195741E-2</v>
      </c>
      <c r="D59" s="27">
        <f t="shared" si="18"/>
        <v>2.7577734808172553E-2</v>
      </c>
      <c r="E59" s="27">
        <f t="shared" si="19"/>
        <v>2.5552624156512934E-2</v>
      </c>
      <c r="F59" s="27">
        <f t="shared" si="20"/>
        <v>8.3382475211835172E-2</v>
      </c>
      <c r="G59" s="27">
        <f t="shared" si="21"/>
        <v>8.4982359755943038E-2</v>
      </c>
      <c r="H59" s="27">
        <f t="shared" si="22"/>
        <v>3.6073001277867389E-2</v>
      </c>
      <c r="I59" s="27">
        <f t="shared" si="23"/>
        <v>2.7350066042347132E-2</v>
      </c>
      <c r="J59" s="27">
        <f t="shared" si="24"/>
        <v>0.26491695611715121</v>
      </c>
      <c r="K59" s="27">
        <f t="shared" si="25"/>
        <v>0.23070420332374858</v>
      </c>
      <c r="L59" s="27">
        <f t="shared" si="26"/>
        <v>0.22949903038481054</v>
      </c>
      <c r="M59" s="27">
        <f t="shared" si="27"/>
        <v>0.25030505372823514</v>
      </c>
      <c r="N59" s="27">
        <f t="shared" si="28"/>
        <v>0.25423603312405441</v>
      </c>
      <c r="O59" s="27">
        <f t="shared" si="29"/>
        <v>0.23451047185280205</v>
      </c>
      <c r="P59" s="27">
        <f t="shared" si="30"/>
        <v>0.23066862387696496</v>
      </c>
    </row>
    <row r="60" spans="2:16" x14ac:dyDescent="0.25">
      <c r="B60" s="7">
        <f t="shared" si="2"/>
        <v>500</v>
      </c>
      <c r="C60" s="27">
        <f t="shared" si="17"/>
        <v>6.130991179299957E-2</v>
      </c>
      <c r="D60" s="27">
        <f t="shared" si="18"/>
        <v>2.4924051656567334E-2</v>
      </c>
      <c r="E60" s="27">
        <f t="shared" si="19"/>
        <v>2.2471958434132376E-2</v>
      </c>
      <c r="F60" s="27">
        <f t="shared" si="20"/>
        <v>8.0527819295290515E-2</v>
      </c>
      <c r="G60" s="27">
        <f t="shared" si="21"/>
        <v>8.1816892892178417E-2</v>
      </c>
      <c r="H60" s="27">
        <f t="shared" si="22"/>
        <v>3.3258853420672918E-2</v>
      </c>
      <c r="I60" s="27">
        <f t="shared" si="23"/>
        <v>2.4700236004183029E-2</v>
      </c>
      <c r="J60" s="27">
        <f t="shared" si="24"/>
        <v>0.25783180329015676</v>
      </c>
      <c r="K60" s="27">
        <f t="shared" si="25"/>
        <v>0.22136476711071965</v>
      </c>
      <c r="L60" s="27">
        <f t="shared" si="26"/>
        <v>0.2179647073045119</v>
      </c>
      <c r="M60" s="27">
        <f t="shared" si="27"/>
        <v>0.24325226065453734</v>
      </c>
      <c r="N60" s="27">
        <f t="shared" si="28"/>
        <v>0.24766524309562454</v>
      </c>
      <c r="O60" s="27">
        <f t="shared" si="29"/>
        <v>0.22581581997153755</v>
      </c>
      <c r="P60" s="27">
        <f t="shared" si="30"/>
        <v>0.22130841997381889</v>
      </c>
    </row>
    <row r="61" spans="2:16" x14ac:dyDescent="0.25">
      <c r="B61" s="7">
        <f t="shared" si="2"/>
        <v>510</v>
      </c>
      <c r="C61" s="27">
        <f t="shared" si="17"/>
        <v>5.7980413077478622E-2</v>
      </c>
      <c r="D61" s="27">
        <f t="shared" si="18"/>
        <v>2.250855019015844E-2</v>
      </c>
      <c r="E61" s="27">
        <f t="shared" si="19"/>
        <v>1.9701465551289678E-2</v>
      </c>
      <c r="F61" s="27">
        <f t="shared" si="20"/>
        <v>7.7816509989766081E-2</v>
      </c>
      <c r="G61" s="27">
        <f t="shared" si="21"/>
        <v>7.8801169113340674E-2</v>
      </c>
      <c r="H61" s="27">
        <f t="shared" si="22"/>
        <v>3.0658927686679327E-2</v>
      </c>
      <c r="I61" s="27">
        <f t="shared" si="23"/>
        <v>2.2289534875726491E-2</v>
      </c>
      <c r="J61" s="27">
        <f t="shared" si="24"/>
        <v>0.25093614150713944</v>
      </c>
      <c r="K61" s="27">
        <f t="shared" si="25"/>
        <v>0.2123372679382306</v>
      </c>
      <c r="L61" s="27">
        <f t="shared" si="26"/>
        <v>0.20675238305630381</v>
      </c>
      <c r="M61" s="27">
        <f t="shared" si="27"/>
        <v>0.23647119271298442</v>
      </c>
      <c r="N61" s="27">
        <f t="shared" si="28"/>
        <v>0.24131366556991263</v>
      </c>
      <c r="O61" s="27">
        <f t="shared" si="29"/>
        <v>0.21741472641485382</v>
      </c>
      <c r="P61" s="27">
        <f t="shared" si="30"/>
        <v>0.21226048334100045</v>
      </c>
    </row>
    <row r="62" spans="2:16" x14ac:dyDescent="0.25">
      <c r="B62" s="7">
        <f t="shared" si="2"/>
        <v>520</v>
      </c>
      <c r="C62" s="27">
        <f t="shared" si="17"/>
        <v>5.4831726262879722E-2</v>
      </c>
      <c r="D62" s="27">
        <f t="shared" si="18"/>
        <v>2.0311841609799524E-2</v>
      </c>
      <c r="E62" s="27">
        <f t="shared" si="19"/>
        <v>1.7217725555601106E-2</v>
      </c>
      <c r="F62" s="27">
        <f t="shared" si="20"/>
        <v>7.5239260922859888E-2</v>
      </c>
      <c r="G62" s="27">
        <f t="shared" si="21"/>
        <v>7.5926538197835236E-2</v>
      </c>
      <c r="H62" s="27">
        <f t="shared" si="22"/>
        <v>2.8257505362185631E-2</v>
      </c>
      <c r="I62" s="27">
        <f t="shared" si="23"/>
        <v>2.0098431350710655E-2</v>
      </c>
      <c r="J62" s="27">
        <f t="shared" si="24"/>
        <v>0.24422490286672507</v>
      </c>
      <c r="K62" s="27">
        <f t="shared" si="25"/>
        <v>0.20361527218446904</v>
      </c>
      <c r="L62" s="27">
        <f t="shared" si="26"/>
        <v>0.19586679769143706</v>
      </c>
      <c r="M62" s="27">
        <f t="shared" si="27"/>
        <v>0.2299496154709311</v>
      </c>
      <c r="N62" s="27">
        <f t="shared" si="28"/>
        <v>0.23517238982559885</v>
      </c>
      <c r="O62" s="27">
        <f t="shared" si="29"/>
        <v>0.20929926850049896</v>
      </c>
      <c r="P62" s="27">
        <f t="shared" si="30"/>
        <v>0.20351845570170957</v>
      </c>
    </row>
    <row r="63" spans="2:16" x14ac:dyDescent="0.25">
      <c r="B63" s="7">
        <f t="shared" si="2"/>
        <v>530</v>
      </c>
      <c r="C63" s="27">
        <f t="shared" si="17"/>
        <v>5.1854032170308879E-2</v>
      </c>
      <c r="D63" s="27">
        <f t="shared" si="18"/>
        <v>1.8315885636061995E-2</v>
      </c>
      <c r="E63" s="27">
        <f t="shared" si="19"/>
        <v>1.4998206205632343E-2</v>
      </c>
      <c r="F63" s="27">
        <f t="shared" si="20"/>
        <v>7.2787509621289423E-2</v>
      </c>
      <c r="G63" s="27">
        <f t="shared" si="21"/>
        <v>7.3184941227367073E-2</v>
      </c>
      <c r="H63" s="27">
        <f t="shared" si="22"/>
        <v>2.6039953378006797E-2</v>
      </c>
      <c r="I63" s="27">
        <f t="shared" si="23"/>
        <v>1.8108752016182894E-2</v>
      </c>
      <c r="J63" s="27">
        <f t="shared" si="24"/>
        <v>0.23769315500758303</v>
      </c>
      <c r="K63" s="27">
        <f t="shared" si="25"/>
        <v>0.19519221017557237</v>
      </c>
      <c r="L63" s="27">
        <f t="shared" si="26"/>
        <v>0.18531206328363489</v>
      </c>
      <c r="M63" s="27">
        <f t="shared" si="27"/>
        <v>0.22367584818141467</v>
      </c>
      <c r="N63" s="27">
        <f t="shared" si="28"/>
        <v>0.22923292138041595</v>
      </c>
      <c r="O63" s="27">
        <f t="shared" si="29"/>
        <v>0.20146158145702442</v>
      </c>
      <c r="P63" s="27">
        <f t="shared" si="30"/>
        <v>0.19507583562063047</v>
      </c>
    </row>
    <row r="64" spans="2:16" x14ac:dyDescent="0.25">
      <c r="B64" s="7">
        <f t="shared" si="2"/>
        <v>540</v>
      </c>
      <c r="C64" s="27">
        <f t="shared" si="17"/>
        <v>4.9038044861624851E-2</v>
      </c>
      <c r="D64" s="27">
        <f t="shared" si="18"/>
        <v>1.6503923814691557E-2</v>
      </c>
      <c r="E64" s="27">
        <f t="shared" si="19"/>
        <v>1.3021319675963452E-2</v>
      </c>
      <c r="F64" s="27">
        <f t="shared" si="20"/>
        <v>7.0453352609967448E-2</v>
      </c>
      <c r="G64" s="27">
        <f t="shared" si="21"/>
        <v>7.0568863972734208E-2</v>
      </c>
      <c r="H64" s="27">
        <f t="shared" si="22"/>
        <v>2.3992657544249063E-2</v>
      </c>
      <c r="I64" s="27">
        <f t="shared" si="23"/>
        <v>1.6303614985596959E-2</v>
      </c>
      <c r="J64" s="27">
        <f t="shared" si="24"/>
        <v>0.23133609748343401</v>
      </c>
      <c r="K64" s="27">
        <f t="shared" si="25"/>
        <v>0.18706140144372946</v>
      </c>
      <c r="L64" s="27">
        <f t="shared" si="26"/>
        <v>0.17509164491629634</v>
      </c>
      <c r="M64" s="27">
        <f t="shared" si="27"/>
        <v>0.21763874715799941</v>
      </c>
      <c r="N64" s="27">
        <f t="shared" si="28"/>
        <v>0.22348716132140556</v>
      </c>
      <c r="O64" s="27">
        <f t="shared" si="29"/>
        <v>0.19389387377749034</v>
      </c>
      <c r="P64" s="27">
        <f t="shared" si="30"/>
        <v>0.18692600395077574</v>
      </c>
    </row>
    <row r="65" spans="2:16" x14ac:dyDescent="0.25">
      <c r="B65" s="7">
        <f t="shared" si="2"/>
        <v>550</v>
      </c>
      <c r="C65" s="27">
        <f t="shared" si="17"/>
        <v>4.6374982681243751E-2</v>
      </c>
      <c r="D65" s="27">
        <f t="shared" si="18"/>
        <v>1.4860412650460333E-2</v>
      </c>
      <c r="E65" s="27">
        <f t="shared" si="19"/>
        <v>1.126646957053562E-2</v>
      </c>
      <c r="F65" s="27">
        <f t="shared" si="20"/>
        <v>6.8229486981623844E-2</v>
      </c>
      <c r="G65" s="27">
        <f t="shared" si="21"/>
        <v>6.8071294426727436E-2</v>
      </c>
      <c r="H65" s="27">
        <f t="shared" si="22"/>
        <v>2.2102958813172036E-2</v>
      </c>
      <c r="I65" s="27">
        <f t="shared" si="23"/>
        <v>1.466736317776296E-2</v>
      </c>
      <c r="J65" s="27">
        <f t="shared" si="24"/>
        <v>0.22514905823500708</v>
      </c>
      <c r="K65" s="27">
        <f t="shared" si="25"/>
        <v>0.17921607821593358</v>
      </c>
      <c r="L65" s="27">
        <f t="shared" si="26"/>
        <v>0.16520834409762816</v>
      </c>
      <c r="M65" s="27">
        <f t="shared" si="27"/>
        <v>0.21182768785968575</v>
      </c>
      <c r="N65" s="27">
        <f t="shared" si="28"/>
        <v>0.21792738655309385</v>
      </c>
      <c r="O65" s="27">
        <f t="shared" si="29"/>
        <v>0.18658844069943692</v>
      </c>
      <c r="P65" s="27">
        <f t="shared" si="30"/>
        <v>0.17906224753730038</v>
      </c>
    </row>
    <row r="66" spans="2:16" x14ac:dyDescent="0.25">
      <c r="B66" s="7">
        <f t="shared" si="2"/>
        <v>560</v>
      </c>
      <c r="C66" s="27">
        <f t="shared" si="17"/>
        <v>4.3856540870548834E-2</v>
      </c>
      <c r="D66" s="27">
        <f t="shared" si="18"/>
        <v>1.3370957161128103E-2</v>
      </c>
      <c r="E66" s="27">
        <f t="shared" si="19"/>
        <v>9.7140881727018139E-3</v>
      </c>
      <c r="F66" s="27">
        <f t="shared" si="20"/>
        <v>6.6109157740111849E-2</v>
      </c>
      <c r="G66" s="27">
        <f t="shared" si="21"/>
        <v>6.5685684075586614E-2</v>
      </c>
      <c r="H66" s="27">
        <f t="shared" si="22"/>
        <v>2.0359092594364192E-2</v>
      </c>
      <c r="I66" s="27">
        <f t="shared" si="23"/>
        <v>1.3185497860542128E-2</v>
      </c>
      <c r="J66" s="27">
        <f t="shared" si="24"/>
        <v>0.21912749015635433</v>
      </c>
      <c r="K66" s="27">
        <f t="shared" si="25"/>
        <v>0.17164940722405608</v>
      </c>
      <c r="L66" s="27">
        <f t="shared" si="26"/>
        <v>0.15566428478890035</v>
      </c>
      <c r="M66" s="27">
        <f t="shared" si="27"/>
        <v>0.20623254610493785</v>
      </c>
      <c r="N66" s="27">
        <f t="shared" si="28"/>
        <v>0.21254623095640124</v>
      </c>
      <c r="O66" s="27">
        <f t="shared" si="29"/>
        <v>0.17953767598354742</v>
      </c>
      <c r="P66" s="27">
        <f t="shared" si="30"/>
        <v>0.17147778126452795</v>
      </c>
    </row>
    <row r="67" spans="2:16" x14ac:dyDescent="0.25">
      <c r="B67" s="7">
        <f t="shared" si="2"/>
        <v>570</v>
      </c>
      <c r="C67" s="27">
        <f t="shared" si="17"/>
        <v>4.1474865669503168E-2</v>
      </c>
      <c r="D67" s="27">
        <f t="shared" si="18"/>
        <v>1.2022245349062237E-2</v>
      </c>
      <c r="E67" s="27">
        <f t="shared" si="19"/>
        <v>8.3456639815844263E-3</v>
      </c>
      <c r="F67" s="27">
        <f t="shared" si="20"/>
        <v>6.4086110299196017E-2</v>
      </c>
      <c r="G67" s="27">
        <f t="shared" si="21"/>
        <v>6.3405912544261089E-2</v>
      </c>
      <c r="H67" s="27">
        <f t="shared" si="22"/>
        <v>1.8750131113387081E-2</v>
      </c>
      <c r="I67" s="27">
        <f t="shared" si="23"/>
        <v>1.1844612981908309E-2</v>
      </c>
      <c r="J67" s="27">
        <f t="shared" si="24"/>
        <v>0.21326696775299814</v>
      </c>
      <c r="K67" s="27">
        <f t="shared" si="25"/>
        <v>0.16435450992265682</v>
      </c>
      <c r="L67" s="27">
        <f t="shared" si="26"/>
        <v>0.14646090222004182</v>
      </c>
      <c r="M67" s="27">
        <f t="shared" si="27"/>
        <v>0.20084367875831485</v>
      </c>
      <c r="N67" s="27">
        <f t="shared" si="28"/>
        <v>0.20733666744296442</v>
      </c>
      <c r="O67" s="27">
        <f t="shared" si="29"/>
        <v>0.17273408214802344</v>
      </c>
      <c r="P67" s="27">
        <f t="shared" si="30"/>
        <v>0.1641657685285467</v>
      </c>
    </row>
    <row r="68" spans="2:16" x14ac:dyDescent="0.25">
      <c r="B68" s="7">
        <f t="shared" si="2"/>
        <v>580</v>
      </c>
      <c r="C68" s="27">
        <f t="shared" si="17"/>
        <v>3.9222529824701299E-2</v>
      </c>
      <c r="D68" s="27">
        <f t="shared" si="18"/>
        <v>1.0801984003705035E-2</v>
      </c>
      <c r="E68" s="27">
        <f t="shared" si="19"/>
        <v>7.1437597029864351E-3</v>
      </c>
      <c r="F68" s="27">
        <f t="shared" si="20"/>
        <v>6.2154547588341415E-2</v>
      </c>
      <c r="G68" s="27">
        <f t="shared" si="21"/>
        <v>6.1226255289475784E-2</v>
      </c>
      <c r="H68" s="27">
        <f t="shared" si="22"/>
        <v>1.7265928778359863E-2</v>
      </c>
      <c r="I68" s="27">
        <f t="shared" si="23"/>
        <v>1.0632330724469341E-2</v>
      </c>
      <c r="J68" s="27">
        <f t="shared" si="24"/>
        <v>0.2075631838894561</v>
      </c>
      <c r="K68" s="27">
        <f t="shared" si="25"/>
        <v>0.15732448119698822</v>
      </c>
      <c r="L68" s="27">
        <f t="shared" si="26"/>
        <v>0.13759893465349463</v>
      </c>
      <c r="M68" s="27">
        <f t="shared" si="27"/>
        <v>0.19565190416931513</v>
      </c>
      <c r="N68" s="27">
        <f t="shared" si="28"/>
        <v>0.20229199088345695</v>
      </c>
      <c r="O68" s="27">
        <f t="shared" si="29"/>
        <v>0.16617027930179873</v>
      </c>
      <c r="P68" s="27">
        <f t="shared" si="30"/>
        <v>0.15711934021417662</v>
      </c>
    </row>
    <row r="69" spans="2:16" x14ac:dyDescent="0.25">
      <c r="B69" s="7">
        <f t="shared" si="2"/>
        <v>590</v>
      </c>
      <c r="C69" s="27">
        <f t="shared" si="17"/>
        <v>3.7092509427481678E-2</v>
      </c>
      <c r="D69" s="27">
        <f t="shared" si="18"/>
        <v>9.6988361728348495E-3</v>
      </c>
      <c r="E69" s="27">
        <f t="shared" si="19"/>
        <v>6.0920209770585782E-3</v>
      </c>
      <c r="F69" s="27">
        <f t="shared" si="20"/>
        <v>6.030909127875983E-2</v>
      </c>
      <c r="G69" s="27">
        <f t="shared" si="21"/>
        <v>5.9141354048973804E-2</v>
      </c>
      <c r="H69" s="27">
        <f t="shared" si="22"/>
        <v>1.5897070497677857E-2</v>
      </c>
      <c r="I69" s="27">
        <f t="shared" si="23"/>
        <v>9.5372386421382904E-3</v>
      </c>
      <c r="J69" s="27">
        <f t="shared" si="24"/>
        <v>0.20201194662375233</v>
      </c>
      <c r="K69" s="27">
        <f t="shared" si="25"/>
        <v>0.15055240663996758</v>
      </c>
      <c r="L69" s="27">
        <f t="shared" si="26"/>
        <v>0.12907841824159505</v>
      </c>
      <c r="M69" s="27">
        <f t="shared" si="27"/>
        <v>0.19064848258922817</v>
      </c>
      <c r="N69" s="27">
        <f t="shared" si="28"/>
        <v>0.19740580188405976</v>
      </c>
      <c r="O69" s="27">
        <f t="shared" si="29"/>
        <v>0.15983901270708989</v>
      </c>
      <c r="P69" s="27">
        <f t="shared" si="30"/>
        <v>0.15033161225176439</v>
      </c>
    </row>
    <row r="70" spans="2:16" x14ac:dyDescent="0.25">
      <c r="B70" s="7">
        <f t="shared" si="2"/>
        <v>600</v>
      </c>
      <c r="C70" s="27">
        <f t="shared" si="17"/>
        <v>3.5078162009869664E-2</v>
      </c>
      <c r="D70" s="27">
        <f t="shared" si="18"/>
        <v>8.7023605737691981E-3</v>
      </c>
      <c r="E70" s="27">
        <f t="shared" si="19"/>
        <v>5.1751762321262176E-3</v>
      </c>
      <c r="F70" s="27">
        <f t="shared" si="20"/>
        <v>5.8544746697590029E-2</v>
      </c>
      <c r="G70" s="27">
        <f t="shared" si="21"/>
        <v>5.7146189785774015E-2</v>
      </c>
      <c r="H70" s="27">
        <f t="shared" si="22"/>
        <v>1.4634822875349895E-2</v>
      </c>
      <c r="I70" s="27">
        <f t="shared" si="23"/>
        <v>8.5488286687083193E-3</v>
      </c>
      <c r="J70" s="27">
        <f t="shared" si="24"/>
        <v>0.19660917612658946</v>
      </c>
      <c r="K70" s="27">
        <f t="shared" si="25"/>
        <v>0.14403137847345523</v>
      </c>
      <c r="L70" s="27">
        <f t="shared" si="26"/>
        <v>0.12089868510478956</v>
      </c>
      <c r="M70" s="27">
        <f t="shared" si="27"/>
        <v>0.18582509674658296</v>
      </c>
      <c r="N70" s="27">
        <f t="shared" si="28"/>
        <v>0.19267199138210711</v>
      </c>
      <c r="O70" s="27">
        <f t="shared" si="29"/>
        <v>0.15373315919036123</v>
      </c>
      <c r="P70" s="27">
        <f t="shared" si="30"/>
        <v>0.14379570182613244</v>
      </c>
    </row>
    <row r="71" spans="2:16" x14ac:dyDescent="0.25">
      <c r="B71" s="7">
        <f t="shared" si="2"/>
        <v>610</v>
      </c>
      <c r="C71" s="27">
        <f t="shared" si="17"/>
        <v>3.3173205830043087E-2</v>
      </c>
      <c r="D71" s="27">
        <f t="shared" si="18"/>
        <v>7.8029531566450377E-3</v>
      </c>
      <c r="E71" s="27">
        <f t="shared" si="19"/>
        <v>4.3790281525868339E-3</v>
      </c>
      <c r="F71" s="27">
        <f t="shared" si="20"/>
        <v>5.6856871046386086E-2</v>
      </c>
      <c r="G71" s="27">
        <f t="shared" si="21"/>
        <v>5.5236057893332302E-2</v>
      </c>
      <c r="H71" s="27">
        <f t="shared" si="22"/>
        <v>1.3471088197575698E-2</v>
      </c>
      <c r="I71" s="27">
        <f t="shared" si="23"/>
        <v>7.657438227003599E-3</v>
      </c>
      <c r="J71" s="27">
        <f t="shared" si="24"/>
        <v>0.19135090168291688</v>
      </c>
      <c r="K71" s="27">
        <f t="shared" si="25"/>
        <v>0.13775451018593088</v>
      </c>
      <c r="L71" s="27">
        <f t="shared" si="26"/>
        <v>0.11305836473772718</v>
      </c>
      <c r="M71" s="27">
        <f t="shared" si="27"/>
        <v>0.181173832723901</v>
      </c>
      <c r="N71" s="27">
        <f t="shared" si="28"/>
        <v>0.18808472602983584</v>
      </c>
      <c r="O71" s="27">
        <f t="shared" si="29"/>
        <v>0.14784573251038879</v>
      </c>
      <c r="P71" s="27">
        <f t="shared" si="30"/>
        <v>0.13750474230709908</v>
      </c>
    </row>
    <row r="72" spans="2:16" x14ac:dyDescent="0.25">
      <c r="B72" s="7">
        <f t="shared" si="2"/>
        <v>620</v>
      </c>
      <c r="C72" s="27">
        <f t="shared" si="17"/>
        <v>3.1371700282722258E-2</v>
      </c>
      <c r="D72" s="27">
        <f t="shared" si="18"/>
        <v>6.9917909800524449E-3</v>
      </c>
      <c r="E72" s="27">
        <f t="shared" si="19"/>
        <v>3.6904373368559615E-3</v>
      </c>
      <c r="F72" s="27">
        <f t="shared" si="20"/>
        <v>5.5241144582787928E-2</v>
      </c>
      <c r="G72" s="27">
        <f t="shared" si="21"/>
        <v>5.3406545451528564E-2</v>
      </c>
      <c r="H72" s="27">
        <f t="shared" si="22"/>
        <v>1.2398361114555279E-2</v>
      </c>
      <c r="I72" s="27">
        <f t="shared" si="23"/>
        <v>6.8541936134475234E-3</v>
      </c>
      <c r="J72" s="27">
        <f t="shared" si="24"/>
        <v>0.18623325877369099</v>
      </c>
      <c r="K72" s="27">
        <f t="shared" si="25"/>
        <v>0.13171494995558086</v>
      </c>
      <c r="L72" s="27">
        <f t="shared" si="26"/>
        <v>0.10555538882782109</v>
      </c>
      <c r="M72" s="27">
        <f t="shared" si="27"/>
        <v>0.17668716124685227</v>
      </c>
      <c r="N72" s="27">
        <f t="shared" si="28"/>
        <v>0.18363843433390459</v>
      </c>
      <c r="O72" s="27">
        <f t="shared" si="29"/>
        <v>0.14216988778266559</v>
      </c>
      <c r="P72" s="27">
        <f t="shared" si="30"/>
        <v>0.13145189696815807</v>
      </c>
    </row>
    <row r="73" spans="2:16" x14ac:dyDescent="0.25">
      <c r="B73" s="7">
        <f t="shared" si="2"/>
        <v>630</v>
      </c>
      <c r="C73" s="27">
        <f t="shared" si="17"/>
        <v>2.9668027373394107E-2</v>
      </c>
      <c r="D73" s="27">
        <f t="shared" si="18"/>
        <v>6.2607785139937493E-3</v>
      </c>
      <c r="E73" s="27">
        <f t="shared" si="19"/>
        <v>3.0972987974458035E-3</v>
      </c>
      <c r="F73" s="27">
        <f t="shared" si="20"/>
        <v>5.3693544461996576E-2</v>
      </c>
      <c r="G73" s="27">
        <f t="shared" si="21"/>
        <v>5.1653510344779607E-2</v>
      </c>
      <c r="H73" s="27">
        <f t="shared" si="22"/>
        <v>1.1409687914598954E-2</v>
      </c>
      <c r="I73" s="27">
        <f t="shared" si="23"/>
        <v>6.1309557857063268E-3</v>
      </c>
      <c r="J73" s="27">
        <f t="shared" si="24"/>
        <v>0.18125248623568366</v>
      </c>
      <c r="K73" s="27">
        <f t="shared" si="25"/>
        <v>0.12590589292491647</v>
      </c>
      <c r="L73" s="27">
        <f t="shared" si="26"/>
        <v>9.8386999546320034E-2</v>
      </c>
      <c r="M73" s="27">
        <f t="shared" si="27"/>
        <v>0.17235791947060458</v>
      </c>
      <c r="N73" s="27">
        <f t="shared" si="28"/>
        <v>0.17932779351772432</v>
      </c>
      <c r="O73" s="27">
        <f t="shared" si="29"/>
        <v>0.13669892505079884</v>
      </c>
      <c r="P73" s="27">
        <f t="shared" si="30"/>
        <v>0.12563037155729351</v>
      </c>
    </row>
    <row r="74" spans="2:16" x14ac:dyDescent="0.25">
      <c r="B74" s="7">
        <f t="shared" si="2"/>
        <v>640</v>
      </c>
      <c r="C74" s="27">
        <f t="shared" si="17"/>
        <v>2.8056874198598071E-2</v>
      </c>
      <c r="D74" s="27">
        <f t="shared" si="18"/>
        <v>5.6024964458019728E-3</v>
      </c>
      <c r="E74" s="27">
        <f t="shared" si="19"/>
        <v>2.5885120181672991E-3</v>
      </c>
      <c r="F74" s="27">
        <f t="shared" si="20"/>
        <v>5.2210320968050179E-2</v>
      </c>
      <c r="G74" s="27">
        <f t="shared" si="21"/>
        <v>4.9973062072599661E-2</v>
      </c>
      <c r="H74" s="27">
        <f t="shared" si="22"/>
        <v>1.0498628282941125E-2</v>
      </c>
      <c r="I74" s="27">
        <f t="shared" si="23"/>
        <v>5.4802686399895162E-3</v>
      </c>
      <c r="J74" s="27">
        <f t="shared" si="24"/>
        <v>0.1764049234972509</v>
      </c>
      <c r="K74" s="27">
        <f t="shared" si="25"/>
        <v>0.12032059239025346</v>
      </c>
      <c r="L74" s="27">
        <f t="shared" si="26"/>
        <v>9.1549761345463887E-2</v>
      </c>
      <c r="M74" s="27">
        <f t="shared" si="27"/>
        <v>0.16817929332636097</v>
      </c>
      <c r="N74" s="27">
        <f t="shared" si="28"/>
        <v>0.17514771707352295</v>
      </c>
      <c r="O74" s="27">
        <f t="shared" si="29"/>
        <v>0.13142629208772116</v>
      </c>
      <c r="P74" s="27">
        <f t="shared" si="30"/>
        <v>0.12003342578135512</v>
      </c>
    </row>
    <row r="75" spans="2:16" x14ac:dyDescent="0.25">
      <c r="B75" s="7">
        <f t="shared" ref="B75:B138" si="31">B74+cycle_length</f>
        <v>650</v>
      </c>
      <c r="C75" s="27">
        <f t="shared" ref="C75:C106" si="32" xml:space="preserve"> EXP(-exp_c_lambda*$B75)</f>
        <v>2.653321637763819E-2</v>
      </c>
      <c r="D75" s="27">
        <f t="shared" ref="D75:D106" si="33" xml:space="preserve"> EXP(-weib_c_lambda*$B75^weib_c_gamma)</f>
        <v>5.0101530307407344E-3</v>
      </c>
      <c r="E75" s="27">
        <f t="shared" ref="E75:E106" si="34">EXP((gomp_c_lambda/gomp_c_gamma)*(1-EXP(gomp_c_gamma*$B75)))</f>
        <v>2.1539453322208346E-3</v>
      </c>
      <c r="F75" s="27">
        <f t="shared" ref="F75:F106" si="35">1/(1+ll_c_lambda*$B75^ll_c_gamma)</f>
        <v>5.0787975894414361E-2</v>
      </c>
      <c r="G75" s="27">
        <f t="shared" ref="G75:G106" si="36">1-NORMDIST(((LN($B75)-ln_c_lambda)/ln_c_gamma),0,1,TRUE)</f>
        <v>4.8361544099888465E-2</v>
      </c>
      <c r="H75" s="27">
        <f t="shared" ref="H75:H106" si="37">IF(gam_c_gamma&gt;0, 1-GAMMADIST(gam_c_lambda*$B75,gam_c_gamma,1,TRUE), 1- (1-GAMMADIST(gam_c_lambda*$B75,gam_c_gamma,1,TRUE)))</f>
        <v>9.6592194348612548E-3</v>
      </c>
      <c r="I75" s="27">
        <f t="shared" ref="I75:I106" si="38" xml:space="preserve"> IF(ggam_c_gamma&gt;0, 1-GAMMADIST(ggam_c_lambda*$B75^(ggam_c_delta),ggam_c_gamma,1,TRUE), 1-( 1-GAMMADIST(ggam_c_lambda*$B75^(ggam_c_delta),ggam_c_gamma,1,TRUE)))</f>
        <v>4.8953098290458463E-3</v>
      </c>
      <c r="J75" s="27">
        <f t="shared" ref="J75:J106" si="39" xml:space="preserve"> EXP(-exp_i_lambda*$B75)</f>
        <v>0.17168700788803043</v>
      </c>
      <c r="K75" s="27">
        <f t="shared" ref="K75:K106" si="40" xml:space="preserve"> EXP(-weib_i_lambda*$B75^weib_i_gamma)</f>
        <v>0.11495236996672926</v>
      </c>
      <c r="L75" s="27">
        <f t="shared" ref="L75:L106" si="41">EXP((gomp_i_lambda/gomp_i_gamma)*(1-EXP(gomp_i_gamma*$B75)))</f>
        <v>8.5039576267096989E-2</v>
      </c>
      <c r="M75" s="27">
        <f t="shared" ref="M75:M106" si="42">1/(1+ll_i_lambda*$B75^ll_i_gamma)</f>
        <v>0.16414480047309263</v>
      </c>
      <c r="N75" s="27">
        <f t="shared" ref="N75:N106" si="43">1-NORMDIST(((LN($B75)-ln_i_lambda)/ln_i_gamma),0,1,TRUE)</f>
        <v>0.17109334297133461</v>
      </c>
      <c r="O75" s="27">
        <f t="shared" ref="O75:O106" si="44">IF(gam_i_gamma&gt;0, 1-GAMMADIST(gam_i_lambda*$B75,gam_i_gamma,1,TRUE), 1- (1-GAMMADIST(gam_i_lambda*$B75,gam_i_gamma,1,TRUE)))</f>
        <v>0.12634558650238614</v>
      </c>
      <c r="P75" s="27">
        <f t="shared" ref="P75:P106" si="45" xml:space="preserve"> IF(ggam_i_gamma&gt;0, 1-GAMMADIST(ggam_i_lambda*$B75^(ggam_i_delta),ggam_i_gamma,1,TRUE), 1-( 1-GAMMADIST(ggam_i_lambda*$B75^(ggam_i_delta),ggam_i_gamma,1,TRUE)))</f>
        <v>0.11465438376298431</v>
      </c>
    </row>
    <row r="76" spans="2:16" x14ac:dyDescent="0.25">
      <c r="B76" s="7">
        <f t="shared" si="31"/>
        <v>660</v>
      </c>
      <c r="C76" s="27">
        <f t="shared" si="32"/>
        <v>2.5092302384053342E-2</v>
      </c>
      <c r="D76" s="27">
        <f t="shared" si="33"/>
        <v>4.4775380000025046E-3</v>
      </c>
      <c r="E76" s="27">
        <f t="shared" si="34"/>
        <v>1.7843954189873529E-3</v>
      </c>
      <c r="F76" s="27">
        <f t="shared" si="35"/>
        <v>4.9423242859511378E-2</v>
      </c>
      <c r="G76" s="27">
        <f t="shared" si="36"/>
        <v>4.681551760934477E-2</v>
      </c>
      <c r="H76" s="27">
        <f t="shared" si="37"/>
        <v>8.8859425114671264E-3</v>
      </c>
      <c r="I76" s="27">
        <f t="shared" si="38"/>
        <v>4.3698441414097289E-3</v>
      </c>
      <c r="J76" s="27">
        <f t="shared" si="39"/>
        <v>0.16709527202059068</v>
      </c>
      <c r="K76" s="27">
        <f t="shared" si="40"/>
        <v>0.10979462478699437</v>
      </c>
      <c r="L76" s="27">
        <f t="shared" si="41"/>
        <v>7.885170273842089E-2</v>
      </c>
      <c r="M76" s="27">
        <f t="shared" si="42"/>
        <v>0.16024827388470256</v>
      </c>
      <c r="N76" s="27">
        <f t="shared" si="43"/>
        <v>0.16716002249267059</v>
      </c>
      <c r="O76" s="27">
        <f t="shared" si="44"/>
        <v>0.1214505572211193</v>
      </c>
      <c r="P76" s="27">
        <f t="shared" si="45"/>
        <v>0.10948664352676307</v>
      </c>
    </row>
    <row r="77" spans="2:16" x14ac:dyDescent="0.25">
      <c r="B77" s="7">
        <f t="shared" si="31"/>
        <v>670</v>
      </c>
      <c r="C77" s="27">
        <f t="shared" si="32"/>
        <v>2.372963872798349E-2</v>
      </c>
      <c r="D77" s="27">
        <f t="shared" si="33"/>
        <v>3.9989790142351787E-3</v>
      </c>
      <c r="E77" s="27">
        <f t="shared" si="34"/>
        <v>1.4715427364098536E-3</v>
      </c>
      <c r="F77" s="27">
        <f t="shared" si="35"/>
        <v>4.8113069365928539E-2</v>
      </c>
      <c r="G77" s="27">
        <f t="shared" si="36"/>
        <v>4.5331746531905415E-2</v>
      </c>
      <c r="H77" s="27">
        <f t="shared" si="37"/>
        <v>8.1736911265026801E-3</v>
      </c>
      <c r="I77" s="27">
        <f t="shared" si="38"/>
        <v>3.8981794365068323E-3</v>
      </c>
      <c r="J77" s="27">
        <f t="shared" si="39"/>
        <v>0.16262634124210718</v>
      </c>
      <c r="K77" s="27">
        <f t="shared" si="40"/>
        <v>0.1048408417892612</v>
      </c>
      <c r="L77" s="27">
        <f t="shared" si="41"/>
        <v>7.2980777799674337E-2</v>
      </c>
      <c r="M77" s="27">
        <f t="shared" si="42"/>
        <v>0.15648384609079952</v>
      </c>
      <c r="N77" s="27">
        <f t="shared" si="43"/>
        <v>0.16334330965741506</v>
      </c>
      <c r="O77" s="27">
        <f t="shared" si="44"/>
        <v>0.11673510540682797</v>
      </c>
      <c r="P77" s="27">
        <f t="shared" si="45"/>
        <v>0.10452368556898617</v>
      </c>
    </row>
    <row r="78" spans="2:16" x14ac:dyDescent="0.25">
      <c r="B78" s="7">
        <f t="shared" si="31"/>
        <v>680</v>
      </c>
      <c r="C78" s="27">
        <f t="shared" si="32"/>
        <v>2.2440975943222832E-2</v>
      </c>
      <c r="D78" s="27">
        <f t="shared" si="33"/>
        <v>3.5693006301069511E-3</v>
      </c>
      <c r="E78" s="27">
        <f t="shared" si="34"/>
        <v>1.2079037100792189E-3</v>
      </c>
      <c r="F78" s="27">
        <f t="shared" si="35"/>
        <v>4.6854600432516491E-2</v>
      </c>
      <c r="G78" s="27">
        <f t="shared" si="36"/>
        <v>4.3907183743175038E-2</v>
      </c>
      <c r="H78" s="27">
        <f t="shared" si="37"/>
        <v>7.5177419535785717E-3</v>
      </c>
      <c r="I78" s="27">
        <f t="shared" si="38"/>
        <v>3.4751251083879886E-3</v>
      </c>
      <c r="J78" s="27">
        <f t="shared" si="39"/>
        <v>0.1582769311541937</v>
      </c>
      <c r="K78" s="27">
        <f t="shared" si="40"/>
        <v>0.10008459914804374</v>
      </c>
      <c r="L78" s="27">
        <f t="shared" si="41"/>
        <v>6.7420842676736148E-2</v>
      </c>
      <c r="M78" s="27">
        <f t="shared" si="42"/>
        <v>0.15284593407948013</v>
      </c>
      <c r="N78" s="27">
        <f t="shared" si="43"/>
        <v>0.15963895121343663</v>
      </c>
      <c r="O78" s="27">
        <f t="shared" si="44"/>
        <v>0.11219328487384073</v>
      </c>
      <c r="P78" s="27">
        <f t="shared" si="45"/>
        <v>9.9759080563286417E-2</v>
      </c>
    </row>
    <row r="79" spans="2:16" x14ac:dyDescent="0.25">
      <c r="B79" s="7">
        <f t="shared" si="31"/>
        <v>690</v>
      </c>
      <c r="C79" s="27">
        <f t="shared" si="32"/>
        <v>2.1222295335260717E-2</v>
      </c>
      <c r="D79" s="27">
        <f t="shared" si="33"/>
        <v>3.1837857303394388E-3</v>
      </c>
      <c r="E79" s="27">
        <f t="shared" si="34"/>
        <v>9.8678048997900055E-4</v>
      </c>
      <c r="F79" s="27">
        <f t="shared" si="35"/>
        <v>4.5645163646731213E-2</v>
      </c>
      <c r="G79" s="27">
        <f t="shared" si="36"/>
        <v>4.2538958324602416E-2</v>
      </c>
      <c r="H79" s="27">
        <f t="shared" si="37"/>
        <v>6.913727245082435E-3</v>
      </c>
      <c r="I79" s="27">
        <f t="shared" si="38"/>
        <v>3.0959530326910567E-3</v>
      </c>
      <c r="J79" s="27">
        <f t="shared" si="39"/>
        <v>0.15404384519906433</v>
      </c>
      <c r="K79" s="27">
        <f t="shared" si="40"/>
        <v>9.5519574898638229E-2</v>
      </c>
      <c r="L79" s="27">
        <f t="shared" si="41"/>
        <v>6.2165371579332489E-2</v>
      </c>
      <c r="M79" s="27">
        <f t="shared" si="42"/>
        <v>0.14932922486265077</v>
      </c>
      <c r="N79" s="27">
        <f t="shared" si="43"/>
        <v>0.15604287715947363</v>
      </c>
      <c r="O79" s="27">
        <f t="shared" si="44"/>
        <v>0.10781930205117018</v>
      </c>
      <c r="P79" s="27">
        <f t="shared" si="45"/>
        <v>9.5186496252236963E-2</v>
      </c>
    </row>
    <row r="80" spans="2:16" x14ac:dyDescent="0.25">
      <c r="B80" s="7">
        <f t="shared" si="31"/>
        <v>700</v>
      </c>
      <c r="C80" s="27">
        <f t="shared" si="32"/>
        <v>2.0069796448983983E-2</v>
      </c>
      <c r="D80" s="27">
        <f t="shared" si="33"/>
        <v>2.8381393537107173E-3</v>
      </c>
      <c r="E80" s="27">
        <f t="shared" si="34"/>
        <v>8.0220906210502199E-4</v>
      </c>
      <c r="F80" s="27">
        <f t="shared" si="35"/>
        <v>4.4482255500660164E-2</v>
      </c>
      <c r="G80" s="27">
        <f t="shared" si="36"/>
        <v>4.1224363797827568E-2</v>
      </c>
      <c r="H80" s="27">
        <f t="shared" si="37"/>
        <v>6.3576091765313869E-3</v>
      </c>
      <c r="I80" s="27">
        <f t="shared" si="38"/>
        <v>2.7563609365286457E-3</v>
      </c>
      <c r="J80" s="27">
        <f t="shared" si="39"/>
        <v>0.14992397231025384</v>
      </c>
      <c r="K80" s="27">
        <f t="shared" si="40"/>
        <v>9.1139552804213611E-2</v>
      </c>
      <c r="L80" s="27">
        <f t="shared" si="41"/>
        <v>5.7207303573064763E-2</v>
      </c>
      <c r="M80" s="27">
        <f t="shared" si="42"/>
        <v>0.14592866169814642</v>
      </c>
      <c r="N80" s="27">
        <f t="shared" si="43"/>
        <v>0.15255119177298926</v>
      </c>
      <c r="O80" s="27">
        <f t="shared" si="44"/>
        <v>0.10360751554243763</v>
      </c>
      <c r="P80" s="27">
        <f t="shared" si="45"/>
        <v>9.0799703572999491E-2</v>
      </c>
    </row>
    <row r="81" spans="2:16" x14ac:dyDescent="0.25">
      <c r="B81" s="7">
        <f t="shared" si="31"/>
        <v>710</v>
      </c>
      <c r="C81" s="27">
        <f t="shared" si="32"/>
        <v>1.8979885216958873E-2</v>
      </c>
      <c r="D81" s="27">
        <f t="shared" si="33"/>
        <v>2.5284548503858757E-3</v>
      </c>
      <c r="E81" s="27">
        <f t="shared" si="34"/>
        <v>6.4890646597274768E-4</v>
      </c>
      <c r="F81" s="27">
        <f t="shared" si="35"/>
        <v>4.3363528888453955E-2</v>
      </c>
      <c r="G81" s="27">
        <f t="shared" si="36"/>
        <v>3.9960847249283171E-2</v>
      </c>
      <c r="H81" s="27">
        <f t="shared" si="37"/>
        <v>5.8456559131478958E-3</v>
      </c>
      <c r="I81" s="27">
        <f t="shared" si="38"/>
        <v>2.4524381190100808E-3</v>
      </c>
      <c r="J81" s="27">
        <f t="shared" si="39"/>
        <v>0.14591428462616884</v>
      </c>
      <c r="K81" s="27">
        <f t="shared" si="40"/>
        <v>8.6938427512247896E-2</v>
      </c>
      <c r="L81" s="27">
        <f t="shared" si="41"/>
        <v>5.2539077341300221E-2</v>
      </c>
      <c r="M81" s="27">
        <f t="shared" si="42"/>
        <v>0.14263943095797113</v>
      </c>
      <c r="N81" s="27">
        <f t="shared" si="43"/>
        <v>0.14916016511587793</v>
      </c>
      <c r="O81" s="27">
        <f t="shared" si="44"/>
        <v>9.9552435326531241E-2</v>
      </c>
      <c r="P81" s="27">
        <f t="shared" si="45"/>
        <v>8.6592582063115264E-2</v>
      </c>
    </row>
    <row r="82" spans="2:16" x14ac:dyDescent="0.25">
      <c r="B82" s="7">
        <f t="shared" si="31"/>
        <v>720</v>
      </c>
      <c r="C82" s="27">
        <f t="shared" si="32"/>
        <v>1.7949162751332765E-2</v>
      </c>
      <c r="D82" s="27">
        <f t="shared" si="33"/>
        <v>2.2511822792434565E-3</v>
      </c>
      <c r="E82" s="27">
        <f t="shared" si="34"/>
        <v>5.2221782174291683E-4</v>
      </c>
      <c r="F82" s="27">
        <f t="shared" si="35"/>
        <v>4.2286781655567172E-2</v>
      </c>
      <c r="G82" s="27">
        <f t="shared" si="36"/>
        <v>3.8745999269908404E-2</v>
      </c>
      <c r="H82" s="27">
        <f t="shared" si="37"/>
        <v>5.3744192988326445E-3</v>
      </c>
      <c r="I82" s="27">
        <f t="shared" si="38"/>
        <v>2.1806334406710981E-3</v>
      </c>
      <c r="J82" s="27">
        <f t="shared" si="39"/>
        <v>0.14201183526478939</v>
      </c>
      <c r="K82" s="27">
        <f t="shared" si="40"/>
        <v>8.2910209044993702E-2</v>
      </c>
      <c r="L82" s="27">
        <f t="shared" si="41"/>
        <v>4.8152668621515189E-2</v>
      </c>
      <c r="M82" s="27">
        <f t="shared" si="42"/>
        <v>0.13945694962816169</v>
      </c>
      <c r="N82" s="27">
        <f t="shared" si="43"/>
        <v>0.14586622499211932</v>
      </c>
      <c r="O82" s="27">
        <f t="shared" si="44"/>
        <v>9.5648721639246426E-2</v>
      </c>
      <c r="P82" s="27">
        <f t="shared" si="45"/>
        <v>8.2559124590592115E-2</v>
      </c>
    </row>
    <row r="83" spans="2:16" x14ac:dyDescent="0.25">
      <c r="B83" s="7">
        <f t="shared" si="31"/>
        <v>730</v>
      </c>
      <c r="C83" s="27">
        <f t="shared" si="32"/>
        <v>1.6974414744403442E-2</v>
      </c>
      <c r="D83" s="27">
        <f t="shared" si="33"/>
        <v>2.0030989573251827E-3</v>
      </c>
      <c r="E83" s="27">
        <f t="shared" si="34"/>
        <v>4.1806381394512109E-4</v>
      </c>
      <c r="F83" s="27">
        <f t="shared" si="35"/>
        <v>4.1249946101482138E-2</v>
      </c>
      <c r="G83" s="27">
        <f t="shared" si="36"/>
        <v>3.7577544641811955E-2</v>
      </c>
      <c r="H83" s="27">
        <f t="shared" si="37"/>
        <v>4.9407140713910724E-3</v>
      </c>
      <c r="I83" s="27">
        <f t="shared" si="38"/>
        <v>1.9377254929102694E-3</v>
      </c>
      <c r="J83" s="27">
        <f t="shared" si="39"/>
        <v>0.13821375615788603</v>
      </c>
      <c r="K83" s="27">
        <f t="shared" si="40"/>
        <v>7.9049026666674738E-2</v>
      </c>
      <c r="L83" s="27">
        <f t="shared" si="41"/>
        <v>4.4039630070424281E-2</v>
      </c>
      <c r="M83" s="27">
        <f t="shared" si="42"/>
        <v>0.13637685342285888</v>
      </c>
      <c r="N83" s="27">
        <f t="shared" si="43"/>
        <v>0.14266594933268362</v>
      </c>
      <c r="O83" s="27">
        <f t="shared" si="44"/>
        <v>9.1891183572660906E-2</v>
      </c>
      <c r="P83" s="27">
        <f t="shared" si="45"/>
        <v>7.8693441450588764E-2</v>
      </c>
    </row>
    <row r="84" spans="2:16" x14ac:dyDescent="0.25">
      <c r="B84" s="7">
        <f t="shared" si="31"/>
        <v>740</v>
      </c>
      <c r="C84" s="27">
        <f t="shared" si="32"/>
        <v>1.6052601444801466E-2</v>
      </c>
      <c r="D84" s="27">
        <f t="shared" si="33"/>
        <v>1.7812820668647699E-3</v>
      </c>
      <c r="E84" s="27">
        <f t="shared" si="34"/>
        <v>3.328892143428589E-4</v>
      </c>
      <c r="F84" s="27">
        <f t="shared" si="35"/>
        <v>4.0251079347624348E-2</v>
      </c>
      <c r="G84" s="27">
        <f t="shared" si="36"/>
        <v>3.645333371000048E-2</v>
      </c>
      <c r="H84" s="27">
        <f t="shared" si="37"/>
        <v>4.5415985117398527E-3</v>
      </c>
      <c r="I84" s="27">
        <f t="shared" si="38"/>
        <v>1.7207948533122241E-3</v>
      </c>
      <c r="J84" s="27">
        <f t="shared" si="39"/>
        <v>0.13451725594316016</v>
      </c>
      <c r="K84" s="27">
        <f t="shared" si="40"/>
        <v>7.534913216819053E-2</v>
      </c>
      <c r="L84" s="27">
        <f t="shared" si="41"/>
        <v>4.0191133283648969E-2</v>
      </c>
      <c r="M84" s="27">
        <f t="shared" si="42"/>
        <v>0.13339498549304235</v>
      </c>
      <c r="N84" s="27">
        <f t="shared" si="43"/>
        <v>0.13955605898420309</v>
      </c>
      <c r="O84" s="27">
        <f t="shared" si="44"/>
        <v>8.8274777425785045E-2</v>
      </c>
      <c r="P84" s="27">
        <f t="shared" si="45"/>
        <v>7.4989763869153681E-2</v>
      </c>
    </row>
    <row r="85" spans="2:16" x14ac:dyDescent="0.25">
      <c r="B85" s="7">
        <f t="shared" si="31"/>
        <v>750</v>
      </c>
      <c r="C85" s="27">
        <f t="shared" si="32"/>
        <v>1.5180848178026451E-2</v>
      </c>
      <c r="D85" s="27">
        <f t="shared" si="33"/>
        <v>1.5830832222960315E-3</v>
      </c>
      <c r="E85" s="27">
        <f t="shared" si="34"/>
        <v>2.6361295625913734E-4</v>
      </c>
      <c r="F85" s="27">
        <f t="shared" si="35"/>
        <v>3.9288354491103843E-2</v>
      </c>
      <c r="G85" s="27">
        <f t="shared" si="36"/>
        <v>3.5371334382927611E-2</v>
      </c>
      <c r="H85" s="27">
        <f t="shared" si="37"/>
        <v>4.1743564388156962E-3</v>
      </c>
      <c r="I85" s="27">
        <f t="shared" si="38"/>
        <v>1.5271983292275415E-3</v>
      </c>
      <c r="J85" s="27">
        <f t="shared" si="39"/>
        <v>0.13091961791275888</v>
      </c>
      <c r="K85" s="27">
        <f t="shared" si="40"/>
        <v>7.1804902608231275E-2</v>
      </c>
      <c r="L85" s="27">
        <f t="shared" si="41"/>
        <v>3.6598012669246255E-2</v>
      </c>
      <c r="M85" s="27">
        <f t="shared" si="42"/>
        <v>0.13050738570885045</v>
      </c>
      <c r="N85" s="27">
        <f t="shared" si="43"/>
        <v>0.13653341087910209</v>
      </c>
      <c r="O85" s="27">
        <f t="shared" si="44"/>
        <v>8.4794604837083787E-2</v>
      </c>
      <c r="P85" s="27">
        <f t="shared" si="45"/>
        <v>7.1442446952726391E-2</v>
      </c>
    </row>
    <row r="86" spans="2:16" x14ac:dyDescent="0.25">
      <c r="B86" s="7">
        <f t="shared" si="31"/>
        <v>760</v>
      </c>
      <c r="C86" s="27">
        <f t="shared" si="32"/>
        <v>1.4356436381775443E-2</v>
      </c>
      <c r="D86" s="27">
        <f t="shared" si="33"/>
        <v>1.4061048979748284E-3</v>
      </c>
      <c r="E86" s="27">
        <f t="shared" si="34"/>
        <v>2.0758019862028473E-4</v>
      </c>
      <c r="F86" s="27">
        <f t="shared" si="35"/>
        <v>3.83600524728787E-2</v>
      </c>
      <c r="G86" s="27">
        <f t="shared" si="36"/>
        <v>3.4329624710712769E-2</v>
      </c>
      <c r="H86" s="27">
        <f t="shared" si="37"/>
        <v>3.8364804659716256E-3</v>
      </c>
      <c r="I86" s="27">
        <f t="shared" si="38"/>
        <v>1.3545450899337119E-3</v>
      </c>
      <c r="J86" s="27">
        <f t="shared" si="39"/>
        <v>0.12741819801665599</v>
      </c>
      <c r="K86" s="27">
        <f t="shared" si="40"/>
        <v>6.841084254791889E-2</v>
      </c>
      <c r="L86" s="27">
        <f t="shared" si="41"/>
        <v>3.3250810850625694E-2</v>
      </c>
      <c r="M86" s="27">
        <f t="shared" si="42"/>
        <v>0.12771028049340721</v>
      </c>
      <c r="N86" s="27">
        <f t="shared" si="43"/>
        <v>0.13359499156603316</v>
      </c>
      <c r="O86" s="27">
        <f t="shared" si="44"/>
        <v>8.1445910726773318E-2</v>
      </c>
      <c r="P86" s="27">
        <f t="shared" si="45"/>
        <v>6.804597212037744E-2</v>
      </c>
    </row>
    <row r="87" spans="2:16" x14ac:dyDescent="0.25">
      <c r="B87" s="7">
        <f t="shared" si="31"/>
        <v>770</v>
      </c>
      <c r="C87" s="27">
        <f t="shared" si="32"/>
        <v>1.3576795128107265E-2</v>
      </c>
      <c r="D87" s="27">
        <f t="shared" si="33"/>
        <v>1.2481786168632375E-3</v>
      </c>
      <c r="E87" s="27">
        <f t="shared" si="34"/>
        <v>1.6251674202023329E-4</v>
      </c>
      <c r="F87" s="27">
        <f t="shared" si="35"/>
        <v>3.7464554596035947E-2</v>
      </c>
      <c r="G87" s="27">
        <f t="shared" si="36"/>
        <v>3.3326385994458252E-2</v>
      </c>
      <c r="H87" s="27">
        <f t="shared" si="37"/>
        <v>3.5256564387139422E-3</v>
      </c>
      <c r="I87" s="27">
        <f t="shared" si="38"/>
        <v>1.200674586906203E-3</v>
      </c>
      <c r="J87" s="27">
        <f t="shared" si="39"/>
        <v>0.12401042291943262</v>
      </c>
      <c r="K87" s="27">
        <f t="shared" si="40"/>
        <v>6.5161585814327641E-2</v>
      </c>
      <c r="L87" s="27">
        <f t="shared" si="41"/>
        <v>3.013982525367593E-2</v>
      </c>
      <c r="M87" s="27">
        <f t="shared" si="42"/>
        <v>0.12500007318548739</v>
      </c>
      <c r="N87" s="27">
        <f t="shared" si="43"/>
        <v>0.13073791108058841</v>
      </c>
      <c r="O87" s="27">
        <f t="shared" si="44"/>
        <v>7.8224081074306118E-2</v>
      </c>
      <c r="P87" s="27">
        <f t="shared" si="45"/>
        <v>6.4794949054091999E-2</v>
      </c>
    </row>
    <row r="88" spans="2:16" x14ac:dyDescent="0.25">
      <c r="B88" s="7">
        <f t="shared" si="31"/>
        <v>780</v>
      </c>
      <c r="C88" s="27">
        <f t="shared" si="32"/>
        <v>1.2839493106004445E-2</v>
      </c>
      <c r="D88" s="27">
        <f t="shared" si="33"/>
        <v>1.1073448009362042E-3</v>
      </c>
      <c r="E88" s="27">
        <f t="shared" si="34"/>
        <v>1.2648608313536817E-4</v>
      </c>
      <c r="F88" s="27">
        <f t="shared" si="35"/>
        <v>3.6600335636222989E-2</v>
      </c>
      <c r="G88" s="27">
        <f t="shared" si="36"/>
        <v>3.2359896384232312E-2</v>
      </c>
      <c r="H88" s="27">
        <f t="shared" si="37"/>
        <v>3.2397489776876398E-3</v>
      </c>
      <c r="I88" s="27">
        <f t="shared" si="38"/>
        <v>1.0636361619970058E-3</v>
      </c>
      <c r="J88" s="27">
        <f t="shared" si="39"/>
        <v>0.1206937881090287</v>
      </c>
      <c r="K88" s="27">
        <f t="shared" si="40"/>
        <v>6.2051896826552502E-2</v>
      </c>
      <c r="L88" s="27">
        <f t="shared" si="41"/>
        <v>2.7255155515754553E-2</v>
      </c>
      <c r="M88" s="27">
        <f t="shared" si="42"/>
        <v>0.12237333490809409</v>
      </c>
      <c r="N88" s="27">
        <f t="shared" si="43"/>
        <v>0.12795939713732629</v>
      </c>
      <c r="O88" s="27">
        <f t="shared" si="44"/>
        <v>7.5124640554197875E-2</v>
      </c>
      <c r="P88" s="27">
        <f t="shared" si="45"/>
        <v>6.1684117200786703E-2</v>
      </c>
    </row>
    <row r="89" spans="2:16" x14ac:dyDescent="0.25">
      <c r="B89" s="7">
        <f t="shared" si="31"/>
        <v>790</v>
      </c>
      <c r="C89" s="27">
        <f t="shared" si="32"/>
        <v>1.2142231039330537E-2</v>
      </c>
      <c r="D89" s="27">
        <f t="shared" si="33"/>
        <v>9.8183418541402702E-4</v>
      </c>
      <c r="E89" s="27">
        <f t="shared" si="34"/>
        <v>9.7849319586346486E-5</v>
      </c>
      <c r="F89" s="27">
        <f t="shared" si="35"/>
        <v>3.5765957491928818E-2</v>
      </c>
      <c r="G89" s="27">
        <f t="shared" si="36"/>
        <v>3.1428524927023749E-2</v>
      </c>
      <c r="H89" s="27">
        <f t="shared" si="37"/>
        <v>2.9767880548074999E-3</v>
      </c>
      <c r="I89" s="27">
        <f t="shared" si="38"/>
        <v>9.4167024447000536E-4</v>
      </c>
      <c r="J89" s="27">
        <f t="shared" si="39"/>
        <v>0.11746585605607546</v>
      </c>
      <c r="K89" s="27">
        <f t="shared" si="40"/>
        <v>5.9076671516361395E-2</v>
      </c>
      <c r="L89" s="27">
        <f t="shared" si="41"/>
        <v>2.4586751340957291E-2</v>
      </c>
      <c r="M89" s="27">
        <f t="shared" si="42"/>
        <v>0.11982679592004696</v>
      </c>
      <c r="N89" s="27">
        <f t="shared" si="43"/>
        <v>0.12525678962520193</v>
      </c>
      <c r="O89" s="27">
        <f t="shared" si="44"/>
        <v>7.2143250051254437E-2</v>
      </c>
      <c r="P89" s="27">
        <f t="shared" si="45"/>
        <v>5.8708346858164839E-2</v>
      </c>
    </row>
    <row r="90" spans="2:16" x14ac:dyDescent="0.25">
      <c r="B90" s="7">
        <f t="shared" si="31"/>
        <v>800</v>
      </c>
      <c r="C90" s="27">
        <f t="shared" si="32"/>
        <v>1.1482834516538186E-2</v>
      </c>
      <c r="D90" s="27">
        <f t="shared" si="33"/>
        <v>8.7005070095071591E-4</v>
      </c>
      <c r="E90" s="27">
        <f t="shared" si="34"/>
        <v>7.5228046433982505E-5</v>
      </c>
      <c r="F90" s="27">
        <f t="shared" si="35"/>
        <v>3.4960063327378547E-2</v>
      </c>
      <c r="G90" s="27">
        <f t="shared" si="36"/>
        <v>3.0530726029348587E-2</v>
      </c>
      <c r="H90" s="27">
        <f t="shared" si="37"/>
        <v>2.7349565343404159E-3</v>
      </c>
      <c r="I90" s="27">
        <f t="shared" si="38"/>
        <v>8.3319103972523401E-4</v>
      </c>
      <c r="J90" s="27">
        <f t="shared" si="39"/>
        <v>0.11432425442245643</v>
      </c>
      <c r="K90" s="27">
        <f t="shared" si="40"/>
        <v>5.6230937873873815E-2</v>
      </c>
      <c r="L90" s="27">
        <f t="shared" si="41"/>
        <v>2.2124460417138957E-2</v>
      </c>
      <c r="M90" s="27">
        <f t="shared" si="42"/>
        <v>0.11735733742790297</v>
      </c>
      <c r="N90" s="27">
        <f t="shared" si="43"/>
        <v>0.12262753538946836</v>
      </c>
      <c r="O90" s="27">
        <f t="shared" si="44"/>
        <v>6.9275704074340583E-2</v>
      </c>
      <c r="P90" s="27">
        <f t="shared" si="45"/>
        <v>5.5862639874987297E-2</v>
      </c>
    </row>
    <row r="91" spans="2:16" x14ac:dyDescent="0.25">
      <c r="B91" s="7">
        <f t="shared" si="31"/>
        <v>810</v>
      </c>
      <c r="C91" s="27">
        <f t="shared" si="32"/>
        <v>1.085924720976736E-2</v>
      </c>
      <c r="D91" s="27">
        <f t="shared" si="33"/>
        <v>7.7055573049023668E-4</v>
      </c>
      <c r="E91" s="27">
        <f t="shared" si="34"/>
        <v>5.7470319287318912E-5</v>
      </c>
      <c r="F91" s="27">
        <f t="shared" si="35"/>
        <v>3.4181372165343504E-2</v>
      </c>
      <c r="G91" s="27">
        <f t="shared" si="36"/>
        <v>2.9665034302249982E-2</v>
      </c>
      <c r="H91" s="27">
        <f t="shared" si="37"/>
        <v>2.5125786145528961E-3</v>
      </c>
      <c r="I91" s="27">
        <f t="shared" si="38"/>
        <v>7.3677061503141239E-4</v>
      </c>
      <c r="J91" s="27">
        <f t="shared" si="39"/>
        <v>0.1112666743177798</v>
      </c>
      <c r="K91" s="27">
        <f t="shared" si="40"/>
        <v>5.3509856147187888E-2</v>
      </c>
      <c r="L91" s="27">
        <f t="shared" si="41"/>
        <v>1.9858076005809126E-2</v>
      </c>
      <c r="M91" s="27">
        <f t="shared" si="42"/>
        <v>0.1149619838359416</v>
      </c>
      <c r="N91" s="27">
        <f t="shared" si="43"/>
        <v>0.12006918328407301</v>
      </c>
      <c r="O91" s="27">
        <f t="shared" si="44"/>
        <v>6.6517928086078371E-2</v>
      </c>
      <c r="P91" s="27">
        <f t="shared" si="45"/>
        <v>5.3142129994855125E-2</v>
      </c>
    </row>
    <row r="92" spans="2:16" x14ac:dyDescent="0.25">
      <c r="B92" s="7">
        <f t="shared" si="31"/>
        <v>820</v>
      </c>
      <c r="C92" s="27">
        <f t="shared" si="32"/>
        <v>1.0269524462187528E-2</v>
      </c>
      <c r="D92" s="27">
        <f t="shared" si="33"/>
        <v>6.8205365052359892E-4</v>
      </c>
      <c r="E92" s="27">
        <f t="shared" si="34"/>
        <v>4.36196986286856E-5</v>
      </c>
      <c r="F92" s="27">
        <f t="shared" si="35"/>
        <v>3.3428673891231622E-2</v>
      </c>
      <c r="G92" s="27">
        <f t="shared" si="36"/>
        <v>2.8830059759196391E-2</v>
      </c>
      <c r="H92" s="27">
        <f t="shared" si="37"/>
        <v>2.3081091092218564E-3</v>
      </c>
      <c r="I92" s="27">
        <f t="shared" si="38"/>
        <v>6.5112429054214882E-4</v>
      </c>
      <c r="J92" s="27">
        <f t="shared" si="39"/>
        <v>0.10829086860248135</v>
      </c>
      <c r="K92" s="27">
        <f t="shared" si="40"/>
        <v>5.0908718723396425E-2</v>
      </c>
      <c r="L92" s="27">
        <f t="shared" si="41"/>
        <v>1.7777383816504188E-2</v>
      </c>
      <c r="M92" s="27">
        <f t="shared" si="42"/>
        <v>0.11263789541246945</v>
      </c>
      <c r="N92" s="27">
        <f t="shared" si="43"/>
        <v>0.11757937947946995</v>
      </c>
      <c r="O92" s="27">
        <f t="shared" si="44"/>
        <v>6.3865975764247462E-2</v>
      </c>
      <c r="P92" s="27">
        <f t="shared" si="45"/>
        <v>5.0542082871160354E-2</v>
      </c>
    </row>
    <row r="93" spans="2:16" x14ac:dyDescent="0.25">
      <c r="B93" s="7">
        <f t="shared" si="31"/>
        <v>830</v>
      </c>
      <c r="C93" s="27">
        <f t="shared" si="32"/>
        <v>9.7118272235859233E-3</v>
      </c>
      <c r="D93" s="27">
        <f t="shared" si="33"/>
        <v>6.0337856983998803E-4</v>
      </c>
      <c r="E93" s="27">
        <f t="shared" si="34"/>
        <v>3.2887336297679888E-5</v>
      </c>
      <c r="F93" s="27">
        <f t="shared" si="35"/>
        <v>3.2700824633469773E-2</v>
      </c>
      <c r="G93" s="27">
        <f t="shared" si="36"/>
        <v>2.8024483339895379E-2</v>
      </c>
      <c r="H93" s="27">
        <f t="shared" si="37"/>
        <v>2.1201235118684103E-3</v>
      </c>
      <c r="I93" s="27">
        <f t="shared" si="38"/>
        <v>5.7509724719706501E-4</v>
      </c>
      <c r="J93" s="27">
        <f t="shared" si="39"/>
        <v>0.10539465023631059</v>
      </c>
      <c r="K93" s="27">
        <f t="shared" si="40"/>
        <v>4.8422949717003831E-2</v>
      </c>
      <c r="L93" s="27">
        <f t="shared" si="41"/>
        <v>1.5872207782706683E-2</v>
      </c>
      <c r="M93" s="27">
        <f t="shared" si="42"/>
        <v>0.11038236135133067</v>
      </c>
      <c r="N93" s="27">
        <f t="shared" si="43"/>
        <v>0.1151558630116285</v>
      </c>
      <c r="O93" s="27">
        <f t="shared" si="44"/>
        <v>6.1316026209170649E-2</v>
      </c>
      <c r="P93" s="27">
        <f t="shared" si="45"/>
        <v>4.8057895779468618E-2</v>
      </c>
    </row>
    <row r="94" spans="2:16" x14ac:dyDescent="0.25">
      <c r="B94" s="7">
        <f t="shared" si="31"/>
        <v>840</v>
      </c>
      <c r="C94" s="27">
        <f t="shared" si="32"/>
        <v>9.1844163152899703E-3</v>
      </c>
      <c r="D94" s="27">
        <f t="shared" si="33"/>
        <v>5.3348218247721742E-4</v>
      </c>
      <c r="E94" s="27">
        <f t="shared" si="34"/>
        <v>2.4627018728283389E-5</v>
      </c>
      <c r="F94" s="27">
        <f t="shared" si="35"/>
        <v>3.1996742488462772E-2</v>
      </c>
      <c r="G94" s="27">
        <f t="shared" si="36"/>
        <v>2.7247052735314248E-2</v>
      </c>
      <c r="H94" s="27">
        <f t="shared" si="37"/>
        <v>1.9473087889894103E-3</v>
      </c>
      <c r="I94" s="27">
        <f t="shared" si="38"/>
        <v>5.0765226672044861E-4</v>
      </c>
      <c r="J94" s="27">
        <f t="shared" si="39"/>
        <v>0.10257589067098603</v>
      </c>
      <c r="K94" s="27">
        <f t="shared" si="40"/>
        <v>4.6048104290376923E-2</v>
      </c>
      <c r="L94" s="27">
        <f t="shared" si="41"/>
        <v>1.4132454366920946E-2</v>
      </c>
      <c r="M94" s="27">
        <f t="shared" si="42"/>
        <v>0.10819279320821149</v>
      </c>
      <c r="N94" s="27">
        <f t="shared" si="43"/>
        <v>0.11279646155882883</v>
      </c>
      <c r="O94" s="27">
        <f t="shared" si="44"/>
        <v>5.8864381110015351E-2</v>
      </c>
      <c r="P94" s="27">
        <f t="shared" si="45"/>
        <v>4.5685097052248214E-2</v>
      </c>
    </row>
    <row r="95" spans="2:16" x14ac:dyDescent="0.25">
      <c r="B95" s="7">
        <f t="shared" si="31"/>
        <v>850</v>
      </c>
      <c r="C95" s="27">
        <f t="shared" si="32"/>
        <v>8.6856470065391593E-3</v>
      </c>
      <c r="D95" s="27">
        <f t="shared" si="33"/>
        <v>4.7142265536507144E-4</v>
      </c>
      <c r="E95" s="27">
        <f t="shared" si="34"/>
        <v>1.8313042836915475E-5</v>
      </c>
      <c r="F95" s="27">
        <f t="shared" si="35"/>
        <v>3.1315403561353559E-2</v>
      </c>
      <c r="G95" s="27">
        <f t="shared" si="36"/>
        <v>2.649657849126652E-2</v>
      </c>
      <c r="H95" s="27">
        <f t="shared" si="37"/>
        <v>1.7884548518422028E-3</v>
      </c>
      <c r="I95" s="27">
        <f t="shared" si="38"/>
        <v>4.4785852272988258E-4</v>
      </c>
      <c r="J95" s="27">
        <f t="shared" si="39"/>
        <v>9.9832518285838986E-2</v>
      </c>
      <c r="K95" s="27">
        <f t="shared" si="40"/>
        <v>4.3779867729543592E-2</v>
      </c>
      <c r="L95" s="27">
        <f t="shared" si="41"/>
        <v>1.2548155038107238E-2</v>
      </c>
      <c r="M95" s="27">
        <f t="shared" si="42"/>
        <v>0.1060667186920727</v>
      </c>
      <c r="N95" s="27">
        <f t="shared" si="43"/>
        <v>0.11049908743360681</v>
      </c>
      <c r="O95" s="27">
        <f t="shared" si="44"/>
        <v>5.6507461881688537E-2</v>
      </c>
      <c r="P95" s="27">
        <f t="shared" si="45"/>
        <v>4.3419345259561815E-2</v>
      </c>
    </row>
    <row r="96" spans="2:16" x14ac:dyDescent="0.25">
      <c r="B96" s="7">
        <f t="shared" si="31"/>
        <v>860</v>
      </c>
      <c r="C96" s="27">
        <f t="shared" si="32"/>
        <v>8.2139638853926285E-3</v>
      </c>
      <c r="D96" s="27">
        <f t="shared" si="33"/>
        <v>4.1635447505365962E-4</v>
      </c>
      <c r="E96" s="27">
        <f t="shared" si="34"/>
        <v>1.3520769493242574E-5</v>
      </c>
      <c r="F96" s="27">
        <f t="shared" si="35"/>
        <v>3.0655838296456277E-2</v>
      </c>
      <c r="G96" s="27">
        <f t="shared" si="36"/>
        <v>2.5771930369800078E-2</v>
      </c>
      <c r="H96" s="27">
        <f t="shared" si="37"/>
        <v>1.6424466594624487E-3</v>
      </c>
      <c r="I96" s="27">
        <f t="shared" si="38"/>
        <v>3.9488134590148771E-4</v>
      </c>
      <c r="J96" s="27">
        <f t="shared" si="39"/>
        <v>9.7162516865295326E-2</v>
      </c>
      <c r="K96" s="27">
        <f t="shared" si="40"/>
        <v>4.1614054297360419E-2</v>
      </c>
      <c r="L96" s="27">
        <f t="shared" si="41"/>
        <v>1.11095065852221E-2</v>
      </c>
      <c r="M96" s="27">
        <f t="shared" si="42"/>
        <v>0.10400177579283389</v>
      </c>
      <c r="N96" s="27">
        <f t="shared" si="43"/>
        <v>0.10826173377793957</v>
      </c>
      <c r="O96" s="27">
        <f t="shared" si="44"/>
        <v>5.4241806782856394E-2</v>
      </c>
      <c r="P96" s="27">
        <f t="shared" si="45"/>
        <v>4.1256428158071401E-2</v>
      </c>
    </row>
    <row r="97" spans="2:16" x14ac:dyDescent="0.25">
      <c r="B97" s="7">
        <f t="shared" si="31"/>
        <v>870</v>
      </c>
      <c r="C97" s="27">
        <f t="shared" si="32"/>
        <v>7.7678960081774976E-3</v>
      </c>
      <c r="D97" s="27">
        <f t="shared" si="33"/>
        <v>3.6751918187355963E-4</v>
      </c>
      <c r="E97" s="27">
        <f t="shared" si="34"/>
        <v>9.9096761126056463E-6</v>
      </c>
      <c r="F97" s="27">
        <f t="shared" si="35"/>
        <v>3.0017128073612027E-2</v>
      </c>
      <c r="G97" s="27">
        <f t="shared" si="36"/>
        <v>2.5072033949331884E-2</v>
      </c>
      <c r="H97" s="27">
        <f t="shared" si="37"/>
        <v>1.5082569085800301E-3</v>
      </c>
      <c r="I97" s="27">
        <f t="shared" si="38"/>
        <v>3.4797289013832611E-4</v>
      </c>
      <c r="J97" s="27">
        <f t="shared" si="39"/>
        <v>9.4563924117077244E-2</v>
      </c>
      <c r="K97" s="27">
        <f t="shared" si="40"/>
        <v>3.9546605884849741E-2</v>
      </c>
      <c r="L97" s="27">
        <f t="shared" si="41"/>
        <v>9.8069089559042998E-3</v>
      </c>
      <c r="M97" s="27">
        <f t="shared" si="42"/>
        <v>0.10199570722722509</v>
      </c>
      <c r="N97" s="27">
        <f t="shared" si="43"/>
        <v>0.10608247095044676</v>
      </c>
      <c r="O97" s="27">
        <f t="shared" si="44"/>
        <v>5.2064068024567201E-2</v>
      </c>
      <c r="P97" s="27">
        <f t="shared" si="45"/>
        <v>3.9192261429497166E-2</v>
      </c>
    </row>
    <row r="98" spans="2:16" x14ac:dyDescent="0.25">
      <c r="B98" s="7">
        <f t="shared" si="31"/>
        <v>880</v>
      </c>
      <c r="C98" s="27">
        <f t="shared" si="32"/>
        <v>7.3460523123514603E-3</v>
      </c>
      <c r="D98" s="27">
        <f t="shared" si="33"/>
        <v>3.2423692383700103E-4</v>
      </c>
      <c r="E98" s="27">
        <f t="shared" si="34"/>
        <v>7.2087137231943848E-6</v>
      </c>
      <c r="F98" s="27">
        <f t="shared" si="35"/>
        <v>2.939840204886629E-2</v>
      </c>
      <c r="G98" s="27">
        <f t="shared" si="36"/>
        <v>2.4395867446028174E-2</v>
      </c>
      <c r="H98" s="27">
        <f t="shared" si="37"/>
        <v>1.3849392689300188E-3</v>
      </c>
      <c r="I98" s="27">
        <f t="shared" si="38"/>
        <v>3.0646363071218374E-4</v>
      </c>
      <c r="J98" s="27">
        <f t="shared" si="39"/>
        <v>9.2034830230034739E-2</v>
      </c>
      <c r="K98" s="27">
        <f t="shared" si="40"/>
        <v>3.7573590480315652E-2</v>
      </c>
      <c r="L98" s="27">
        <f t="shared" si="41"/>
        <v>8.6310003390835735E-3</v>
      </c>
      <c r="M98" s="27">
        <f t="shared" si="42"/>
        <v>0.10004635518554107</v>
      </c>
      <c r="N98" s="27">
        <f t="shared" si="43"/>
        <v>0.10395944309504002</v>
      </c>
      <c r="O98" s="27">
        <f t="shared" si="44"/>
        <v>4.9971008877994882E-2</v>
      </c>
      <c r="P98" s="27">
        <f t="shared" si="45"/>
        <v>3.7222887228497425E-2</v>
      </c>
    </row>
    <row r="99" spans="2:16" x14ac:dyDescent="0.25">
      <c r="B99" s="7">
        <f t="shared" si="31"/>
        <v>890</v>
      </c>
      <c r="C99" s="27">
        <f t="shared" si="32"/>
        <v>6.9471172784746609E-3</v>
      </c>
      <c r="D99" s="27">
        <f t="shared" si="33"/>
        <v>2.8589876652111907E-4</v>
      </c>
      <c r="E99" s="27">
        <f t="shared" si="34"/>
        <v>5.203764342214183E-6</v>
      </c>
      <c r="F99" s="27">
        <f t="shared" si="35"/>
        <v>2.879883421979761E-2</v>
      </c>
      <c r="G99" s="27">
        <f t="shared" si="36"/>
        <v>2.374245874034342E-2</v>
      </c>
      <c r="H99" s="27">
        <f t="shared" si="37"/>
        <v>1.2716221251425353E-3</v>
      </c>
      <c r="I99" s="27">
        <f t="shared" si="38"/>
        <v>2.6975462934464289E-4</v>
      </c>
      <c r="J99" s="27">
        <f t="shared" si="39"/>
        <v>8.9573376470548235E-2</v>
      </c>
      <c r="K99" s="27">
        <f t="shared" si="40"/>
        <v>3.569120047471188E-2</v>
      </c>
      <c r="L99" s="27">
        <f t="shared" si="41"/>
        <v>7.5726892440765425E-3</v>
      </c>
      <c r="M99" s="27">
        <f t="shared" si="42"/>
        <v>9.8151656362826231E-2</v>
      </c>
      <c r="N99" s="27">
        <f t="shared" si="43"/>
        <v>0.10189086488105548</v>
      </c>
      <c r="O99" s="27">
        <f t="shared" si="44"/>
        <v>4.795950078892941E-2</v>
      </c>
      <c r="P99" s="27">
        <f t="shared" si="45"/>
        <v>3.5344472558802797E-2</v>
      </c>
    </row>
    <row r="100" spans="2:16" x14ac:dyDescent="0.25">
      <c r="B100" s="7">
        <f t="shared" si="31"/>
        <v>900</v>
      </c>
      <c r="C100" s="27">
        <f t="shared" si="32"/>
        <v>6.5698468277627124E-3</v>
      </c>
      <c r="D100" s="27">
        <f t="shared" si="33"/>
        <v>2.5195969904250011E-4</v>
      </c>
      <c r="E100" s="27">
        <f t="shared" si="34"/>
        <v>3.7269909660029774E-6</v>
      </c>
      <c r="F100" s="27">
        <f t="shared" si="35"/>
        <v>2.8217640697576877E-2</v>
      </c>
      <c r="G100" s="27">
        <f t="shared" si="36"/>
        <v>2.3110882593925575E-2</v>
      </c>
      <c r="H100" s="27">
        <f t="shared" si="37"/>
        <v>1.1675027889417322E-3</v>
      </c>
      <c r="I100" s="27">
        <f t="shared" si="38"/>
        <v>2.3731050513364771E-4</v>
      </c>
      <c r="J100" s="27">
        <f t="shared" si="39"/>
        <v>8.7177753816469847E-2</v>
      </c>
      <c r="K100" s="27">
        <f t="shared" si="40"/>
        <v>3.3895750820640599E-2</v>
      </c>
      <c r="L100" s="27">
        <f t="shared" si="41"/>
        <v>6.6231833660786409E-3</v>
      </c>
      <c r="M100" s="27">
        <f t="shared" si="42"/>
        <v>9.6309637258824368E-2</v>
      </c>
      <c r="N100" s="27">
        <f t="shared" si="43"/>
        <v>9.9875018405492622E-2</v>
      </c>
      <c r="O100" s="27">
        <f t="shared" si="44"/>
        <v>4.6026520505835888E-2</v>
      </c>
      <c r="P100" s="27">
        <f t="shared" si="45"/>
        <v>3.3553307495358009E-2</v>
      </c>
    </row>
    <row r="101" spans="2:16" x14ac:dyDescent="0.25">
      <c r="B101" s="7">
        <f t="shared" si="31"/>
        <v>910</v>
      </c>
      <c r="C101" s="27">
        <f t="shared" si="32"/>
        <v>6.2130644424273837E-3</v>
      </c>
      <c r="D101" s="27">
        <f t="shared" si="33"/>
        <v>2.2193228001037986E-4</v>
      </c>
      <c r="E101" s="27">
        <f t="shared" si="34"/>
        <v>2.647874164754221E-6</v>
      </c>
      <c r="F101" s="27">
        <f t="shared" si="35"/>
        <v>2.7654077169411758E-2</v>
      </c>
      <c r="G101" s="27">
        <f t="shared" si="36"/>
        <v>2.2500258043269161E-2</v>
      </c>
      <c r="H101" s="27">
        <f t="shared" si="37"/>
        <v>1.0718421477884377E-3</v>
      </c>
      <c r="I101" s="27">
        <f t="shared" si="38"/>
        <v>2.0865305408945822E-4</v>
      </c>
      <c r="J101" s="27">
        <f t="shared" si="39"/>
        <v>8.4846201627599607E-2</v>
      </c>
      <c r="K101" s="27">
        <f t="shared" si="40"/>
        <v>3.2183677061308917E-2</v>
      </c>
      <c r="L101" s="27">
        <f t="shared" si="41"/>
        <v>5.7740150682897328E-3</v>
      </c>
      <c r="M101" s="27">
        <f t="shared" si="42"/>
        <v>9.4518409731799924E-2</v>
      </c>
      <c r="N101" s="27">
        <f t="shared" si="43"/>
        <v>9.7910250248516517E-2</v>
      </c>
      <c r="O101" s="27">
        <f t="shared" si="44"/>
        <v>4.4169147227553385E-2</v>
      </c>
      <c r="P101" s="27">
        <f t="shared" si="45"/>
        <v>3.1845803269174966E-2</v>
      </c>
    </row>
    <row r="102" spans="2:16" x14ac:dyDescent="0.25">
      <c r="B102" s="7">
        <f t="shared" si="31"/>
        <v>920</v>
      </c>
      <c r="C102" s="27">
        <f t="shared" si="32"/>
        <v>5.8756574967062051E-3</v>
      </c>
      <c r="D102" s="27">
        <f t="shared" si="33"/>
        <v>1.9538087101290385E-4</v>
      </c>
      <c r="E102" s="27">
        <f t="shared" si="34"/>
        <v>1.8657353405633854E-6</v>
      </c>
      <c r="F102" s="27">
        <f t="shared" si="35"/>
        <v>2.7107436536458519E-2</v>
      </c>
      <c r="G102" s="27">
        <f t="shared" si="36"/>
        <v>2.1909745957574778E-2</v>
      </c>
      <c r="H102" s="27">
        <f t="shared" si="37"/>
        <v>9.8395971836628959E-4</v>
      </c>
      <c r="I102" s="27">
        <f t="shared" si="38"/>
        <v>1.8335546378334122E-4</v>
      </c>
      <c r="J102" s="27">
        <f t="shared" si="39"/>
        <v>8.2577006351719703E-2</v>
      </c>
      <c r="K102" s="27">
        <f t="shared" si="40"/>
        <v>3.0551533244768034E-2</v>
      </c>
      <c r="L102" s="27">
        <f t="shared" si="41"/>
        <v>5.0170633535746465E-3</v>
      </c>
      <c r="M102" s="27">
        <f t="shared" si="42"/>
        <v>9.2776166792101794E-2</v>
      </c>
      <c r="N102" s="27">
        <f t="shared" si="43"/>
        <v>9.5994968673900782E-2</v>
      </c>
      <c r="O102" s="27">
        <f t="shared" si="44"/>
        <v>4.2384559776030839E-2</v>
      </c>
      <c r="P102" s="27">
        <f t="shared" si="45"/>
        <v>3.0218490230592532E-2</v>
      </c>
    </row>
    <row r="103" spans="2:16" x14ac:dyDescent="0.25">
      <c r="B103" s="7">
        <f t="shared" si="31"/>
        <v>930</v>
      </c>
      <c r="C103" s="27">
        <f t="shared" si="32"/>
        <v>5.5565737871393931E-3</v>
      </c>
      <c r="D103" s="27">
        <f t="shared" si="33"/>
        <v>1.7191640872989825E-4</v>
      </c>
      <c r="E103" s="27">
        <f t="shared" si="34"/>
        <v>1.3035563047396154E-6</v>
      </c>
      <c r="F103" s="27">
        <f t="shared" si="35"/>
        <v>2.6577046713573884E-2</v>
      </c>
      <c r="G103" s="27">
        <f t="shared" si="36"/>
        <v>2.133854674925828E-2</v>
      </c>
      <c r="H103" s="27">
        <f t="shared" si="37"/>
        <v>9.0322907545492548E-4</v>
      </c>
      <c r="I103" s="27">
        <f t="shared" si="38"/>
        <v>1.6103707323533722E-4</v>
      </c>
      <c r="J103" s="27">
        <f t="shared" si="39"/>
        <v>8.0368500265235371E-2</v>
      </c>
      <c r="K103" s="27">
        <f t="shared" si="40"/>
        <v>2.8995989737793583E-2</v>
      </c>
      <c r="L103" s="27">
        <f t="shared" si="41"/>
        <v>4.3445722428418418E-3</v>
      </c>
      <c r="M103" s="27">
        <f t="shared" si="42"/>
        <v>9.1081178622076084E-2</v>
      </c>
      <c r="N103" s="27">
        <f t="shared" si="43"/>
        <v>9.4127640966566894E-2</v>
      </c>
      <c r="O103" s="27">
        <f t="shared" si="44"/>
        <v>4.0670033798867689E-2</v>
      </c>
      <c r="P103" s="27">
        <f t="shared" si="45"/>
        <v>2.8668015705681782E-2</v>
      </c>
    </row>
    <row r="104" spans="2:16" x14ac:dyDescent="0.25">
      <c r="B104" s="7">
        <f t="shared" si="31"/>
        <v>940</v>
      </c>
      <c r="C104" s="27">
        <f t="shared" si="32"/>
        <v>5.2548182512736508E-3</v>
      </c>
      <c r="D104" s="27">
        <f t="shared" si="33"/>
        <v>1.5119167016435276E-4</v>
      </c>
      <c r="E104" s="27">
        <f t="shared" si="34"/>
        <v>9.0291711687773674E-7</v>
      </c>
      <c r="F104" s="27">
        <f t="shared" si="35"/>
        <v>2.606226857844841E-2</v>
      </c>
      <c r="G104" s="27">
        <f t="shared" si="36"/>
        <v>2.0785898226444499E-2</v>
      </c>
      <c r="H104" s="27">
        <f t="shared" si="37"/>
        <v>8.2907362873563262E-4</v>
      </c>
      <c r="I104" s="27">
        <f t="shared" si="38"/>
        <v>1.4135863164066453E-4</v>
      </c>
      <c r="J104" s="27">
        <f t="shared" si="39"/>
        <v>7.8219060247497418E-2</v>
      </c>
      <c r="K104" s="27">
        <f t="shared" si="40"/>
        <v>2.7513830952843703E-2</v>
      </c>
      <c r="L104" s="27">
        <f t="shared" si="41"/>
        <v>3.7491655224640387E-3</v>
      </c>
      <c r="M104" s="27">
        <f t="shared" si="42"/>
        <v>8.9431788809644502E-2</v>
      </c>
      <c r="N104" s="27">
        <f t="shared" si="43"/>
        <v>9.2306790899826741E-2</v>
      </c>
      <c r="O104" s="27">
        <f t="shared" si="44"/>
        <v>3.9022939005858626E-2</v>
      </c>
      <c r="P104" s="27">
        <f t="shared" si="45"/>
        <v>2.7191141759602466E-2</v>
      </c>
    </row>
    <row r="105" spans="2:16" x14ac:dyDescent="0.25">
      <c r="B105" s="7">
        <f t="shared" si="31"/>
        <v>950</v>
      </c>
      <c r="C105" s="27">
        <f t="shared" si="32"/>
        <v>4.9694498645602098E-3</v>
      </c>
      <c r="D105" s="27">
        <f t="shared" si="33"/>
        <v>1.328969887340847E-4</v>
      </c>
      <c r="E105" s="27">
        <f t="shared" si="34"/>
        <v>6.198883068094516E-7</v>
      </c>
      <c r="F105" s="27">
        <f t="shared" si="35"/>
        <v>2.5562494058723413E-2</v>
      </c>
      <c r="G105" s="27">
        <f t="shared" si="36"/>
        <v>2.0251073577611689E-2</v>
      </c>
      <c r="H105" s="27">
        <f t="shared" si="37"/>
        <v>7.6096272197534454E-4</v>
      </c>
      <c r="I105" s="27">
        <f t="shared" si="38"/>
        <v>1.2401801286221481E-4</v>
      </c>
      <c r="J105" s="27">
        <f t="shared" si="39"/>
        <v>7.6127106587904836E-2</v>
      </c>
      <c r="K105" s="27">
        <f t="shared" si="40"/>
        <v>2.6101953000650421E-2</v>
      </c>
      <c r="L105" s="27">
        <f t="shared" si="41"/>
        <v>3.2238578682675036E-3</v>
      </c>
      <c r="M105" s="27">
        <f t="shared" si="42"/>
        <v>8.7826410783551981E-2</v>
      </c>
      <c r="N105" s="27">
        <f t="shared" si="43"/>
        <v>9.0530996325371427E-2</v>
      </c>
      <c r="O105" s="27">
        <f t="shared" si="44"/>
        <v>3.744073644322321E-2</v>
      </c>
      <c r="P105" s="27">
        <f t="shared" si="45"/>
        <v>2.5784742879838451E-2</v>
      </c>
    </row>
    <row r="106" spans="2:16" x14ac:dyDescent="0.25">
      <c r="B106" s="7">
        <f t="shared" si="31"/>
        <v>960</v>
      </c>
      <c r="C106" s="27">
        <f t="shared" si="32"/>
        <v>4.6995787057700546E-3</v>
      </c>
      <c r="D106" s="27">
        <f t="shared" si="33"/>
        <v>1.1675638205880539E-4</v>
      </c>
      <c r="E106" s="27">
        <f t="shared" si="34"/>
        <v>4.2172894023237076E-7</v>
      </c>
      <c r="F106" s="27">
        <f t="shared" si="35"/>
        <v>2.507714434665401E-2</v>
      </c>
      <c r="G106" s="27">
        <f t="shared" si="36"/>
        <v>1.9733379479297097E-2</v>
      </c>
      <c r="H106" s="27">
        <f t="shared" si="37"/>
        <v>6.9840803079679326E-4</v>
      </c>
      <c r="I106" s="27">
        <f t="shared" si="38"/>
        <v>1.0874634578272868E-4</v>
      </c>
      <c r="J106" s="27">
        <f t="shared" si="39"/>
        <v>7.4091101824911562E-2</v>
      </c>
      <c r="K106" s="27">
        <f t="shared" si="40"/>
        <v>2.4757361280156383E-2</v>
      </c>
      <c r="L106" s="27">
        <f t="shared" si="41"/>
        <v>2.7620623980726018E-3</v>
      </c>
      <c r="M106" s="27">
        <f t="shared" si="42"/>
        <v>8.6263524438939962E-2</v>
      </c>
      <c r="N106" s="27">
        <f t="shared" si="43"/>
        <v>8.8798886879436489E-2</v>
      </c>
      <c r="O106" s="27">
        <f t="shared" si="44"/>
        <v>3.5920975808717115E-2</v>
      </c>
      <c r="P106" s="27">
        <f t="shared" si="45"/>
        <v>2.4445803591381043E-2</v>
      </c>
    </row>
    <row r="107" spans="2:16" x14ac:dyDescent="0.25">
      <c r="B107" s="7">
        <f t="shared" si="31"/>
        <v>970</v>
      </c>
      <c r="C107" s="27">
        <f t="shared" ref="C107:C138" si="46" xml:space="preserve"> EXP(-exp_c_lambda*$B107)</f>
        <v>4.4443631817748363E-3</v>
      </c>
      <c r="D107" s="27">
        <f t="shared" ref="D107:D138" si="47" xml:space="preserve"> EXP(-weib_c_lambda*$B107^weib_c_gamma)</f>
        <v>1.0252405521258901E-4</v>
      </c>
      <c r="E107" s="27">
        <f t="shared" ref="E107:E138" si="48">EXP((gomp_c_lambda/gomp_c_gamma)*(1-EXP(gomp_c_gamma*$B107)))</f>
        <v>2.842578423835958E-7</v>
      </c>
      <c r="F107" s="27">
        <f t="shared" ref="F107:F138" si="49">1/(1+ll_c_lambda*$B107^ll_c_gamma)</f>
        <v>2.4605668231754547E-2</v>
      </c>
      <c r="G107" s="27">
        <f t="shared" ref="G107:G138" si="50">1-NORMDIST(((LN($B107)-ln_c_lambda)/ln_c_gamma),0,1,TRUE)</f>
        <v>1.9232154318469807E-2</v>
      </c>
      <c r="H107" s="27">
        <f t="shared" ref="H107:H138" si="51">IF(gam_c_gamma&gt;0, 1-GAMMADIST(gam_c_lambda*$B107,gam_c_gamma,1,TRUE), 1- (1-GAMMADIST(gam_c_lambda*$B107,gam_c_gamma,1,TRUE)))</f>
        <v>6.4096023691595505E-4</v>
      </c>
      <c r="I107" s="27">
        <f t="shared" ref="I107:I138" si="52" xml:space="preserve"> IF(ggam_c_gamma&gt;0, 1-GAMMADIST(ggam_c_lambda*$B107^(ggam_c_delta),ggam_c_gamma,1,TRUE), 1-( 1-GAMMADIST(ggam_c_lambda*$B107^(ggam_c_delta),ggam_c_gamma,1,TRUE)))</f>
        <v>9.5304523616723813E-5</v>
      </c>
      <c r="J107" s="27">
        <f t="shared" ref="J107:J138" si="53" xml:space="preserve"> EXP(-exp_i_lambda*$B107)</f>
        <v>7.2109549616083679E-2</v>
      </c>
      <c r="K107" s="27">
        <f t="shared" ref="K107:K138" si="54" xml:space="preserve"> EXP(-weib_i_lambda*$B107^weib_i_gamma)</f>
        <v>2.3477168016709179E-2</v>
      </c>
      <c r="L107" s="27">
        <f t="shared" ref="L107:L138" si="55">EXP((gomp_i_lambda/gomp_i_gamma)*(1-EXP(gomp_i_gamma*$B107)))</f>
        <v>2.3575947476730487E-3</v>
      </c>
      <c r="M107" s="27">
        <f t="shared" ref="M107:M138" si="56">1/(1+ll_i_lambda*$B107^ll_i_gamma)</f>
        <v>8.4741672942531293E-2</v>
      </c>
      <c r="N107" s="27">
        <f t="shared" ref="N107:N138" si="57">1-NORMDIST(((LN($B107)-ln_i_lambda)/ln_i_gamma),0,1,TRUE)</f>
        <v>8.7109141798963563E-2</v>
      </c>
      <c r="O107" s="27">
        <f t="shared" ref="O107:O138" si="58">IF(gam_i_gamma&gt;0, 1-GAMMADIST(gam_i_lambda*$B107,gam_i_gamma,1,TRUE), 1- (1-GAMMADIST(gam_i_lambda*$B107,gam_i_gamma,1,TRUE)))</f>
        <v>3.4461292810393673E-2</v>
      </c>
      <c r="P107" s="27">
        <f t="shared" ref="P107:P138" si="59" xml:space="preserve"> IF(ggam_i_gamma&gt;0, 1-GAMMADIST(ggam_i_lambda*$B107^(ggam_i_delta),ggam_i_gamma,1,TRUE), 1-( 1-GAMMADIST(ggam_i_lambda*$B107^(ggam_i_delta),ggam_i_gamma,1,TRUE)))</f>
        <v>2.3171416015130619E-2</v>
      </c>
    </row>
    <row r="108" spans="2:16" x14ac:dyDescent="0.25">
      <c r="B108" s="7">
        <f t="shared" si="31"/>
        <v>980</v>
      </c>
      <c r="C108" s="27">
        <f t="shared" si="46"/>
        <v>4.2030074030389502E-3</v>
      </c>
      <c r="D108" s="27">
        <f t="shared" si="47"/>
        <v>8.9981245986067227E-5</v>
      </c>
      <c r="E108" s="27">
        <f t="shared" si="48"/>
        <v>1.8978110974539804E-7</v>
      </c>
      <c r="F108" s="27">
        <f t="shared" si="49"/>
        <v>2.4147540542655794E-2</v>
      </c>
      <c r="G108" s="27">
        <f t="shared" si="50"/>
        <v>1.8746766521806735E-2</v>
      </c>
      <c r="H108" s="27">
        <f t="shared" si="51"/>
        <v>5.8820595827557831E-4</v>
      </c>
      <c r="I108" s="27">
        <f t="shared" si="52"/>
        <v>8.3480058126417234E-5</v>
      </c>
      <c r="J108" s="27">
        <f t="shared" si="53"/>
        <v>7.0180993638376626E-2</v>
      </c>
      <c r="K108" s="27">
        <f t="shared" si="54"/>
        <v>2.225858975865325E-2</v>
      </c>
      <c r="L108" s="27">
        <f t="shared" si="55"/>
        <v>2.004673805715508E-3</v>
      </c>
      <c r="M108" s="27">
        <f t="shared" si="56"/>
        <v>8.3259459707310052E-2</v>
      </c>
      <c r="N108" s="27">
        <f t="shared" si="57"/>
        <v>8.5460487841928168E-2</v>
      </c>
      <c r="O108" s="27">
        <f t="shared" si="58"/>
        <v>3.3059406571382177E-2</v>
      </c>
      <c r="P108" s="27">
        <f t="shared" si="59"/>
        <v>2.1958777380001737E-2</v>
      </c>
    </row>
    <row r="109" spans="2:16" x14ac:dyDescent="0.25">
      <c r="B109" s="7">
        <f t="shared" si="31"/>
        <v>990</v>
      </c>
      <c r="C109" s="27">
        <f t="shared" si="46"/>
        <v>3.9747587016382598E-3</v>
      </c>
      <c r="D109" s="27">
        <f t="shared" si="47"/>
        <v>7.8933381317286541E-5</v>
      </c>
      <c r="E109" s="27">
        <f t="shared" si="48"/>
        <v>1.2547436653485242E-7</v>
      </c>
      <c r="F109" s="27">
        <f t="shared" si="49"/>
        <v>2.3702260690124436E-2</v>
      </c>
      <c r="G109" s="27">
        <f t="shared" si="50"/>
        <v>1.8276612984687635E-2</v>
      </c>
      <c r="H109" s="27">
        <f t="shared" si="51"/>
        <v>5.3976491597040877E-4</v>
      </c>
      <c r="I109" s="27">
        <f t="shared" si="52"/>
        <v>7.3084247358634613E-5</v>
      </c>
      <c r="J109" s="27">
        <f t="shared" si="53"/>
        <v>6.8304016517824404E-2</v>
      </c>
      <c r="K109" s="27">
        <f t="shared" si="54"/>
        <v>2.1098944841734881E-2</v>
      </c>
      <c r="L109" s="27">
        <f t="shared" si="55"/>
        <v>1.6979192804510474E-3</v>
      </c>
      <c r="M109" s="27">
        <f t="shared" si="56"/>
        <v>8.1815545527149064E-2</v>
      </c>
      <c r="N109" s="27">
        <f t="shared" si="57"/>
        <v>8.385169730633435E-2</v>
      </c>
      <c r="O109" s="27">
        <f t="shared" si="58"/>
        <v>3.1713117082691089E-2</v>
      </c>
      <c r="P109" s="27">
        <f t="shared" si="59"/>
        <v>2.0805187498484257E-2</v>
      </c>
    </row>
    <row r="110" spans="2:16" x14ac:dyDescent="0.25">
      <c r="B110" s="7">
        <f t="shared" si="31"/>
        <v>1000</v>
      </c>
      <c r="C110" s="27">
        <f t="shared" si="46"/>
        <v>3.7589052840653879E-3</v>
      </c>
      <c r="D110" s="27">
        <f t="shared" si="47"/>
        <v>6.9207516506821881E-5</v>
      </c>
      <c r="E110" s="27">
        <f t="shared" si="48"/>
        <v>8.2132710920268705E-8</v>
      </c>
      <c r="F110" s="27">
        <f t="shared" si="49"/>
        <v>2.3269351303853013E-2</v>
      </c>
      <c r="G110" s="27">
        <f t="shared" si="50"/>
        <v>1.7821117593261215E-2</v>
      </c>
      <c r="H110" s="27">
        <f t="shared" si="51"/>
        <v>4.9528732021275612E-4</v>
      </c>
      <c r="I110" s="27">
        <f t="shared" si="52"/>
        <v>6.3949628043569184E-5</v>
      </c>
      <c r="J110" s="27">
        <f t="shared" si="53"/>
        <v>6.6477238787854082E-2</v>
      </c>
      <c r="K110" s="27">
        <f t="shared" si="54"/>
        <v>1.9995650830041702E-2</v>
      </c>
      <c r="L110" s="27">
        <f t="shared" si="55"/>
        <v>1.4323463051047504E-3</v>
      </c>
      <c r="M110" s="27">
        <f t="shared" si="56"/>
        <v>8.040864586238182E-2</v>
      </c>
      <c r="N110" s="27">
        <f t="shared" si="57"/>
        <v>8.2281586142696206E-2</v>
      </c>
      <c r="O110" s="27">
        <f t="shared" si="58"/>
        <v>3.0420302705710167E-2</v>
      </c>
      <c r="P110" s="27">
        <f t="shared" si="59"/>
        <v>1.9708046214707786E-2</v>
      </c>
    </row>
    <row r="111" spans="2:16" x14ac:dyDescent="0.25">
      <c r="B111" s="7">
        <f t="shared" si="31"/>
        <v>1010</v>
      </c>
      <c r="C111" s="27">
        <f t="shared" si="46"/>
        <v>3.5547740115018929E-3</v>
      </c>
      <c r="D111" s="27">
        <f t="shared" si="47"/>
        <v>6.0650031134733176E-5</v>
      </c>
      <c r="E111" s="27">
        <f t="shared" si="48"/>
        <v>5.3214692700306106E-8</v>
      </c>
      <c r="F111" s="27">
        <f t="shared" si="49"/>
        <v>2.2848356956224471E-2</v>
      </c>
      <c r="G111" s="27">
        <f t="shared" si="50"/>
        <v>1.7379729833420732E-2</v>
      </c>
      <c r="H111" s="27">
        <f t="shared" si="51"/>
        <v>4.5445145886835459E-4</v>
      </c>
      <c r="I111" s="27">
        <f t="shared" si="52"/>
        <v>5.5927686149592759E-5</v>
      </c>
      <c r="J111" s="27">
        <f t="shared" si="53"/>
        <v>6.4699317875459711E-2</v>
      </c>
      <c r="K111" s="27">
        <f t="shared" si="54"/>
        <v>1.8946221941532958E-2</v>
      </c>
      <c r="L111" s="27">
        <f t="shared" si="55"/>
        <v>1.2033573180632742E-3</v>
      </c>
      <c r="M111" s="27">
        <f t="shared" si="56"/>
        <v>7.9037528267822413E-2</v>
      </c>
      <c r="N111" s="27">
        <f t="shared" si="57"/>
        <v>8.074901215511654E-2</v>
      </c>
      <c r="O111" s="27">
        <f t="shared" si="58"/>
        <v>2.9178917725789955E-2</v>
      </c>
      <c r="P111" s="27">
        <f t="shared" si="59"/>
        <v>1.8664850833381319E-2</v>
      </c>
    </row>
    <row r="112" spans="2:16" x14ac:dyDescent="0.25">
      <c r="B112" s="7">
        <f t="shared" si="31"/>
        <v>1020</v>
      </c>
      <c r="C112" s="27">
        <f t="shared" si="46"/>
        <v>3.3617283006350538E-3</v>
      </c>
      <c r="D112" s="27">
        <f t="shared" si="47"/>
        <v>5.3124557748625532E-5</v>
      </c>
      <c r="E112" s="27">
        <f t="shared" si="48"/>
        <v>3.4118805702996063E-8</v>
      </c>
      <c r="F112" s="27">
        <f t="shared" si="49"/>
        <v>2.2438842966804089E-2</v>
      </c>
      <c r="G112" s="27">
        <f t="shared" si="50"/>
        <v>1.6951923480978404E-2</v>
      </c>
      <c r="H112" s="27">
        <f t="shared" si="51"/>
        <v>4.1696147327408006E-4</v>
      </c>
      <c r="I112" s="27">
        <f t="shared" si="52"/>
        <v>4.8886801291447846E-5</v>
      </c>
      <c r="J112" s="27">
        <f t="shared" si="53"/>
        <v>6.2968947114491094E-2</v>
      </c>
      <c r="K112" s="27">
        <f t="shared" si="54"/>
        <v>1.7948266465597159E-2</v>
      </c>
      <c r="L112" s="27">
        <f t="shared" si="55"/>
        <v>1.0067314787232575E-3</v>
      </c>
      <c r="M112" s="27">
        <f t="shared" si="56"/>
        <v>7.7701009955235115E-2</v>
      </c>
      <c r="N112" s="27">
        <f t="shared" si="57"/>
        <v>7.9252873286350445E-2</v>
      </c>
      <c r="O112" s="27">
        <f t="shared" si="58"/>
        <v>2.7986989958002528E-2</v>
      </c>
      <c r="P112" s="27">
        <f t="shared" si="59"/>
        <v>1.7673193537350196E-2</v>
      </c>
    </row>
    <row r="113" spans="2:16" x14ac:dyDescent="0.25">
      <c r="B113" s="7">
        <f t="shared" si="31"/>
        <v>1030</v>
      </c>
      <c r="C113" s="27">
        <f t="shared" si="46"/>
        <v>3.1791661384729998E-3</v>
      </c>
      <c r="D113" s="27">
        <f t="shared" si="47"/>
        <v>4.65101213982038E-5</v>
      </c>
      <c r="E113" s="27">
        <f t="shared" si="48"/>
        <v>2.1641778901473712E-8</v>
      </c>
      <c r="F113" s="27">
        <f t="shared" si="49"/>
        <v>2.204039428180531E-2</v>
      </c>
      <c r="G113" s="27">
        <f t="shared" si="50"/>
        <v>1.653719536774545E-2</v>
      </c>
      <c r="H113" s="27">
        <f t="shared" si="51"/>
        <v>3.8254530716108626E-4</v>
      </c>
      <c r="I113" s="27">
        <f t="shared" si="52"/>
        <v>4.2710402745282927E-5</v>
      </c>
      <c r="J113" s="27">
        <f t="shared" si="53"/>
        <v>6.1284854785331903E-2</v>
      </c>
      <c r="K113" s="27">
        <f t="shared" si="54"/>
        <v>1.6999484179475919E-2</v>
      </c>
      <c r="L113" s="27">
        <f t="shared" si="55"/>
        <v>8.3861189930114599E-4</v>
      </c>
      <c r="M113" s="27">
        <f t="shared" si="56"/>
        <v>7.6397955482704338E-2</v>
      </c>
      <c r="N113" s="27">
        <f t="shared" si="57"/>
        <v>7.779210598250641E-2</v>
      </c>
      <c r="O113" s="27">
        <f t="shared" si="58"/>
        <v>2.6842618405940155E-2</v>
      </c>
      <c r="P113" s="27">
        <f t="shared" si="59"/>
        <v>1.6730758800899581E-2</v>
      </c>
    </row>
    <row r="114" spans="2:16" x14ac:dyDescent="0.25">
      <c r="B114" s="7">
        <f t="shared" si="31"/>
        <v>1040</v>
      </c>
      <c r="C114" s="27">
        <f t="shared" si="46"/>
        <v>3.0065182049673744E-3</v>
      </c>
      <c r="D114" s="27">
        <f t="shared" si="47"/>
        <v>4.0699469958036656E-5</v>
      </c>
      <c r="E114" s="27">
        <f t="shared" si="48"/>
        <v>1.3577390813177628E-8</v>
      </c>
      <c r="F114" s="27">
        <f t="shared" si="49"/>
        <v>2.1652614423232901E-2</v>
      </c>
      <c r="G114" s="27">
        <f t="shared" si="50"/>
        <v>1.6135064218600781E-2</v>
      </c>
      <c r="H114" s="27">
        <f t="shared" si="51"/>
        <v>3.5095281553854107E-4</v>
      </c>
      <c r="I114" s="27">
        <f t="shared" si="52"/>
        <v>3.7295316732910422E-5</v>
      </c>
      <c r="J114" s="27">
        <f t="shared" si="53"/>
        <v>5.9645803180261296E-2</v>
      </c>
      <c r="K114" s="27">
        <f t="shared" si="54"/>
        <v>1.6097663769829258E-2</v>
      </c>
      <c r="L114" s="27">
        <f t="shared" si="55"/>
        <v>6.9549098692372373E-4</v>
      </c>
      <c r="M114" s="27">
        <f t="shared" si="56"/>
        <v>7.5127274563799668E-2</v>
      </c>
      <c r="N114" s="27">
        <f t="shared" si="57"/>
        <v>7.6365683633275006E-2</v>
      </c>
      <c r="O114" s="27">
        <f t="shared" si="58"/>
        <v>2.5743970974184904E-2</v>
      </c>
      <c r="P114" s="27">
        <f t="shared" si="59"/>
        <v>1.5835320805361097E-2</v>
      </c>
    </row>
    <row r="115" spans="2:16" x14ac:dyDescent="0.25">
      <c r="B115" s="7">
        <f t="shared" si="31"/>
        <v>1050</v>
      </c>
      <c r="C115" s="27">
        <f t="shared" si="46"/>
        <v>2.8432460975889359E-3</v>
      </c>
      <c r="D115" s="27">
        <f t="shared" si="47"/>
        <v>3.5597576912756084E-5</v>
      </c>
      <c r="E115" s="27">
        <f t="shared" si="48"/>
        <v>8.4226459214826117E-9</v>
      </c>
      <c r="F115" s="27">
        <f t="shared" si="49"/>
        <v>2.1275124502820063E-2</v>
      </c>
      <c r="G115" s="27">
        <f t="shared" si="50"/>
        <v>1.5745069554987334E-2</v>
      </c>
      <c r="H115" s="27">
        <f t="shared" si="51"/>
        <v>3.2195402135526408E-4</v>
      </c>
      <c r="I115" s="27">
        <f t="shared" si="52"/>
        <v>3.2550286410026885E-5</v>
      </c>
      <c r="J115" s="27">
        <f t="shared" si="53"/>
        <v>5.8050587693812404E-2</v>
      </c>
      <c r="K115" s="27">
        <f t="shared" si="54"/>
        <v>1.5240680265187918E-2</v>
      </c>
      <c r="L115" s="27">
        <f t="shared" si="55"/>
        <v>5.741941987767908E-4</v>
      </c>
      <c r="M115" s="27">
        <f t="shared" si="56"/>
        <v>7.3887919989837916E-2</v>
      </c>
      <c r="N115" s="27">
        <f t="shared" si="57"/>
        <v>7.4972615083813476E-2</v>
      </c>
      <c r="O115" s="27">
        <f t="shared" si="58"/>
        <v>2.468928223488065E-2</v>
      </c>
      <c r="P115" s="27">
        <f t="shared" si="59"/>
        <v>1.4984740863035584E-2</v>
      </c>
    </row>
    <row r="116" spans="2:16" x14ac:dyDescent="0.25">
      <c r="B116" s="7">
        <f t="shared" si="31"/>
        <v>1060</v>
      </c>
      <c r="C116" s="27">
        <f t="shared" si="46"/>
        <v>2.6888406523194286E-3</v>
      </c>
      <c r="D116" s="27">
        <f t="shared" si="47"/>
        <v>3.112029988387217E-5</v>
      </c>
      <c r="E116" s="27">
        <f t="shared" si="48"/>
        <v>5.1650136949152013E-9</v>
      </c>
      <c r="F116" s="27">
        <f t="shared" si="49"/>
        <v>2.0907562296256677E-2</v>
      </c>
      <c r="G116" s="27">
        <f t="shared" si="50"/>
        <v>1.5366770660596663E-2</v>
      </c>
      <c r="H116" s="27">
        <f t="shared" si="51"/>
        <v>2.9533750865418096E-4</v>
      </c>
      <c r="I116" s="27">
        <f t="shared" si="52"/>
        <v>2.8394647631602155E-5</v>
      </c>
      <c r="J116" s="27">
        <f t="shared" si="53"/>
        <v>5.6498035937458897E-2</v>
      </c>
      <c r="K116" s="27">
        <f t="shared" si="54"/>
        <v>1.442649248453182E-2</v>
      </c>
      <c r="L116" s="27">
        <f t="shared" si="55"/>
        <v>4.7186251599720149E-4</v>
      </c>
      <c r="M116" s="27">
        <f t="shared" si="56"/>
        <v>7.2678885658935669E-2</v>
      </c>
      <c r="N116" s="27">
        <f t="shared" si="57"/>
        <v>7.3611943214624387E-2</v>
      </c>
      <c r="O116" s="27">
        <f t="shared" si="58"/>
        <v>2.3676851248655595E-2</v>
      </c>
      <c r="P116" s="27">
        <f t="shared" si="59"/>
        <v>1.4176964854925922E-2</v>
      </c>
    </row>
    <row r="117" spans="2:16" x14ac:dyDescent="0.25">
      <c r="B117" s="7">
        <f t="shared" si="31"/>
        <v>1070</v>
      </c>
      <c r="C117" s="27">
        <f t="shared" si="46"/>
        <v>2.5428203558237467E-3</v>
      </c>
      <c r="D117" s="27">
        <f t="shared" si="47"/>
        <v>2.719317966136787E-5</v>
      </c>
      <c r="E117" s="27">
        <f t="shared" si="48"/>
        <v>3.1301425223942306E-9</v>
      </c>
      <c r="F117" s="27">
        <f t="shared" si="49"/>
        <v>2.0549581373552075E-2</v>
      </c>
      <c r="G117" s="27">
        <f t="shared" si="50"/>
        <v>1.4999745605301706E-2</v>
      </c>
      <c r="H117" s="27">
        <f t="shared" si="51"/>
        <v>2.7090894176540203E-4</v>
      </c>
      <c r="I117" s="27">
        <f t="shared" si="52"/>
        <v>2.4757145090092969E-5</v>
      </c>
      <c r="J117" s="27">
        <f t="shared" si="53"/>
        <v>5.4987006877979215E-2</v>
      </c>
      <c r="K117" s="27">
        <f t="shared" si="54"/>
        <v>1.3653140506759807E-2</v>
      </c>
      <c r="L117" s="27">
        <f t="shared" si="55"/>
        <v>3.8593393949398405E-4</v>
      </c>
      <c r="M117" s="27">
        <f t="shared" si="56"/>
        <v>7.1499204705910091E-2</v>
      </c>
      <c r="N117" s="27">
        <f t="shared" si="57"/>
        <v>7.2282743585975529E-2</v>
      </c>
      <c r="O117" s="27">
        <f t="shared" si="58"/>
        <v>2.2705039439977259E-2</v>
      </c>
      <c r="P117" s="27">
        <f t="shared" si="59"/>
        <v>1.3410020687287805E-2</v>
      </c>
    </row>
    <row r="118" spans="2:16" x14ac:dyDescent="0.25">
      <c r="B118" s="7">
        <f t="shared" si="31"/>
        <v>1080</v>
      </c>
      <c r="C118" s="27">
        <f t="shared" si="46"/>
        <v>2.4047298438507319E-3</v>
      </c>
      <c r="D118" s="27">
        <f t="shared" si="47"/>
        <v>2.3750365872775579E-5</v>
      </c>
      <c r="E118" s="27">
        <f t="shared" si="48"/>
        <v>1.8741421083523112E-9</v>
      </c>
      <c r="F118" s="27">
        <f t="shared" si="49"/>
        <v>2.0200850281693581E-2</v>
      </c>
      <c r="G118" s="27">
        <f t="shared" si="50"/>
        <v>1.4643590323672351E-2</v>
      </c>
      <c r="H118" s="27">
        <f t="shared" si="51"/>
        <v>2.4848970086099875E-4</v>
      </c>
      <c r="I118" s="27">
        <f t="shared" si="52"/>
        <v>2.157487481335707E-5</v>
      </c>
      <c r="J118" s="27">
        <f t="shared" si="53"/>
        <v>5.3516389998864877E-2</v>
      </c>
      <c r="K118" s="27">
        <f t="shared" si="54"/>
        <v>1.2918743165367353E-2</v>
      </c>
      <c r="L118" s="27">
        <f t="shared" si="55"/>
        <v>3.1412430324768016E-4</v>
      </c>
      <c r="M118" s="27">
        <f t="shared" si="56"/>
        <v>7.0347947727431248E-2</v>
      </c>
      <c r="N118" s="27">
        <f t="shared" si="57"/>
        <v>7.0984123143594702E-2</v>
      </c>
      <c r="O118" s="27">
        <f t="shared" si="58"/>
        <v>2.1772268526877525E-2</v>
      </c>
      <c r="P118" s="27">
        <f t="shared" si="59"/>
        <v>1.2682015771544486E-2</v>
      </c>
    </row>
    <row r="119" spans="2:16" x14ac:dyDescent="0.25">
      <c r="B119" s="7">
        <f t="shared" si="31"/>
        <v>1090</v>
      </c>
      <c r="C119" s="27">
        <f t="shared" si="46"/>
        <v>2.2741384811799065E-3</v>
      </c>
      <c r="D119" s="27">
        <f t="shared" si="47"/>
        <v>2.0733656684139195E-5</v>
      </c>
      <c r="E119" s="27">
        <f t="shared" si="48"/>
        <v>1.1083062229081917E-9</v>
      </c>
      <c r="F119" s="27">
        <f t="shared" si="49"/>
        <v>1.9861051776054559E-2</v>
      </c>
      <c r="G119" s="27">
        <f t="shared" si="50"/>
        <v>1.4297917744666711E-2</v>
      </c>
      <c r="H119" s="27">
        <f t="shared" si="51"/>
        <v>2.2791562491497608E-4</v>
      </c>
      <c r="I119" s="27">
        <f t="shared" si="52"/>
        <v>1.8792340301665433E-5</v>
      </c>
      <c r="J119" s="27">
        <f t="shared" si="53"/>
        <v>5.2085104484156958E-2</v>
      </c>
      <c r="K119" s="27">
        <f t="shared" si="54"/>
        <v>1.2221495572223849E-2</v>
      </c>
      <c r="L119" s="27">
        <f t="shared" si="55"/>
        <v>2.5440768825083561E-4</v>
      </c>
      <c r="M119" s="27">
        <f t="shared" si="56"/>
        <v>6.9224221097158728E-2</v>
      </c>
      <c r="N119" s="27">
        <f t="shared" si="57"/>
        <v>6.971521898255939E-2</v>
      </c>
      <c r="O119" s="27">
        <f t="shared" si="58"/>
        <v>2.0877018504850131E-2</v>
      </c>
      <c r="P119" s="27">
        <f t="shared" si="59"/>
        <v>1.1991134531676995E-2</v>
      </c>
    </row>
    <row r="120" spans="2:16" x14ac:dyDescent="0.25">
      <c r="B120" s="7">
        <f t="shared" si="31"/>
        <v>1100</v>
      </c>
      <c r="C120" s="27">
        <f t="shared" si="46"/>
        <v>2.1506390186856578E-3</v>
      </c>
      <c r="D120" s="27">
        <f t="shared" si="47"/>
        <v>1.8091641087686352E-5</v>
      </c>
      <c r="E120" s="27">
        <f t="shared" si="48"/>
        <v>6.4715138030863787E-10</v>
      </c>
      <c r="F120" s="27">
        <f t="shared" si="49"/>
        <v>1.9529882097270173E-2</v>
      </c>
      <c r="G120" s="27">
        <f t="shared" si="50"/>
        <v>1.3962356969319356E-2</v>
      </c>
      <c r="H120" s="27">
        <f t="shared" si="51"/>
        <v>2.0903585378007072E-4</v>
      </c>
      <c r="I120" s="27">
        <f t="shared" si="52"/>
        <v>1.636061076581985E-5</v>
      </c>
      <c r="J120" s="27">
        <f t="shared" si="53"/>
        <v>5.0692098424110606E-2</v>
      </c>
      <c r="K120" s="27">
        <f t="shared" si="54"/>
        <v>1.155966667394907E-2</v>
      </c>
      <c r="L120" s="27">
        <f t="shared" si="55"/>
        <v>2.0499670360949739E-4</v>
      </c>
      <c r="M120" s="27">
        <f t="shared" si="56"/>
        <v>6.8127165365894707E-2</v>
      </c>
      <c r="N120" s="27">
        <f t="shared" si="57"/>
        <v>6.8475197166463331E-2</v>
      </c>
      <c r="O120" s="27">
        <f t="shared" si="58"/>
        <v>2.0017825684602752E-2</v>
      </c>
      <c r="P120" s="27">
        <f t="shared" si="59"/>
        <v>1.1335635942790523E-2</v>
      </c>
    </row>
    <row r="121" spans="2:16" x14ac:dyDescent="0.25">
      <c r="B121" s="7">
        <f t="shared" si="31"/>
        <v>1110</v>
      </c>
      <c r="C121" s="27">
        <f t="shared" si="46"/>
        <v>2.0338463233309607E-3</v>
      </c>
      <c r="D121" s="27">
        <f t="shared" si="47"/>
        <v>1.5778933396485121E-5</v>
      </c>
      <c r="E121" s="27">
        <f t="shared" si="48"/>
        <v>3.7299904390813011E-10</v>
      </c>
      <c r="F121" s="27">
        <f t="shared" si="49"/>
        <v>1.9207050290547228E-2</v>
      </c>
      <c r="G121" s="27">
        <f t="shared" si="50"/>
        <v>1.3636552493474396E-2</v>
      </c>
      <c r="H121" s="27">
        <f t="shared" si="51"/>
        <v>1.9171176171617343E-4</v>
      </c>
      <c r="I121" s="27">
        <f t="shared" si="52"/>
        <v>1.4236571011183585E-5</v>
      </c>
      <c r="J121" s="27">
        <f t="shared" si="53"/>
        <v>4.9336348042103961E-2</v>
      </c>
      <c r="K121" s="27">
        <f t="shared" si="54"/>
        <v>1.0931596844007626E-2</v>
      </c>
      <c r="L121" s="27">
        <f t="shared" si="55"/>
        <v>1.6432288100601481E-4</v>
      </c>
      <c r="M121" s="27">
        <f t="shared" si="56"/>
        <v>6.7055953742083285E-2</v>
      </c>
      <c r="N121" s="27">
        <f t="shared" si="57"/>
        <v>6.7263251599109397E-2</v>
      </c>
      <c r="O121" s="27">
        <f t="shared" si="58"/>
        <v>1.9193280783246114E-2</v>
      </c>
      <c r="P121" s="27">
        <f t="shared" si="59"/>
        <v>1.0713851104172112E-2</v>
      </c>
    </row>
    <row r="122" spans="2:16" x14ac:dyDescent="0.25">
      <c r="B122" s="7">
        <f t="shared" si="31"/>
        <v>1120</v>
      </c>
      <c r="C122" s="27">
        <f t="shared" si="46"/>
        <v>1.9233961771301204E-3</v>
      </c>
      <c r="D122" s="27">
        <f t="shared" si="47"/>
        <v>1.3755490543204259E-5</v>
      </c>
      <c r="E122" s="27">
        <f t="shared" si="48"/>
        <v>2.1214311223887724E-10</v>
      </c>
      <c r="F122" s="27">
        <f t="shared" si="49"/>
        <v>1.889227756459658E-2</v>
      </c>
      <c r="G122" s="27">
        <f t="shared" si="50"/>
        <v>1.332016347280307E-2</v>
      </c>
      <c r="H122" s="27">
        <f t="shared" si="51"/>
        <v>1.75815975280047E-4</v>
      </c>
      <c r="I122" s="27">
        <f t="shared" si="52"/>
        <v>1.2382253511189489E-5</v>
      </c>
      <c r="J122" s="27">
        <f t="shared" si="53"/>
        <v>4.8016856942223164E-2</v>
      </c>
      <c r="K122" s="27">
        <f t="shared" si="54"/>
        <v>1.0335695513297405E-2</v>
      </c>
      <c r="L122" s="27">
        <f t="shared" si="55"/>
        <v>1.3101740537753109E-4</v>
      </c>
      <c r="M122" s="27">
        <f t="shared" si="56"/>
        <v>6.600979064824998E-2</v>
      </c>
      <c r="N122" s="27">
        <f t="shared" si="57"/>
        <v>6.6078602946123E-2</v>
      </c>
      <c r="O122" s="27">
        <f t="shared" si="58"/>
        <v>1.8402027068402438E-2</v>
      </c>
      <c r="P122" s="27">
        <f t="shared" si="59"/>
        <v>1.0124180849796049E-2</v>
      </c>
    </row>
    <row r="123" spans="2:16" x14ac:dyDescent="0.25">
      <c r="B123" s="7">
        <f t="shared" si="31"/>
        <v>1130</v>
      </c>
      <c r="C123" s="27">
        <f t="shared" si="46"/>
        <v>1.8189441413350885E-3</v>
      </c>
      <c r="D123" s="27">
        <f t="shared" si="47"/>
        <v>1.1986003674226391E-5</v>
      </c>
      <c r="E123" s="27">
        <f t="shared" si="48"/>
        <v>1.1902272626749398E-10</v>
      </c>
      <c r="F123" s="27">
        <f t="shared" si="49"/>
        <v>1.8585296687584886E-2</v>
      </c>
      <c r="G123" s="27">
        <f t="shared" si="50"/>
        <v>1.3012863027539456E-2</v>
      </c>
      <c r="H123" s="27">
        <f t="shared" si="51"/>
        <v>1.6123146902469188E-4</v>
      </c>
      <c r="I123" s="27">
        <f t="shared" si="52"/>
        <v>1.0764244120609057E-5</v>
      </c>
      <c r="J123" s="27">
        <f t="shared" si="53"/>
        <v>4.6732655376970626E-2</v>
      </c>
      <c r="K123" s="27">
        <f t="shared" si="54"/>
        <v>9.770438841672488E-3</v>
      </c>
      <c r="L123" s="27">
        <f t="shared" si="55"/>
        <v>1.0389237898987383E-4</v>
      </c>
      <c r="M123" s="27">
        <f t="shared" si="56"/>
        <v>6.4987910349234942E-2</v>
      </c>
      <c r="N123" s="27">
        <f t="shared" si="57"/>
        <v>6.4920497604022187E-2</v>
      </c>
      <c r="O123" s="27">
        <f t="shared" si="58"/>
        <v>1.7642758554636484E-2</v>
      </c>
      <c r="P123" s="27">
        <f t="shared" si="59"/>
        <v>9.5650933988853382E-3</v>
      </c>
    </row>
    <row r="124" spans="2:16" x14ac:dyDescent="0.25">
      <c r="B124" s="7">
        <f t="shared" si="31"/>
        <v>1140</v>
      </c>
      <c r="C124" s="27">
        <f t="shared" si="46"/>
        <v>1.7201644823033326E-3</v>
      </c>
      <c r="D124" s="27">
        <f t="shared" si="47"/>
        <v>1.0439356347711169E-5</v>
      </c>
      <c r="E124" s="27">
        <f t="shared" si="48"/>
        <v>6.585178918235361E-11</v>
      </c>
      <c r="F124" s="27">
        <f t="shared" si="49"/>
        <v>1.8285851417692324E-2</v>
      </c>
      <c r="G124" s="27">
        <f t="shared" si="50"/>
        <v>1.2714337584535551E-2</v>
      </c>
      <c r="H124" s="27">
        <f t="shared" si="51"/>
        <v>1.4785073294865114E-4</v>
      </c>
      <c r="I124" s="27">
        <f t="shared" si="52"/>
        <v>9.3531537084245997E-6</v>
      </c>
      <c r="J124" s="27">
        <f t="shared" si="53"/>
        <v>4.5482799534558346E-2</v>
      </c>
      <c r="K124" s="27">
        <f t="shared" si="54"/>
        <v>9.2343674325389979E-3</v>
      </c>
      <c r="L124" s="27">
        <f t="shared" si="55"/>
        <v>8.1922788806400467E-5</v>
      </c>
      <c r="M124" s="27">
        <f t="shared" si="56"/>
        <v>6.3989575648314617E-2</v>
      </c>
      <c r="N124" s="27">
        <f t="shared" si="57"/>
        <v>6.3788206714417428E-2</v>
      </c>
      <c r="O124" s="27">
        <f t="shared" si="58"/>
        <v>1.6914218251538049E-2</v>
      </c>
      <c r="P124" s="27">
        <f t="shared" si="59"/>
        <v>9.0351220488273931E-3</v>
      </c>
    </row>
    <row r="125" spans="2:16" x14ac:dyDescent="0.25">
      <c r="B125" s="7">
        <f t="shared" si="31"/>
        <v>1150</v>
      </c>
      <c r="C125" s="27">
        <f t="shared" si="46"/>
        <v>1.6267491556975688E-3</v>
      </c>
      <c r="D125" s="27">
        <f t="shared" si="47"/>
        <v>9.0881423902324734E-6</v>
      </c>
      <c r="E125" s="27">
        <f t="shared" si="48"/>
        <v>3.5916625335423458E-11</v>
      </c>
      <c r="F125" s="27">
        <f t="shared" si="49"/>
        <v>1.7993695966036911E-2</v>
      </c>
      <c r="G125" s="27">
        <f t="shared" si="50"/>
        <v>1.2424286254399286E-2</v>
      </c>
      <c r="H125" s="27">
        <f t="shared" si="51"/>
        <v>1.3557500609917561E-4</v>
      </c>
      <c r="I125" s="27">
        <f t="shared" si="52"/>
        <v>8.1231487524258128E-6</v>
      </c>
      <c r="J125" s="27">
        <f t="shared" si="53"/>
        <v>4.4266370845262255E-2</v>
      </c>
      <c r="K125" s="27">
        <f t="shared" si="54"/>
        <v>8.7260840923728336E-3</v>
      </c>
      <c r="L125" s="27">
        <f t="shared" si="55"/>
        <v>6.4229318891718924E-5</v>
      </c>
      <c r="M125" s="27">
        <f t="shared" si="56"/>
        <v>6.3014076647529324E-2</v>
      </c>
      <c r="N125" s="27">
        <f t="shared" si="57"/>
        <v>6.2681025221135167E-2</v>
      </c>
      <c r="O125" s="27">
        <f t="shared" si="58"/>
        <v>1.6215196462720849E-2</v>
      </c>
      <c r="P125" s="27">
        <f t="shared" si="59"/>
        <v>8.5328629124388211E-3</v>
      </c>
    </row>
    <row r="126" spans="2:16" x14ac:dyDescent="0.25">
      <c r="B126" s="7">
        <f t="shared" si="31"/>
        <v>1160</v>
      </c>
      <c r="C126" s="27">
        <f t="shared" si="46"/>
        <v>1.5384068458495831E-3</v>
      </c>
      <c r="D126" s="27">
        <f t="shared" si="47"/>
        <v>7.9082371466626904E-6</v>
      </c>
      <c r="E126" s="27">
        <f t="shared" si="48"/>
        <v>1.9304729621061324E-11</v>
      </c>
      <c r="F126" s="27">
        <f t="shared" si="49"/>
        <v>1.7708594489887788E-2</v>
      </c>
      <c r="G126" s="27">
        <f t="shared" si="50"/>
        <v>1.2142420241625373E-2</v>
      </c>
      <c r="H126" s="27">
        <f t="shared" si="51"/>
        <v>1.2431357115982866E-4</v>
      </c>
      <c r="I126" s="27">
        <f t="shared" si="52"/>
        <v>7.051534620994282E-6</v>
      </c>
      <c r="J126" s="27">
        <f t="shared" si="53"/>
        <v>4.3082475306328166E-2</v>
      </c>
      <c r="K126" s="27">
        <f t="shared" si="54"/>
        <v>8.2442516367396256E-3</v>
      </c>
      <c r="L126" s="27">
        <f t="shared" si="55"/>
        <v>5.0062121257484891E-5</v>
      </c>
      <c r="M126" s="27">
        <f t="shared" si="56"/>
        <v>6.2060729568750118E-2</v>
      </c>
      <c r="N126" s="27">
        <f t="shared" si="57"/>
        <v>6.1598270968179047E-2</v>
      </c>
      <c r="O126" s="27">
        <f t="shared" si="58"/>
        <v>1.5544529134949969E-2</v>
      </c>
      <c r="P126" s="27">
        <f t="shared" si="59"/>
        <v>8.056972701297016E-3</v>
      </c>
    </row>
    <row r="127" spans="2:16" x14ac:dyDescent="0.25">
      <c r="B127" s="7">
        <f t="shared" si="31"/>
        <v>1170</v>
      </c>
      <c r="C127" s="27">
        <f t="shared" si="46"/>
        <v>1.4548620572924142E-3</v>
      </c>
      <c r="D127" s="27">
        <f t="shared" si="47"/>
        <v>6.878416477064873E-6</v>
      </c>
      <c r="E127" s="27">
        <f t="shared" si="48"/>
        <v>1.0221592110904902E-11</v>
      </c>
      <c r="F127" s="27">
        <f t="shared" si="49"/>
        <v>1.743032061423809E-2</v>
      </c>
      <c r="G127" s="27">
        <f t="shared" si="50"/>
        <v>1.1868462285768211E-2</v>
      </c>
      <c r="H127" s="27">
        <f t="shared" si="51"/>
        <v>1.1398310524401989E-4</v>
      </c>
      <c r="I127" s="27">
        <f t="shared" si="52"/>
        <v>6.1183858999225293E-6</v>
      </c>
      <c r="J127" s="27">
        <f t="shared" si="53"/>
        <v>4.1930242824932892E-2</v>
      </c>
      <c r="K127" s="27">
        <f t="shared" si="54"/>
        <v>7.787590744150228E-3</v>
      </c>
      <c r="L127" s="27">
        <f t="shared" si="55"/>
        <v>3.8785630717737927E-5</v>
      </c>
      <c r="M127" s="27">
        <f t="shared" si="56"/>
        <v>6.1128875632218492E-2</v>
      </c>
      <c r="N127" s="27">
        <f t="shared" si="57"/>
        <v>6.0539283836554825E-2</v>
      </c>
      <c r="O127" s="27">
        <f t="shared" si="58"/>
        <v>1.4901096256556556E-2</v>
      </c>
      <c r="P127" s="27">
        <f t="shared" si="59"/>
        <v>7.6061665565975156E-3</v>
      </c>
    </row>
    <row r="128" spans="2:16" x14ac:dyDescent="0.25">
      <c r="B128" s="7">
        <f t="shared" si="31"/>
        <v>1180</v>
      </c>
      <c r="C128" s="27">
        <f t="shared" si="46"/>
        <v>1.375854255627817E-3</v>
      </c>
      <c r="D128" s="27">
        <f t="shared" si="47"/>
        <v>5.9800184172081123E-6</v>
      </c>
      <c r="E128" s="27">
        <f t="shared" si="48"/>
        <v>5.3296986423812746E-12</v>
      </c>
      <c r="F128" s="27">
        <f t="shared" si="49"/>
        <v>1.7158656979943791E-2</v>
      </c>
      <c r="G128" s="27">
        <f t="shared" si="50"/>
        <v>1.1602146131831415E-2</v>
      </c>
      <c r="H128" s="27">
        <f t="shared" si="51"/>
        <v>1.0450708248765928E-4</v>
      </c>
      <c r="I128" s="27">
        <f t="shared" si="52"/>
        <v>5.3062186888830354E-6</v>
      </c>
      <c r="J128" s="27">
        <f t="shared" si="53"/>
        <v>4.0808826578717761E-2</v>
      </c>
      <c r="K128" s="27">
        <f t="shared" si="54"/>
        <v>7.3548778588509636E-3</v>
      </c>
      <c r="L128" s="27">
        <f t="shared" si="55"/>
        <v>2.9864482581493132E-5</v>
      </c>
      <c r="M128" s="27">
        <f t="shared" si="56"/>
        <v>6.0217879989477391E-2</v>
      </c>
      <c r="N128" s="27">
        <f t="shared" si="57"/>
        <v>5.950342491808891E-2</v>
      </c>
      <c r="O128" s="27">
        <f t="shared" si="58"/>
        <v>1.428382030426445E-2</v>
      </c>
      <c r="P128" s="27">
        <f t="shared" si="59"/>
        <v>7.1792159287510371E-3</v>
      </c>
    </row>
    <row r="129" spans="2:16" x14ac:dyDescent="0.25">
      <c r="B129" s="7">
        <f t="shared" si="31"/>
        <v>1190</v>
      </c>
      <c r="C129" s="27">
        <f t="shared" si="46"/>
        <v>1.3011370550498201E-3</v>
      </c>
      <c r="D129" s="27">
        <f t="shared" si="47"/>
        <v>5.1966429304382337E-6</v>
      </c>
      <c r="E129" s="27">
        <f t="shared" si="48"/>
        <v>2.7356145321796592E-12</v>
      </c>
      <c r="F129" s="27">
        <f t="shared" si="49"/>
        <v>1.6893394816761765E-2</v>
      </c>
      <c r="G129" s="27">
        <f t="shared" si="50"/>
        <v>1.13432160281699E-2</v>
      </c>
      <c r="H129" s="27">
        <f t="shared" si="51"/>
        <v>9.5815224367634677E-5</v>
      </c>
      <c r="I129" s="27">
        <f t="shared" si="52"/>
        <v>4.5997003095266109E-6</v>
      </c>
      <c r="J129" s="27">
        <f t="shared" si="53"/>
        <v>3.9717402393424521E-2</v>
      </c>
      <c r="K129" s="27">
        <f t="shared" si="54"/>
        <v>6.9449431434325934E-3</v>
      </c>
      <c r="L129" s="27">
        <f t="shared" si="55"/>
        <v>2.2850566902825315E-5</v>
      </c>
      <c r="M129" s="27">
        <f t="shared" si="56"/>
        <v>5.9327130707791921E-2</v>
      </c>
      <c r="N129" s="27">
        <f t="shared" si="57"/>
        <v>5.8490075724468626E-2</v>
      </c>
      <c r="O129" s="27">
        <f t="shared" si="58"/>
        <v>1.3691664737513376E-2</v>
      </c>
      <c r="P129" s="27">
        <f t="shared" si="59"/>
        <v>6.7749465067137304E-3</v>
      </c>
    </row>
    <row r="130" spans="2:16" x14ac:dyDescent="0.25">
      <c r="B130" s="7">
        <f t="shared" si="31"/>
        <v>1200</v>
      </c>
      <c r="C130" s="27">
        <f t="shared" si="46"/>
        <v>1.2304774499906634E-3</v>
      </c>
      <c r="D130" s="27">
        <f t="shared" si="47"/>
        <v>4.5138856422064172E-6</v>
      </c>
      <c r="E130" s="27">
        <f t="shared" si="48"/>
        <v>1.3816888684651095E-12</v>
      </c>
      <c r="F130" s="27">
        <f t="shared" si="49"/>
        <v>1.6634333539736864E-2</v>
      </c>
      <c r="G130" s="27">
        <f t="shared" si="50"/>
        <v>1.1091426250306236E-2</v>
      </c>
      <c r="H130" s="27">
        <f t="shared" si="51"/>
        <v>8.7842993991005258E-5</v>
      </c>
      <c r="I130" s="27">
        <f t="shared" si="52"/>
        <v>3.9853923352595189E-6</v>
      </c>
      <c r="J130" s="27">
        <f t="shared" si="53"/>
        <v>3.8655168137176274E-2</v>
      </c>
      <c r="K130" s="27">
        <f t="shared" si="54"/>
        <v>6.5566684819444747E-3</v>
      </c>
      <c r="L130" s="27">
        <f t="shared" si="55"/>
        <v>1.7371229978640881E-5</v>
      </c>
      <c r="M130" s="27">
        <f t="shared" si="56"/>
        <v>5.8456037803325332E-2</v>
      </c>
      <c r="N130" s="27">
        <f t="shared" si="57"/>
        <v>5.7498637429827859E-2</v>
      </c>
      <c r="O130" s="27">
        <f t="shared" si="58"/>
        <v>1.3123632539338792E-2</v>
      </c>
      <c r="P130" s="27">
        <f t="shared" si="59"/>
        <v>6.3922361978320241E-3</v>
      </c>
    </row>
    <row r="131" spans="2:16" x14ac:dyDescent="0.25">
      <c r="B131" s="7">
        <f t="shared" si="31"/>
        <v>1210</v>
      </c>
      <c r="C131" s="27">
        <f t="shared" si="46"/>
        <v>1.1636550884930044E-3</v>
      </c>
      <c r="D131" s="27">
        <f t="shared" si="47"/>
        <v>3.9191018685048095E-6</v>
      </c>
      <c r="E131" s="27">
        <f t="shared" si="48"/>
        <v>6.8643544742618527E-13</v>
      </c>
      <c r="F131" s="27">
        <f t="shared" si="49"/>
        <v>1.6381280367493704E-2</v>
      </c>
      <c r="G131" s="27">
        <f t="shared" si="50"/>
        <v>1.0846540649170677E-2</v>
      </c>
      <c r="H131" s="27">
        <f t="shared" si="51"/>
        <v>8.053113088446473E-5</v>
      </c>
      <c r="I131" s="27">
        <f t="shared" si="52"/>
        <v>3.4515232774090521E-6</v>
      </c>
      <c r="J131" s="27">
        <f t="shared" si="53"/>
        <v>3.7621343130958308E-2</v>
      </c>
      <c r="K131" s="27">
        <f t="shared" si="54"/>
        <v>6.1889855340133406E-3</v>
      </c>
      <c r="L131" s="27">
        <f t="shared" si="55"/>
        <v>1.3118613181349392E-5</v>
      </c>
      <c r="M131" s="27">
        <f t="shared" si="56"/>
        <v>5.7604032320486685E-2</v>
      </c>
      <c r="N131" s="27">
        <f t="shared" si="57"/>
        <v>5.6528530145286471E-2</v>
      </c>
      <c r="O131" s="27">
        <f t="shared" si="58"/>
        <v>1.2578764802841591E-2</v>
      </c>
      <c r="P131" s="27">
        <f t="shared" si="59"/>
        <v>6.0300131587913697E-3</v>
      </c>
    </row>
    <row r="132" spans="2:16" x14ac:dyDescent="0.25">
      <c r="B132" s="7">
        <f t="shared" si="31"/>
        <v>1220</v>
      </c>
      <c r="C132" s="27">
        <f t="shared" si="46"/>
        <v>1.1004615850424048E-3</v>
      </c>
      <c r="D132" s="27">
        <f t="shared" si="47"/>
        <v>3.4011976294695958E-6</v>
      </c>
      <c r="E132" s="27">
        <f t="shared" si="48"/>
        <v>3.353127976421495E-13</v>
      </c>
      <c r="F132" s="27">
        <f t="shared" si="49"/>
        <v>1.613404996108973E-2</v>
      </c>
      <c r="G132" s="27">
        <f t="shared" si="50"/>
        <v>1.0608332222362904E-2</v>
      </c>
      <c r="H132" s="27">
        <f t="shared" si="51"/>
        <v>7.3825223087853331E-5</v>
      </c>
      <c r="I132" s="27">
        <f t="shared" si="52"/>
        <v>2.9877876404071912E-6</v>
      </c>
      <c r="J132" s="27">
        <f t="shared" si="53"/>
        <v>3.6615167574865326E-2</v>
      </c>
      <c r="K132" s="27">
        <f t="shared" si="54"/>
        <v>5.8408738402983187E-3</v>
      </c>
      <c r="L132" s="27">
        <f t="shared" si="55"/>
        <v>9.8401012873654246E-6</v>
      </c>
      <c r="M132" s="27">
        <f t="shared" si="56"/>
        <v>5.6770565455019899E-2</v>
      </c>
      <c r="N132" s="27">
        <f t="shared" si="57"/>
        <v>5.557919222393759E-2</v>
      </c>
      <c r="O132" s="27">
        <f t="shared" si="58"/>
        <v>1.2056139362265794E-2</v>
      </c>
      <c r="P132" s="27">
        <f t="shared" si="59"/>
        <v>5.687253878080778E-3</v>
      </c>
    </row>
    <row r="133" spans="2:16" x14ac:dyDescent="0.25">
      <c r="B133" s="7">
        <f t="shared" si="31"/>
        <v>1230</v>
      </c>
      <c r="C133" s="27">
        <f t="shared" si="46"/>
        <v>1.040699870717167E-3</v>
      </c>
      <c r="D133" s="27">
        <f t="shared" si="47"/>
        <v>2.95044468288852E-6</v>
      </c>
      <c r="E133" s="27">
        <f t="shared" si="48"/>
        <v>1.609845707162746E-13</v>
      </c>
      <c r="F133" s="27">
        <f t="shared" si="49"/>
        <v>1.589246408217744E-2</v>
      </c>
      <c r="G133" s="27">
        <f t="shared" si="50"/>
        <v>1.0376582707128379E-2</v>
      </c>
      <c r="H133" s="27">
        <f t="shared" si="51"/>
        <v>6.7675313597970188E-5</v>
      </c>
      <c r="I133" s="27">
        <f t="shared" si="52"/>
        <v>2.585168412783112E-6</v>
      </c>
      <c r="J133" s="27">
        <f t="shared" si="53"/>
        <v>3.5635901989693762E-2</v>
      </c>
      <c r="K133" s="27">
        <f t="shared" si="54"/>
        <v>5.5113589794557232E-3</v>
      </c>
      <c r="L133" s="27">
        <f t="shared" si="55"/>
        <v>7.3298373619658937E-6</v>
      </c>
      <c r="M133" s="27">
        <f t="shared" si="56"/>
        <v>5.5955107718539857E-2</v>
      </c>
      <c r="N133" s="27">
        <f t="shared" si="57"/>
        <v>5.4650079594854351E-2</v>
      </c>
      <c r="O133" s="27">
        <f t="shared" si="58"/>
        <v>1.1554869467685025E-2</v>
      </c>
      <c r="P133" s="27">
        <f t="shared" si="59"/>
        <v>5.3629813102196167E-3</v>
      </c>
    </row>
    <row r="134" spans="2:16" x14ac:dyDescent="0.25">
      <c r="B134" s="7">
        <f t="shared" si="31"/>
        <v>1240</v>
      </c>
      <c r="C134" s="27">
        <f t="shared" si="46"/>
        <v>9.8418357862895575E-4</v>
      </c>
      <c r="D134" s="27">
        <f t="shared" si="47"/>
        <v>2.5583169224793596E-6</v>
      </c>
      <c r="E134" s="27">
        <f t="shared" si="48"/>
        <v>7.5931242830632909E-14</v>
      </c>
      <c r="F134" s="27">
        <f t="shared" si="49"/>
        <v>1.565635126930727E-2</v>
      </c>
      <c r="G134" s="27">
        <f t="shared" si="50"/>
        <v>1.0151082193819994E-2</v>
      </c>
      <c r="H134" s="27">
        <f t="shared" si="51"/>
        <v>6.2035538443305782E-5</v>
      </c>
      <c r="I134" s="27">
        <f t="shared" si="52"/>
        <v>2.2357803621808614E-6</v>
      </c>
      <c r="J134" s="27">
        <f t="shared" si="53"/>
        <v>3.4682826673468552E-2</v>
      </c>
      <c r="K134" s="27">
        <f t="shared" si="54"/>
        <v>5.1995107766441449E-3</v>
      </c>
      <c r="L134" s="27">
        <f t="shared" si="55"/>
        <v>5.4212490386798931E-6</v>
      </c>
      <c r="M134" s="27">
        <f t="shared" si="56"/>
        <v>5.515714814234754E-2</v>
      </c>
      <c r="N134" s="27">
        <f t="shared" si="57"/>
        <v>5.3740665124758835E-2</v>
      </c>
      <c r="O134" s="27">
        <f t="shared" si="58"/>
        <v>1.1074102502290684E-2</v>
      </c>
      <c r="P134" s="27">
        <f t="shared" si="59"/>
        <v>5.0562630618419258E-3</v>
      </c>
    </row>
    <row r="135" spans="2:16" x14ac:dyDescent="0.25">
      <c r="B135" s="7">
        <f t="shared" si="31"/>
        <v>1250</v>
      </c>
      <c r="C135" s="27">
        <f t="shared" si="46"/>
        <v>9.3073646273771949E-4</v>
      </c>
      <c r="D135" s="27">
        <f t="shared" si="47"/>
        <v>2.2173457655244589E-6</v>
      </c>
      <c r="E135" s="27">
        <f t="shared" si="48"/>
        <v>3.5170046200151216E-14</v>
      </c>
      <c r="F135" s="27">
        <f t="shared" si="49"/>
        <v>1.5425546531283602E-2</v>
      </c>
      <c r="G135" s="27">
        <f t="shared" si="50"/>
        <v>9.9316287586939112E-3</v>
      </c>
      <c r="H135" s="27">
        <f t="shared" si="51"/>
        <v>5.6863793877148794E-5</v>
      </c>
      <c r="I135" s="27">
        <f t="shared" si="52"/>
        <v>1.9327317906103758E-6</v>
      </c>
      <c r="J135" s="27">
        <f t="shared" si="53"/>
        <v>3.3755241172504939E-2</v>
      </c>
      <c r="K135" s="27">
        <f t="shared" si="54"/>
        <v>4.9044415634688981E-3</v>
      </c>
      <c r="L135" s="27">
        <f t="shared" si="55"/>
        <v>3.9805216490902627E-6</v>
      </c>
      <c r="M135" s="27">
        <f t="shared" si="56"/>
        <v>5.4376193518486285E-2</v>
      </c>
      <c r="N135" s="27">
        <f t="shared" si="57"/>
        <v>5.285043800607081E-2</v>
      </c>
      <c r="O135" s="27">
        <f t="shared" si="58"/>
        <v>1.0613018741266189E-2</v>
      </c>
      <c r="P135" s="27">
        <f t="shared" si="59"/>
        <v>4.766209629595064E-3</v>
      </c>
    </row>
    <row r="136" spans="2:16" x14ac:dyDescent="0.25">
      <c r="B136" s="7">
        <f t="shared" si="31"/>
        <v>1260</v>
      </c>
      <c r="C136" s="27">
        <f t="shared" si="46"/>
        <v>8.8019184822846197E-4</v>
      </c>
      <c r="D136" s="27">
        <f t="shared" si="47"/>
        <v>1.9209924064762207E-6</v>
      </c>
      <c r="E136" s="27">
        <f t="shared" si="48"/>
        <v>1.5990097027493296E-14</v>
      </c>
      <c r="F136" s="27">
        <f t="shared" si="49"/>
        <v>1.5199891056556173E-2</v>
      </c>
      <c r="G136" s="27">
        <f t="shared" si="50"/>
        <v>9.7180281149611414E-3</v>
      </c>
      <c r="H136" s="27">
        <f t="shared" si="51"/>
        <v>5.2121430377471967E-5</v>
      </c>
      <c r="I136" s="27">
        <f t="shared" si="52"/>
        <v>1.6700026559401948E-6</v>
      </c>
      <c r="J136" s="27">
        <f t="shared" si="53"/>
        <v>3.2852463766616692E-2</v>
      </c>
      <c r="K136" s="27">
        <f t="shared" si="54"/>
        <v>4.6253044891440267E-3</v>
      </c>
      <c r="L136" s="27">
        <f t="shared" si="55"/>
        <v>2.9009469983673108E-6</v>
      </c>
      <c r="M136" s="27">
        <f t="shared" si="56"/>
        <v>5.3611767676106113E-2</v>
      </c>
      <c r="N136" s="27">
        <f t="shared" si="57"/>
        <v>5.1978903170114998E-2</v>
      </c>
      <c r="O136" s="27">
        <f t="shared" si="58"/>
        <v>1.0170830151231436E-2</v>
      </c>
      <c r="P136" s="27">
        <f t="shared" si="59"/>
        <v>4.4919726896840428E-3</v>
      </c>
    </row>
    <row r="137" spans="2:16" x14ac:dyDescent="0.25">
      <c r="B137" s="7">
        <f t="shared" si="31"/>
        <v>1270</v>
      </c>
      <c r="C137" s="27">
        <f t="shared" si="46"/>
        <v>8.3239211173588242E-4</v>
      </c>
      <c r="D137" s="27">
        <f t="shared" si="47"/>
        <v>1.6635350400046414E-6</v>
      </c>
      <c r="E137" s="27">
        <f t="shared" si="48"/>
        <v>7.1327982872418975E-15</v>
      </c>
      <c r="F137" s="27">
        <f t="shared" si="49"/>
        <v>1.4979231937699573E-2</v>
      </c>
      <c r="G137" s="27">
        <f t="shared" si="50"/>
        <v>9.5100932810796568E-3</v>
      </c>
      <c r="H137" s="27">
        <f t="shared" si="51"/>
        <v>4.7772971318860158E-5</v>
      </c>
      <c r="I137" s="27">
        <f t="shared" si="52"/>
        <v>1.4423371905714077E-6</v>
      </c>
      <c r="J137" s="27">
        <f t="shared" si="53"/>
        <v>3.1973830968092289E-2</v>
      </c>
      <c r="K137" s="27">
        <f t="shared" si="54"/>
        <v>4.3612918825420887E-3</v>
      </c>
      <c r="L137" s="27">
        <f t="shared" si="55"/>
        <v>2.0980724565175569E-6</v>
      </c>
      <c r="M137" s="27">
        <f t="shared" si="56"/>
        <v>5.2863410791321792E-2</v>
      </c>
      <c r="N137" s="27">
        <f t="shared" si="57"/>
        <v>5.1125580724330044E-2</v>
      </c>
      <c r="O137" s="27">
        <f t="shared" si="58"/>
        <v>9.7467792292356137E-3</v>
      </c>
      <c r="P137" s="27">
        <f t="shared" si="59"/>
        <v>4.2327434387736673E-3</v>
      </c>
    </row>
    <row r="138" spans="2:16" x14ac:dyDescent="0.25">
      <c r="B138" s="7">
        <f t="shared" si="31"/>
        <v>1280</v>
      </c>
      <c r="C138" s="27">
        <f t="shared" si="46"/>
        <v>7.8718818979595822E-4</v>
      </c>
      <c r="D138" s="27">
        <f t="shared" si="47"/>
        <v>1.439969360947915E-6</v>
      </c>
      <c r="E138" s="27">
        <f t="shared" si="48"/>
        <v>3.1203241403478761E-15</v>
      </c>
      <c r="F138" s="27">
        <f t="shared" si="49"/>
        <v>1.4763421910093263E-2</v>
      </c>
      <c r="G138" s="27">
        <f t="shared" si="50"/>
        <v>9.3076442653381442E-3</v>
      </c>
      <c r="H138" s="27">
        <f t="shared" si="51"/>
        <v>4.3785854351607867E-5</v>
      </c>
      <c r="I138" s="27">
        <f t="shared" si="52"/>
        <v>1.2451493556220328E-6</v>
      </c>
      <c r="J138" s="27">
        <f t="shared" si="53"/>
        <v>3.1118697034070941E-2</v>
      </c>
      <c r="K138" s="27">
        <f t="shared" si="54"/>
        <v>4.1116336647013503E-3</v>
      </c>
      <c r="L138" s="27">
        <f t="shared" si="55"/>
        <v>1.5055732042529048E-6</v>
      </c>
      <c r="M138" s="27">
        <f t="shared" si="56"/>
        <v>5.2130678728842167E-2</v>
      </c>
      <c r="N138" s="27">
        <f t="shared" si="57"/>
        <v>5.0290005412379712E-2</v>
      </c>
      <c r="O138" s="27">
        <f t="shared" si="58"/>
        <v>9.3401378802850932E-3</v>
      </c>
      <c r="P138" s="27">
        <f t="shared" si="59"/>
        <v>3.9877509858603499E-3</v>
      </c>
    </row>
    <row r="139" spans="2:16" x14ac:dyDescent="0.25">
      <c r="B139" s="7">
        <f t="shared" ref="B139:B202" si="60">B138+cycle_length</f>
        <v>1290</v>
      </c>
      <c r="C139" s="27">
        <f t="shared" ref="C139:C170" si="61" xml:space="preserve"> EXP(-exp_c_lambda*$B139)</f>
        <v>7.4443911399157633E-4</v>
      </c>
      <c r="D139" s="27">
        <f t="shared" ref="D139:D170" si="62" xml:space="preserve"> EXP(-weib_c_lambda*$B139^weib_c_gamma)</f>
        <v>1.245920831883477E-6</v>
      </c>
      <c r="E139" s="27">
        <f t="shared" ref="E139:E170" si="63">EXP((gomp_c_lambda/gomp_c_gamma)*(1-EXP(gomp_c_gamma*$B139)))</f>
        <v>1.3380299076042523E-15</v>
      </c>
      <c r="F139" s="27">
        <f t="shared" ref="F139:F170" si="64">1/(1+ll_c_lambda*$B139^ll_c_gamma)</f>
        <v>1.4552319103974608E-2</v>
      </c>
      <c r="G139" s="27">
        <f t="shared" ref="G139:G170" si="65">1-NORMDIST(((LN($B139)-ln_c_lambda)/ln_c_gamma),0,1,TRUE)</f>
        <v>9.110507765837661E-3</v>
      </c>
      <c r="H139" s="27">
        <f t="shared" ref="H139:H170" si="66">IF(gam_c_gamma&gt;0, 1-GAMMADIST(gam_c_lambda*$B139,gam_c_gamma,1,TRUE), 1- (1-GAMMADIST(gam_c_lambda*$B139,gam_c_gamma,1,TRUE)))</f>
        <v>4.0130193674103865E-5</v>
      </c>
      <c r="I139" s="27">
        <f t="shared" ref="I139:I170" si="67" xml:space="preserve"> IF(ggam_c_gamma&gt;0, 1-GAMMADIST(ggam_c_lambda*$B139^(ggam_c_delta),ggam_c_gamma,1,TRUE), 1-( 1-GAMMADIST(ggam_c_lambda*$B139^(ggam_c_delta),ggam_c_gamma,1,TRUE)))</f>
        <v>1.0744396499173803E-6</v>
      </c>
      <c r="J139" s="27">
        <f t="shared" ref="J139:J170" si="68" xml:space="preserve"> EXP(-exp_i_lambda*$B139)</f>
        <v>3.0286433491959922E-2</v>
      </c>
      <c r="K139" s="27">
        <f t="shared" ref="K139:K170" si="69" xml:space="preserve"> EXP(-weib_i_lambda*$B139^weib_i_gamma)</f>
        <v>3.8755958112711001E-3</v>
      </c>
      <c r="L139" s="27">
        <f t="shared" ref="L139:L170" si="70">EXP((gomp_i_lambda/gomp_i_gamma)*(1-EXP(gomp_i_gamma*$B139)))</f>
        <v>1.0717706547767975E-6</v>
      </c>
      <c r="M139" s="27">
        <f t="shared" ref="M139:M170" si="71">1/(1+ll_i_lambda*$B139^ll_i_gamma)</f>
        <v>5.1413142413751209E-2</v>
      </c>
      <c r="N139" s="27">
        <f t="shared" ref="N139:N170" si="72">1-NORMDIST(((LN($B139)-ln_i_lambda)/ln_i_gamma),0,1,TRUE)</f>
        <v>4.9471726096124713E-2</v>
      </c>
      <c r="O139" s="27">
        <f t="shared" ref="O139:O170" si="73">IF(gam_i_gamma&gt;0, 1-GAMMADIST(gam_i_lambda*$B139,gam_i_gamma,1,TRUE), 1- (1-GAMMADIST(gam_i_lambda*$B139,gam_i_gamma,1,TRUE)))</f>
        <v>8.9502063323924075E-3</v>
      </c>
      <c r="P139" s="27">
        <f t="shared" ref="P139:P170" si="74" xml:space="preserve"> IF(ggam_i_gamma&gt;0, 1-GAMMADIST(ggam_i_lambda*$B139^(ggam_i_delta),ggam_i_gamma,1,TRUE), 1-( 1-GAMMADIST(ggam_i_lambda*$B139^(ggam_i_delta),ggam_i_gamma,1,TRUE)))</f>
        <v>3.7562607946275417E-3</v>
      </c>
    </row>
    <row r="140" spans="2:16" x14ac:dyDescent="0.25">
      <c r="B140" s="7">
        <f t="shared" si="60"/>
        <v>1300</v>
      </c>
      <c r="C140" s="27">
        <f t="shared" si="61"/>
        <v>7.0401157134256738E-4</v>
      </c>
      <c r="D140" s="27">
        <f t="shared" si="62"/>
        <v>1.0775673735097201E-6</v>
      </c>
      <c r="E140" s="27">
        <f t="shared" si="63"/>
        <v>5.6214551021416045E-16</v>
      </c>
      <c r="F140" s="27">
        <f t="shared" si="64"/>
        <v>1.4345786809089952E-2</v>
      </c>
      <c r="G140" s="27">
        <f t="shared" si="65"/>
        <v>8.9185168850309804E-3</v>
      </c>
      <c r="H140" s="27">
        <f t="shared" si="66"/>
        <v>3.6778561532280207E-5</v>
      </c>
      <c r="I140" s="27">
        <f t="shared" si="67"/>
        <v>9.2672195506349198E-7</v>
      </c>
      <c r="J140" s="27">
        <f t="shared" si="68"/>
        <v>2.9476428677544627E-2</v>
      </c>
      <c r="K140" s="27">
        <f t="shared" si="69"/>
        <v>3.6524788642964571E-3</v>
      </c>
      <c r="L140" s="27">
        <f t="shared" si="70"/>
        <v>7.5672196272891985E-7</v>
      </c>
      <c r="M140" s="27">
        <f t="shared" si="71"/>
        <v>5.0710387231906941E-2</v>
      </c>
      <c r="N140" s="27">
        <f t="shared" si="72"/>
        <v>4.8670305258462832E-2</v>
      </c>
      <c r="O140" s="27">
        <f t="shared" si="73"/>
        <v>8.5763120881421351E-3</v>
      </c>
      <c r="P140" s="27">
        <f t="shared" si="74"/>
        <v>3.5375731757114615E-3</v>
      </c>
    </row>
    <row r="141" spans="2:16" x14ac:dyDescent="0.25">
      <c r="B141" s="7">
        <f t="shared" si="60"/>
        <v>1310</v>
      </c>
      <c r="C141" s="27">
        <f t="shared" si="61"/>
        <v>6.6577948856921386E-4</v>
      </c>
      <c r="D141" s="27">
        <f t="shared" si="62"/>
        <v>9.3157128050223612E-7</v>
      </c>
      <c r="E141" s="27">
        <f t="shared" si="63"/>
        <v>2.3127777486948635E-16</v>
      </c>
      <c r="F141" s="27">
        <f t="shared" si="64"/>
        <v>1.4143693251219469E-2</v>
      </c>
      <c r="G141" s="27">
        <f t="shared" si="65"/>
        <v>8.7315108580331424E-3</v>
      </c>
      <c r="H141" s="27">
        <f t="shared" si="66"/>
        <v>3.3705787404914034E-5</v>
      </c>
      <c r="I141" s="27">
        <f t="shared" si="67"/>
        <v>7.9895924687267694E-7</v>
      </c>
      <c r="J141" s="27">
        <f t="shared" si="68"/>
        <v>2.8688087285451743E-2</v>
      </c>
      <c r="K141" s="27">
        <f t="shared" si="69"/>
        <v>3.4416164926693521E-3</v>
      </c>
      <c r="L141" s="27">
        <f t="shared" si="70"/>
        <v>5.2980881217078988E-7</v>
      </c>
      <c r="M141" s="27">
        <f t="shared" si="71"/>
        <v>5.0022012457511644E-2</v>
      </c>
      <c r="N141" s="27">
        <f t="shared" si="72"/>
        <v>4.7885318526096454E-2</v>
      </c>
      <c r="O141" s="27">
        <f t="shared" si="73"/>
        <v>8.2178089117763697E-3</v>
      </c>
      <c r="P141" s="27">
        <f t="shared" si="74"/>
        <v>3.3310218282328607E-3</v>
      </c>
    </row>
    <row r="142" spans="2:16" x14ac:dyDescent="0.25">
      <c r="B142" s="7">
        <f t="shared" si="60"/>
        <v>1320</v>
      </c>
      <c r="C142" s="27">
        <f t="shared" si="61"/>
        <v>6.2962363893276894E-4</v>
      </c>
      <c r="D142" s="27">
        <f t="shared" si="62"/>
        <v>8.0501929762800593E-7</v>
      </c>
      <c r="E142" s="27">
        <f t="shared" si="63"/>
        <v>9.3132553794996742E-17</v>
      </c>
      <c r="F142" s="27">
        <f t="shared" si="64"/>
        <v>1.3945911379897129E-2</v>
      </c>
      <c r="G142" s="27">
        <f t="shared" si="65"/>
        <v>8.5493347939601394E-3</v>
      </c>
      <c r="H142" s="27">
        <f t="shared" si="66"/>
        <v>3.0888773461468233E-5</v>
      </c>
      <c r="I142" s="27">
        <f t="shared" si="67"/>
        <v>6.8850713486057202E-7</v>
      </c>
      <c r="J142" s="27">
        <f t="shared" si="68"/>
        <v>2.792082993163519E-2</v>
      </c>
      <c r="K142" s="27">
        <f t="shared" si="69"/>
        <v>3.2423741005115463E-3</v>
      </c>
      <c r="L142" s="27">
        <f t="shared" si="70"/>
        <v>3.6775803200732272E-7</v>
      </c>
      <c r="M142" s="27">
        <f t="shared" si="71"/>
        <v>4.9347630706483417E-2</v>
      </c>
      <c r="N142" s="27">
        <f t="shared" si="72"/>
        <v>4.7116354211334199E-2</v>
      </c>
      <c r="O142" s="27">
        <f t="shared" si="73"/>
        <v>7.8740758508126785E-3</v>
      </c>
      <c r="P142" s="27">
        <f t="shared" si="74"/>
        <v>3.1359724298749558E-3</v>
      </c>
    </row>
    <row r="143" spans="2:16" x14ac:dyDescent="0.25">
      <c r="B143" s="7">
        <f t="shared" si="60"/>
        <v>1330</v>
      </c>
      <c r="C143" s="27">
        <f t="shared" si="61"/>
        <v>5.9543127042690461E-4</v>
      </c>
      <c r="D143" s="27">
        <f t="shared" si="62"/>
        <v>6.9536990914929829E-7</v>
      </c>
      <c r="E143" s="27">
        <f t="shared" si="63"/>
        <v>3.668820816039773E-17</v>
      </c>
      <c r="F143" s="27">
        <f t="shared" si="64"/>
        <v>1.3752318666691351E-2</v>
      </c>
      <c r="G143" s="27">
        <f t="shared" si="65"/>
        <v>8.3718394295991816E-3</v>
      </c>
      <c r="H143" s="27">
        <f t="shared" si="66"/>
        <v>2.8306324983740083E-5</v>
      </c>
      <c r="I143" s="27">
        <f t="shared" si="67"/>
        <v>5.9306430588712544E-7</v>
      </c>
      <c r="J143" s="27">
        <f t="shared" si="68"/>
        <v>2.7174092727563309E-2</v>
      </c>
      <c r="K143" s="27">
        <f t="shared" si="69"/>
        <v>3.0541474826956913E-3</v>
      </c>
      <c r="L143" s="27">
        <f t="shared" si="70"/>
        <v>2.5303171818283902E-7</v>
      </c>
      <c r="M143" s="27">
        <f t="shared" si="71"/>
        <v>4.8686867414338253E-2</v>
      </c>
      <c r="N143" s="27">
        <f t="shared" si="72"/>
        <v>4.6363012872074005E-2</v>
      </c>
      <c r="O143" s="27">
        <f t="shared" si="73"/>
        <v>7.5445162912202157E-3</v>
      </c>
      <c r="P143" s="27">
        <f t="shared" si="74"/>
        <v>2.9518212747323691E-3</v>
      </c>
    </row>
    <row r="144" spans="2:16" x14ac:dyDescent="0.25">
      <c r="B144" s="7">
        <f t="shared" si="60"/>
        <v>1340</v>
      </c>
      <c r="C144" s="27">
        <f t="shared" si="61"/>
        <v>5.6309575416061395E-4</v>
      </c>
      <c r="D144" s="27">
        <f t="shared" si="62"/>
        <v>6.0040700029905037E-7</v>
      </c>
      <c r="E144" s="27">
        <f t="shared" si="63"/>
        <v>1.4131177516371106E-17</v>
      </c>
      <c r="F144" s="27">
        <f t="shared" si="64"/>
        <v>1.3562796913451077E-2</v>
      </c>
      <c r="G144" s="27">
        <f t="shared" si="65"/>
        <v>8.1988808947549563E-3</v>
      </c>
      <c r="H144" s="27">
        <f t="shared" si="66"/>
        <v>2.5938994554053352E-5</v>
      </c>
      <c r="I144" s="27">
        <f t="shared" si="67"/>
        <v>5.1062905415122373E-7</v>
      </c>
      <c r="J144" s="27">
        <f t="shared" si="68"/>
        <v>2.6447326865794291E-2</v>
      </c>
      <c r="K144" s="27">
        <f t="shared" si="69"/>
        <v>2.8763615266635513E-3</v>
      </c>
      <c r="L144" s="27">
        <f t="shared" si="70"/>
        <v>1.72530168627975E-7</v>
      </c>
      <c r="M144" s="27">
        <f t="shared" si="71"/>
        <v>4.8039360337358686E-2</v>
      </c>
      <c r="N144" s="27">
        <f t="shared" si="72"/>
        <v>4.5624906889163319E-2</v>
      </c>
      <c r="O144" s="27">
        <f t="shared" si="73"/>
        <v>7.2285570451908754E-3</v>
      </c>
      <c r="P144" s="27">
        <f t="shared" si="74"/>
        <v>2.7779939580975244E-3</v>
      </c>
    </row>
    <row r="145" spans="2:16" x14ac:dyDescent="0.25">
      <c r="B145" s="7">
        <f t="shared" si="60"/>
        <v>1350</v>
      </c>
      <c r="C145" s="27">
        <f t="shared" si="61"/>
        <v>5.3251625183604629E-4</v>
      </c>
      <c r="D145" s="27">
        <f t="shared" si="62"/>
        <v>5.1819914409326461E-7</v>
      </c>
      <c r="E145" s="27">
        <f t="shared" si="63"/>
        <v>5.3188896265648821E-18</v>
      </c>
      <c r="F145" s="27">
        <f t="shared" si="64"/>
        <v>1.3377232069959666E-2</v>
      </c>
      <c r="G145" s="27">
        <f t="shared" si="65"/>
        <v>8.0303204886525981E-3</v>
      </c>
      <c r="H145" s="27">
        <f t="shared" si="66"/>
        <v>2.3768938900881054E-5</v>
      </c>
      <c r="I145" s="27">
        <f t="shared" si="67"/>
        <v>4.3946117456172828E-7</v>
      </c>
      <c r="J145" s="27">
        <f t="shared" si="68"/>
        <v>2.5739998216635408E-2</v>
      </c>
      <c r="K145" s="27">
        <f t="shared" si="69"/>
        <v>2.7084689596549708E-3</v>
      </c>
      <c r="L145" s="27">
        <f t="shared" si="70"/>
        <v>1.1655681034869819E-7</v>
      </c>
      <c r="M145" s="27">
        <f t="shared" si="71"/>
        <v>4.7404759075893074E-2</v>
      </c>
      <c r="N145" s="27">
        <f t="shared" si="72"/>
        <v>4.4901660060363224E-2</v>
      </c>
      <c r="O145" s="27">
        <f t="shared" si="73"/>
        <v>6.9256474705581272E-3</v>
      </c>
      <c r="P145" s="27">
        <f t="shared" si="74"/>
        <v>2.6139441073111946E-3</v>
      </c>
    </row>
    <row r="146" spans="2:16" x14ac:dyDescent="0.25">
      <c r="B146" s="7">
        <f t="shared" si="60"/>
        <v>1360</v>
      </c>
      <c r="C146" s="27">
        <f t="shared" si="61"/>
        <v>5.0359740128430586E-4</v>
      </c>
      <c r="D146" s="27">
        <f t="shared" si="62"/>
        <v>4.4706385109789538E-7</v>
      </c>
      <c r="E146" s="27">
        <f t="shared" si="63"/>
        <v>1.9552963598849243E-18</v>
      </c>
      <c r="F146" s="27">
        <f t="shared" si="64"/>
        <v>1.3195514060474176E-2</v>
      </c>
      <c r="G146" s="27">
        <f t="shared" si="65"/>
        <v>7.8660244668181667E-3</v>
      </c>
      <c r="H146" s="27">
        <f t="shared" si="66"/>
        <v>2.1779787384379468E-5</v>
      </c>
      <c r="I146" s="27">
        <f t="shared" si="67"/>
        <v>3.7804857644374579E-7</v>
      </c>
      <c r="J146" s="27">
        <f t="shared" si="68"/>
        <v>2.5051586935589371E-2</v>
      </c>
      <c r="K146" s="27">
        <f t="shared" si="69"/>
        <v>2.5499491404256122E-3</v>
      </c>
      <c r="L146" s="27">
        <f t="shared" si="70"/>
        <v>7.8000203965190502E-8</v>
      </c>
      <c r="M146" s="27">
        <f t="shared" si="71"/>
        <v>4.6782724618693247E-2</v>
      </c>
      <c r="N146" s="27">
        <f t="shared" si="72"/>
        <v>4.4192907210190202E-2</v>
      </c>
      <c r="O146" s="27">
        <f t="shared" si="73"/>
        <v>6.635258620928175E-3</v>
      </c>
      <c r="P146" s="27">
        <f t="shared" si="74"/>
        <v>2.4591521577542741E-3</v>
      </c>
    </row>
    <row r="147" spans="2:16" x14ac:dyDescent="0.25">
      <c r="B147" s="7">
        <f t="shared" si="60"/>
        <v>1370</v>
      </c>
      <c r="C147" s="27">
        <f t="shared" si="61"/>
        <v>4.7624901907855567E-4</v>
      </c>
      <c r="D147" s="27">
        <f t="shared" si="62"/>
        <v>3.8553619500802274E-7</v>
      </c>
      <c r="E147" s="27">
        <f t="shared" si="63"/>
        <v>7.0162582089164327E-19</v>
      </c>
      <c r="F147" s="27">
        <f t="shared" si="64"/>
        <v>1.3017536618658967E-2</v>
      </c>
      <c r="G147" s="27">
        <f t="shared" si="65"/>
        <v>7.7058638378868505E-3</v>
      </c>
      <c r="H147" s="27">
        <f t="shared" si="66"/>
        <v>1.9956521183805975E-5</v>
      </c>
      <c r="I147" s="27">
        <f t="shared" si="67"/>
        <v>3.2507805047821137E-7</v>
      </c>
      <c r="J147" s="27">
        <f t="shared" si="68"/>
        <v>2.4381587081299574E-2</v>
      </c>
      <c r="K147" s="27">
        <f t="shared" si="69"/>
        <v>2.4003068944988856E-3</v>
      </c>
      <c r="L147" s="27">
        <f t="shared" si="70"/>
        <v>5.169397239431908E-8</v>
      </c>
      <c r="M147" s="27">
        <f t="shared" si="71"/>
        <v>4.6172928907254017E-2</v>
      </c>
      <c r="N147" s="27">
        <f t="shared" si="72"/>
        <v>4.3498293814935973E-2</v>
      </c>
      <c r="O147" s="27">
        <f t="shared" si="73"/>
        <v>6.3568824256101664E-3</v>
      </c>
      <c r="P147" s="27">
        <f t="shared" si="74"/>
        <v>2.3131241730307561E-3</v>
      </c>
    </row>
    <row r="148" spans="2:16" x14ac:dyDescent="0.25">
      <c r="B148" s="7">
        <f t="shared" si="60"/>
        <v>1380</v>
      </c>
      <c r="C148" s="27">
        <f t="shared" si="61"/>
        <v>4.503858192970288E-4</v>
      </c>
      <c r="D148" s="27">
        <f t="shared" si="62"/>
        <v>3.323412939573618E-7</v>
      </c>
      <c r="E148" s="27">
        <f t="shared" si="63"/>
        <v>2.4561013396796137E-19</v>
      </c>
      <c r="F148" s="27">
        <f t="shared" si="64"/>
        <v>1.2843197130454398E-2</v>
      </c>
      <c r="G148" s="27">
        <f t="shared" si="65"/>
        <v>7.5497141698246395E-3</v>
      </c>
      <c r="H148" s="27">
        <f t="shared" si="66"/>
        <v>1.828536232495459E-5</v>
      </c>
      <c r="I148" s="27">
        <f t="shared" si="67"/>
        <v>2.7940968827522283E-7</v>
      </c>
      <c r="J148" s="27">
        <f t="shared" si="68"/>
        <v>2.3729506243713294E-2</v>
      </c>
      <c r="K148" s="27">
        <f t="shared" si="69"/>
        <v>2.2590713919720612E-3</v>
      </c>
      <c r="L148" s="27">
        <f t="shared" si="70"/>
        <v>3.3920977994781644E-8</v>
      </c>
      <c r="M148" s="27">
        <f t="shared" si="71"/>
        <v>4.557505441917923E-2</v>
      </c>
      <c r="N148" s="27">
        <f t="shared" si="72"/>
        <v>4.2817475642207281E-2</v>
      </c>
      <c r="O148" s="27">
        <f t="shared" si="73"/>
        <v>6.0900308984388474E-3</v>
      </c>
      <c r="P148" s="27">
        <f t="shared" si="74"/>
        <v>2.1753907083612578E-3</v>
      </c>
    </row>
    <row r="149" spans="2:16" x14ac:dyDescent="0.25">
      <c r="B149" s="7">
        <f t="shared" si="60"/>
        <v>1390</v>
      </c>
      <c r="C149" s="27">
        <f t="shared" si="61"/>
        <v>4.2592714755890486E-4</v>
      </c>
      <c r="D149" s="27">
        <f t="shared" si="62"/>
        <v>2.8637018719601251E-7</v>
      </c>
      <c r="E149" s="27">
        <f t="shared" si="63"/>
        <v>8.3825279524760247E-20</v>
      </c>
      <c r="F149" s="27">
        <f t="shared" si="64"/>
        <v>1.2672396484447127E-2</v>
      </c>
      <c r="G149" s="27">
        <f t="shared" si="65"/>
        <v>7.3974554050749708E-3</v>
      </c>
      <c r="H149" s="27">
        <f t="shared" si="66"/>
        <v>1.6753671753022559E-5</v>
      </c>
      <c r="I149" s="27">
        <f t="shared" si="67"/>
        <v>2.4005451049191606E-7</v>
      </c>
      <c r="J149" s="27">
        <f t="shared" si="68"/>
        <v>2.3094865182189554E-2</v>
      </c>
      <c r="K149" s="27">
        <f t="shared" si="69"/>
        <v>2.1257950668739111E-3</v>
      </c>
      <c r="L149" s="27">
        <f t="shared" si="70"/>
        <v>2.2033163714061578E-8</v>
      </c>
      <c r="M149" s="27">
        <f t="shared" si="71"/>
        <v>4.4988793769643244E-2</v>
      </c>
      <c r="N149" s="27">
        <f t="shared" si="72"/>
        <v>4.2150118404352677E-2</v>
      </c>
      <c r="O149" s="27">
        <f t="shared" si="73"/>
        <v>5.8342353746112519E-3</v>
      </c>
      <c r="P149" s="27">
        <f t="shared" si="74"/>
        <v>2.0455057161786749E-3</v>
      </c>
    </row>
    <row r="150" spans="2:16" x14ac:dyDescent="0.25">
      <c r="B150" s="7">
        <f t="shared" si="60"/>
        <v>1400</v>
      </c>
      <c r="C150" s="27">
        <f t="shared" si="61"/>
        <v>4.0279672950365011E-4</v>
      </c>
      <c r="D150" s="27">
        <f t="shared" si="62"/>
        <v>2.4665869991675668E-7</v>
      </c>
      <c r="E150" s="27">
        <f t="shared" si="63"/>
        <v>2.7875697082665481E-20</v>
      </c>
      <c r="F150" s="27">
        <f t="shared" si="64"/>
        <v>1.2505038929337579E-2</v>
      </c>
      <c r="G150" s="27">
        <f t="shared" si="65"/>
        <v>7.2489716841734886E-3</v>
      </c>
      <c r="H150" s="27">
        <f t="shared" si="66"/>
        <v>1.5349855718271854E-5</v>
      </c>
      <c r="I150" s="27">
        <f t="shared" si="67"/>
        <v>2.0615491203024305E-7</v>
      </c>
      <c r="J150" s="27">
        <f t="shared" si="68"/>
        <v>2.2477197473285762E-2</v>
      </c>
      <c r="K150" s="27">
        <f t="shared" si="69"/>
        <v>2.0000525770553969E-3</v>
      </c>
      <c r="L150" s="27">
        <f t="shared" si="70"/>
        <v>1.4163109873653261E-8</v>
      </c>
      <c r="M150" s="27">
        <f t="shared" si="71"/>
        <v>4.4413849330075576E-2</v>
      </c>
      <c r="N150" s="27">
        <f t="shared" si="72"/>
        <v>4.1495897425178341E-2</v>
      </c>
      <c r="O150" s="27">
        <f t="shared" si="73"/>
        <v>5.589045774667678E-3</v>
      </c>
      <c r="P150" s="27">
        <f t="shared" si="74"/>
        <v>1.9230454929031193E-3</v>
      </c>
    </row>
    <row r="151" spans="2:16" x14ac:dyDescent="0.25">
      <c r="B151" s="7">
        <f t="shared" si="60"/>
        <v>1410</v>
      </c>
      <c r="C151" s="27">
        <f t="shared" si="61"/>
        <v>3.8092243292944474E-4</v>
      </c>
      <c r="D151" s="27">
        <f t="shared" si="62"/>
        <v>2.1236893626117149E-7</v>
      </c>
      <c r="E151" s="27">
        <f t="shared" si="63"/>
        <v>9.0266379348984616E-21</v>
      </c>
      <c r="F151" s="27">
        <f t="shared" si="64"/>
        <v>1.234103193812181E-2</v>
      </c>
      <c r="G151" s="27">
        <f t="shared" si="65"/>
        <v>7.1041511773970445E-3</v>
      </c>
      <c r="H151" s="27">
        <f t="shared" si="66"/>
        <v>1.4063279805354156E-5</v>
      </c>
      <c r="I151" s="27">
        <f t="shared" si="67"/>
        <v>1.7696757981244815E-7</v>
      </c>
      <c r="J151" s="27">
        <f t="shared" si="68"/>
        <v>2.1876049167964238E-2</v>
      </c>
      <c r="K151" s="27">
        <f t="shared" si="69"/>
        <v>1.8814398035812833E-3</v>
      </c>
      <c r="L151" s="27">
        <f t="shared" si="70"/>
        <v>9.0075006785883984E-9</v>
      </c>
      <c r="M151" s="27">
        <f t="shared" si="71"/>
        <v>4.384993286323384E-2</v>
      </c>
      <c r="N151" s="27">
        <f t="shared" si="72"/>
        <v>4.0854497319381955E-2</v>
      </c>
      <c r="O151" s="27">
        <f t="shared" si="73"/>
        <v>5.3540298947716281E-3</v>
      </c>
      <c r="P151" s="27">
        <f t="shared" si="74"/>
        <v>1.8076076658566365E-3</v>
      </c>
    </row>
    <row r="152" spans="2:16" x14ac:dyDescent="0.25">
      <c r="B152" s="7">
        <f t="shared" si="60"/>
        <v>1420</v>
      </c>
      <c r="C152" s="27">
        <f t="shared" si="61"/>
        <v>3.6023604284893393E-4</v>
      </c>
      <c r="D152" s="27">
        <f t="shared" si="62"/>
        <v>1.8277308251835655E-7</v>
      </c>
      <c r="E152" s="27">
        <f t="shared" si="63"/>
        <v>2.8444404809368072E-21</v>
      </c>
      <c r="F152" s="27">
        <f t="shared" si="64"/>
        <v>1.2180286078630469E-2</v>
      </c>
      <c r="G152" s="27">
        <f t="shared" si="65"/>
        <v>6.9628859240390417E-3</v>
      </c>
      <c r="H152" s="27">
        <f t="shared" si="66"/>
        <v>1.2884189986017702E-5</v>
      </c>
      <c r="I152" s="27">
        <f t="shared" si="67"/>
        <v>1.5184858070949048E-7</v>
      </c>
      <c r="J152" s="27">
        <f t="shared" si="68"/>
        <v>2.1290978457966615E-2</v>
      </c>
      <c r="K152" s="27">
        <f t="shared" si="69"/>
        <v>1.7695728885818416E-3</v>
      </c>
      <c r="L152" s="27">
        <f t="shared" si="70"/>
        <v>5.6663305680452242E-9</v>
      </c>
      <c r="M152" s="27">
        <f t="shared" si="71"/>
        <v>4.3296765173881993E-2</v>
      </c>
      <c r="N152" s="27">
        <f t="shared" si="72"/>
        <v>4.0225611684159834E-2</v>
      </c>
      <c r="O152" s="27">
        <f t="shared" si="73"/>
        <v>5.1287727224567092E-3</v>
      </c>
      <c r="P152" s="27">
        <f t="shared" si="74"/>
        <v>1.6988102192666554E-3</v>
      </c>
    </row>
    <row r="153" spans="2:16" x14ac:dyDescent="0.25">
      <c r="B153" s="7">
        <f t="shared" si="60"/>
        <v>1430</v>
      </c>
      <c r="C153" s="27">
        <f t="shared" si="61"/>
        <v>3.4067304876080957E-4</v>
      </c>
      <c r="D153" s="27">
        <f t="shared" si="62"/>
        <v>1.5723923979989089E-7</v>
      </c>
      <c r="E153" s="27">
        <f t="shared" si="63"/>
        <v>8.7167072579196849E-22</v>
      </c>
      <c r="F153" s="27">
        <f t="shared" si="64"/>
        <v>1.2022714890086564E-2</v>
      </c>
      <c r="G153" s="27">
        <f t="shared" si="65"/>
        <v>6.8250716789258759E-3</v>
      </c>
      <c r="H153" s="27">
        <f t="shared" si="66"/>
        <v>1.180364012398627E-5</v>
      </c>
      <c r="I153" s="27">
        <f t="shared" si="67"/>
        <v>1.302403478398162E-7</v>
      </c>
      <c r="J153" s="27">
        <f t="shared" si="68"/>
        <v>2.072155535111108E-2</v>
      </c>
      <c r="K153" s="27">
        <f t="shared" si="69"/>
        <v>1.6640873105178144E-3</v>
      </c>
      <c r="L153" s="27">
        <f t="shared" si="70"/>
        <v>3.5248183303230472E-9</v>
      </c>
      <c r="M153" s="27">
        <f t="shared" si="71"/>
        <v>4.2754075774325509E-2</v>
      </c>
      <c r="N153" s="27">
        <f t="shared" si="72"/>
        <v>3.9608942802469072E-2</v>
      </c>
      <c r="O153" s="27">
        <f t="shared" si="73"/>
        <v>4.912875777031589E-3</v>
      </c>
      <c r="P153" s="27">
        <f t="shared" si="74"/>
        <v>1.5962905582995734E-3</v>
      </c>
    </row>
    <row r="154" spans="2:16" x14ac:dyDescent="0.25">
      <c r="B154" s="7">
        <f t="shared" si="60"/>
        <v>1440</v>
      </c>
      <c r="C154" s="27">
        <f t="shared" si="61"/>
        <v>3.2217244347383162E-4</v>
      </c>
      <c r="D154" s="27">
        <f t="shared" si="62"/>
        <v>1.3521903853929465E-7</v>
      </c>
      <c r="E154" s="27">
        <f t="shared" si="63"/>
        <v>2.5959731213583614E-22</v>
      </c>
      <c r="F154" s="27">
        <f t="shared" si="64"/>
        <v>1.1868234765365583E-2</v>
      </c>
      <c r="G154" s="27">
        <f t="shared" si="65"/>
        <v>6.6906077658099861E-3</v>
      </c>
      <c r="H154" s="27">
        <f t="shared" si="66"/>
        <v>1.0813425413758182E-5</v>
      </c>
      <c r="I154" s="27">
        <f t="shared" si="67"/>
        <v>1.116603325357346E-7</v>
      </c>
      <c r="J154" s="27">
        <f t="shared" si="68"/>
        <v>2.016736135527368E-2</v>
      </c>
      <c r="K154" s="27">
        <f t="shared" si="69"/>
        <v>1.5646369958103403E-3</v>
      </c>
      <c r="L154" s="27">
        <f t="shared" si="70"/>
        <v>2.1676608249276633E-9</v>
      </c>
      <c r="M154" s="27">
        <f t="shared" si="71"/>
        <v>4.2221602564099299E-2</v>
      </c>
      <c r="N154" s="27">
        <f t="shared" si="72"/>
        <v>3.9004201357452306E-2</v>
      </c>
      <c r="O154" s="27">
        <f t="shared" si="73"/>
        <v>4.7059564738496373E-3</v>
      </c>
      <c r="P154" s="27">
        <f t="shared" si="74"/>
        <v>1.4997046100660993E-3</v>
      </c>
    </row>
    <row r="155" spans="2:16" x14ac:dyDescent="0.25">
      <c r="B155" s="7">
        <f t="shared" si="60"/>
        <v>1450</v>
      </c>
      <c r="C155" s="27">
        <f t="shared" si="61"/>
        <v>3.0467653285591996E-4</v>
      </c>
      <c r="D155" s="27">
        <f t="shared" si="62"/>
        <v>1.1623681647503208E-7</v>
      </c>
      <c r="E155" s="27">
        <f t="shared" si="63"/>
        <v>7.5082774214453079E-23</v>
      </c>
      <c r="F155" s="27">
        <f t="shared" si="64"/>
        <v>1.1716764838659015E-2</v>
      </c>
      <c r="G155" s="27">
        <f t="shared" si="65"/>
        <v>6.5593969372964578E-3</v>
      </c>
      <c r="H155" s="27">
        <f t="shared" si="66"/>
        <v>9.9060212668256042E-6</v>
      </c>
      <c r="I155" s="27">
        <f t="shared" si="67"/>
        <v>9.5691114365692442E-8</v>
      </c>
      <c r="J155" s="27">
        <f t="shared" si="68"/>
        <v>1.962798917082148E-2</v>
      </c>
      <c r="K155" s="27">
        <f t="shared" si="69"/>
        <v>1.4708934657872541E-3</v>
      </c>
      <c r="L155" s="27">
        <f t="shared" si="70"/>
        <v>1.3174840723328061E-9</v>
      </c>
      <c r="M155" s="27">
        <f t="shared" si="71"/>
        <v>4.1699091523138186E-2</v>
      </c>
      <c r="N155" s="27">
        <f t="shared" si="72"/>
        <v>3.8411106157552721E-2</v>
      </c>
      <c r="O155" s="27">
        <f t="shared" si="73"/>
        <v>4.5076475116699877E-3</v>
      </c>
      <c r="P155" s="27">
        <f t="shared" si="74"/>
        <v>1.4087259605335412E-3</v>
      </c>
    </row>
    <row r="156" spans="2:16" x14ac:dyDescent="0.25">
      <c r="B156" s="7">
        <f t="shared" si="60"/>
        <v>1460</v>
      </c>
      <c r="C156" s="27">
        <f t="shared" si="61"/>
        <v>2.88130755915021E-4</v>
      </c>
      <c r="D156" s="27">
        <f t="shared" si="62"/>
        <v>9.9880167741134945E-8</v>
      </c>
      <c r="E156" s="27">
        <f t="shared" si="63"/>
        <v>2.1074915741404815E-23</v>
      </c>
      <c r="F156" s="27">
        <f t="shared" si="64"/>
        <v>1.156822687825999E-2</v>
      </c>
      <c r="G156" s="27">
        <f t="shared" si="65"/>
        <v>6.4313452409784366E-3</v>
      </c>
      <c r="H156" s="27">
        <f t="shared" si="66"/>
        <v>9.0745272053327497E-6</v>
      </c>
      <c r="I156" s="27">
        <f t="shared" si="67"/>
        <v>8.1971784804402148E-8</v>
      </c>
      <c r="J156" s="27">
        <f t="shared" si="68"/>
        <v>1.9103042391271578E-2</v>
      </c>
      <c r="K156" s="27">
        <f t="shared" si="69"/>
        <v>1.3825450179007408E-3</v>
      </c>
      <c r="L156" s="27">
        <f t="shared" si="70"/>
        <v>7.9118065634205182E-10</v>
      </c>
      <c r="M156" s="27">
        <f t="shared" si="71"/>
        <v>4.1186296417794616E-2</v>
      </c>
      <c r="N156" s="27">
        <f t="shared" si="72"/>
        <v>3.7829383871871958E-2</v>
      </c>
      <c r="O156" s="27">
        <f t="shared" si="73"/>
        <v>4.3175962823577274E-3</v>
      </c>
      <c r="P156" s="27">
        <f t="shared" si="74"/>
        <v>1.3230450262871063E-3</v>
      </c>
    </row>
    <row r="157" spans="2:16" x14ac:dyDescent="0.25">
      <c r="B157" s="7">
        <f t="shared" si="60"/>
        <v>1470</v>
      </c>
      <c r="C157" s="27">
        <f t="shared" si="61"/>
        <v>2.7248351465067002E-4</v>
      </c>
      <c r="D157" s="27">
        <f t="shared" si="62"/>
        <v>8.5791693673889278E-8</v>
      </c>
      <c r="E157" s="27">
        <f t="shared" si="63"/>
        <v>5.7367036077111302E-24</v>
      </c>
      <c r="F157" s="27">
        <f t="shared" si="64"/>
        <v>1.142254518420658E-2</v>
      </c>
      <c r="G157" s="27">
        <f t="shared" si="65"/>
        <v>6.3063618914739328E-3</v>
      </c>
      <c r="H157" s="27">
        <f t="shared" si="66"/>
        <v>8.3126153553880755E-6</v>
      </c>
      <c r="I157" s="27">
        <f t="shared" si="67"/>
        <v>7.0190446233020509E-8</v>
      </c>
      <c r="J157" s="27">
        <f t="shared" si="68"/>
        <v>1.8592135211955879E-2</v>
      </c>
      <c r="K157" s="27">
        <f t="shared" si="69"/>
        <v>1.2992959401775814E-3</v>
      </c>
      <c r="L157" s="27">
        <f t="shared" si="70"/>
        <v>4.6930588706667786E-10</v>
      </c>
      <c r="M157" s="27">
        <f t="shared" si="71"/>
        <v>4.0682978519102901E-2</v>
      </c>
      <c r="N157" s="27">
        <f t="shared" si="72"/>
        <v>3.7258768775341178E-2</v>
      </c>
      <c r="O157" s="27">
        <f t="shared" si="73"/>
        <v>4.1354643021848103E-3</v>
      </c>
      <c r="P157" s="27">
        <f t="shared" si="74"/>
        <v>1.2423682600847252E-3</v>
      </c>
    </row>
    <row r="158" spans="2:16" x14ac:dyDescent="0.25">
      <c r="B158" s="7">
        <f t="shared" si="60"/>
        <v>1480</v>
      </c>
      <c r="C158" s="27">
        <f t="shared" si="61"/>
        <v>2.576860131456421E-4</v>
      </c>
      <c r="D158" s="27">
        <f t="shared" si="62"/>
        <v>7.3661806274356115E-8</v>
      </c>
      <c r="E158" s="27">
        <f t="shared" si="63"/>
        <v>1.5132407386126175E-24</v>
      </c>
      <c r="F158" s="27">
        <f t="shared" si="64"/>
        <v>1.127964649053282E-2</v>
      </c>
      <c r="G158" s="27">
        <f t="shared" si="65"/>
        <v>6.1843591480739146E-3</v>
      </c>
      <c r="H158" s="27">
        <f t="shared" si="66"/>
        <v>7.6144831654412215E-6</v>
      </c>
      <c r="I158" s="27">
        <f t="shared" si="67"/>
        <v>6.0077685049009233E-8</v>
      </c>
      <c r="J158" s="27">
        <f t="shared" si="68"/>
        <v>1.8094892146477661E-2</v>
      </c>
      <c r="K158" s="27">
        <f t="shared" si="69"/>
        <v>1.2208657578702919E-3</v>
      </c>
      <c r="L158" s="27">
        <f t="shared" si="70"/>
        <v>2.7488887367467113E-10</v>
      </c>
      <c r="M158" s="27">
        <f t="shared" si="71"/>
        <v>4.0188906332718044E-2</v>
      </c>
      <c r="N158" s="27">
        <f t="shared" si="72"/>
        <v>3.6699002503300271E-2</v>
      </c>
      <c r="O158" s="27">
        <f t="shared" si="73"/>
        <v>3.9609266640178165E-3</v>
      </c>
      <c r="P158" s="27">
        <f t="shared" si="74"/>
        <v>1.1664173891590135E-3</v>
      </c>
    </row>
    <row r="159" spans="2:16" x14ac:dyDescent="0.25">
      <c r="B159" s="7">
        <f t="shared" si="60"/>
        <v>1490</v>
      </c>
      <c r="C159" s="27">
        <f t="shared" si="61"/>
        <v>2.4369210539589887E-4</v>
      </c>
      <c r="D159" s="27">
        <f t="shared" si="62"/>
        <v>6.3222453238969538E-8</v>
      </c>
      <c r="E159" s="27">
        <f t="shared" si="63"/>
        <v>3.8652084839210748E-25</v>
      </c>
      <c r="F159" s="27">
        <f t="shared" si="64"/>
        <v>1.1139459871892566E-2</v>
      </c>
      <c r="G159" s="27">
        <f t="shared" si="65"/>
        <v>6.0652521977274665E-3</v>
      </c>
      <c r="H159" s="27">
        <f t="shared" si="66"/>
        <v>6.9748100069988439E-6</v>
      </c>
      <c r="I159" s="27">
        <f t="shared" si="67"/>
        <v>5.1400895317854634E-8</v>
      </c>
      <c r="J159" s="27">
        <f t="shared" si="68"/>
        <v>1.7610947750751331E-2</v>
      </c>
      <c r="K159" s="27">
        <f t="shared" si="69"/>
        <v>1.1469885112881106E-3</v>
      </c>
      <c r="L159" s="27">
        <f t="shared" si="70"/>
        <v>1.5894496737064301E-10</v>
      </c>
      <c r="M159" s="27">
        <f t="shared" si="71"/>
        <v>3.9703855339988534E-2</v>
      </c>
      <c r="N159" s="27">
        <f t="shared" si="72"/>
        <v>3.6149833815092069E-2</v>
      </c>
      <c r="O159" s="27">
        <f t="shared" si="73"/>
        <v>3.7936715096942297E-3</v>
      </c>
      <c r="P159" s="27">
        <f t="shared" si="74"/>
        <v>1.0949286852259821E-3</v>
      </c>
    </row>
    <row r="160" spans="2:16" x14ac:dyDescent="0.25">
      <c r="B160" s="7">
        <f t="shared" si="60"/>
        <v>1500</v>
      </c>
      <c r="C160" s="27">
        <f t="shared" si="61"/>
        <v>2.3045815140428902E-4</v>
      </c>
      <c r="D160" s="27">
        <f t="shared" si="62"/>
        <v>5.4241649346357365E-8</v>
      </c>
      <c r="E160" s="27">
        <f t="shared" si="63"/>
        <v>9.5525514369566602E-26</v>
      </c>
      <c r="F160" s="27">
        <f t="shared" si="64"/>
        <v>1.10019166543339E-2</v>
      </c>
      <c r="G160" s="27">
        <f t="shared" si="65"/>
        <v>5.9489590431048844E-3</v>
      </c>
      <c r="H160" s="27">
        <f t="shared" si="66"/>
        <v>6.3887173384902241E-6</v>
      </c>
      <c r="I160" s="27">
        <f t="shared" si="67"/>
        <v>4.3959344719901594E-8</v>
      </c>
      <c r="J160" s="27">
        <f t="shared" si="68"/>
        <v>1.7139946354422776E-2</v>
      </c>
      <c r="K160" s="27">
        <f t="shared" si="69"/>
        <v>1.0774120637982441E-3</v>
      </c>
      <c r="L160" s="27">
        <f t="shared" si="70"/>
        <v>9.0696244784459756E-11</v>
      </c>
      <c r="M160" s="27">
        <f t="shared" si="71"/>
        <v>3.9227607749647675E-2</v>
      </c>
      <c r="N160" s="27">
        <f t="shared" si="72"/>
        <v>3.5611018366303759E-2</v>
      </c>
      <c r="O160" s="27">
        <f t="shared" si="73"/>
        <v>3.6333995219082205E-3</v>
      </c>
      <c r="P160" s="27">
        <f t="shared" si="74"/>
        <v>1.0276522651765374E-3</v>
      </c>
    </row>
    <row r="161" spans="2:16" x14ac:dyDescent="0.25">
      <c r="B161" s="7">
        <f t="shared" si="60"/>
        <v>1510</v>
      </c>
      <c r="C161" s="27">
        <f t="shared" si="61"/>
        <v>2.179428810892284E-4</v>
      </c>
      <c r="D161" s="27">
        <f t="shared" si="62"/>
        <v>4.6518713003150492E-8</v>
      </c>
      <c r="E161" s="27">
        <f t="shared" si="63"/>
        <v>2.2824513148815431E-26</v>
      </c>
      <c r="F161" s="27">
        <f t="shared" si="64"/>
        <v>1.086695033001513E-2</v>
      </c>
      <c r="G161" s="27">
        <f t="shared" si="65"/>
        <v>5.8354003954920186E-3</v>
      </c>
      <c r="H161" s="27">
        <f t="shared" si="66"/>
        <v>5.851732145067956E-6</v>
      </c>
      <c r="I161" s="27">
        <f t="shared" si="67"/>
        <v>3.7579888534367001E-8</v>
      </c>
      <c r="J161" s="27">
        <f t="shared" si="68"/>
        <v>1.6681541799472847E-2</v>
      </c>
      <c r="K161" s="27">
        <f t="shared" si="69"/>
        <v>1.0118974390009557E-3</v>
      </c>
      <c r="L161" s="27">
        <f t="shared" si="70"/>
        <v>5.1055896271705197E-11</v>
      </c>
      <c r="M161" s="27">
        <f t="shared" si="71"/>
        <v>3.8759952259636604E-2</v>
      </c>
      <c r="N161" s="27">
        <f t="shared" si="72"/>
        <v>3.508231848929777E-2</v>
      </c>
      <c r="O161" s="27">
        <f t="shared" si="73"/>
        <v>3.4798234349462387E-3</v>
      </c>
      <c r="P161" s="27">
        <f t="shared" si="74"/>
        <v>9.6435142143425079E-4</v>
      </c>
    </row>
    <row r="162" spans="2:16" x14ac:dyDescent="0.25">
      <c r="B162" s="7">
        <f t="shared" si="60"/>
        <v>1520</v>
      </c>
      <c r="C162" s="27">
        <f t="shared" si="61"/>
        <v>2.061072655839656E-4</v>
      </c>
      <c r="D162" s="27">
        <f t="shared" si="62"/>
        <v>3.9880119114785066E-8</v>
      </c>
      <c r="E162" s="27">
        <f t="shared" si="63"/>
        <v>5.2682345004280843E-27</v>
      </c>
      <c r="F162" s="27">
        <f t="shared" si="64"/>
        <v>1.0734496475664849E-2</v>
      </c>
      <c r="G162" s="27">
        <f t="shared" si="65"/>
        <v>5.7244995722834924E-3</v>
      </c>
      <c r="H162" s="27">
        <f t="shared" si="66"/>
        <v>5.3597533840044065E-6</v>
      </c>
      <c r="I162" s="27">
        <f t="shared" si="67"/>
        <v>3.2113247394605082E-8</v>
      </c>
      <c r="J162" s="27">
        <f t="shared" si="68"/>
        <v>1.6235397185811757E-2</v>
      </c>
      <c r="K162" s="27">
        <f t="shared" si="69"/>
        <v>9.502181860973699E-4</v>
      </c>
      <c r="L162" s="27">
        <f t="shared" si="70"/>
        <v>2.8344865076680812E-11</v>
      </c>
      <c r="M162" s="27">
        <f t="shared" si="71"/>
        <v>3.8300683828595729E-2</v>
      </c>
      <c r="N162" s="27">
        <f t="shared" si="72"/>
        <v>3.4563502981696304E-2</v>
      </c>
      <c r="O162" s="27">
        <f t="shared" si="73"/>
        <v>3.3326675636298209E-3</v>
      </c>
      <c r="P162" s="27">
        <f t="shared" si="74"/>
        <v>9.0480198098075171E-4</v>
      </c>
    </row>
    <row r="163" spans="2:16" x14ac:dyDescent="0.25">
      <c r="B163" s="7">
        <f t="shared" si="60"/>
        <v>1530</v>
      </c>
      <c r="C163" s="27">
        <f t="shared" si="61"/>
        <v>1.9491439552507076E-4</v>
      </c>
      <c r="D163" s="27">
        <f t="shared" si="62"/>
        <v>3.4175890346346047E-8</v>
      </c>
      <c r="E163" s="27">
        <f t="shared" si="63"/>
        <v>1.1736735415423603E-27</v>
      </c>
      <c r="F163" s="27">
        <f t="shared" si="64"/>
        <v>1.0604492674599376E-2</v>
      </c>
      <c r="G163" s="27">
        <f t="shared" si="65"/>
        <v>5.6161823988558623E-3</v>
      </c>
      <c r="H163" s="27">
        <f t="shared" si="66"/>
        <v>4.9090211915459037E-6</v>
      </c>
      <c r="I163" s="27">
        <f t="shared" si="67"/>
        <v>2.7430777982395682E-8</v>
      </c>
      <c r="J163" s="27">
        <f t="shared" si="68"/>
        <v>1.5801184623677512E-2</v>
      </c>
      <c r="K163" s="27">
        <f t="shared" si="69"/>
        <v>8.9215977248414589E-4</v>
      </c>
      <c r="L163" s="27">
        <f t="shared" si="70"/>
        <v>1.5514191792764486E-11</v>
      </c>
      <c r="M163" s="27">
        <f t="shared" si="71"/>
        <v>3.7849603456583843E-2</v>
      </c>
      <c r="N163" s="27">
        <f t="shared" si="72"/>
        <v>3.4054346902494537E-2</v>
      </c>
      <c r="O163" s="27">
        <f t="shared" si="73"/>
        <v>3.1916673498417758E-3</v>
      </c>
      <c r="P163" s="27">
        <f t="shared" si="74"/>
        <v>8.4879169206630856E-4</v>
      </c>
    </row>
    <row r="164" spans="2:16" x14ac:dyDescent="0.25">
      <c r="B164" s="7">
        <f t="shared" si="60"/>
        <v>1540</v>
      </c>
      <c r="C164" s="27">
        <f t="shared" si="61"/>
        <v>1.8432936595059719E-4</v>
      </c>
      <c r="D164" s="27">
        <f t="shared" si="62"/>
        <v>2.9276458440717424E-8</v>
      </c>
      <c r="E164" s="27">
        <f t="shared" si="63"/>
        <v>2.5216024081266838E-28</v>
      </c>
      <c r="F164" s="27">
        <f t="shared" si="64"/>
        <v>1.0476878442121617E-2</v>
      </c>
      <c r="G164" s="27">
        <f t="shared" si="65"/>
        <v>5.5103771146097769E-3</v>
      </c>
      <c r="H164" s="27">
        <f t="shared" si="66"/>
        <v>4.4960886258493815E-6</v>
      </c>
      <c r="I164" s="27">
        <f t="shared" si="67"/>
        <v>2.3421671380141618E-8</v>
      </c>
      <c r="J164" s="27">
        <f t="shared" si="68"/>
        <v>1.5378584992656539E-2</v>
      </c>
      <c r="K164" s="27">
        <f t="shared" si="69"/>
        <v>8.375190026270944E-4</v>
      </c>
      <c r="L164" s="27">
        <f t="shared" si="70"/>
        <v>8.3687588673589039E-12</v>
      </c>
      <c r="M164" s="27">
        <f t="shared" si="71"/>
        <v>3.7406517974607575E-2</v>
      </c>
      <c r="N164" s="27">
        <f t="shared" si="72"/>
        <v>3.3554631375494304E-2</v>
      </c>
      <c r="O164" s="27">
        <f t="shared" si="73"/>
        <v>3.0565689260314555E-3</v>
      </c>
      <c r="P164" s="27">
        <f t="shared" si="74"/>
        <v>7.9611963763648319E-4</v>
      </c>
    </row>
    <row r="165" spans="2:16" x14ac:dyDescent="0.25">
      <c r="B165" s="7">
        <f t="shared" si="60"/>
        <v>1550</v>
      </c>
      <c r="C165" s="27">
        <f t="shared" si="61"/>
        <v>1.7431916744896798E-4</v>
      </c>
      <c r="D165" s="27">
        <f t="shared" si="62"/>
        <v>2.5069935715238592E-8</v>
      </c>
      <c r="E165" s="27">
        <f t="shared" si="63"/>
        <v>5.2200234101645113E-29</v>
      </c>
      <c r="F165" s="27">
        <f t="shared" si="64"/>
        <v>1.0351595154135106E-2</v>
      </c>
      <c r="G165" s="27">
        <f t="shared" si="65"/>
        <v>5.4070142829862888E-3</v>
      </c>
      <c r="H165" s="27">
        <f t="shared" si="66"/>
        <v>4.1177957377236396E-6</v>
      </c>
      <c r="I165" s="27">
        <f t="shared" si="67"/>
        <v>1.9990524458002312E-8</v>
      </c>
      <c r="J165" s="27">
        <f t="shared" si="68"/>
        <v>1.4967287707149031E-2</v>
      </c>
      <c r="K165" s="27">
        <f t="shared" si="69"/>
        <v>7.861034622832422E-4</v>
      </c>
      <c r="L165" s="27">
        <f t="shared" si="70"/>
        <v>4.447514276392109E-12</v>
      </c>
      <c r="M165" s="27">
        <f t="shared" si="71"/>
        <v>3.6971239842564445E-2</v>
      </c>
      <c r="N165" s="27">
        <f t="shared" si="72"/>
        <v>3.3064143399763934E-2</v>
      </c>
      <c r="O165" s="27">
        <f t="shared" si="73"/>
        <v>2.9271286951080278E-3</v>
      </c>
      <c r="P165" s="27">
        <f t="shared" si="74"/>
        <v>7.4659567452994846E-4</v>
      </c>
    </row>
    <row r="166" spans="2:16" x14ac:dyDescent="0.25">
      <c r="B166" s="7">
        <f t="shared" si="60"/>
        <v>1560</v>
      </c>
      <c r="C166" s="27">
        <f t="shared" si="61"/>
        <v>1.6485258321913566E-4</v>
      </c>
      <c r="D166" s="27">
        <f t="shared" si="62"/>
        <v>2.1459744296502834E-8</v>
      </c>
      <c r="E166" s="27">
        <f t="shared" si="63"/>
        <v>1.0402676806134841E-29</v>
      </c>
      <c r="F166" s="27">
        <f t="shared" si="64"/>
        <v>1.0228585978815725E-2</v>
      </c>
      <c r="G166" s="27">
        <f t="shared" si="65"/>
        <v>5.3060267052680299E-3</v>
      </c>
      <c r="H166" s="27">
        <f t="shared" si="66"/>
        <v>3.7712457778837916E-6</v>
      </c>
      <c r="I166" s="27">
        <f t="shared" si="67"/>
        <v>1.7055235446150618E-8</v>
      </c>
      <c r="J166" s="27">
        <f t="shared" si="68"/>
        <v>1.4566990488107119E-2</v>
      </c>
      <c r="K166" s="27">
        <f t="shared" si="69"/>
        <v>7.3773098716024019E-4</v>
      </c>
      <c r="L166" s="27">
        <f t="shared" si="70"/>
        <v>2.3277783077270021E-12</v>
      </c>
      <c r="M166" s="27">
        <f t="shared" si="71"/>
        <v>3.6543586955221252E-2</v>
      </c>
      <c r="N166" s="27">
        <f t="shared" si="72"/>
        <v>3.258267566684292E-2</v>
      </c>
      <c r="O166" s="27">
        <f t="shared" si="73"/>
        <v>2.8031129261530952E-3</v>
      </c>
      <c r="P166" s="27">
        <f t="shared" si="74"/>
        <v>7.0003989751410423E-4</v>
      </c>
    </row>
    <row r="167" spans="2:16" x14ac:dyDescent="0.25">
      <c r="B167" s="7">
        <f t="shared" si="60"/>
        <v>1570</v>
      </c>
      <c r="C167" s="27">
        <f t="shared" si="61"/>
        <v>1.559000917209976E-4</v>
      </c>
      <c r="D167" s="27">
        <f t="shared" si="62"/>
        <v>1.8362557193531618E-8</v>
      </c>
      <c r="E167" s="27">
        <f t="shared" si="63"/>
        <v>1.9938635448706936E-30</v>
      </c>
      <c r="F167" s="27">
        <f t="shared" si="64"/>
        <v>1.0107795811192609E-2</v>
      </c>
      <c r="G167" s="27">
        <f t="shared" si="65"/>
        <v>5.2073493379877211E-3</v>
      </c>
      <c r="H167" s="27">
        <f t="shared" si="66"/>
        <v>3.4537833679681995E-6</v>
      </c>
      <c r="I167" s="27">
        <f t="shared" si="67"/>
        <v>1.45451817257225E-8</v>
      </c>
      <c r="J167" s="27">
        <f t="shared" si="68"/>
        <v>1.4177399140877638E-2</v>
      </c>
      <c r="K167" s="27">
        <f t="shared" si="69"/>
        <v>6.9222915512130387E-4</v>
      </c>
      <c r="L167" s="27">
        <f t="shared" si="70"/>
        <v>1.1994265148087569E-12</v>
      </c>
      <c r="M167" s="27">
        <f t="shared" si="71"/>
        <v>3.6123382455869844E-2</v>
      </c>
      <c r="N167" s="27">
        <f t="shared" si="72"/>
        <v>3.2110026384420842E-2</v>
      </c>
      <c r="O167" s="27">
        <f t="shared" si="73"/>
        <v>2.6842973653982138E-3</v>
      </c>
      <c r="P167" s="27">
        <f t="shared" si="74"/>
        <v>6.5628212725155066E-4</v>
      </c>
    </row>
    <row r="168" spans="2:16" x14ac:dyDescent="0.25">
      <c r="B168" s="7">
        <f t="shared" si="60"/>
        <v>1580</v>
      </c>
      <c r="C168" s="27">
        <f t="shared" si="61"/>
        <v>1.4743377461248191E-4</v>
      </c>
      <c r="D168" s="27">
        <f t="shared" si="62"/>
        <v>1.5706511057206484E-8</v>
      </c>
      <c r="E168" s="27">
        <f t="shared" si="63"/>
        <v>3.672101243870548E-31</v>
      </c>
      <c r="F168" s="27">
        <f t="shared" si="64"/>
        <v>9.9891712104976608E-3</v>
      </c>
      <c r="G168" s="27">
        <f t="shared" si="65"/>
        <v>5.1109192137775983E-3</v>
      </c>
      <c r="H168" s="27">
        <f t="shared" si="66"/>
        <v>3.1629744724481768E-6</v>
      </c>
      <c r="I168" s="27">
        <f t="shared" si="67"/>
        <v>1.2399641979854437E-8</v>
      </c>
      <c r="J168" s="27">
        <f t="shared" si="68"/>
        <v>1.3798227338986639E-2</v>
      </c>
      <c r="K168" s="27">
        <f t="shared" si="69"/>
        <v>6.494348010642225E-4</v>
      </c>
      <c r="L168" s="27">
        <f t="shared" si="70"/>
        <v>6.082041220835795E-13</v>
      </c>
      <c r="M168" s="27">
        <f t="shared" si="71"/>
        <v>3.5710454557318895E-2</v>
      </c>
      <c r="N168" s="27">
        <f t="shared" si="72"/>
        <v>3.1645999106233447E-2</v>
      </c>
      <c r="O168" s="27">
        <f t="shared" si="73"/>
        <v>2.5704668619288551E-3</v>
      </c>
      <c r="P168" s="27">
        <f t="shared" si="74"/>
        <v>6.151614213074641E-4</v>
      </c>
    </row>
    <row r="169" spans="2:16" x14ac:dyDescent="0.25">
      <c r="B169" s="7">
        <f t="shared" si="60"/>
        <v>1590</v>
      </c>
      <c r="C169" s="27">
        <f t="shared" si="61"/>
        <v>1.3942722968620603E-4</v>
      </c>
      <c r="D169" s="27">
        <f t="shared" si="62"/>
        <v>1.3429655521482583E-8</v>
      </c>
      <c r="E169" s="27">
        <f t="shared" si="63"/>
        <v>6.4920833512897132E-32</v>
      </c>
      <c r="F169" s="27">
        <f t="shared" si="64"/>
        <v>9.8726603401507757E-3</v>
      </c>
      <c r="G169" s="27">
        <f t="shared" si="65"/>
        <v>5.0166753654977692E-3</v>
      </c>
      <c r="H169" s="27">
        <f t="shared" si="66"/>
        <v>2.8965880236597741E-6</v>
      </c>
      <c r="I169" s="27">
        <f t="shared" si="67"/>
        <v>1.0566432173675366E-8</v>
      </c>
      <c r="J169" s="27">
        <f t="shared" si="68"/>
        <v>1.3429196413706421E-2</v>
      </c>
      <c r="K169" s="27">
        <f t="shared" si="69"/>
        <v>6.0919355362388009E-4</v>
      </c>
      <c r="L169" s="27">
        <f t="shared" si="70"/>
        <v>3.0338962011334099E-13</v>
      </c>
      <c r="M169" s="27">
        <f t="shared" si="71"/>
        <v>3.5304636369897967E-2</v>
      </c>
      <c r="N169" s="27">
        <f t="shared" si="72"/>
        <v>3.119040256793304E-2</v>
      </c>
      <c r="O169" s="27">
        <f t="shared" si="73"/>
        <v>2.4614150075961128E-3</v>
      </c>
      <c r="P169" s="27">
        <f t="shared" si="74"/>
        <v>5.7652560732790459E-4</v>
      </c>
    </row>
    <row r="170" spans="2:16" x14ac:dyDescent="0.25">
      <c r="B170" s="7">
        <f t="shared" si="60"/>
        <v>1600</v>
      </c>
      <c r="C170" s="27">
        <f t="shared" si="61"/>
        <v>1.3185548853420075E-4</v>
      </c>
      <c r="D170" s="27">
        <f t="shared" si="62"/>
        <v>1.1478608452042977E-8</v>
      </c>
      <c r="E170" s="27">
        <f t="shared" si="63"/>
        <v>1.1007152429168022E-32</v>
      </c>
      <c r="F170" s="27">
        <f t="shared" si="64"/>
        <v>9.7582129102546308E-3</v>
      </c>
      <c r="G170" s="27">
        <f t="shared" si="65"/>
        <v>4.9245587534932911E-3</v>
      </c>
      <c r="H170" s="27">
        <f t="shared" si="66"/>
        <v>2.6525790659537307E-6</v>
      </c>
      <c r="I170" s="27">
        <f t="shared" si="67"/>
        <v>9.0007246100753946E-9</v>
      </c>
      <c r="J170" s="27">
        <f t="shared" si="68"/>
        <v>1.3070035149250548E-2</v>
      </c>
      <c r="K170" s="27">
        <f t="shared" si="69"/>
        <v>5.7135939286813789E-4</v>
      </c>
      <c r="L170" s="27">
        <f t="shared" si="70"/>
        <v>1.4881805430222839E-13</v>
      </c>
      <c r="M170" s="27">
        <f t="shared" si="71"/>
        <v>3.4905765736164253E-2</v>
      </c>
      <c r="N170" s="27">
        <f t="shared" si="72"/>
        <v>3.0743050528692417E-2</v>
      </c>
      <c r="O170" s="27">
        <f t="shared" si="73"/>
        <v>2.3569437906298951E-3</v>
      </c>
      <c r="P170" s="27">
        <f t="shared" si="74"/>
        <v>5.4023083754506374E-4</v>
      </c>
    </row>
    <row r="171" spans="2:16" x14ac:dyDescent="0.25">
      <c r="B171" s="7">
        <f t="shared" si="60"/>
        <v>1610</v>
      </c>
      <c r="C171" s="27">
        <f t="shared" ref="C171:C202" si="75" xml:space="preserve"> EXP(-exp_c_lambda*$B171)</f>
        <v>1.2469493868393764E-4</v>
      </c>
      <c r="D171" s="27">
        <f t="shared" ref="D171:D202" si="76" xml:space="preserve"> EXP(-weib_c_lambda*$B171^weib_c_gamma)</f>
        <v>9.8073903139961971E-9</v>
      </c>
      <c r="E171" s="27">
        <f t="shared" ref="E171:E202" si="77">EXP((gomp_c_lambda/gomp_c_gamma)*(1-EXP(gomp_c_gamma*$B171)))</f>
        <v>1.7879204694722763E-33</v>
      </c>
      <c r="F171" s="27">
        <f t="shared" ref="F171:F202" si="78">1/(1+ll_c_lambda*$B171^ll_c_gamma)</f>
        <v>9.6457801224801906E-3</v>
      </c>
      <c r="G171" s="27">
        <f t="shared" ref="G171:G202" si="79">1-NORMDIST(((LN($B171)-ln_c_lambda)/ln_c_gamma),0,1,TRUE)</f>
        <v>4.8345121958360826E-3</v>
      </c>
      <c r="H171" s="27">
        <f t="shared" ref="H171:H202" si="80">IF(gam_c_gamma&gt;0, 1-GAMMADIST(gam_c_lambda*$B171,gam_c_gamma,1,TRUE), 1- (1-GAMMADIST(gam_c_lambda*$B171,gam_c_gamma,1,TRUE)))</f>
        <v>2.4290732919540758E-6</v>
      </c>
      <c r="I171" s="27">
        <f t="shared" ref="I171:I202" si="81" xml:space="preserve"> IF(ggam_c_gamma&gt;0, 1-GAMMADIST(ggam_c_lambda*$B171^(ggam_c_delta),ggam_c_gamma,1,TRUE), 1-( 1-GAMMADIST(ggam_c_lambda*$B171^(ggam_c_delta),ggam_c_gamma,1,TRUE)))</f>
        <v>7.6640285229245819E-9</v>
      </c>
      <c r="J171" s="27">
        <f t="shared" ref="J171:J202" si="82" xml:space="preserve"> EXP(-exp_i_lambda*$B171)</f>
        <v>1.2720479583446461E-2</v>
      </c>
      <c r="K171" s="27">
        <f t="shared" ref="K171:K202" si="83" xml:space="preserve"> EXP(-weib_i_lambda*$B171^weib_i_gamma)</f>
        <v>5.3579422817921622E-4</v>
      </c>
      <c r="L171" s="27">
        <f t="shared" ref="L171:L202" si="84">EXP((gomp_i_lambda/gomp_i_gamma)*(1-EXP(gomp_i_gamma*$B171)))</f>
        <v>7.1752628297759528E-14</v>
      </c>
      <c r="M171" s="27">
        <f t="shared" ref="M171:M202" si="85">1/(1+ll_i_lambda*$B171^ll_i_gamma)</f>
        <v>3.4513685072019455E-2</v>
      </c>
      <c r="N171" s="27">
        <f t="shared" ref="N171:N202" si="86">1-NORMDIST(((LN($B171)-ln_i_lambda)/ln_i_gamma),0,1,TRUE)</f>
        <v>3.0303761618323155E-2</v>
      </c>
      <c r="O171" s="27">
        <f t="shared" ref="O171:O202" si="87">IF(gam_i_gamma&gt;0, 1-GAMMADIST(gam_i_lambda*$B171,gam_i_gamma,1,TRUE), 1- (1-GAMMADIST(gam_i_lambda*$B171,gam_i_gamma,1,TRUE)))</f>
        <v>2.2568632624644369E-3</v>
      </c>
      <c r="P171" s="27">
        <f t="shared" ref="P171:P202" si="88" xml:space="preserve"> IF(ggam_i_gamma&gt;0, 1-GAMMADIST(ggam_i_lambda*$B171^(ggam_i_delta),ggam_i_gamma,1,TRUE), 1-( 1-GAMMADIST(ggam_i_lambda*$B171^(ggam_i_delta),ggam_i_gamma,1,TRUE)))</f>
        <v>5.0614116378078222E-4</v>
      </c>
    </row>
    <row r="172" spans="2:16" x14ac:dyDescent="0.25">
      <c r="B172" s="7">
        <f t="shared" si="60"/>
        <v>1620</v>
      </c>
      <c r="C172" s="27">
        <f t="shared" si="75"/>
        <v>1.1792324996284021E-4</v>
      </c>
      <c r="D172" s="27">
        <f t="shared" si="76"/>
        <v>8.3764142765806505E-9</v>
      </c>
      <c r="E172" s="27">
        <f t="shared" si="77"/>
        <v>2.7794188307972874E-34</v>
      </c>
      <c r="F172" s="27">
        <f t="shared" si="78"/>
        <v>9.5353146172299941E-3</v>
      </c>
      <c r="G172" s="27">
        <f t="shared" si="79"/>
        <v>4.7464803014144463E-3</v>
      </c>
      <c r="H172" s="27">
        <f t="shared" si="80"/>
        <v>2.2243528586818329E-6</v>
      </c>
      <c r="I172" s="27">
        <f t="shared" si="81"/>
        <v>6.5233083379467871E-9</v>
      </c>
      <c r="J172" s="27">
        <f t="shared" si="82"/>
        <v>1.2380272813738878E-2</v>
      </c>
      <c r="K172" s="27">
        <f t="shared" si="83"/>
        <v>5.0236749553334719E-4</v>
      </c>
      <c r="L172" s="27">
        <f t="shared" si="84"/>
        <v>3.3991222042304966E-14</v>
      </c>
      <c r="M172" s="27">
        <f t="shared" si="85"/>
        <v>3.4128241213957175E-2</v>
      </c>
      <c r="N172" s="27">
        <f t="shared" si="86"/>
        <v>2.9872359189689335E-2</v>
      </c>
      <c r="O172" s="27">
        <f t="shared" si="87"/>
        <v>2.1609912173050638E-3</v>
      </c>
      <c r="P172" s="27">
        <f t="shared" si="88"/>
        <v>4.7412813214742222E-4</v>
      </c>
    </row>
    <row r="173" spans="2:16" x14ac:dyDescent="0.25">
      <c r="B173" s="7">
        <f t="shared" si="60"/>
        <v>1630</v>
      </c>
      <c r="C173" s="27">
        <f t="shared" si="75"/>
        <v>1.1151930486164756E-4</v>
      </c>
      <c r="D173" s="27">
        <f t="shared" si="76"/>
        <v>7.1516116572143496E-9</v>
      </c>
      <c r="E173" s="27">
        <f t="shared" si="77"/>
        <v>4.1307772325846094E-35</v>
      </c>
      <c r="F173" s="27">
        <f t="shared" si="78"/>
        <v>9.4267704229722988E-3</v>
      </c>
      <c r="G173" s="27">
        <f t="shared" si="79"/>
        <v>4.660409405741861E-3</v>
      </c>
      <c r="H173" s="27">
        <f t="shared" si="80"/>
        <v>2.0368433764073046E-6</v>
      </c>
      <c r="I173" s="27">
        <f t="shared" si="81"/>
        <v>5.5502240581262186E-9</v>
      </c>
      <c r="J173" s="27">
        <f t="shared" si="82"/>
        <v>1.2049164808381784E-2</v>
      </c>
      <c r="K173" s="27">
        <f t="shared" si="83"/>
        <v>4.7095577341386378E-4</v>
      </c>
      <c r="L173" s="27">
        <f t="shared" si="84"/>
        <v>1.5814579190742553E-14</v>
      </c>
      <c r="M173" s="27">
        <f t="shared" si="85"/>
        <v>3.3749285272174731E-2</v>
      </c>
      <c r="N173" s="27">
        <f t="shared" si="86"/>
        <v>2.944867117621186E-2</v>
      </c>
      <c r="O173" s="27">
        <f t="shared" si="87"/>
        <v>2.0691528839742457E-3</v>
      </c>
      <c r="P173" s="27">
        <f t="shared" si="88"/>
        <v>4.440703966627213E-4</v>
      </c>
    </row>
    <row r="174" spans="2:16" x14ac:dyDescent="0.25">
      <c r="B174" s="7">
        <f t="shared" si="60"/>
        <v>1640</v>
      </c>
      <c r="C174" s="27">
        <f t="shared" si="75"/>
        <v>1.0546313267946804E-4</v>
      </c>
      <c r="D174" s="27">
        <f t="shared" si="76"/>
        <v>6.1036749202154002E-9</v>
      </c>
      <c r="E174" s="27">
        <f t="shared" si="77"/>
        <v>5.8628637854210827E-36</v>
      </c>
      <c r="F174" s="27">
        <f t="shared" si="78"/>
        <v>9.320102907644923E-3</v>
      </c>
      <c r="G174" s="27">
        <f t="shared" si="79"/>
        <v>4.576247509360587E-3</v>
      </c>
      <c r="H174" s="27">
        <f t="shared" si="80"/>
        <v>1.8651019746407371E-6</v>
      </c>
      <c r="I174" s="27">
        <f t="shared" si="81"/>
        <v>4.7204733455430414E-9</v>
      </c>
      <c r="J174" s="27">
        <f t="shared" si="82"/>
        <v>1.1726912222679882E-2</v>
      </c>
      <c r="K174" s="27">
        <f t="shared" si="83"/>
        <v>4.414424166142449E-4</v>
      </c>
      <c r="L174" s="27">
        <f t="shared" si="84"/>
        <v>7.2230572604252938E-15</v>
      </c>
      <c r="M174" s="27">
        <f t="shared" si="85"/>
        <v>3.3376672489296669E-2</v>
      </c>
      <c r="N174" s="27">
        <f t="shared" si="86"/>
        <v>2.9032529954267972E-2</v>
      </c>
      <c r="O174" s="27">
        <f t="shared" si="87"/>
        <v>1.9811806295958467E-3</v>
      </c>
      <c r="P174" s="27">
        <f t="shared" si="88"/>
        <v>4.158533510218998E-4</v>
      </c>
    </row>
    <row r="175" spans="2:16" x14ac:dyDescent="0.25">
      <c r="B175" s="7">
        <f t="shared" si="60"/>
        <v>1650</v>
      </c>
      <c r="C175" s="27">
        <f t="shared" si="75"/>
        <v>9.9735847245154344E-5</v>
      </c>
      <c r="D175" s="27">
        <f t="shared" si="76"/>
        <v>5.2074027320749664E-9</v>
      </c>
      <c r="E175" s="27">
        <f t="shared" si="77"/>
        <v>7.9378878533931191E-37</v>
      </c>
      <c r="F175" s="27">
        <f t="shared" si="78"/>
        <v>9.2152687320325548E-3</v>
      </c>
      <c r="G175" s="27">
        <f t="shared" si="79"/>
        <v>4.4939442187242884E-3</v>
      </c>
      <c r="H175" s="27">
        <f t="shared" si="80"/>
        <v>1.7078063572206759E-6</v>
      </c>
      <c r="I175" s="27">
        <f t="shared" si="81"/>
        <v>4.0132260847869361E-9</v>
      </c>
      <c r="J175" s="27">
        <f t="shared" si="82"/>
        <v>1.1413278220144785E-2</v>
      </c>
      <c r="K175" s="27">
        <f t="shared" si="83"/>
        <v>4.1371720720945453E-4</v>
      </c>
      <c r="L175" s="27">
        <f t="shared" si="84"/>
        <v>3.2371521734166337E-15</v>
      </c>
      <c r="M175" s="27">
        <f t="shared" si="85"/>
        <v>3.3010262104468058E-2</v>
      </c>
      <c r="N175" s="27">
        <f t="shared" si="86"/>
        <v>2.8623772210293552E-2</v>
      </c>
      <c r="O175" s="27">
        <f t="shared" si="87"/>
        <v>1.8969136746864734E-3</v>
      </c>
      <c r="P175" s="27">
        <f t="shared" si="88"/>
        <v>3.893687777873911E-4</v>
      </c>
    </row>
    <row r="176" spans="2:16" x14ac:dyDescent="0.25">
      <c r="B176" s="7">
        <f t="shared" si="60"/>
        <v>1660</v>
      </c>
      <c r="C176" s="27">
        <f t="shared" si="75"/>
        <v>9.4319588020784668E-5</v>
      </c>
      <c r="D176" s="27">
        <f t="shared" si="76"/>
        <v>4.4411335748941952E-9</v>
      </c>
      <c r="E176" s="27">
        <f t="shared" si="77"/>
        <v>1.0240530212992032E-37</v>
      </c>
      <c r="F176" s="27">
        <f t="shared" si="78"/>
        <v>9.1122258050268939E-3</v>
      </c>
      <c r="G176" s="27">
        <f t="shared" si="79"/>
        <v>4.41345068944754E-3</v>
      </c>
      <c r="H176" s="27">
        <f t="shared" si="80"/>
        <v>1.5637447631222656E-6</v>
      </c>
      <c r="I176" s="27">
        <f t="shared" si="81"/>
        <v>3.4106359958485655E-9</v>
      </c>
      <c r="J176" s="27">
        <f t="shared" si="82"/>
        <v>1.1108032298434243E-2</v>
      </c>
      <c r="K176" s="27">
        <f t="shared" si="83"/>
        <v>3.8767602199576062E-4</v>
      </c>
      <c r="L176" s="27">
        <f t="shared" si="84"/>
        <v>1.4229354969066331E-15</v>
      </c>
      <c r="M176" s="27">
        <f t="shared" si="85"/>
        <v>3.2649917222589322E-2</v>
      </c>
      <c r="N176" s="27">
        <f t="shared" si="86"/>
        <v>2.8222238812413702E-2</v>
      </c>
      <c r="O176" s="27">
        <f t="shared" si="87"/>
        <v>1.8161978192403616E-3</v>
      </c>
      <c r="P176" s="27">
        <f t="shared" si="88"/>
        <v>3.6451451428287651E-4</v>
      </c>
    </row>
    <row r="177" spans="2:16" x14ac:dyDescent="0.25">
      <c r="B177" s="7">
        <f t="shared" si="60"/>
        <v>1670</v>
      </c>
      <c r="C177" s="27">
        <f t="shared" si="75"/>
        <v>8.9197464403579848E-5</v>
      </c>
      <c r="D177" s="27">
        <f t="shared" si="76"/>
        <v>3.78625616745909E-9</v>
      </c>
      <c r="E177" s="27">
        <f t="shared" si="77"/>
        <v>1.2573480391837308E-38</v>
      </c>
      <c r="F177" s="27">
        <f t="shared" si="78"/>
        <v>9.0109332406829393E-3</v>
      </c>
      <c r="G177" s="27">
        <f t="shared" si="79"/>
        <v>4.3347195718173026E-3</v>
      </c>
      <c r="H177" s="27">
        <f t="shared" si="80"/>
        <v>1.4318067609320195E-6</v>
      </c>
      <c r="I177" s="27">
        <f t="shared" si="81"/>
        <v>2.8974196375486372E-9</v>
      </c>
      <c r="J177" s="27">
        <f t="shared" si="82"/>
        <v>1.0810950119946603E-2</v>
      </c>
      <c r="K177" s="27">
        <f t="shared" si="83"/>
        <v>3.6322051572049716E-4</v>
      </c>
      <c r="L177" s="27">
        <f t="shared" si="84"/>
        <v>6.1317431548989285E-16</v>
      </c>
      <c r="M177" s="27">
        <f t="shared" si="85"/>
        <v>3.2295504688472608E-2</v>
      </c>
      <c r="N177" s="27">
        <f t="shared" si="86"/>
        <v>2.7827774686421614E-2</v>
      </c>
      <c r="O177" s="27">
        <f t="shared" si="87"/>
        <v>1.7388851794034599E-3</v>
      </c>
      <c r="P177" s="27">
        <f t="shared" si="88"/>
        <v>3.4119413449873459E-4</v>
      </c>
    </row>
    <row r="178" spans="2:16" x14ac:dyDescent="0.25">
      <c r="B178" s="7">
        <f t="shared" si="60"/>
        <v>1680</v>
      </c>
      <c r="C178" s="27">
        <f t="shared" si="75"/>
        <v>8.4353503052564581E-5</v>
      </c>
      <c r="D178" s="27">
        <f t="shared" si="76"/>
        <v>3.2267864703127888E-9</v>
      </c>
      <c r="E178" s="27">
        <f t="shared" si="77"/>
        <v>1.467523843716719E-39</v>
      </c>
      <c r="F178" s="27">
        <f t="shared" si="78"/>
        <v>8.9113513169895402E-3</v>
      </c>
      <c r="G178" s="27">
        <f t="shared" si="79"/>
        <v>4.257704958465558E-3</v>
      </c>
      <c r="H178" s="27">
        <f t="shared" si="80"/>
        <v>1.3109748051576275E-6</v>
      </c>
      <c r="I178" s="27">
        <f t="shared" si="81"/>
        <v>2.4604940307426659E-9</v>
      </c>
      <c r="J178" s="27">
        <f t="shared" si="82"/>
        <v>1.0521813346946081E-2</v>
      </c>
      <c r="K178" s="27">
        <f t="shared" si="83"/>
        <v>3.4025781944480948E-4</v>
      </c>
      <c r="L178" s="27">
        <f t="shared" si="84"/>
        <v>2.5891131411405286E-16</v>
      </c>
      <c r="M178" s="27">
        <f t="shared" si="85"/>
        <v>3.1946894965711285E-2</v>
      </c>
      <c r="N178" s="27">
        <f t="shared" si="86"/>
        <v>2.7440228695947089E-2</v>
      </c>
      <c r="O178" s="27">
        <f t="shared" si="87"/>
        <v>1.6648339343512397E-3</v>
      </c>
      <c r="P178" s="27">
        <f t="shared" si="88"/>
        <v>3.1931664633733092E-4</v>
      </c>
    </row>
    <row r="179" spans="2:16" x14ac:dyDescent="0.25">
      <c r="B179" s="7">
        <f t="shared" si="60"/>
        <v>1690</v>
      </c>
      <c r="C179" s="27">
        <f t="shared" si="75"/>
        <v>7.9772598075707741E-5</v>
      </c>
      <c r="D179" s="27">
        <f t="shared" si="76"/>
        <v>2.7490023842547104E-9</v>
      </c>
      <c r="E179" s="27">
        <f t="shared" si="77"/>
        <v>1.6262222123520027E-40</v>
      </c>
      <c r="F179" s="27">
        <f t="shared" si="78"/>
        <v>8.813441436276874E-3</v>
      </c>
      <c r="G179" s="27">
        <f t="shared" si="79"/>
        <v>4.1823623341082916E-3</v>
      </c>
      <c r="H179" s="27">
        <f t="shared" si="80"/>
        <v>1.2003164943097389E-6</v>
      </c>
      <c r="I179" s="27">
        <f t="shared" si="81"/>
        <v>2.0886645746287513E-9</v>
      </c>
      <c r="J179" s="27">
        <f t="shared" si="82"/>
        <v>1.024040948109743E-2</v>
      </c>
      <c r="K179" s="27">
        <f t="shared" si="83"/>
        <v>3.1870025340363629E-4</v>
      </c>
      <c r="L179" s="27">
        <f t="shared" si="84"/>
        <v>1.0707130428637404E-16</v>
      </c>
      <c r="M179" s="27">
        <f t="shared" si="85"/>
        <v>3.1603962020065254E-2</v>
      </c>
      <c r="N179" s="27">
        <f t="shared" si="86"/>
        <v>2.7059453526650512E-2</v>
      </c>
      <c r="O179" s="27">
        <f t="shared" si="87"/>
        <v>1.5939080829916463E-3</v>
      </c>
      <c r="P179" s="27">
        <f t="shared" si="88"/>
        <v>2.9879620354922309E-4</v>
      </c>
    </row>
    <row r="180" spans="2:16" x14ac:dyDescent="0.25">
      <c r="B180" s="7">
        <f t="shared" si="60"/>
        <v>1700</v>
      </c>
      <c r="C180" s="27">
        <f t="shared" si="75"/>
        <v>7.5440463922202652E-5</v>
      </c>
      <c r="D180" s="27">
        <f t="shared" si="76"/>
        <v>2.3411284149096837E-9</v>
      </c>
      <c r="E180" s="27">
        <f t="shared" si="77"/>
        <v>1.7088160324785906E-41</v>
      </c>
      <c r="F180" s="27">
        <f t="shared" si="78"/>
        <v>8.7171660871864336E-3</v>
      </c>
      <c r="G180" s="27">
        <f t="shared" si="79"/>
        <v>4.1086485272584516E-3</v>
      </c>
      <c r="H180" s="27">
        <f t="shared" si="80"/>
        <v>1.0989774715808309E-6</v>
      </c>
      <c r="I180" s="27">
        <f t="shared" si="81"/>
        <v>1.772356705842526E-9</v>
      </c>
      <c r="J180" s="27">
        <f t="shared" si="82"/>
        <v>9.9665317072923747E-3</v>
      </c>
      <c r="K180" s="27">
        <f t="shared" si="83"/>
        <v>2.9846505374788265E-4</v>
      </c>
      <c r="L180" s="27">
        <f t="shared" si="84"/>
        <v>4.3344265788998175E-17</v>
      </c>
      <c r="M180" s="27">
        <f t="shared" si="85"/>
        <v>3.1266583207170462E-2</v>
      </c>
      <c r="N180" s="27">
        <f t="shared" si="86"/>
        <v>2.6685305574295048E-2</v>
      </c>
      <c r="O180" s="27">
        <f t="shared" si="87"/>
        <v>1.5259772101338109E-3</v>
      </c>
      <c r="P180" s="27">
        <f t="shared" si="88"/>
        <v>2.7955183173244968E-4</v>
      </c>
    </row>
    <row r="181" spans="2:16" x14ac:dyDescent="0.25">
      <c r="B181" s="7">
        <f t="shared" si="60"/>
        <v>1710</v>
      </c>
      <c r="C181" s="27">
        <f t="shared" si="75"/>
        <v>7.1343590832981238E-5</v>
      </c>
      <c r="D181" s="27">
        <f t="shared" si="76"/>
        <v>1.9930635904636287E-9</v>
      </c>
      <c r="E181" s="27">
        <f t="shared" si="77"/>
        <v>1.7004893392692622E-42</v>
      </c>
      <c r="F181" s="27">
        <f t="shared" si="78"/>
        <v>8.6224888081339601E-3</v>
      </c>
      <c r="G181" s="27">
        <f t="shared" si="79"/>
        <v>4.0365216638275081E-3</v>
      </c>
      <c r="H181" s="27">
        <f t="shared" si="80"/>
        <v>1.0061749142753484E-6</v>
      </c>
      <c r="I181" s="27">
        <f t="shared" si="81"/>
        <v>1.5033851941126386E-9</v>
      </c>
      <c r="J181" s="27">
        <f t="shared" si="82"/>
        <v>9.6999787416527355E-3</v>
      </c>
      <c r="K181" s="27">
        <f t="shared" si="83"/>
        <v>2.794741125747169E-4</v>
      </c>
      <c r="L181" s="27">
        <f t="shared" si="84"/>
        <v>1.7167336814121372E-17</v>
      </c>
      <c r="M181" s="27">
        <f t="shared" si="85"/>
        <v>3.0934639164393752E-2</v>
      </c>
      <c r="N181" s="27">
        <f t="shared" si="86"/>
        <v>2.6317644836547194E-2</v>
      </c>
      <c r="O181" s="27">
        <f t="shared" si="87"/>
        <v>1.4609162617675864E-3</v>
      </c>
      <c r="P181" s="27">
        <f t="shared" si="88"/>
        <v>2.6150716778849947E-4</v>
      </c>
    </row>
    <row r="182" spans="2:16" x14ac:dyDescent="0.25">
      <c r="B182" s="7">
        <f t="shared" si="60"/>
        <v>1720</v>
      </c>
      <c r="C182" s="27">
        <f t="shared" si="75"/>
        <v>6.7469202710534367E-5</v>
      </c>
      <c r="D182" s="27">
        <f t="shared" si="76"/>
        <v>1.6961468038722351E-9</v>
      </c>
      <c r="E182" s="27">
        <f t="shared" si="77"/>
        <v>1.6004595982891114E-43</v>
      </c>
      <c r="F182" s="27">
        <f t="shared" si="78"/>
        <v>8.5293741521986124E-3</v>
      </c>
      <c r="G182" s="27">
        <f t="shared" si="79"/>
        <v>3.9659411225344554E-3</v>
      </c>
      <c r="H182" s="27">
        <f t="shared" si="80"/>
        <v>9.2119156502867838E-7</v>
      </c>
      <c r="I182" s="27">
        <f t="shared" si="81"/>
        <v>1.2747547462055309E-9</v>
      </c>
      <c r="J182" s="27">
        <f t="shared" si="82"/>
        <v>9.4405546835987994E-3</v>
      </c>
      <c r="K182" s="27">
        <f t="shared" si="83"/>
        <v>2.6165373067194757E-4</v>
      </c>
      <c r="L182" s="27">
        <f t="shared" si="84"/>
        <v>6.6490216054638052E-18</v>
      </c>
      <c r="M182" s="27">
        <f t="shared" si="85"/>
        <v>3.0608013706660303E-2</v>
      </c>
      <c r="N182" s="27">
        <f t="shared" si="86"/>
        <v>2.595633480837034E-2</v>
      </c>
      <c r="O182" s="27">
        <f t="shared" si="87"/>
        <v>1.3986053291197287E-3</v>
      </c>
      <c r="P182" s="27">
        <f t="shared" si="88"/>
        <v>2.4459021224787492E-4</v>
      </c>
    </row>
    <row r="183" spans="2:16" x14ac:dyDescent="0.25">
      <c r="B183" s="7">
        <f t="shared" si="60"/>
        <v>1730</v>
      </c>
      <c r="C183" s="27">
        <f t="shared" si="75"/>
        <v>6.3805217276655533E-5</v>
      </c>
      <c r="D183" s="27">
        <f t="shared" si="76"/>
        <v>1.4429545211421356E-9</v>
      </c>
      <c r="E183" s="27">
        <f t="shared" si="77"/>
        <v>1.4227314708275053E-44</v>
      </c>
      <c r="F183" s="27">
        <f t="shared" si="78"/>
        <v>8.4377876533748807E-3</v>
      </c>
      <c r="G183" s="27">
        <f t="shared" si="79"/>
        <v>3.8968674920406565E-3</v>
      </c>
      <c r="H183" s="27">
        <f t="shared" si="80"/>
        <v>8.4337025829661627E-7</v>
      </c>
      <c r="I183" s="27">
        <f t="shared" si="81"/>
        <v>1.0804901418026702E-9</v>
      </c>
      <c r="J183" s="27">
        <f t="shared" si="82"/>
        <v>9.1880688718740302E-3</v>
      </c>
      <c r="K183" s="27">
        <f t="shared" si="83"/>
        <v>2.4493438242266074E-4</v>
      </c>
      <c r="L183" s="27">
        <f t="shared" si="84"/>
        <v>2.5168734731687836E-18</v>
      </c>
      <c r="M183" s="27">
        <f t="shared" si="85"/>
        <v>3.0286593726088381E-2</v>
      </c>
      <c r="N183" s="27">
        <f t="shared" si="86"/>
        <v>2.56012423808748E-2</v>
      </c>
      <c r="O183" s="27">
        <f t="shared" si="87"/>
        <v>1.3389294411558783E-3</v>
      </c>
      <c r="P183" s="27">
        <f t="shared" si="88"/>
        <v>2.2873309390192276E-4</v>
      </c>
    </row>
    <row r="184" spans="2:16" x14ac:dyDescent="0.25">
      <c r="B184" s="7">
        <f t="shared" si="60"/>
        <v>1740</v>
      </c>
      <c r="C184" s="27">
        <f t="shared" si="75"/>
        <v>6.0340208393859909E-5</v>
      </c>
      <c r="D184" s="27">
        <f t="shared" si="76"/>
        <v>1.2271264679583481E-9</v>
      </c>
      <c r="E184" s="27">
        <f t="shared" si="77"/>
        <v>1.1929154923943406E-45</v>
      </c>
      <c r="F184" s="27">
        <f t="shared" si="78"/>
        <v>8.3476957941275697E-3</v>
      </c>
      <c r="G184" s="27">
        <f t="shared" si="79"/>
        <v>3.8292625297395855E-3</v>
      </c>
      <c r="H184" s="27">
        <f t="shared" si="80"/>
        <v>7.7210890325751791E-7</v>
      </c>
      <c r="I184" s="27">
        <f t="shared" si="81"/>
        <v>9.1548946201669423E-10</v>
      </c>
      <c r="J184" s="27">
        <f t="shared" si="82"/>
        <v>8.9423357444203423E-3</v>
      </c>
      <c r="K184" s="27">
        <f t="shared" si="83"/>
        <v>2.2925049233579132E-4</v>
      </c>
      <c r="L184" s="27">
        <f t="shared" si="84"/>
        <v>9.3062230986329046E-19</v>
      </c>
      <c r="M184" s="27">
        <f t="shared" si="85"/>
        <v>2.9970269095276097E-2</v>
      </c>
      <c r="N184" s="27">
        <f t="shared" si="86"/>
        <v>2.5252237743496497E-2</v>
      </c>
      <c r="O184" s="27">
        <f t="shared" si="87"/>
        <v>1.2817783652153691E-3</v>
      </c>
      <c r="P184" s="27">
        <f t="shared" si="88"/>
        <v>2.1387184619392485E-4</v>
      </c>
    </row>
    <row r="185" spans="2:16" x14ac:dyDescent="0.25">
      <c r="B185" s="7">
        <f t="shared" si="60"/>
        <v>1750</v>
      </c>
      <c r="C185" s="27">
        <f t="shared" si="75"/>
        <v>5.7063370432977992E-5</v>
      </c>
      <c r="D185" s="27">
        <f t="shared" si="76"/>
        <v>1.0432154905700954E-9</v>
      </c>
      <c r="E185" s="27">
        <f t="shared" si="77"/>
        <v>9.4208820485773863E-47</v>
      </c>
      <c r="F185" s="27">
        <f t="shared" si="78"/>
        <v>8.259065974192294E-3</v>
      </c>
      <c r="G185" s="27">
        <f t="shared" si="79"/>
        <v>3.7630891221277496E-3</v>
      </c>
      <c r="H185" s="27">
        <f t="shared" si="80"/>
        <v>7.0685588271501842E-7</v>
      </c>
      <c r="I185" s="27">
        <f t="shared" si="81"/>
        <v>7.7539830112272057E-10</v>
      </c>
      <c r="J185" s="27">
        <f t="shared" si="82"/>
        <v>8.7031747020010954E-3</v>
      </c>
      <c r="K185" s="27">
        <f t="shared" si="83"/>
        <v>2.1454022268766956E-4</v>
      </c>
      <c r="L185" s="27">
        <f t="shared" si="84"/>
        <v>3.3592921855439155E-19</v>
      </c>
      <c r="M185" s="27">
        <f t="shared" si="85"/>
        <v>2.9658932574089119E-2</v>
      </c>
      <c r="N185" s="27">
        <f t="shared" si="86"/>
        <v>2.4909194289383429E-2</v>
      </c>
      <c r="O185" s="27">
        <f t="shared" si="87"/>
        <v>1.2270464154713334E-3</v>
      </c>
      <c r="P185" s="27">
        <f t="shared" si="88"/>
        <v>1.9994619484431375E-4</v>
      </c>
    </row>
    <row r="186" spans="2:16" x14ac:dyDescent="0.25">
      <c r="B186" s="7">
        <f t="shared" si="60"/>
        <v>1760</v>
      </c>
      <c r="C186" s="27">
        <f t="shared" si="75"/>
        <v>5.396448457580424E-5</v>
      </c>
      <c r="D186" s="27">
        <f t="shared" si="76"/>
        <v>8.8655829446697158E-10</v>
      </c>
      <c r="E186" s="27">
        <f t="shared" si="77"/>
        <v>6.9974598172811706E-48</v>
      </c>
      <c r="F186" s="27">
        <f t="shared" si="78"/>
        <v>8.1718664805674295E-3</v>
      </c>
      <c r="G186" s="27">
        <f t="shared" si="79"/>
        <v>3.6983112466910661E-3</v>
      </c>
      <c r="H186" s="27">
        <f t="shared" si="80"/>
        <v>6.4710583513871711E-7</v>
      </c>
      <c r="I186" s="27">
        <f t="shared" si="81"/>
        <v>6.5650174185805099E-10</v>
      </c>
      <c r="J186" s="27">
        <f t="shared" si="82"/>
        <v>8.4704099754713165E-3</v>
      </c>
      <c r="K186" s="27">
        <f t="shared" si="83"/>
        <v>2.0074527177826217E-4</v>
      </c>
      <c r="L186" s="27">
        <f t="shared" si="84"/>
        <v>1.1831292823080727E-19</v>
      </c>
      <c r="M186" s="27">
        <f t="shared" si="85"/>
        <v>2.9352479719807402E-2</v>
      </c>
      <c r="N186" s="27">
        <f t="shared" si="86"/>
        <v>2.4571988523868549E-2</v>
      </c>
      <c r="O186" s="27">
        <f t="shared" si="87"/>
        <v>1.174632268924114E-3</v>
      </c>
      <c r="P186" s="27">
        <f t="shared" si="88"/>
        <v>1.8689935620530562E-4</v>
      </c>
    </row>
    <row r="187" spans="2:16" x14ac:dyDescent="0.25">
      <c r="B187" s="7">
        <f t="shared" si="60"/>
        <v>1770</v>
      </c>
      <c r="C187" s="27">
        <f t="shared" si="75"/>
        <v>5.1033886947715567E-5</v>
      </c>
      <c r="D187" s="27">
        <f t="shared" si="76"/>
        <v>7.5316420565823583E-10</v>
      </c>
      <c r="E187" s="27">
        <f t="shared" si="77"/>
        <v>4.881045508346829E-49</v>
      </c>
      <c r="F187" s="27">
        <f t="shared" si="78"/>
        <v>8.0860664586456434E-3</v>
      </c>
      <c r="G187" s="27">
        <f t="shared" si="79"/>
        <v>3.6348939352405241E-3</v>
      </c>
      <c r="H187" s="27">
        <f t="shared" si="80"/>
        <v>5.9239578886760569E-7</v>
      </c>
      <c r="I187" s="27">
        <f t="shared" si="81"/>
        <v>5.5563154077731269E-10</v>
      </c>
      <c r="J187" s="27">
        <f t="shared" si="82"/>
        <v>8.2438704965978986E-3</v>
      </c>
      <c r="K187" s="27">
        <f t="shared" si="83"/>
        <v>1.8781068232449699E-4</v>
      </c>
      <c r="L187" s="27">
        <f t="shared" si="84"/>
        <v>4.0632028013656607E-20</v>
      </c>
      <c r="M187" s="27">
        <f t="shared" si="85"/>
        <v>2.9050808800493915E-2</v>
      </c>
      <c r="N187" s="27">
        <f t="shared" si="86"/>
        <v>2.4240499975919594E-2</v>
      </c>
      <c r="O187" s="27">
        <f t="shared" si="87"/>
        <v>1.1244387886415463E-3</v>
      </c>
      <c r="P187" s="27">
        <f t="shared" si="88"/>
        <v>1.7467784585534218E-4</v>
      </c>
    </row>
    <row r="188" spans="2:16" x14ac:dyDescent="0.25">
      <c r="B188" s="7">
        <f t="shared" si="60"/>
        <v>1780</v>
      </c>
      <c r="C188" s="27">
        <f t="shared" si="75"/>
        <v>4.8262438480881182E-5</v>
      </c>
      <c r="D188" s="27">
        <f t="shared" si="76"/>
        <v>6.3961948276793076E-10</v>
      </c>
      <c r="E188" s="27">
        <f t="shared" si="77"/>
        <v>3.1926403134500528E-50</v>
      </c>
      <c r="F188" s="27">
        <f t="shared" si="78"/>
        <v>8.0016358844359533E-3</v>
      </c>
      <c r="G188" s="27">
        <f t="shared" si="79"/>
        <v>3.5728032386368458E-3</v>
      </c>
      <c r="H188" s="27">
        <f t="shared" si="80"/>
        <v>5.4230161738999527E-7</v>
      </c>
      <c r="I188" s="27">
        <f t="shared" si="81"/>
        <v>4.7008741344001237E-10</v>
      </c>
      <c r="J188" s="27">
        <f t="shared" si="82"/>
        <v>8.0233897723345649E-3</v>
      </c>
      <c r="K188" s="27">
        <f t="shared" si="83"/>
        <v>1.7568465953080376E-4</v>
      </c>
      <c r="L188" s="27">
        <f t="shared" si="84"/>
        <v>1.3598537357034419E-20</v>
      </c>
      <c r="M188" s="27">
        <f t="shared" si="85"/>
        <v>2.8753820711455547E-2</v>
      </c>
      <c r="N188" s="27">
        <f t="shared" si="86"/>
        <v>2.3914611112454853E-2</v>
      </c>
      <c r="O188" s="27">
        <f t="shared" si="87"/>
        <v>1.076372853975327E-3</v>
      </c>
      <c r="P188" s="27">
        <f t="shared" si="88"/>
        <v>1.6323129696682592E-4</v>
      </c>
    </row>
    <row r="189" spans="2:16" x14ac:dyDescent="0.25">
      <c r="B189" s="7">
        <f t="shared" si="60"/>
        <v>1790</v>
      </c>
      <c r="C189" s="27">
        <f t="shared" si="75"/>
        <v>4.5641496414082277E-5</v>
      </c>
      <c r="D189" s="27">
        <f t="shared" si="76"/>
        <v>5.4300504110886735E-10</v>
      </c>
      <c r="E189" s="27">
        <f t="shared" si="77"/>
        <v>1.9551361306622507E-51</v>
      </c>
      <c r="F189" s="27">
        <f t="shared" si="78"/>
        <v>7.9185455378294172E-3</v>
      </c>
      <c r="G189" s="27">
        <f t="shared" si="79"/>
        <v>3.5120061928454183E-3</v>
      </c>
      <c r="H189" s="27">
        <f t="shared" si="80"/>
        <v>4.96434789609701E-7</v>
      </c>
      <c r="I189" s="27">
        <f t="shared" si="81"/>
        <v>3.9756797853840453E-10</v>
      </c>
      <c r="J189" s="27">
        <f t="shared" si="82"/>
        <v>7.808805762459424E-3</v>
      </c>
      <c r="K189" s="27">
        <f t="shared" si="83"/>
        <v>1.6431839839478561E-4</v>
      </c>
      <c r="L189" s="27">
        <f t="shared" si="84"/>
        <v>4.4323336369603959E-21</v>
      </c>
      <c r="M189" s="27">
        <f t="shared" si="85"/>
        <v>2.8461418894671471E-2</v>
      </c>
      <c r="N189" s="27">
        <f t="shared" si="86"/>
        <v>2.3594207255422273E-2</v>
      </c>
      <c r="O189" s="27">
        <f t="shared" si="87"/>
        <v>1.0303451974850164E-3</v>
      </c>
      <c r="P189" s="27">
        <f t="shared" si="88"/>
        <v>1.5251228799506578E-4</v>
      </c>
    </row>
    <row r="190" spans="2:16" x14ac:dyDescent="0.25">
      <c r="B190" s="7">
        <f t="shared" si="60"/>
        <v>1800</v>
      </c>
      <c r="C190" s="27">
        <f t="shared" si="75"/>
        <v>4.3162887340263771E-5</v>
      </c>
      <c r="D190" s="27">
        <f t="shared" si="76"/>
        <v>4.6082573888055186E-10</v>
      </c>
      <c r="E190" s="27">
        <f t="shared" si="77"/>
        <v>1.1191872645812688E-52</v>
      </c>
      <c r="F190" s="27">
        <f t="shared" si="78"/>
        <v>7.8367669768637915E-3</v>
      </c>
      <c r="G190" s="27">
        <f t="shared" si="79"/>
        <v>3.4524707862649828E-3</v>
      </c>
      <c r="H190" s="27">
        <f t="shared" si="80"/>
        <v>4.5443939211686768E-7</v>
      </c>
      <c r="I190" s="27">
        <f t="shared" si="81"/>
        <v>3.3611358141172332E-10</v>
      </c>
      <c r="J190" s="27">
        <f t="shared" si="82"/>
        <v>7.5999607604850233E-3</v>
      </c>
      <c r="K190" s="27">
        <f t="shared" si="83"/>
        <v>1.5366591982289031E-4</v>
      </c>
      <c r="L190" s="27">
        <f t="shared" si="84"/>
        <v>1.4060858373790376E-21</v>
      </c>
      <c r="M190" s="27">
        <f t="shared" si="85"/>
        <v>2.817350926106971E-2</v>
      </c>
      <c r="N190" s="27">
        <f t="shared" si="86"/>
        <v>2.32791765015401E-2</v>
      </c>
      <c r="O190" s="27">
        <f t="shared" si="87"/>
        <v>9.8627024831843269E-4</v>
      </c>
      <c r="P190" s="27">
        <f t="shared" si="88"/>
        <v>1.4247617925522427E-4</v>
      </c>
    </row>
    <row r="191" spans="2:16" x14ac:dyDescent="0.25">
      <c r="B191" s="7">
        <f t="shared" si="60"/>
        <v>1810</v>
      </c>
      <c r="C191" s="27">
        <f t="shared" si="75"/>
        <v>4.0818881717766813E-5</v>
      </c>
      <c r="D191" s="27">
        <f t="shared" si="76"/>
        <v>3.9094962633450518E-10</v>
      </c>
      <c r="E191" s="27">
        <f t="shared" si="77"/>
        <v>5.9788746758890333E-54</v>
      </c>
      <c r="F191" s="27">
        <f t="shared" si="78"/>
        <v>7.7562725129451063E-3</v>
      </c>
      <c r="G191" s="27">
        <f t="shared" si="79"/>
        <v>3.3941659282777925E-3</v>
      </c>
      <c r="H191" s="27">
        <f t="shared" si="80"/>
        <v>4.1598939903852994E-7</v>
      </c>
      <c r="I191" s="27">
        <f t="shared" si="81"/>
        <v>2.8405522378704973E-10</v>
      </c>
      <c r="J191" s="27">
        <f t="shared" si="82"/>
        <v>7.3967012777534386E-3</v>
      </c>
      <c r="K191" s="27">
        <f t="shared" si="83"/>
        <v>1.4368391514776386E-4</v>
      </c>
      <c r="L191" s="27">
        <f t="shared" si="84"/>
        <v>4.3385665865425378E-22</v>
      </c>
      <c r="M191" s="27">
        <f t="shared" si="85"/>
        <v>2.7890000115539697E-2</v>
      </c>
      <c r="N191" s="27">
        <f t="shared" si="86"/>
        <v>2.2969409644605587E-2</v>
      </c>
      <c r="O191" s="27">
        <f t="shared" si="87"/>
        <v>9.4406598179985757E-4</v>
      </c>
      <c r="P191" s="27">
        <f t="shared" si="88"/>
        <v>1.3308095797293085E-4</v>
      </c>
    </row>
    <row r="192" spans="2:16" x14ac:dyDescent="0.25">
      <c r="B192" s="7">
        <f t="shared" si="60"/>
        <v>1820</v>
      </c>
      <c r="C192" s="27">
        <f t="shared" si="75"/>
        <v>3.8602169765755491E-5</v>
      </c>
      <c r="D192" s="27">
        <f t="shared" si="76"/>
        <v>3.3155577612267221E-10</v>
      </c>
      <c r="E192" s="27">
        <f t="shared" si="77"/>
        <v>2.9757891610168165E-55</v>
      </c>
      <c r="F192" s="27">
        <f t="shared" si="78"/>
        <v>7.6770351869851223E-3</v>
      </c>
      <c r="G192" s="27">
        <f t="shared" si="79"/>
        <v>3.3370614189695003E-3</v>
      </c>
      <c r="H192" s="27">
        <f t="shared" si="80"/>
        <v>3.8078616926284781E-7</v>
      </c>
      <c r="I192" s="27">
        <f t="shared" si="81"/>
        <v>2.3997293041588819E-10</v>
      </c>
      <c r="J192" s="27">
        <f t="shared" si="82"/>
        <v>7.1988779306312875E-3</v>
      </c>
      <c r="K192" s="27">
        <f t="shared" si="83"/>
        <v>1.3433159865500584E-4</v>
      </c>
      <c r="L192" s="27">
        <f t="shared" si="84"/>
        <v>1.3012021706405772E-22</v>
      </c>
      <c r="M192" s="27">
        <f t="shared" si="85"/>
        <v>2.7610802084570028E-2</v>
      </c>
      <c r="N192" s="27">
        <f t="shared" si="86"/>
        <v>2.266480010027816E-2</v>
      </c>
      <c r="O192" s="27">
        <f t="shared" si="87"/>
        <v>9.0365377499013189E-4</v>
      </c>
      <c r="P192" s="27">
        <f t="shared" si="88"/>
        <v>1.2428709140599459E-4</v>
      </c>
    </row>
    <row r="193" spans="2:16" x14ac:dyDescent="0.25">
      <c r="B193" s="7">
        <f t="shared" si="60"/>
        <v>1830</v>
      </c>
      <c r="C193" s="27">
        <f t="shared" si="75"/>
        <v>3.6505838668667212E-5</v>
      </c>
      <c r="D193" s="27">
        <f t="shared" si="76"/>
        <v>2.8108950143082585E-10</v>
      </c>
      <c r="E193" s="27">
        <f t="shared" si="77"/>
        <v>1.3775534364955001E-56</v>
      </c>
      <c r="F193" s="27">
        <f t="shared" si="78"/>
        <v>7.5990287464168587E-3</v>
      </c>
      <c r="G193" s="27">
        <f t="shared" si="79"/>
        <v>3.2811279199705945E-3</v>
      </c>
      <c r="H193" s="27">
        <f t="shared" si="80"/>
        <v>3.4855615349549396E-7</v>
      </c>
      <c r="I193" s="27">
        <f t="shared" si="81"/>
        <v>2.0265866762514406E-10</v>
      </c>
      <c r="J193" s="27">
        <f t="shared" si="82"/>
        <v>7.006345330721581E-3</v>
      </c>
      <c r="K193" s="27">
        <f t="shared" si="83"/>
        <v>1.2557056774300981E-4</v>
      </c>
      <c r="L193" s="27">
        <f t="shared" si="84"/>
        <v>3.7906123754829566E-23</v>
      </c>
      <c r="M193" s="27">
        <f t="shared" si="85"/>
        <v>2.7335828046410181E-2</v>
      </c>
      <c r="N193" s="27">
        <f t="shared" si="86"/>
        <v>2.2365243833248782E-2</v>
      </c>
      <c r="O193" s="27">
        <f t="shared" si="87"/>
        <v>8.6495826799048992E-4</v>
      </c>
      <c r="P193" s="27">
        <f t="shared" si="88"/>
        <v>1.1605738765807505E-4</v>
      </c>
    </row>
    <row r="194" spans="2:16" x14ac:dyDescent="0.25">
      <c r="B194" s="7">
        <f t="shared" si="60"/>
        <v>1840</v>
      </c>
      <c r="C194" s="27">
        <f t="shared" si="75"/>
        <v>3.4523351018599829E-5</v>
      </c>
      <c r="D194" s="27">
        <f t="shared" si="76"/>
        <v>2.382239316781447E-10</v>
      </c>
      <c r="E194" s="27">
        <f t="shared" si="77"/>
        <v>5.9207671189904033E-58</v>
      </c>
      <c r="F194" s="27">
        <f t="shared" si="78"/>
        <v>7.5222276230508273E-3</v>
      </c>
      <c r="G194" s="27">
        <f t="shared" si="79"/>
        <v>3.2263369263740849E-3</v>
      </c>
      <c r="H194" s="27">
        <f t="shared" si="80"/>
        <v>3.1904879194133429E-7</v>
      </c>
      <c r="I194" s="27">
        <f t="shared" si="81"/>
        <v>1.7108492400552677E-10</v>
      </c>
      <c r="J194" s="27">
        <f t="shared" si="82"/>
        <v>6.8189619780119563E-3</v>
      </c>
      <c r="K194" s="27">
        <f t="shared" si="83"/>
        <v>1.173646703546463E-4</v>
      </c>
      <c r="L194" s="27">
        <f t="shared" si="84"/>
        <v>1.0718521082143452E-23</v>
      </c>
      <c r="M194" s="27">
        <f t="shared" si="85"/>
        <v>2.7064993063654442E-2</v>
      </c>
      <c r="N194" s="27">
        <f t="shared" si="86"/>
        <v>2.2070639286710159E-2</v>
      </c>
      <c r="O194" s="27">
        <f t="shared" si="87"/>
        <v>8.2790723076842099E-4</v>
      </c>
      <c r="P194" s="27">
        <f t="shared" si="88"/>
        <v>1.0835686381227561E-4</v>
      </c>
    </row>
    <row r="195" spans="2:16" x14ac:dyDescent="0.25">
      <c r="B195" s="7">
        <f t="shared" si="60"/>
        <v>1850</v>
      </c>
      <c r="C195" s="27">
        <f t="shared" si="75"/>
        <v>3.2648524428406764E-5</v>
      </c>
      <c r="D195" s="27">
        <f t="shared" si="76"/>
        <v>2.0182705684424111E-10</v>
      </c>
      <c r="E195" s="27">
        <f t="shared" si="77"/>
        <v>2.3584789406550316E-59</v>
      </c>
      <c r="F195" s="27">
        <f t="shared" si="78"/>
        <v>7.4466069117374882E-3</v>
      </c>
      <c r="G195" s="27">
        <f t="shared" si="79"/>
        <v>3.1726607396830309E-3</v>
      </c>
      <c r="H195" s="27">
        <f t="shared" si="80"/>
        <v>2.9203458740134636E-7</v>
      </c>
      <c r="I195" s="27">
        <f t="shared" si="81"/>
        <v>1.4437862017047109E-10</v>
      </c>
      <c r="J195" s="27">
        <f t="shared" si="82"/>
        <v>6.636590156880528E-3</v>
      </c>
      <c r="K195" s="27">
        <f t="shared" si="83"/>
        <v>1.0967987933454132E-4</v>
      </c>
      <c r="L195" s="27">
        <f t="shared" si="84"/>
        <v>2.9397384036888105E-24</v>
      </c>
      <c r="M195" s="27">
        <f t="shared" si="85"/>
        <v>2.6798214318155111E-2</v>
      </c>
      <c r="N195" s="27">
        <f t="shared" si="86"/>
        <v>2.178088731404848E-2</v>
      </c>
      <c r="O195" s="27">
        <f t="shared" si="87"/>
        <v>7.924314352940609E-4</v>
      </c>
      <c r="P195" s="27">
        <f t="shared" si="88"/>
        <v>1.0115262103638223E-4</v>
      </c>
    </row>
    <row r="196" spans="2:16" x14ac:dyDescent="0.25">
      <c r="B196" s="7">
        <f t="shared" si="60"/>
        <v>1860</v>
      </c>
      <c r="C196" s="27">
        <f t="shared" si="75"/>
        <v>3.0875512251924613E-5</v>
      </c>
      <c r="D196" s="27">
        <f t="shared" si="76"/>
        <v>1.7093347374138501E-10</v>
      </c>
      <c r="E196" s="27">
        <f t="shared" si="77"/>
        <v>8.6910647142691745E-61</v>
      </c>
      <c r="F196" s="27">
        <f t="shared" si="78"/>
        <v>7.3721423498023199E-3</v>
      </c>
      <c r="G196" s="27">
        <f t="shared" si="79"/>
        <v>3.1200724417489445E-3</v>
      </c>
      <c r="H196" s="27">
        <f t="shared" si="80"/>
        <v>2.6730334012903256E-7</v>
      </c>
      <c r="I196" s="27">
        <f t="shared" si="81"/>
        <v>1.2179757202801511E-10</v>
      </c>
      <c r="J196" s="27">
        <f t="shared" si="82"/>
        <v>6.4590958348831381E-3</v>
      </c>
      <c r="K196" s="27">
        <f t="shared" si="83"/>
        <v>1.024841733800228E-4</v>
      </c>
      <c r="L196" s="27">
        <f t="shared" si="84"/>
        <v>7.8146713739724535E-25</v>
      </c>
      <c r="M196" s="27">
        <f t="shared" si="85"/>
        <v>2.6535411048173117E-2</v>
      </c>
      <c r="N196" s="27">
        <f t="shared" si="86"/>
        <v>2.1495891112674581E-2</v>
      </c>
      <c r="O196" s="27">
        <f t="shared" si="87"/>
        <v>7.5846453278205495E-4</v>
      </c>
      <c r="P196" s="27">
        <f t="shared" si="88"/>
        <v>9.4413726319131364E-5</v>
      </c>
    </row>
    <row r="197" spans="2:16" x14ac:dyDescent="0.25">
      <c r="B197" s="7">
        <f t="shared" si="60"/>
        <v>1870</v>
      </c>
      <c r="C197" s="27">
        <f t="shared" si="75"/>
        <v>2.919878535120883E-5</v>
      </c>
      <c r="D197" s="27">
        <f t="shared" si="76"/>
        <v>1.4472017329396389E-10</v>
      </c>
      <c r="E197" s="27">
        <f t="shared" si="77"/>
        <v>2.9572232756868267E-62</v>
      </c>
      <c r="F197" s="27">
        <f t="shared" si="78"/>
        <v>7.2988102972217648E-3</v>
      </c>
      <c r="G197" s="27">
        <f t="shared" si="79"/>
        <v>3.0685458696569912E-3</v>
      </c>
      <c r="H197" s="27">
        <f t="shared" si="80"/>
        <v>2.4466252979138403E-7</v>
      </c>
      <c r="I197" s="27">
        <f t="shared" si="81"/>
        <v>1.0271161698938158E-10</v>
      </c>
      <c r="J197" s="27">
        <f t="shared" si="82"/>
        <v>6.2863485642474601E-3</v>
      </c>
      <c r="K197" s="27">
        <f t="shared" si="83"/>
        <v>9.5747424267697854E-5</v>
      </c>
      <c r="L197" s="27">
        <f t="shared" si="84"/>
        <v>2.0119311745166231E-25</v>
      </c>
      <c r="M197" s="27">
        <f t="shared" si="85"/>
        <v>2.6276504487679507E-2</v>
      </c>
      <c r="N197" s="27">
        <f t="shared" si="86"/>
        <v>2.1215556159922766E-2</v>
      </c>
      <c r="O197" s="27">
        <f t="shared" si="87"/>
        <v>7.2594293584327119E-4</v>
      </c>
      <c r="P197" s="27">
        <f t="shared" si="88"/>
        <v>8.8111100516430341E-5</v>
      </c>
    </row>
    <row r="198" spans="2:16" x14ac:dyDescent="0.25">
      <c r="B198" s="7">
        <f t="shared" si="60"/>
        <v>1880</v>
      </c>
      <c r="C198" s="27">
        <f t="shared" si="75"/>
        <v>2.7613114853918664E-5</v>
      </c>
      <c r="D198" s="27">
        <f t="shared" si="76"/>
        <v>1.2248579930568542E-10</v>
      </c>
      <c r="E198" s="27">
        <f t="shared" si="77"/>
        <v>9.2731836533786288E-64</v>
      </c>
      <c r="F198" s="27">
        <f t="shared" si="78"/>
        <v>7.2265877175096624E-3</v>
      </c>
      <c r="G198" s="27">
        <f t="shared" si="79"/>
        <v>3.0180555915232388E-3</v>
      </c>
      <c r="H198" s="27">
        <f t="shared" si="80"/>
        <v>2.2393583176683052E-7</v>
      </c>
      <c r="I198" s="27">
        <f t="shared" si="81"/>
        <v>8.6585849601306109E-11</v>
      </c>
      <c r="J198" s="27">
        <f t="shared" si="82"/>
        <v>6.1182213860016309E-3</v>
      </c>
      <c r="K198" s="27">
        <f t="shared" si="83"/>
        <v>8.9441290051179743E-5</v>
      </c>
      <c r="L198" s="27">
        <f t="shared" si="84"/>
        <v>5.0127970255840276E-26</v>
      </c>
      <c r="M198" s="27">
        <f t="shared" si="85"/>
        <v>2.602141780772466E-2</v>
      </c>
      <c r="N198" s="27">
        <f t="shared" si="86"/>
        <v>2.0939790150942827E-2</v>
      </c>
      <c r="O198" s="27">
        <f t="shared" si="87"/>
        <v>6.9480570535329633E-4</v>
      </c>
      <c r="P198" s="27">
        <f t="shared" si="88"/>
        <v>8.2217412395890754E-5</v>
      </c>
    </row>
    <row r="199" spans="2:16" x14ac:dyDescent="0.25">
      <c r="B199" s="7">
        <f t="shared" si="60"/>
        <v>1890</v>
      </c>
      <c r="C199" s="27">
        <f t="shared" si="75"/>
        <v>2.6113555847080358E-5</v>
      </c>
      <c r="D199" s="27">
        <f t="shared" si="76"/>
        <v>1.0363288818920837E-10</v>
      </c>
      <c r="E199" s="27">
        <f t="shared" si="77"/>
        <v>2.6745484740500563E-65</v>
      </c>
      <c r="F199" s="27">
        <f t="shared" si="78"/>
        <v>7.1554521592852305E-3</v>
      </c>
      <c r="G199" s="27">
        <f t="shared" si="79"/>
        <v>2.9685768831646531E-3</v>
      </c>
      <c r="H199" s="27">
        <f t="shared" si="80"/>
        <v>2.0496175945350359E-7</v>
      </c>
      <c r="I199" s="27">
        <f t="shared" si="81"/>
        <v>7.2965966602112076E-11</v>
      </c>
      <c r="J199" s="27">
        <f t="shared" si="82"/>
        <v>5.9545907366669888E-3</v>
      </c>
      <c r="K199" s="27">
        <f t="shared" si="83"/>
        <v>8.3539113938409882E-5</v>
      </c>
      <c r="L199" s="27">
        <f t="shared" si="84"/>
        <v>1.2077244008270889E-26</v>
      </c>
      <c r="M199" s="27">
        <f t="shared" si="85"/>
        <v>2.5770076059795546E-2</v>
      </c>
      <c r="N199" s="27">
        <f t="shared" si="86"/>
        <v>2.0668502938516298E-2</v>
      </c>
      <c r="O199" s="27">
        <f t="shared" si="87"/>
        <v>6.649944418576359E-4</v>
      </c>
      <c r="P199" s="27">
        <f t="shared" si="88"/>
        <v>7.6706978386464897E-5</v>
      </c>
    </row>
    <row r="200" spans="2:16" x14ac:dyDescent="0.25">
      <c r="B200" s="7">
        <f t="shared" si="60"/>
        <v>1900</v>
      </c>
      <c r="C200" s="27">
        <f t="shared" si="75"/>
        <v>2.4695431956377483E-5</v>
      </c>
      <c r="D200" s="27">
        <f t="shared" si="76"/>
        <v>8.7652667360368689E-11</v>
      </c>
      <c r="E200" s="27">
        <f t="shared" si="77"/>
        <v>7.0806236556868432E-67</v>
      </c>
      <c r="F200" s="27">
        <f t="shared" si="78"/>
        <v>7.0853817384950593E-3</v>
      </c>
      <c r="G200" s="27">
        <f t="shared" si="79"/>
        <v>2.9200857056076446E-3</v>
      </c>
      <c r="H200" s="27">
        <f t="shared" si="80"/>
        <v>1.8759241815491379E-7</v>
      </c>
      <c r="I200" s="27">
        <f t="shared" si="81"/>
        <v>6.1466831624557017E-11</v>
      </c>
      <c r="J200" s="27">
        <f t="shared" si="82"/>
        <v>5.7953363574462236E-3</v>
      </c>
      <c r="K200" s="27">
        <f t="shared" si="83"/>
        <v>7.8015828569720055E-5</v>
      </c>
      <c r="L200" s="27">
        <f t="shared" si="84"/>
        <v>2.8114094344425884E-27</v>
      </c>
      <c r="M200" s="27">
        <f t="shared" si="85"/>
        <v>2.5522406121085344E-2</v>
      </c>
      <c r="N200" s="27">
        <f t="shared" si="86"/>
        <v>2.0401606474730438E-2</v>
      </c>
      <c r="O200" s="27">
        <f t="shared" si="87"/>
        <v>6.3645318133631612E-4</v>
      </c>
      <c r="P200" s="27">
        <f t="shared" si="88"/>
        <v>7.1555667746192597E-5</v>
      </c>
    </row>
    <row r="201" spans="2:16" x14ac:dyDescent="0.25">
      <c r="B201" s="7">
        <f t="shared" si="60"/>
        <v>1910</v>
      </c>
      <c r="C201" s="27">
        <f t="shared" si="75"/>
        <v>2.3354320762879044E-5</v>
      </c>
      <c r="D201" s="27">
        <f t="shared" si="76"/>
        <v>7.4112048898005041E-11</v>
      </c>
      <c r="E201" s="27">
        <f t="shared" si="77"/>
        <v>1.7170911017546316E-68</v>
      </c>
      <c r="F201" s="27">
        <f t="shared" si="78"/>
        <v>7.0163551212625297E-3</v>
      </c>
      <c r="G201" s="27">
        <f t="shared" si="79"/>
        <v>2.8725586834019712E-3</v>
      </c>
      <c r="H201" s="27">
        <f t="shared" si="80"/>
        <v>1.7169236443681513E-7</v>
      </c>
      <c r="I201" s="27">
        <f t="shared" si="81"/>
        <v>5.1761706032493748E-11</v>
      </c>
      <c r="J201" s="27">
        <f t="shared" si="82"/>
        <v>5.6403412058403561E-3</v>
      </c>
      <c r="K201" s="27">
        <f t="shared" si="83"/>
        <v>7.2847865429841806E-5</v>
      </c>
      <c r="L201" s="27">
        <f t="shared" si="84"/>
        <v>6.3181247715293077E-28</v>
      </c>
      <c r="M201" s="27">
        <f t="shared" si="85"/>
        <v>2.5278336641601822E-2</v>
      </c>
      <c r="N201" s="27">
        <f t="shared" si="86"/>
        <v>2.013901475444535E-2</v>
      </c>
      <c r="O201" s="27">
        <f t="shared" si="87"/>
        <v>6.0912829515746836E-4</v>
      </c>
      <c r="P201" s="27">
        <f t="shared" si="88"/>
        <v>6.6740812881382894E-5</v>
      </c>
    </row>
    <row r="202" spans="2:16" x14ac:dyDescent="0.25">
      <c r="B202" s="7">
        <f t="shared" si="60"/>
        <v>1920</v>
      </c>
      <c r="C202" s="27">
        <f t="shared" si="75"/>
        <v>2.2086040011727342E-5</v>
      </c>
      <c r="D202" s="27">
        <f t="shared" si="76"/>
        <v>6.264250589334208E-11</v>
      </c>
      <c r="E202" s="27">
        <f t="shared" si="77"/>
        <v>3.8062350629393389E-70</v>
      </c>
      <c r="F202" s="27">
        <f t="shared" si="78"/>
        <v>6.9483515073396531E-3</v>
      </c>
      <c r="G202" s="27">
        <f t="shared" si="79"/>
        <v>2.825973083707467E-3</v>
      </c>
      <c r="H202" s="27">
        <f t="shared" si="80"/>
        <v>1.571375605191605E-7</v>
      </c>
      <c r="I202" s="27">
        <f t="shared" si="81"/>
        <v>4.3573589181278294E-11</v>
      </c>
      <c r="J202" s="27">
        <f t="shared" si="82"/>
        <v>5.4894913696294139E-3</v>
      </c>
      <c r="K202" s="27">
        <f t="shared" si="83"/>
        <v>6.8013069138845054E-5</v>
      </c>
      <c r="L202" s="27">
        <f t="shared" si="84"/>
        <v>1.3695905031007715E-28</v>
      </c>
      <c r="M202" s="27">
        <f t="shared" si="85"/>
        <v>2.5037797993045219E-2</v>
      </c>
      <c r="N202" s="27">
        <f t="shared" si="86"/>
        <v>1.9880643760491479E-2</v>
      </c>
      <c r="O202" s="27">
        <f t="shared" si="87"/>
        <v>5.829683940581365E-4</v>
      </c>
      <c r="P202" s="27">
        <f t="shared" si="88"/>
        <v>6.2241124554773819E-5</v>
      </c>
    </row>
    <row r="203" spans="2:16" x14ac:dyDescent="0.25">
      <c r="B203" s="7">
        <f t="shared" ref="B203:B210" si="89">B202+cycle_length</f>
        <v>1930</v>
      </c>
      <c r="C203" s="27">
        <f t="shared" ref="C203:C210" si="90" xml:space="preserve"> EXP(-exp_c_lambda*$B203)</f>
        <v>2.0886634569777468E-5</v>
      </c>
      <c r="D203" s="27">
        <f t="shared" ref="D203:D210" si="91" xml:space="preserve"> EXP(-weib_c_lambda*$B203^weib_c_gamma)</f>
        <v>5.2930562746205265E-11</v>
      </c>
      <c r="E203" s="27">
        <f t="shared" ref="E203:E210" si="92">EXP((gomp_c_lambda/gomp_c_gamma)*(1-EXP(gomp_c_gamma*$B203)))</f>
        <v>7.6954804208332102E-72</v>
      </c>
      <c r="F203" s="27">
        <f t="shared" ref="F203:F210" si="93">1/(1+ll_c_lambda*$B203^ll_c_gamma)</f>
        <v>6.881350614137193E-3</v>
      </c>
      <c r="G203" s="27">
        <f t="shared" ref="G203:G210" si="94">1-NORMDIST(((LN($B203)-ln_c_lambda)/ln_c_gamma),0,1,TRUE)</f>
        <v>2.7803067961221783E-3</v>
      </c>
      <c r="H203" s="27">
        <f t="shared" ref="H203:H210" si="95">IF(gam_c_gamma&gt;0, 1-GAMMADIST(gam_c_lambda*$B203,gam_c_gamma,1,TRUE), 1- (1-GAMMADIST(gam_c_lambda*$B203,gam_c_gamma,1,TRUE)))</f>
        <v>1.4381441637567605E-7</v>
      </c>
      <c r="I203" s="27">
        <f t="shared" ref="I203:I210" si="96" xml:space="preserve"> IF(ggam_c_gamma&gt;0, 1-GAMMADIST(ggam_c_lambda*$B203^(ggam_c_delta),ggam_c_gamma,1,TRUE), 1-( 1-GAMMADIST(ggam_c_lambda*$B203^(ggam_c_delta),ggam_c_gamma,1,TRUE)))</f>
        <v>3.666800196810982E-11</v>
      </c>
      <c r="J203" s="27">
        <f t="shared" ref="J203:J210" si="97" xml:space="preserve"> EXP(-exp_i_lambda*$B203)</f>
        <v>5.3426759831537657E-3</v>
      </c>
      <c r="K203" s="27">
        <f t="shared" ref="K203:K210" si="98" xml:space="preserve"> EXP(-weib_i_lambda*$B203^weib_i_gamma)</f>
        <v>6.3490616378317761E-5</v>
      </c>
      <c r="L203" s="27">
        <f t="shared" ref="L203:L210" si="99">EXP((gomp_i_lambda/gomp_i_gamma)*(1-EXP(gomp_i_gamma*$B203)))</f>
        <v>2.8612340295934979E-29</v>
      </c>
      <c r="M203" s="27">
        <f t="shared" ref="M203:M210" si="100">1/(1+ll_i_lambda*$B203^ll_i_gamma)</f>
        <v>2.4800722219388525E-2</v>
      </c>
      <c r="N203" s="27">
        <f t="shared" ref="N203:N210" si="101">1-NORMDIST(((LN($B203)-ln_i_lambda)/ln_i_gamma),0,1,TRUE)</f>
        <v>1.9626411410540112E-2</v>
      </c>
      <c r="O203" s="27">
        <f t="shared" ref="O203:O210" si="102">IF(gam_i_gamma&gt;0, 1-GAMMADIST(gam_i_lambda*$B203,gam_i_gamma,1,TRUE), 1- (1-GAMMADIST(gam_i_lambda*$B203,gam_i_gamma,1,TRUE)))</f>
        <v>5.579242359927683E-4</v>
      </c>
      <c r="P203" s="27">
        <f t="shared" ref="P203:P210" si="103" xml:space="preserve"> IF(ggam_i_gamma&gt;0, 1-GAMMADIST(ggam_i_lambda*$B203^(ggam_i_delta),ggam_i_gamma,1,TRUE), 1-( 1-GAMMADIST(ggam_i_lambda*$B203^(ggam_i_delta),ggam_i_gamma,1,TRUE)))</f>
        <v>5.8036611739087363E-5</v>
      </c>
    </row>
    <row r="204" spans="2:16" x14ac:dyDescent="0.25">
      <c r="B204" s="7">
        <f t="shared" si="89"/>
        <v>1940</v>
      </c>
      <c r="C204" s="27">
        <f t="shared" si="90"/>
        <v>1.9752364091515746E-5</v>
      </c>
      <c r="D204" s="27">
        <f t="shared" si="91"/>
        <v>4.4709668452700532E-11</v>
      </c>
      <c r="E204" s="27">
        <f t="shared" si="92"/>
        <v>1.4159515257789581E-73</v>
      </c>
      <c r="F204" s="27">
        <f t="shared" si="93"/>
        <v>6.8153326613100418E-3</v>
      </c>
      <c r="G204" s="27">
        <f t="shared" si="94"/>
        <v>2.7355383132251498E-3</v>
      </c>
      <c r="H204" s="27">
        <f t="shared" si="95"/>
        <v>1.3161891176949325E-7</v>
      </c>
      <c r="I204" s="27">
        <f t="shared" si="96"/>
        <v>3.0845992426975499E-11</v>
      </c>
      <c r="J204" s="27">
        <f t="shared" si="97"/>
        <v>5.1997871458344331E-3</v>
      </c>
      <c r="K204" s="27">
        <f t="shared" si="98"/>
        <v>5.9260939219947731E-5</v>
      </c>
      <c r="L204" s="27">
        <f t="shared" si="99"/>
        <v>5.7555743275619096E-30</v>
      </c>
      <c r="M204" s="27">
        <f t="shared" si="100"/>
        <v>2.4567042989095959E-2</v>
      </c>
      <c r="N204" s="27">
        <f t="shared" si="101"/>
        <v>1.9376237505587812E-2</v>
      </c>
      <c r="O204" s="27">
        <f t="shared" si="102"/>
        <v>5.3394863770084289E-4</v>
      </c>
      <c r="P204" s="27">
        <f t="shared" si="103"/>
        <v>5.4108505875949398E-5</v>
      </c>
    </row>
    <row r="205" spans="2:16" x14ac:dyDescent="0.25">
      <c r="B205" s="7">
        <f t="shared" si="89"/>
        <v>1950</v>
      </c>
      <c r="C205" s="27">
        <f t="shared" si="90"/>
        <v>1.8679691354793379E-5</v>
      </c>
      <c r="D205" s="27">
        <f t="shared" si="91"/>
        <v>3.7753254489710319E-11</v>
      </c>
      <c r="E205" s="27">
        <f t="shared" si="92"/>
        <v>2.3656194556220004E-75</v>
      </c>
      <c r="F205" s="27">
        <f t="shared" si="93"/>
        <v>6.7502783558760267E-3</v>
      </c>
      <c r="G205" s="27">
        <f t="shared" si="94"/>
        <v>2.6916467118022203E-3</v>
      </c>
      <c r="H205" s="27">
        <f t="shared" si="95"/>
        <v>1.2045579222963454E-7</v>
      </c>
      <c r="I205" s="27">
        <f t="shared" si="96"/>
        <v>2.5939472791947082E-11</v>
      </c>
      <c r="J205" s="27">
        <f t="shared" si="97"/>
        <v>5.0607198428725695E-3</v>
      </c>
      <c r="K205" s="27">
        <f t="shared" si="98"/>
        <v>5.5305652634208564E-5</v>
      </c>
      <c r="L205" s="27">
        <f t="shared" si="99"/>
        <v>1.113780892158285E-30</v>
      </c>
      <c r="M205" s="27">
        <f t="shared" si="100"/>
        <v>2.4336695548918683E-2</v>
      </c>
      <c r="N205" s="27">
        <f t="shared" si="101"/>
        <v>1.913004368000093E-2</v>
      </c>
      <c r="O205" s="27">
        <f t="shared" si="102"/>
        <v>5.1099638984442031E-4</v>
      </c>
      <c r="P205" s="27">
        <f t="shared" si="103"/>
        <v>5.0439189320128364E-5</v>
      </c>
    </row>
    <row r="206" spans="2:16" x14ac:dyDescent="0.25">
      <c r="B206" s="7">
        <f t="shared" si="89"/>
        <v>1960</v>
      </c>
      <c r="C206" s="27">
        <f t="shared" si="90"/>
        <v>1.7665271230000219E-5</v>
      </c>
      <c r="D206" s="27">
        <f t="shared" si="91"/>
        <v>3.1868806945331541E-11</v>
      </c>
      <c r="E206" s="27">
        <f t="shared" si="92"/>
        <v>3.5802444504203042E-77</v>
      </c>
      <c r="F206" s="27">
        <f t="shared" si="93"/>
        <v>6.6861688778470001E-3</v>
      </c>
      <c r="G206" s="27">
        <f t="shared" si="94"/>
        <v>2.6486116347308464E-3</v>
      </c>
      <c r="H206" s="27">
        <f t="shared" si="95"/>
        <v>1.1023783219599181E-7</v>
      </c>
      <c r="I206" s="27">
        <f t="shared" si="96"/>
        <v>2.18058904266627E-11</v>
      </c>
      <c r="J206" s="27">
        <f t="shared" si="97"/>
        <v>4.9253718680698604E-3</v>
      </c>
      <c r="K206" s="27">
        <f t="shared" si="98"/>
        <v>5.1607485966951097E-5</v>
      </c>
      <c r="L206" s="27">
        <f t="shared" si="99"/>
        <v>2.0714776678118666E-31</v>
      </c>
      <c r="M206" s="27">
        <f t="shared" si="100"/>
        <v>2.4109616679208461E-2</v>
      </c>
      <c r="N206" s="27">
        <f t="shared" si="101"/>
        <v>1.8887753353065695E-2</v>
      </c>
      <c r="O206" s="27">
        <f t="shared" si="102"/>
        <v>4.8902417557850075E-4</v>
      </c>
      <c r="P206" s="27">
        <f t="shared" si="103"/>
        <v>4.7012127748713439E-5</v>
      </c>
    </row>
    <row r="207" spans="2:16" x14ac:dyDescent="0.25">
      <c r="B207" s="7">
        <f t="shared" si="89"/>
        <v>1970</v>
      </c>
      <c r="C207" s="27">
        <f t="shared" si="90"/>
        <v>1.6705940248279107E-5</v>
      </c>
      <c r="D207" s="27">
        <f t="shared" si="91"/>
        <v>2.6892806686969002E-11</v>
      </c>
      <c r="E207" s="27">
        <f t="shared" si="92"/>
        <v>4.8968270665272678E-79</v>
      </c>
      <c r="F207" s="27">
        <f t="shared" si="93"/>
        <v>6.6229858663521849E-3</v>
      </c>
      <c r="G207" s="27">
        <f t="shared" si="94"/>
        <v>2.6064132734976431E-3</v>
      </c>
      <c r="H207" s="27">
        <f t="shared" si="95"/>
        <v>1.0088515944861598E-7</v>
      </c>
      <c r="I207" s="27">
        <f t="shared" si="96"/>
        <v>1.8324675110648059E-11</v>
      </c>
      <c r="J207" s="27">
        <f t="shared" si="97"/>
        <v>4.7936437487130067E-3</v>
      </c>
      <c r="K207" s="27">
        <f t="shared" si="98"/>
        <v>4.8150218181410294E-5</v>
      </c>
      <c r="L207" s="27">
        <f t="shared" si="99"/>
        <v>3.6992519617317877E-32</v>
      </c>
      <c r="M207" s="27">
        <f t="shared" si="100"/>
        <v>2.3885744650692878E-2</v>
      </c>
      <c r="N207" s="27">
        <f t="shared" si="101"/>
        <v>1.8649291681995694E-2</v>
      </c>
      <c r="O207" s="27">
        <f t="shared" si="102"/>
        <v>4.6799049241696977E-4</v>
      </c>
      <c r="P207" s="27">
        <f t="shared" si="103"/>
        <v>4.3811806334170811E-5</v>
      </c>
    </row>
    <row r="208" spans="2:16" x14ac:dyDescent="0.25">
      <c r="B208" s="7">
        <f t="shared" si="89"/>
        <v>1980</v>
      </c>
      <c r="C208" s="27">
        <f t="shared" si="90"/>
        <v>1.5798706736249066E-5</v>
      </c>
      <c r="D208" s="27">
        <f t="shared" si="91"/>
        <v>2.2686412133526313E-11</v>
      </c>
      <c r="E208" s="27">
        <f t="shared" si="92"/>
        <v>6.0379440376173812E-81</v>
      </c>
      <c r="F208" s="27">
        <f t="shared" si="93"/>
        <v>6.560711406234777E-3</v>
      </c>
      <c r="G208" s="27">
        <f t="shared" si="94"/>
        <v>2.5650323513228823E-3</v>
      </c>
      <c r="H208" s="27">
        <f t="shared" si="95"/>
        <v>9.2324637601670645E-8</v>
      </c>
      <c r="I208" s="27">
        <f t="shared" si="96"/>
        <v>1.5393908370242571E-11</v>
      </c>
      <c r="J208" s="27">
        <f t="shared" si="97"/>
        <v>4.6654386724672295E-3</v>
      </c>
      <c r="K208" s="27">
        <f t="shared" si="98"/>
        <v>4.4918616672499055E-5</v>
      </c>
      <c r="L208" s="27">
        <f t="shared" si="99"/>
        <v>6.336864892247721E-33</v>
      </c>
      <c r="M208" s="27">
        <f t="shared" si="100"/>
        <v>2.3665019182658856E-2</v>
      </c>
      <c r="N208" s="27">
        <f t="shared" si="101"/>
        <v>1.8414585516344117E-2</v>
      </c>
      <c r="O208" s="27">
        <f t="shared" si="102"/>
        <v>4.478555772651216E-4</v>
      </c>
      <c r="P208" s="27">
        <f t="shared" si="103"/>
        <v>4.0823669485434699E-5</v>
      </c>
    </row>
    <row r="209" spans="2:16" x14ac:dyDescent="0.25">
      <c r="B209" s="7">
        <f t="shared" si="89"/>
        <v>1990</v>
      </c>
      <c r="C209" s="27">
        <f t="shared" si="90"/>
        <v>1.4940741486472936E-5</v>
      </c>
      <c r="D209" s="27">
        <f t="shared" si="91"/>
        <v>1.9131777066704876E-11</v>
      </c>
      <c r="E209" s="27">
        <f t="shared" si="92"/>
        <v>6.6949588773586358E-83</v>
      </c>
      <c r="F209" s="27">
        <f t="shared" si="93"/>
        <v>6.4993280151030989E-3</v>
      </c>
      <c r="G209" s="27">
        <f t="shared" si="94"/>
        <v>2.5244501068695246E-3</v>
      </c>
      <c r="H209" s="27">
        <f t="shared" si="95"/>
        <v>8.4489298668444235E-8</v>
      </c>
      <c r="I209" s="27">
        <f t="shared" si="96"/>
        <v>1.2927436898735323E-11</v>
      </c>
      <c r="J209" s="27">
        <f t="shared" si="97"/>
        <v>4.5406624162249451E-3</v>
      </c>
      <c r="K209" s="27">
        <f t="shared" si="98"/>
        <v>4.1898379469231019E-5</v>
      </c>
      <c r="L209" s="27">
        <f t="shared" si="99"/>
        <v>1.0402201827504375E-33</v>
      </c>
      <c r="M209" s="27">
        <f t="shared" si="100"/>
        <v>2.3447381402491242E-2</v>
      </c>
      <c r="N209" s="27">
        <f t="shared" si="101"/>
        <v>1.8183563353777021E-2</v>
      </c>
      <c r="O209" s="27">
        <f t="shared" si="102"/>
        <v>4.2858133449430458E-4</v>
      </c>
      <c r="P209" s="27">
        <f t="shared" si="103"/>
        <v>3.8034063968073184E-5</v>
      </c>
    </row>
    <row r="210" spans="2:16" x14ac:dyDescent="0.25">
      <c r="B210" s="7">
        <f t="shared" si="89"/>
        <v>2000</v>
      </c>
      <c r="C210" s="27">
        <f t="shared" si="90"/>
        <v>1.4129368934574693E-5</v>
      </c>
      <c r="D210" s="27">
        <f t="shared" si="91"/>
        <v>1.6128911278558304E-11</v>
      </c>
      <c r="E210" s="27">
        <f t="shared" si="92"/>
        <v>6.6585132238031493E-85</v>
      </c>
      <c r="F210" s="27">
        <f t="shared" si="93"/>
        <v>6.4388186308191302E-3</v>
      </c>
      <c r="G210" s="27">
        <f t="shared" si="94"/>
        <v>2.4846482785146895E-3</v>
      </c>
      <c r="H210" s="27">
        <f t="shared" si="95"/>
        <v>7.7317824143108282E-8</v>
      </c>
      <c r="I210" s="27">
        <f t="shared" si="96"/>
        <v>1.0852430065710905E-11</v>
      </c>
      <c r="J210" s="27">
        <f t="shared" si="97"/>
        <v>4.419223276857372E-3</v>
      </c>
      <c r="K210" s="27">
        <f t="shared" si="98"/>
        <v>3.9076080649751895E-5</v>
      </c>
      <c r="L210" s="27">
        <f t="shared" si="99"/>
        <v>1.6346292526887631E-34</v>
      </c>
      <c r="M210" s="27">
        <f t="shared" si="100"/>
        <v>2.3232773806518215E-2</v>
      </c>
      <c r="N210" s="27">
        <f t="shared" si="101"/>
        <v>1.7956155297159659E-2</v>
      </c>
      <c r="O210" s="27">
        <f t="shared" si="102"/>
        <v>4.1013126693623114E-4</v>
      </c>
      <c r="P210" s="27">
        <f t="shared" si="103"/>
        <v>3.5430185230445055E-5</v>
      </c>
    </row>
  </sheetData>
  <mergeCells count="3">
    <mergeCell ref="B2:E2"/>
    <mergeCell ref="C7:I7"/>
    <mergeCell ref="J7:P7"/>
  </mergeCells>
  <dataValidations count="1">
    <dataValidation type="list" allowBlank="1" showInputMessage="1" showErrorMessage="1" sqref="C4">
      <formula1>option_truefalse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18"/>
  <sheetViews>
    <sheetView workbookViewId="0">
      <selection activeCell="E20" sqref="E20"/>
    </sheetView>
  </sheetViews>
  <sheetFormatPr defaultRowHeight="15" x14ac:dyDescent="0.25"/>
  <cols>
    <col min="2" max="2" width="13.140625" bestFit="1" customWidth="1"/>
    <col min="3" max="3" width="15.85546875" bestFit="1" customWidth="1"/>
    <col min="4" max="4" width="20" bestFit="1" customWidth="1"/>
    <col min="5" max="5" width="12" bestFit="1" customWidth="1"/>
    <col min="6" max="6" width="14.42578125" bestFit="1" customWidth="1"/>
    <col min="7" max="7" width="15.85546875" bestFit="1" customWidth="1"/>
    <col min="8" max="8" width="17" bestFit="1" customWidth="1"/>
    <col min="9" max="9" width="12.7109375" bestFit="1" customWidth="1"/>
    <col min="10" max="10" width="15.85546875" bestFit="1" customWidth="1"/>
    <col min="11" max="11" width="12" bestFit="1" customWidth="1"/>
    <col min="12" max="12" width="15.85546875" bestFit="1" customWidth="1"/>
    <col min="13" max="13" width="12.7109375" bestFit="1" customWidth="1"/>
    <col min="15" max="15" width="15.85546875" bestFit="1" customWidth="1"/>
    <col min="16" max="16" width="12.7109375" bestFit="1" customWidth="1"/>
    <col min="17" max="18" width="15.85546875" bestFit="1" customWidth="1"/>
    <col min="19" max="19" width="17" bestFit="1" customWidth="1"/>
    <col min="20" max="20" width="12.85546875" customWidth="1"/>
    <col min="21" max="24" width="15.85546875" bestFit="1" customWidth="1"/>
    <col min="28" max="28" width="15.85546875" bestFit="1" customWidth="1"/>
    <col min="30" max="30" width="15.85546875" bestFit="1" customWidth="1"/>
  </cols>
  <sheetData>
    <row r="2" spans="2:33" x14ac:dyDescent="0.25">
      <c r="B2" s="35" t="s">
        <v>20</v>
      </c>
      <c r="C2" s="35"/>
      <c r="D2" s="35"/>
    </row>
    <row r="3" spans="2:33" ht="15.75" thickBot="1" x14ac:dyDescent="0.3"/>
    <row r="4" spans="2:33" x14ac:dyDescent="0.25">
      <c r="B4" s="10" t="s">
        <v>25</v>
      </c>
      <c r="C4" s="11"/>
      <c r="D4" s="11"/>
      <c r="E4" s="11"/>
      <c r="F4" s="11"/>
      <c r="G4" s="11"/>
      <c r="H4" s="11"/>
      <c r="I4" s="11"/>
      <c r="J4" s="11"/>
      <c r="K4" s="11"/>
      <c r="L4" s="12"/>
    </row>
    <row r="5" spans="2:33" x14ac:dyDescent="0.25">
      <c r="B5" s="13"/>
      <c r="C5" s="14" t="s">
        <v>26</v>
      </c>
      <c r="D5" s="14" t="s">
        <v>27</v>
      </c>
      <c r="E5" s="14" t="s">
        <v>28</v>
      </c>
      <c r="F5" s="14" t="s">
        <v>30</v>
      </c>
      <c r="G5" s="15"/>
      <c r="H5" s="14" t="s">
        <v>31</v>
      </c>
      <c r="I5" s="14" t="s">
        <v>32</v>
      </c>
      <c r="J5" s="14" t="s">
        <v>33</v>
      </c>
      <c r="K5" s="14" t="s">
        <v>34</v>
      </c>
      <c r="L5" s="16"/>
    </row>
    <row r="6" spans="2:33" x14ac:dyDescent="0.25">
      <c r="B6" s="13"/>
      <c r="C6" s="9">
        <f ca="1">RAND()</f>
        <v>0.25653074989184643</v>
      </c>
      <c r="D6" s="9">
        <f ca="1">RAND()</f>
        <v>0.22720359825804515</v>
      </c>
      <c r="E6" s="9">
        <f ca="1">RAND()</f>
        <v>0.23623400291604191</v>
      </c>
      <c r="F6" s="9">
        <f ca="1">RAND()</f>
        <v>3.7556217543109005E-2</v>
      </c>
      <c r="G6" s="15"/>
      <c r="H6" s="24">
        <f ca="1">rand_1</f>
        <v>0.25653074989184643</v>
      </c>
      <c r="I6" s="24">
        <f ca="1">rand_1</f>
        <v>0.25653074989184643</v>
      </c>
      <c r="J6" s="24">
        <f ca="1">rand_1</f>
        <v>0.25653074989184643</v>
      </c>
      <c r="K6" s="9">
        <f ca="1">rand_1</f>
        <v>0.25653074989184643</v>
      </c>
      <c r="L6" s="16"/>
    </row>
    <row r="7" spans="2:33" x14ac:dyDescent="0.25">
      <c r="B7" s="13"/>
      <c r="C7" s="15"/>
      <c r="D7" s="15"/>
      <c r="E7" s="15"/>
      <c r="F7" s="15"/>
      <c r="G7" s="15"/>
      <c r="H7" s="15"/>
      <c r="I7" s="24">
        <f ca="1">rand_2</f>
        <v>0.22720359825804515</v>
      </c>
      <c r="J7" s="24">
        <f ca="1">rand_2</f>
        <v>0.22720359825804515</v>
      </c>
      <c r="K7" s="9">
        <f ca="1">rand_2</f>
        <v>0.22720359825804515</v>
      </c>
      <c r="L7" s="16"/>
    </row>
    <row r="8" spans="2:33" x14ac:dyDescent="0.25">
      <c r="B8" s="13"/>
      <c r="C8" s="15"/>
      <c r="D8" s="15"/>
      <c r="E8" s="15"/>
      <c r="F8" s="15"/>
      <c r="G8" s="15"/>
      <c r="H8" s="15"/>
      <c r="I8" s="15"/>
      <c r="J8" s="24">
        <f ca="1">rand_3</f>
        <v>0.23623400291604191</v>
      </c>
      <c r="K8" s="9">
        <f ca="1">rand_3</f>
        <v>0.23623400291604191</v>
      </c>
      <c r="L8" s="16"/>
    </row>
    <row r="9" spans="2:33" x14ac:dyDescent="0.25">
      <c r="B9" s="13"/>
      <c r="C9" s="15"/>
      <c r="D9" s="15"/>
      <c r="E9" s="15"/>
      <c r="F9" s="15"/>
      <c r="G9" s="15"/>
      <c r="H9" s="15"/>
      <c r="I9" s="15"/>
      <c r="J9" s="15"/>
      <c r="K9" s="9">
        <f ca="1">rand_4</f>
        <v>3.7556217543109005E-2</v>
      </c>
      <c r="L9" s="16"/>
    </row>
    <row r="10" spans="2:33" ht="15.75" thickBot="1" x14ac:dyDescent="0.3"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9"/>
    </row>
    <row r="11" spans="2:33" ht="15.75" thickBot="1" x14ac:dyDescent="0.3"/>
    <row r="12" spans="2:33" x14ac:dyDescent="0.25">
      <c r="B12" s="10" t="s">
        <v>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23"/>
      <c r="R12" s="23"/>
      <c r="S12" s="23"/>
      <c r="T12" s="11"/>
      <c r="U12" s="11"/>
      <c r="V12" s="11"/>
      <c r="W12" s="34"/>
      <c r="X12" s="34"/>
      <c r="Y12" s="34"/>
      <c r="Z12" s="11"/>
      <c r="AA12" s="11"/>
      <c r="AB12" s="11"/>
      <c r="AC12" s="11"/>
      <c r="AD12" s="12"/>
    </row>
    <row r="13" spans="2:33" x14ac:dyDescent="0.25">
      <c r="B13" s="13"/>
      <c r="C13" s="36" t="s">
        <v>47</v>
      </c>
      <c r="D13" s="37"/>
      <c r="E13" s="21"/>
      <c r="F13" s="33" t="s">
        <v>21</v>
      </c>
      <c r="G13" s="33"/>
      <c r="H13" s="33"/>
      <c r="I13" s="21"/>
      <c r="J13" s="33" t="s">
        <v>22</v>
      </c>
      <c r="K13" s="33"/>
      <c r="L13" s="33"/>
      <c r="M13" s="33"/>
      <c r="N13" s="33"/>
      <c r="O13" s="33"/>
      <c r="P13" s="21"/>
      <c r="Q13" s="36" t="s">
        <v>45</v>
      </c>
      <c r="R13" s="38"/>
      <c r="S13" s="37"/>
      <c r="T13" s="21"/>
      <c r="U13" s="21"/>
      <c r="V13" s="32" t="s">
        <v>46</v>
      </c>
      <c r="W13" s="32"/>
      <c r="X13" s="32"/>
      <c r="Y13" s="21"/>
      <c r="Z13" s="21"/>
      <c r="AA13" s="21"/>
      <c r="AB13" s="32" t="s">
        <v>29</v>
      </c>
      <c r="AC13" s="32"/>
      <c r="AD13" s="16"/>
    </row>
    <row r="14" spans="2:33" x14ac:dyDescent="0.25">
      <c r="B14" s="13"/>
      <c r="C14" s="8" t="s">
        <v>1</v>
      </c>
      <c r="D14" s="8" t="s">
        <v>2</v>
      </c>
      <c r="E14" s="15"/>
      <c r="F14" s="2" t="s">
        <v>0</v>
      </c>
      <c r="G14" s="2" t="s">
        <v>1</v>
      </c>
      <c r="H14" s="2" t="s">
        <v>2</v>
      </c>
      <c r="I14" s="15"/>
      <c r="J14" s="2" t="s">
        <v>0</v>
      </c>
      <c r="K14" s="2" t="s">
        <v>3</v>
      </c>
      <c r="L14" s="2" t="s">
        <v>4</v>
      </c>
      <c r="M14" s="2" t="s">
        <v>5</v>
      </c>
      <c r="N14" s="2" t="s">
        <v>6</v>
      </c>
      <c r="O14" s="2" t="s">
        <v>7</v>
      </c>
      <c r="P14" s="15"/>
      <c r="Q14" s="9"/>
      <c r="R14" s="9" t="str">
        <f>N15</f>
        <v>INTERCEPT</v>
      </c>
      <c r="S14" s="9" t="str">
        <f>N16</f>
        <v>TX(Intervention)</v>
      </c>
      <c r="T14" s="15"/>
      <c r="U14" s="15"/>
      <c r="V14" s="9"/>
      <c r="W14" s="9" t="str">
        <f>R14</f>
        <v>INTERCEPT</v>
      </c>
      <c r="X14" s="9" t="str">
        <f>S14</f>
        <v>TX(Intervention)</v>
      </c>
      <c r="Y14" s="15"/>
      <c r="Z14" s="15"/>
      <c r="AA14" s="15"/>
      <c r="AB14" s="8" t="s">
        <v>1</v>
      </c>
      <c r="AC14" s="8" t="s">
        <v>2</v>
      </c>
      <c r="AD14" s="16"/>
      <c r="AG14" s="6"/>
    </row>
    <row r="15" spans="2:33" x14ac:dyDescent="0.25">
      <c r="B15" s="13"/>
      <c r="C15" s="9" t="str">
        <f>G15</f>
        <v>INTERCEPT</v>
      </c>
      <c r="D15" s="9">
        <f>IF(PSA,AC15, H15)</f>
        <v>5.1879166220817297</v>
      </c>
      <c r="E15" s="15"/>
      <c r="F15" s="1" t="str">
        <f>'Exported data'!B7</f>
        <v>Exponential</v>
      </c>
      <c r="G15" s="1" t="str">
        <f>'Exported data'!C7</f>
        <v>INTERCEPT</v>
      </c>
      <c r="H15" s="1">
        <f>'Exported data'!D7</f>
        <v>5.1879166220817297</v>
      </c>
      <c r="I15" s="15"/>
      <c r="J15" s="1" t="str">
        <f>'Exported data'!F7</f>
        <v>Exponential</v>
      </c>
      <c r="K15" s="1">
        <f>'Exported data'!G7</f>
        <v>1</v>
      </c>
      <c r="L15" s="1" t="str">
        <f>'Exported data'!H7</f>
        <v>INTERCEPT</v>
      </c>
      <c r="M15" s="1">
        <f>'Exported data'!I7</f>
        <v>1</v>
      </c>
      <c r="N15" s="1" t="str">
        <f>'Exported data'!J7</f>
        <v>INTERCEPT</v>
      </c>
      <c r="O15" s="1">
        <f>'Exported data'!K7</f>
        <v>3.4032887296273902E-3</v>
      </c>
      <c r="P15" s="15"/>
      <c r="Q15" s="9" t="str">
        <f>L15</f>
        <v>INTERCEPT</v>
      </c>
      <c r="R15" s="9">
        <f>O15</f>
        <v>3.4032887296273902E-3</v>
      </c>
      <c r="S15" s="9">
        <f>O16</f>
        <v>-4.1605190100699402E-3</v>
      </c>
      <c r="T15" s="15"/>
      <c r="U15" s="15"/>
      <c r="V15" s="9" t="str">
        <f>Q15</f>
        <v>INTERCEPT</v>
      </c>
      <c r="W15" s="9">
        <f>SQRT(R15)</f>
        <v>5.8337712756221342E-2</v>
      </c>
      <c r="X15" s="9">
        <v>0</v>
      </c>
      <c r="Y15" s="22" t="s">
        <v>44</v>
      </c>
      <c r="Z15" s="15"/>
      <c r="AA15" s="15"/>
      <c r="AB15" s="9" t="str">
        <f>G15</f>
        <v>INTERCEPT</v>
      </c>
      <c r="AC15" s="20">
        <f ca="1">H15+INDEX(MMULT(matTexp,rvec_2),1,1)</f>
        <v>5.2028820392820583</v>
      </c>
      <c r="AD15" s="16"/>
    </row>
    <row r="16" spans="2:33" x14ac:dyDescent="0.25">
      <c r="B16" s="13"/>
      <c r="C16" s="9" t="str">
        <f>G16</f>
        <v>TX(Intervention)</v>
      </c>
      <c r="D16" s="9">
        <f>IF(PSA,AC16, H16)</f>
        <v>0.72255957337449195</v>
      </c>
      <c r="E16" s="15"/>
      <c r="F16" s="1" t="str">
        <f>'Exported data'!B8</f>
        <v>Exponential</v>
      </c>
      <c r="G16" s="1" t="str">
        <f>'Exported data'!C8</f>
        <v>TX(Intervention)</v>
      </c>
      <c r="H16" s="1">
        <f>'Exported data'!D8</f>
        <v>0.72255957337449195</v>
      </c>
      <c r="I16" s="15"/>
      <c r="J16" s="1" t="str">
        <f>'Exported data'!F8</f>
        <v>Exponential</v>
      </c>
      <c r="K16" s="1">
        <f>'Exported data'!G8</f>
        <v>1</v>
      </c>
      <c r="L16" s="1" t="str">
        <f>'Exported data'!H8</f>
        <v>INTERCEPT</v>
      </c>
      <c r="M16" s="1">
        <f>'Exported data'!I8</f>
        <v>2</v>
      </c>
      <c r="N16" s="1" t="str">
        <f>'Exported data'!J8</f>
        <v>TX(Intervention)</v>
      </c>
      <c r="O16" s="1">
        <f>'Exported data'!K8</f>
        <v>-4.1605190100699402E-3</v>
      </c>
      <c r="P16" s="15"/>
      <c r="Q16" s="9" t="str">
        <f>L17</f>
        <v>TX(Intervention)</v>
      </c>
      <c r="R16" s="9">
        <f>O17</f>
        <v>-4.1605190100699402E-3</v>
      </c>
      <c r="S16" s="9">
        <f>O18</f>
        <v>1.09482395853136E-2</v>
      </c>
      <c r="T16" s="15"/>
      <c r="U16" s="15"/>
      <c r="V16" s="9" t="str">
        <f>Q16</f>
        <v>TX(Intervention)</v>
      </c>
      <c r="W16" s="9">
        <f>R16/W15</f>
        <v>-7.1317828785226883E-2</v>
      </c>
      <c r="X16" s="9">
        <f>SQRT(S16-W16^2)</f>
        <v>7.6563743917566249E-2</v>
      </c>
      <c r="Y16" s="22"/>
      <c r="Z16" s="15"/>
      <c r="AA16" s="15"/>
      <c r="AB16" s="9" t="str">
        <f>G16</f>
        <v>TX(Intervention)</v>
      </c>
      <c r="AC16" s="20">
        <f ca="1">H16+INDEX(MMULT(matTexp,rvec_2),2,1)</f>
        <v>0.72165991538973795</v>
      </c>
      <c r="AD16" s="16"/>
    </row>
    <row r="17" spans="2:30" x14ac:dyDescent="0.25">
      <c r="B17" s="13"/>
      <c r="C17" s="15"/>
      <c r="D17" s="15"/>
      <c r="E17" s="15"/>
      <c r="F17" s="15"/>
      <c r="G17" s="15"/>
      <c r="H17" s="15"/>
      <c r="I17" s="15"/>
      <c r="J17" s="1" t="str">
        <f>'Exported data'!F9</f>
        <v>Exponential</v>
      </c>
      <c r="K17" s="1">
        <f>'Exported data'!G9</f>
        <v>2</v>
      </c>
      <c r="L17" s="1" t="str">
        <f>'Exported data'!H9</f>
        <v>TX(Intervention)</v>
      </c>
      <c r="M17" s="1">
        <f>'Exported data'!I9</f>
        <v>1</v>
      </c>
      <c r="N17" s="1" t="str">
        <f>'Exported data'!J9</f>
        <v>INTERCEPT</v>
      </c>
      <c r="O17" s="1">
        <f>'Exported data'!K9</f>
        <v>-4.1605190100699402E-3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6"/>
    </row>
    <row r="18" spans="2:30" x14ac:dyDescent="0.25">
      <c r="B18" s="13"/>
      <c r="C18" s="32" t="s">
        <v>48</v>
      </c>
      <c r="D18" s="32"/>
      <c r="E18" s="32"/>
      <c r="F18" s="15"/>
      <c r="G18" s="15"/>
      <c r="H18" s="15"/>
      <c r="I18" s="15"/>
      <c r="J18" s="1" t="str">
        <f>'Exported data'!F10</f>
        <v>Exponential</v>
      </c>
      <c r="K18" s="1">
        <f>'Exported data'!G10</f>
        <v>2</v>
      </c>
      <c r="L18" s="1" t="str">
        <f>'Exported data'!H10</f>
        <v>TX(Intervention)</v>
      </c>
      <c r="M18" s="1">
        <f>'Exported data'!I10</f>
        <v>2</v>
      </c>
      <c r="N18" s="1" t="str">
        <f>'Exported data'!J10</f>
        <v>TX(Intervention)</v>
      </c>
      <c r="O18" s="1">
        <f>'Exported data'!K10</f>
        <v>1.09482395853136E-2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6"/>
    </row>
    <row r="19" spans="2:30" x14ac:dyDescent="0.25">
      <c r="B19" s="13"/>
      <c r="C19" s="8" t="s">
        <v>24</v>
      </c>
      <c r="D19" s="8" t="s">
        <v>41</v>
      </c>
      <c r="E19" s="8" t="s">
        <v>42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6"/>
    </row>
    <row r="20" spans="2:30" x14ac:dyDescent="0.25">
      <c r="B20" s="13"/>
      <c r="C20" s="9" t="s">
        <v>40</v>
      </c>
      <c r="D20" s="9" t="s">
        <v>37</v>
      </c>
      <c r="E20" s="9">
        <f>EXP(-D15)</f>
        <v>5.5836275118270494E-3</v>
      </c>
      <c r="F20" s="14" t="s">
        <v>38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6"/>
    </row>
    <row r="21" spans="2:30" x14ac:dyDescent="0.25">
      <c r="B21" s="13"/>
      <c r="C21" s="9" t="s">
        <v>43</v>
      </c>
      <c r="D21" s="9" t="s">
        <v>37</v>
      </c>
      <c r="E21" s="9">
        <f>EXP(-(D15+D16))</f>
        <v>2.7108956637762536E-3</v>
      </c>
      <c r="F21" s="14" t="s">
        <v>39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6"/>
    </row>
    <row r="22" spans="2:30" ht="15.75" thickBot="1" x14ac:dyDescent="0.3"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9"/>
    </row>
    <row r="23" spans="2:30" ht="15.75" thickBot="1" x14ac:dyDescent="0.3"/>
    <row r="24" spans="2:30" x14ac:dyDescent="0.25">
      <c r="B24" s="10" t="s">
        <v>11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23"/>
      <c r="R24" s="23"/>
      <c r="S24" s="23"/>
      <c r="T24" s="11"/>
      <c r="U24" s="11"/>
      <c r="V24" s="11"/>
      <c r="W24" s="34"/>
      <c r="X24" s="34"/>
      <c r="Y24" s="34"/>
      <c r="Z24" s="11"/>
      <c r="AA24" s="11"/>
      <c r="AB24" s="11"/>
      <c r="AC24" s="11"/>
      <c r="AD24" s="12"/>
    </row>
    <row r="25" spans="2:30" x14ac:dyDescent="0.25">
      <c r="B25" s="13"/>
      <c r="C25" s="36" t="s">
        <v>47</v>
      </c>
      <c r="D25" s="37"/>
      <c r="E25" s="21"/>
      <c r="F25" s="33" t="s">
        <v>21</v>
      </c>
      <c r="G25" s="33"/>
      <c r="H25" s="33"/>
      <c r="I25" s="21"/>
      <c r="J25" s="33" t="s">
        <v>22</v>
      </c>
      <c r="K25" s="33"/>
      <c r="L25" s="33"/>
      <c r="M25" s="33"/>
      <c r="N25" s="33"/>
      <c r="O25" s="33"/>
      <c r="P25" s="21"/>
      <c r="Q25" s="32" t="s">
        <v>45</v>
      </c>
      <c r="R25" s="32"/>
      <c r="S25" s="32"/>
      <c r="T25" s="32"/>
      <c r="U25" s="21"/>
      <c r="V25" s="32" t="s">
        <v>46</v>
      </c>
      <c r="W25" s="32"/>
      <c r="X25" s="32"/>
      <c r="Y25" s="32"/>
      <c r="Z25" s="21"/>
      <c r="AA25" s="21"/>
      <c r="AB25" s="32" t="s">
        <v>29</v>
      </c>
      <c r="AC25" s="32"/>
      <c r="AD25" s="16"/>
    </row>
    <row r="26" spans="2:30" x14ac:dyDescent="0.25">
      <c r="B26" s="13"/>
      <c r="C26" s="8" t="s">
        <v>1</v>
      </c>
      <c r="D26" s="8" t="s">
        <v>2</v>
      </c>
      <c r="E26" s="15"/>
      <c r="F26" s="2" t="s">
        <v>0</v>
      </c>
      <c r="G26" s="2" t="s">
        <v>1</v>
      </c>
      <c r="H26" s="2" t="s">
        <v>2</v>
      </c>
      <c r="I26" s="15"/>
      <c r="J26" s="2" t="s">
        <v>0</v>
      </c>
      <c r="K26" s="2" t="s">
        <v>3</v>
      </c>
      <c r="L26" s="2" t="s">
        <v>4</v>
      </c>
      <c r="M26" s="2" t="s">
        <v>5</v>
      </c>
      <c r="N26" s="2" t="s">
        <v>6</v>
      </c>
      <c r="O26" s="2" t="s">
        <v>7</v>
      </c>
      <c r="P26" s="15"/>
      <c r="Q26" s="9"/>
      <c r="R26" s="9" t="str">
        <f>N27</f>
        <v>INTERCEPT</v>
      </c>
      <c r="S26" s="9" t="str">
        <f>N28</f>
        <v>TX(Intervention)</v>
      </c>
      <c r="T26" s="9" t="str">
        <f>N29</f>
        <v>SCALE</v>
      </c>
      <c r="U26" s="15"/>
      <c r="V26" s="9"/>
      <c r="W26" s="9" t="str">
        <f>R26</f>
        <v>INTERCEPT</v>
      </c>
      <c r="X26" s="9" t="str">
        <f>S26</f>
        <v>TX(Intervention)</v>
      </c>
      <c r="Y26" s="9" t="str">
        <f>T26</f>
        <v>SCALE</v>
      </c>
      <c r="Z26" s="15"/>
      <c r="AA26" s="15"/>
      <c r="AB26" s="8" t="s">
        <v>1</v>
      </c>
      <c r="AC26" s="8" t="s">
        <v>2</v>
      </c>
      <c r="AD26" s="16"/>
    </row>
    <row r="27" spans="2:30" x14ac:dyDescent="0.25">
      <c r="B27" s="13"/>
      <c r="C27" s="9" t="str">
        <f>G27</f>
        <v>INTERCEPT</v>
      </c>
      <c r="D27" s="9">
        <f>IF(PSA,AC27, H27)</f>
        <v>5.2649679456207599</v>
      </c>
      <c r="E27" s="15"/>
      <c r="F27" s="1" t="str">
        <f>'Exported data'!B9</f>
        <v>Weibull</v>
      </c>
      <c r="G27" s="1" t="str">
        <f>'Exported data'!C9</f>
        <v>INTERCEPT</v>
      </c>
      <c r="H27" s="1">
        <f>'Exported data'!D9</f>
        <v>5.2649679456207599</v>
      </c>
      <c r="I27" s="15"/>
      <c r="J27" s="1" t="str">
        <f>'Exported data'!F11</f>
        <v>Weibull</v>
      </c>
      <c r="K27" s="1">
        <f>'Exported data'!G11</f>
        <v>1</v>
      </c>
      <c r="L27" s="1" t="str">
        <f>'Exported data'!H11</f>
        <v>INTERCEPT</v>
      </c>
      <c r="M27" s="1">
        <f>'Exported data'!I11</f>
        <v>1</v>
      </c>
      <c r="N27" s="1" t="str">
        <f>'Exported data'!J11</f>
        <v>INTERCEPT</v>
      </c>
      <c r="O27" s="1">
        <f>'Exported data'!K11</f>
        <v>2.9982920426890199E-3</v>
      </c>
      <c r="P27" s="15"/>
      <c r="Q27" s="9" t="str">
        <f>L27</f>
        <v>INTERCEPT</v>
      </c>
      <c r="R27" s="9">
        <f>O27</f>
        <v>2.9982920426890199E-3</v>
      </c>
      <c r="S27" s="9">
        <f>O28</f>
        <v>-3.9435207207101104E-3</v>
      </c>
      <c r="T27" s="9">
        <f>O29</f>
        <v>-6.1663548774948995E-5</v>
      </c>
      <c r="U27" s="15"/>
      <c r="V27" s="9" t="str">
        <f>Q27</f>
        <v>INTERCEPT</v>
      </c>
      <c r="W27" s="9">
        <f>SQRT(R27)</f>
        <v>5.4756662084983046E-2</v>
      </c>
      <c r="X27" s="9">
        <v>0</v>
      </c>
      <c r="Y27" s="9">
        <v>0</v>
      </c>
      <c r="Z27" s="14" t="s">
        <v>50</v>
      </c>
      <c r="AA27" s="15"/>
      <c r="AB27" s="9" t="str">
        <f>G27</f>
        <v>INTERCEPT</v>
      </c>
      <c r="AC27" s="20">
        <f ca="1">H27+INDEX(MMULT(matTweib,rvec_3),1,1)</f>
        <v>5.2790147132069949</v>
      </c>
      <c r="AD27" s="16"/>
    </row>
    <row r="28" spans="2:30" x14ac:dyDescent="0.25">
      <c r="B28" s="13"/>
      <c r="C28" s="9" t="str">
        <f>G28</f>
        <v>TX(Intervention)</v>
      </c>
      <c r="D28" s="9">
        <f>IF(PSA,AC28, H28)</f>
        <v>0.65100489931191396</v>
      </c>
      <c r="E28" s="15"/>
      <c r="F28" s="1" t="str">
        <f>'Exported data'!B10</f>
        <v>Weibull</v>
      </c>
      <c r="G28" s="1" t="str">
        <f>'Exported data'!C10</f>
        <v>TX(Intervention)</v>
      </c>
      <c r="H28" s="1">
        <f>'Exported data'!D10</f>
        <v>0.65100489931191396</v>
      </c>
      <c r="I28" s="15"/>
      <c r="J28" s="1" t="str">
        <f>'Exported data'!F12</f>
        <v>Weibull</v>
      </c>
      <c r="K28" s="1">
        <f>'Exported data'!G12</f>
        <v>1</v>
      </c>
      <c r="L28" s="1" t="str">
        <f>'Exported data'!H12</f>
        <v>INTERCEPT</v>
      </c>
      <c r="M28" s="1">
        <f>'Exported data'!I12</f>
        <v>2</v>
      </c>
      <c r="N28" s="1" t="str">
        <f>'Exported data'!J12</f>
        <v>TX(Intervention)</v>
      </c>
      <c r="O28" s="1">
        <f>'Exported data'!K12</f>
        <v>-3.9435207207101104E-3</v>
      </c>
      <c r="P28" s="15"/>
      <c r="Q28" s="9" t="str">
        <f>L30</f>
        <v>TX(Intervention)</v>
      </c>
      <c r="R28" s="9">
        <f>O30</f>
        <v>-3.9435207207101104E-3</v>
      </c>
      <c r="S28" s="9">
        <f>O31</f>
        <v>8.8346154020175396E-3</v>
      </c>
      <c r="T28" s="9">
        <f>O32</f>
        <v>5.2596593987996095E-4</v>
      </c>
      <c r="U28" s="15"/>
      <c r="V28" s="9" t="str">
        <f>Q28</f>
        <v>TX(Intervention)</v>
      </c>
      <c r="W28" s="9">
        <f>R28/W27</f>
        <v>-7.2019012309218478E-2</v>
      </c>
      <c r="X28" s="9">
        <f>SQRT(S28-W28^2)</f>
        <v>6.0397659458146034E-2</v>
      </c>
      <c r="Y28" s="9">
        <v>0</v>
      </c>
      <c r="Z28" s="15"/>
      <c r="AA28" s="15"/>
      <c r="AB28" s="9" t="str">
        <f>G28</f>
        <v>TX(Intervention)</v>
      </c>
      <c r="AC28" s="20">
        <f ca="1">H28+INDEX(MMULT(matTweib,rvec_3),2,1)</f>
        <v>0.64625237363301491</v>
      </c>
      <c r="AD28" s="16"/>
    </row>
    <row r="29" spans="2:30" x14ac:dyDescent="0.25">
      <c r="B29" s="13"/>
      <c r="C29" s="9" t="str">
        <f>G29</f>
        <v>SCALE</v>
      </c>
      <c r="D29" s="9">
        <f>IF(PSA,AC29, H29)</f>
        <v>0.72705446829398102</v>
      </c>
      <c r="E29" s="15"/>
      <c r="F29" s="1" t="str">
        <f>'Exported data'!B11</f>
        <v>Weibull</v>
      </c>
      <c r="G29" s="1" t="str">
        <f>'Exported data'!C11</f>
        <v>SCALE</v>
      </c>
      <c r="H29" s="1">
        <f>'Exported data'!D11</f>
        <v>0.72705446829398102</v>
      </c>
      <c r="I29" s="15"/>
      <c r="J29" s="1" t="str">
        <f>'Exported data'!F13</f>
        <v>Weibull</v>
      </c>
      <c r="K29" s="1">
        <f>'Exported data'!G13</f>
        <v>1</v>
      </c>
      <c r="L29" s="1" t="str">
        <f>'Exported data'!H13</f>
        <v>INTERCEPT</v>
      </c>
      <c r="M29" s="1">
        <f>'Exported data'!I13</f>
        <v>3</v>
      </c>
      <c r="N29" s="1" t="str">
        <f>'Exported data'!J13</f>
        <v>SCALE</v>
      </c>
      <c r="O29" s="1">
        <f>'Exported data'!K13</f>
        <v>-6.1663548774948995E-5</v>
      </c>
      <c r="P29" s="15"/>
      <c r="Q29" s="9" t="str">
        <f>L33</f>
        <v>SCALE</v>
      </c>
      <c r="R29" s="9">
        <f>O33</f>
        <v>-6.1663548774948995E-5</v>
      </c>
      <c r="S29" s="9">
        <f>O34</f>
        <v>5.2596593987996095E-4</v>
      </c>
      <c r="T29" s="9">
        <f>O35</f>
        <v>8.43907099797101E-4</v>
      </c>
      <c r="U29" s="15"/>
      <c r="V29" s="9" t="str">
        <f>Q29</f>
        <v>SCALE</v>
      </c>
      <c r="W29" s="9">
        <f>R29/W27</f>
        <v>-1.1261378328585182E-3</v>
      </c>
      <c r="X29" s="9">
        <f>(S29-W29*W28)/X28</f>
        <v>7.3655603449621198E-3</v>
      </c>
      <c r="Y29" s="9">
        <f>SQRT(T29-W29^2-X29^2)</f>
        <v>2.8078237732863991E-2</v>
      </c>
      <c r="Z29" s="15"/>
      <c r="AA29" s="15"/>
      <c r="AB29" s="9" t="str">
        <f>G29</f>
        <v>SCALE</v>
      </c>
      <c r="AC29" s="20">
        <f ca="1">H29+INDEX(MMULT(matTweib,rvec_3),3,1)</f>
        <v>0.73507209561926112</v>
      </c>
      <c r="AD29" s="16"/>
    </row>
    <row r="30" spans="2:30" x14ac:dyDescent="0.25">
      <c r="B30" s="13"/>
      <c r="C30" s="15"/>
      <c r="D30" s="15"/>
      <c r="E30" s="15"/>
      <c r="F30" s="15"/>
      <c r="G30" s="15"/>
      <c r="H30" s="15"/>
      <c r="I30" s="15"/>
      <c r="J30" s="1" t="str">
        <f>'Exported data'!F14</f>
        <v>Weibull</v>
      </c>
      <c r="K30" s="1">
        <f>'Exported data'!G14</f>
        <v>2</v>
      </c>
      <c r="L30" s="1" t="str">
        <f>'Exported data'!H14</f>
        <v>TX(Intervention)</v>
      </c>
      <c r="M30" s="1">
        <f>'Exported data'!I14</f>
        <v>1</v>
      </c>
      <c r="N30" s="1" t="str">
        <f>'Exported data'!J14</f>
        <v>INTERCEPT</v>
      </c>
      <c r="O30" s="1">
        <f>'Exported data'!K14</f>
        <v>-3.9435207207101104E-3</v>
      </c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6"/>
    </row>
    <row r="31" spans="2:30" x14ac:dyDescent="0.25">
      <c r="B31" s="13"/>
      <c r="C31" s="32" t="s">
        <v>48</v>
      </c>
      <c r="D31" s="32"/>
      <c r="E31" s="32"/>
      <c r="F31" s="15"/>
      <c r="G31" s="15"/>
      <c r="H31" s="15"/>
      <c r="I31" s="15"/>
      <c r="J31" s="1" t="str">
        <f>'Exported data'!F15</f>
        <v>Weibull</v>
      </c>
      <c r="K31" s="1">
        <f>'Exported data'!G15</f>
        <v>2</v>
      </c>
      <c r="L31" s="1" t="str">
        <f>'Exported data'!H15</f>
        <v>TX(Intervention)</v>
      </c>
      <c r="M31" s="1">
        <f>'Exported data'!I15</f>
        <v>2</v>
      </c>
      <c r="N31" s="1" t="str">
        <f>'Exported data'!J15</f>
        <v>TX(Intervention)</v>
      </c>
      <c r="O31" s="1">
        <f>'Exported data'!K15</f>
        <v>8.8346154020175396E-3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6"/>
    </row>
    <row r="32" spans="2:30" x14ac:dyDescent="0.25">
      <c r="B32" s="13"/>
      <c r="C32" s="8" t="s">
        <v>24</v>
      </c>
      <c r="D32" s="8" t="s">
        <v>41</v>
      </c>
      <c r="E32" s="8" t="s">
        <v>42</v>
      </c>
      <c r="F32" s="15"/>
      <c r="G32" s="15"/>
      <c r="H32" s="15"/>
      <c r="I32" s="15"/>
      <c r="J32" s="1" t="str">
        <f>'Exported data'!F16</f>
        <v>Weibull</v>
      </c>
      <c r="K32" s="1">
        <f>'Exported data'!G16</f>
        <v>2</v>
      </c>
      <c r="L32" s="1" t="str">
        <f>'Exported data'!H16</f>
        <v>TX(Intervention)</v>
      </c>
      <c r="M32" s="1">
        <f>'Exported data'!I16</f>
        <v>3</v>
      </c>
      <c r="N32" s="1" t="str">
        <f>'Exported data'!J16</f>
        <v>SCALE</v>
      </c>
      <c r="O32" s="1">
        <f>'Exported data'!K16</f>
        <v>5.2596593987996095E-4</v>
      </c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6"/>
    </row>
    <row r="33" spans="2:30" x14ac:dyDescent="0.25">
      <c r="B33" s="13"/>
      <c r="C33" s="9" t="s">
        <v>40</v>
      </c>
      <c r="D33" s="9" t="s">
        <v>37</v>
      </c>
      <c r="E33" s="9">
        <f>EXP(-D27/D29)</f>
        <v>7.1623363041532447E-4</v>
      </c>
      <c r="F33" s="14" t="s">
        <v>51</v>
      </c>
      <c r="G33" s="15"/>
      <c r="H33" s="15"/>
      <c r="I33" s="15"/>
      <c r="J33" s="1" t="str">
        <f>'Exported data'!F17</f>
        <v>Weibull</v>
      </c>
      <c r="K33" s="1">
        <f>'Exported data'!G17</f>
        <v>3</v>
      </c>
      <c r="L33" s="1" t="str">
        <f>'Exported data'!H17</f>
        <v>SCALE</v>
      </c>
      <c r="M33" s="1">
        <f>'Exported data'!I17</f>
        <v>1</v>
      </c>
      <c r="N33" s="1" t="str">
        <f>'Exported data'!J17</f>
        <v>INTERCEPT</v>
      </c>
      <c r="O33" s="1">
        <f>'Exported data'!K17</f>
        <v>-6.1663548774948995E-5</v>
      </c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6"/>
    </row>
    <row r="34" spans="2:30" x14ac:dyDescent="0.25">
      <c r="B34" s="13"/>
      <c r="C34" s="9" t="s">
        <v>40</v>
      </c>
      <c r="D34" s="9" t="s">
        <v>49</v>
      </c>
      <c r="E34" s="9">
        <f>1/D29</f>
        <v>1.3754127697564122</v>
      </c>
      <c r="F34" s="14" t="s">
        <v>52</v>
      </c>
      <c r="G34" s="15"/>
      <c r="H34" s="15"/>
      <c r="I34" s="15"/>
      <c r="J34" s="1" t="str">
        <f>'Exported data'!F18</f>
        <v>Weibull</v>
      </c>
      <c r="K34" s="1">
        <f>'Exported data'!G18</f>
        <v>3</v>
      </c>
      <c r="L34" s="1" t="str">
        <f>'Exported data'!H18</f>
        <v>SCALE</v>
      </c>
      <c r="M34" s="1">
        <f>'Exported data'!I18</f>
        <v>2</v>
      </c>
      <c r="N34" s="1" t="str">
        <f>'Exported data'!J18</f>
        <v>TX(Intervention)</v>
      </c>
      <c r="O34" s="1">
        <f>'Exported data'!K18</f>
        <v>5.2596593987996095E-4</v>
      </c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6"/>
    </row>
    <row r="35" spans="2:30" x14ac:dyDescent="0.25">
      <c r="B35" s="13"/>
      <c r="C35" s="9" t="s">
        <v>43</v>
      </c>
      <c r="D35" s="9" t="s">
        <v>37</v>
      </c>
      <c r="E35" s="9">
        <f>EXP(-(D27+D28)/D29)</f>
        <v>2.9254133166054576E-4</v>
      </c>
      <c r="F35" s="14" t="s">
        <v>53</v>
      </c>
      <c r="G35" s="15"/>
      <c r="H35" s="15"/>
      <c r="I35" s="15"/>
      <c r="J35" s="1" t="str">
        <f>'Exported data'!F19</f>
        <v>Weibull</v>
      </c>
      <c r="K35" s="1">
        <f>'Exported data'!G19</f>
        <v>3</v>
      </c>
      <c r="L35" s="1" t="str">
        <f>'Exported data'!H19</f>
        <v>SCALE</v>
      </c>
      <c r="M35" s="1">
        <f>'Exported data'!I19</f>
        <v>3</v>
      </c>
      <c r="N35" s="1" t="str">
        <f>'Exported data'!J19</f>
        <v>SCALE</v>
      </c>
      <c r="O35" s="1">
        <f>'Exported data'!K19</f>
        <v>8.43907099797101E-4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6"/>
    </row>
    <row r="36" spans="2:30" x14ac:dyDescent="0.25">
      <c r="B36" s="13"/>
      <c r="C36" s="9" t="s">
        <v>43</v>
      </c>
      <c r="D36" s="9" t="s">
        <v>49</v>
      </c>
      <c r="E36" s="9">
        <f>1/D29</f>
        <v>1.3754127697564122</v>
      </c>
      <c r="F36" s="14" t="s">
        <v>54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6"/>
    </row>
    <row r="37" spans="2:30" ht="15.75" thickBot="1" x14ac:dyDescent="0.3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9"/>
    </row>
    <row r="38" spans="2:30" ht="15.75" thickBot="1" x14ac:dyDescent="0.3"/>
    <row r="39" spans="2:30" x14ac:dyDescent="0.25">
      <c r="B39" s="10" t="s">
        <v>13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23"/>
      <c r="R39" s="23"/>
      <c r="S39" s="23"/>
      <c r="T39" s="11"/>
      <c r="U39" s="11"/>
      <c r="V39" s="11"/>
      <c r="W39" s="34"/>
      <c r="X39" s="34"/>
      <c r="Y39" s="34"/>
      <c r="Z39" s="11"/>
      <c r="AA39" s="11"/>
      <c r="AB39" s="11"/>
      <c r="AC39" s="11"/>
      <c r="AD39" s="12"/>
    </row>
    <row r="40" spans="2:30" x14ac:dyDescent="0.25">
      <c r="B40" s="13"/>
      <c r="C40" s="36" t="s">
        <v>47</v>
      </c>
      <c r="D40" s="37"/>
      <c r="E40" s="21"/>
      <c r="F40" s="33" t="s">
        <v>21</v>
      </c>
      <c r="G40" s="33"/>
      <c r="H40" s="33"/>
      <c r="I40" s="21"/>
      <c r="J40" s="33" t="s">
        <v>22</v>
      </c>
      <c r="K40" s="33"/>
      <c r="L40" s="33"/>
      <c r="M40" s="33"/>
      <c r="N40" s="33"/>
      <c r="O40" s="33"/>
      <c r="P40" s="21"/>
      <c r="Q40" s="32" t="s">
        <v>45</v>
      </c>
      <c r="R40" s="32"/>
      <c r="S40" s="32"/>
      <c r="T40" s="32"/>
      <c r="U40" s="21"/>
      <c r="V40" s="32" t="s">
        <v>46</v>
      </c>
      <c r="W40" s="32"/>
      <c r="X40" s="32"/>
      <c r="Y40" s="32"/>
      <c r="Z40" s="21"/>
      <c r="AA40" s="21"/>
      <c r="AB40" s="32" t="s">
        <v>29</v>
      </c>
      <c r="AC40" s="32"/>
      <c r="AD40" s="16"/>
    </row>
    <row r="41" spans="2:30" x14ac:dyDescent="0.25">
      <c r="B41" s="13"/>
      <c r="C41" s="8" t="s">
        <v>1</v>
      </c>
      <c r="D41" s="8" t="s">
        <v>2</v>
      </c>
      <c r="E41" s="15"/>
      <c r="F41" s="2" t="s">
        <v>0</v>
      </c>
      <c r="G41" s="2" t="s">
        <v>1</v>
      </c>
      <c r="H41" s="2" t="s">
        <v>2</v>
      </c>
      <c r="I41" s="15"/>
      <c r="J41" s="2" t="s">
        <v>0</v>
      </c>
      <c r="K41" s="2" t="s">
        <v>3</v>
      </c>
      <c r="L41" s="2" t="s">
        <v>4</v>
      </c>
      <c r="M41" s="2" t="s">
        <v>5</v>
      </c>
      <c r="N41" s="2" t="s">
        <v>6</v>
      </c>
      <c r="O41" s="2" t="s">
        <v>7</v>
      </c>
      <c r="P41" s="15"/>
      <c r="Q41" s="9"/>
      <c r="R41" s="9" t="str">
        <f>N42</f>
        <v>INTERCEPT</v>
      </c>
      <c r="S41" s="9" t="str">
        <f>N43</f>
        <v>TX(Intervention)</v>
      </c>
      <c r="T41" s="9" t="str">
        <f>N44</f>
        <v>SCALE</v>
      </c>
      <c r="U41" s="15"/>
      <c r="V41" s="9"/>
      <c r="W41" s="9" t="str">
        <f>R41</f>
        <v>INTERCEPT</v>
      </c>
      <c r="X41" s="9" t="str">
        <f>S41</f>
        <v>TX(Intervention)</v>
      </c>
      <c r="Y41" s="9" t="str">
        <f>T41</f>
        <v>SCALE</v>
      </c>
      <c r="Z41" s="15"/>
      <c r="AA41" s="15"/>
      <c r="AB41" s="8" t="s">
        <v>1</v>
      </c>
      <c r="AC41" s="8" t="s">
        <v>2</v>
      </c>
      <c r="AD41" s="16"/>
    </row>
    <row r="42" spans="2:30" x14ac:dyDescent="0.25">
      <c r="B42" s="13"/>
      <c r="C42" s="9" t="str">
        <f>G42</f>
        <v>INTERCEPT</v>
      </c>
      <c r="D42" s="9">
        <f>IF(PSA,AC42, H42)</f>
        <v>4.8509378343474197</v>
      </c>
      <c r="E42" s="15"/>
      <c r="F42" s="1" t="str">
        <f>'Exported data'!B12</f>
        <v>Log Normal</v>
      </c>
      <c r="G42" s="1" t="str">
        <f>'Exported data'!C12</f>
        <v>INTERCEPT</v>
      </c>
      <c r="H42" s="1">
        <f>'Exported data'!D12</f>
        <v>4.8509378343474197</v>
      </c>
      <c r="I42" s="15"/>
      <c r="J42" s="1" t="str">
        <f>'Exported data'!F20</f>
        <v>Log Normal</v>
      </c>
      <c r="K42" s="1">
        <f>'Exported data'!G20</f>
        <v>1</v>
      </c>
      <c r="L42" s="1" t="str">
        <f>'Exported data'!H20</f>
        <v>INTERCEPT</v>
      </c>
      <c r="M42" s="1">
        <f>'Exported data'!I20</f>
        <v>1</v>
      </c>
      <c r="N42" s="1" t="str">
        <f>'Exported data'!J20</f>
        <v>INTERCEPT</v>
      </c>
      <c r="O42" s="1">
        <f>'Exported data'!K20</f>
        <v>4.0264358113845603E-3</v>
      </c>
      <c r="P42" s="15"/>
      <c r="Q42" s="9" t="str">
        <f>L42</f>
        <v>INTERCEPT</v>
      </c>
      <c r="R42" s="9">
        <f>O42</f>
        <v>4.0264358113845603E-3</v>
      </c>
      <c r="S42" s="9">
        <f>O43</f>
        <v>-4.9105741370991298E-3</v>
      </c>
      <c r="T42" s="9">
        <f>O44</f>
        <v>-1.42446905205325E-3</v>
      </c>
      <c r="U42" s="15"/>
      <c r="V42" s="9" t="str">
        <f>Q42</f>
        <v>INTERCEPT</v>
      </c>
      <c r="W42" s="9">
        <f>SQRT(R42)</f>
        <v>6.3454202472212673E-2</v>
      </c>
      <c r="X42" s="9">
        <v>0</v>
      </c>
      <c r="Y42" s="9">
        <v>0</v>
      </c>
      <c r="Z42" s="14" t="s">
        <v>55</v>
      </c>
      <c r="AA42" s="15"/>
      <c r="AB42" s="9" t="str">
        <f>G42</f>
        <v>INTERCEPT</v>
      </c>
      <c r="AC42" s="20">
        <f ca="1">H42+INDEX(MMULT(matTlnor,rvec_3),1,1)</f>
        <v>4.8672157884914053</v>
      </c>
      <c r="AD42" s="16"/>
    </row>
    <row r="43" spans="2:30" x14ac:dyDescent="0.25">
      <c r="B43" s="13"/>
      <c r="C43" s="9" t="str">
        <f>G43</f>
        <v>TX(Intervention)</v>
      </c>
      <c r="D43" s="9">
        <f>IF(PSA,AC43, H43)</f>
        <v>0.69614936171075203</v>
      </c>
      <c r="E43" s="15"/>
      <c r="F43" s="1" t="str">
        <f>'Exported data'!B13</f>
        <v>Log Normal</v>
      </c>
      <c r="G43" s="1" t="str">
        <f>'Exported data'!C13</f>
        <v>TX(Intervention)</v>
      </c>
      <c r="H43" s="1">
        <f>'Exported data'!D13</f>
        <v>0.69614936171075203</v>
      </c>
      <c r="I43" s="15"/>
      <c r="J43" s="1" t="str">
        <f>'Exported data'!F21</f>
        <v>Log Normal</v>
      </c>
      <c r="K43" s="1">
        <f>'Exported data'!G21</f>
        <v>1</v>
      </c>
      <c r="L43" s="1" t="str">
        <f>'Exported data'!H21</f>
        <v>INTERCEPT</v>
      </c>
      <c r="M43" s="1">
        <f>'Exported data'!I21</f>
        <v>2</v>
      </c>
      <c r="N43" s="1" t="str">
        <f>'Exported data'!J21</f>
        <v>TX(Intervention)</v>
      </c>
      <c r="O43" s="1">
        <f>'Exported data'!K21</f>
        <v>-4.9105741370991298E-3</v>
      </c>
      <c r="P43" s="15"/>
      <c r="Q43" s="9" t="str">
        <f>L45</f>
        <v>TX(Intervention)</v>
      </c>
      <c r="R43" s="9">
        <f>O45</f>
        <v>-4.9105741370991298E-3</v>
      </c>
      <c r="S43" s="9">
        <f>O46</f>
        <v>1.0319802582321701E-2</v>
      </c>
      <c r="T43" s="9">
        <f>O47</f>
        <v>1.93358863683836E-3</v>
      </c>
      <c r="U43" s="15"/>
      <c r="V43" s="9" t="str">
        <f>Q43</f>
        <v>TX(Intervention)</v>
      </c>
      <c r="W43" s="9">
        <f>R43/W42</f>
        <v>-7.7387689794848918E-2</v>
      </c>
      <c r="X43" s="9">
        <f>SQRT(S43-W43^2)</f>
        <v>6.5809938843140833E-2</v>
      </c>
      <c r="Y43" s="9">
        <v>0</v>
      </c>
      <c r="Z43" s="15"/>
      <c r="AA43" s="15"/>
      <c r="AB43" s="9" t="str">
        <f>G43</f>
        <v>TX(Intervention)</v>
      </c>
      <c r="AC43" s="20">
        <f ca="1">H43+INDEX(MMULT(matTlnor,rvec_3),2,1)</f>
        <v>0.69124929452158534</v>
      </c>
      <c r="AD43" s="16"/>
    </row>
    <row r="44" spans="2:30" x14ac:dyDescent="0.25">
      <c r="B44" s="13"/>
      <c r="C44" s="9" t="str">
        <f>G44</f>
        <v>SCALE</v>
      </c>
      <c r="D44" s="9">
        <f>IF(PSA,AC44, H44)</f>
        <v>0.97897743740161702</v>
      </c>
      <c r="E44" s="15"/>
      <c r="F44" s="1" t="str">
        <f>'Exported data'!B14</f>
        <v>Log Normal</v>
      </c>
      <c r="G44" s="1" t="str">
        <f>'Exported data'!C14</f>
        <v>SCALE</v>
      </c>
      <c r="H44" s="1">
        <f>'Exported data'!D14</f>
        <v>0.97897743740161702</v>
      </c>
      <c r="I44" s="15"/>
      <c r="J44" s="1" t="str">
        <f>'Exported data'!F22</f>
        <v>Log Normal</v>
      </c>
      <c r="K44" s="1">
        <f>'Exported data'!G22</f>
        <v>1</v>
      </c>
      <c r="L44" s="1" t="str">
        <f>'Exported data'!H22</f>
        <v>INTERCEPT</v>
      </c>
      <c r="M44" s="1">
        <f>'Exported data'!I22</f>
        <v>3</v>
      </c>
      <c r="N44" s="1" t="str">
        <f>'Exported data'!J22</f>
        <v>SCALE</v>
      </c>
      <c r="O44" s="1">
        <f>'Exported data'!K22</f>
        <v>-1.42446905205325E-3</v>
      </c>
      <c r="P44" s="15"/>
      <c r="Q44" s="9" t="str">
        <f>L48</f>
        <v>SCALE</v>
      </c>
      <c r="R44" s="9">
        <f>O48</f>
        <v>-1.42446905205325E-3</v>
      </c>
      <c r="S44" s="9">
        <f>O49</f>
        <v>1.93358863683836E-3</v>
      </c>
      <c r="T44" s="9">
        <f>O50</f>
        <v>3.9079794513937997E-3</v>
      </c>
      <c r="U44" s="15"/>
      <c r="V44" s="9" t="str">
        <f>Q44</f>
        <v>SCALE</v>
      </c>
      <c r="W44" s="9">
        <f>R44/W42</f>
        <v>-2.2448774022131024E-2</v>
      </c>
      <c r="X44" s="9">
        <f>(S44-W44*W43)/X43</f>
        <v>2.9832861113421993E-3</v>
      </c>
      <c r="Y44" s="9">
        <f>SQRT(T44-W44^2-X44^2)</f>
        <v>5.8267761243031881E-2</v>
      </c>
      <c r="Z44" s="15"/>
      <c r="AA44" s="15"/>
      <c r="AB44" s="9" t="str">
        <f>G44</f>
        <v>SCALE</v>
      </c>
      <c r="AC44" s="20">
        <f ca="1">H44+INDEX(MMULT(matTlnor,rvec_3),3,1)</f>
        <v>0.98766127638609502</v>
      </c>
      <c r="AD44" s="16"/>
    </row>
    <row r="45" spans="2:30" x14ac:dyDescent="0.25">
      <c r="B45" s="13"/>
      <c r="C45" s="15"/>
      <c r="D45" s="15"/>
      <c r="E45" s="15"/>
      <c r="F45" s="15"/>
      <c r="G45" s="15"/>
      <c r="H45" s="15"/>
      <c r="I45" s="15"/>
      <c r="J45" s="1" t="str">
        <f>'Exported data'!F23</f>
        <v>Log Normal</v>
      </c>
      <c r="K45" s="1">
        <f>'Exported data'!G23</f>
        <v>2</v>
      </c>
      <c r="L45" s="1" t="str">
        <f>'Exported data'!H23</f>
        <v>TX(Intervention)</v>
      </c>
      <c r="M45" s="1">
        <f>'Exported data'!I23</f>
        <v>1</v>
      </c>
      <c r="N45" s="1" t="str">
        <f>'Exported data'!J23</f>
        <v>INTERCEPT</v>
      </c>
      <c r="O45" s="1">
        <f>'Exported data'!K23</f>
        <v>-4.9105741370991298E-3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6"/>
    </row>
    <row r="46" spans="2:30" x14ac:dyDescent="0.25">
      <c r="B46" s="13"/>
      <c r="C46" s="32" t="s">
        <v>48</v>
      </c>
      <c r="D46" s="32"/>
      <c r="E46" s="32"/>
      <c r="F46" s="15"/>
      <c r="G46" s="15"/>
      <c r="H46" s="15"/>
      <c r="I46" s="15"/>
      <c r="J46" s="1" t="str">
        <f>'Exported data'!F24</f>
        <v>Log Normal</v>
      </c>
      <c r="K46" s="1">
        <f>'Exported data'!G24</f>
        <v>2</v>
      </c>
      <c r="L46" s="1" t="str">
        <f>'Exported data'!H24</f>
        <v>TX(Intervention)</v>
      </c>
      <c r="M46" s="1">
        <f>'Exported data'!I24</f>
        <v>2</v>
      </c>
      <c r="N46" s="1" t="str">
        <f>'Exported data'!J24</f>
        <v>TX(Intervention)</v>
      </c>
      <c r="O46" s="1">
        <f>'Exported data'!K24</f>
        <v>1.0319802582321701E-2</v>
      </c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6"/>
    </row>
    <row r="47" spans="2:30" x14ac:dyDescent="0.25">
      <c r="B47" s="13"/>
      <c r="C47" s="8" t="s">
        <v>24</v>
      </c>
      <c r="D47" s="8" t="s">
        <v>41</v>
      </c>
      <c r="E47" s="8" t="s">
        <v>42</v>
      </c>
      <c r="F47" s="15"/>
      <c r="G47" s="15"/>
      <c r="H47" s="15"/>
      <c r="I47" s="15"/>
      <c r="J47" s="1" t="str">
        <f>'Exported data'!F25</f>
        <v>Log Normal</v>
      </c>
      <c r="K47" s="1">
        <f>'Exported data'!G25</f>
        <v>2</v>
      </c>
      <c r="L47" s="1" t="str">
        <f>'Exported data'!H25</f>
        <v>TX(Intervention)</v>
      </c>
      <c r="M47" s="1">
        <f>'Exported data'!I25</f>
        <v>3</v>
      </c>
      <c r="N47" s="1" t="str">
        <f>'Exported data'!J25</f>
        <v>SCALE</v>
      </c>
      <c r="O47" s="1">
        <f>'Exported data'!K25</f>
        <v>1.93358863683836E-3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6"/>
    </row>
    <row r="48" spans="2:30" x14ac:dyDescent="0.25">
      <c r="B48" s="13"/>
      <c r="C48" s="9" t="s">
        <v>40</v>
      </c>
      <c r="D48" s="9" t="s">
        <v>37</v>
      </c>
      <c r="E48" s="9">
        <f>D42</f>
        <v>4.8509378343474197</v>
      </c>
      <c r="F48" s="14" t="s">
        <v>57</v>
      </c>
      <c r="G48" s="15"/>
      <c r="H48" s="15"/>
      <c r="I48" s="15"/>
      <c r="J48" s="1" t="str">
        <f>'Exported data'!F26</f>
        <v>Log Normal</v>
      </c>
      <c r="K48" s="1">
        <f>'Exported data'!G26</f>
        <v>3</v>
      </c>
      <c r="L48" s="1" t="str">
        <f>'Exported data'!H26</f>
        <v>SCALE</v>
      </c>
      <c r="M48" s="1">
        <f>'Exported data'!I26</f>
        <v>1</v>
      </c>
      <c r="N48" s="1" t="str">
        <f>'Exported data'!J26</f>
        <v>INTERCEPT</v>
      </c>
      <c r="O48" s="1">
        <f>'Exported data'!K26</f>
        <v>-1.42446905205325E-3</v>
      </c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6"/>
    </row>
    <row r="49" spans="2:30" x14ac:dyDescent="0.25">
      <c r="B49" s="13"/>
      <c r="C49" s="9" t="s">
        <v>40</v>
      </c>
      <c r="D49" s="9" t="s">
        <v>49</v>
      </c>
      <c r="E49" s="9">
        <f>D44</f>
        <v>0.97897743740161702</v>
      </c>
      <c r="F49" s="14" t="s">
        <v>58</v>
      </c>
      <c r="G49" s="15"/>
      <c r="H49" s="15"/>
      <c r="I49" s="15"/>
      <c r="J49" s="1" t="str">
        <f>'Exported data'!F27</f>
        <v>Log Normal</v>
      </c>
      <c r="K49" s="1">
        <f>'Exported data'!G27</f>
        <v>3</v>
      </c>
      <c r="L49" s="1" t="str">
        <f>'Exported data'!H27</f>
        <v>SCALE</v>
      </c>
      <c r="M49" s="1">
        <f>'Exported data'!I27</f>
        <v>2</v>
      </c>
      <c r="N49" s="1" t="str">
        <f>'Exported data'!J27</f>
        <v>TX(Intervention)</v>
      </c>
      <c r="O49" s="1">
        <f>'Exported data'!K27</f>
        <v>1.93358863683836E-3</v>
      </c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6"/>
    </row>
    <row r="50" spans="2:30" x14ac:dyDescent="0.25">
      <c r="B50" s="13"/>
      <c r="C50" s="9" t="s">
        <v>43</v>
      </c>
      <c r="D50" s="9" t="s">
        <v>37</v>
      </c>
      <c r="E50" s="9">
        <f>D42+D43</f>
        <v>5.5470871960581718</v>
      </c>
      <c r="F50" s="14" t="s">
        <v>59</v>
      </c>
      <c r="G50" s="15"/>
      <c r="H50" s="15"/>
      <c r="I50" s="15"/>
      <c r="J50" s="1" t="str">
        <f>'Exported data'!F28</f>
        <v>Log Normal</v>
      </c>
      <c r="K50" s="1">
        <f>'Exported data'!G28</f>
        <v>3</v>
      </c>
      <c r="L50" s="1" t="str">
        <f>'Exported data'!H28</f>
        <v>SCALE</v>
      </c>
      <c r="M50" s="1">
        <f>'Exported data'!I28</f>
        <v>3</v>
      </c>
      <c r="N50" s="1" t="str">
        <f>'Exported data'!J28</f>
        <v>SCALE</v>
      </c>
      <c r="O50" s="1">
        <f>'Exported data'!K28</f>
        <v>3.9079794513937997E-3</v>
      </c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6"/>
    </row>
    <row r="51" spans="2:30" x14ac:dyDescent="0.25">
      <c r="B51" s="13"/>
      <c r="C51" s="9" t="s">
        <v>43</v>
      </c>
      <c r="D51" s="9" t="s">
        <v>49</v>
      </c>
      <c r="E51" s="9">
        <f>D44</f>
        <v>0.97897743740161702</v>
      </c>
      <c r="F51" s="14" t="s">
        <v>60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6"/>
    </row>
    <row r="52" spans="2:30" ht="15.75" thickBot="1" x14ac:dyDescent="0.3">
      <c r="B52" s="17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9"/>
    </row>
    <row r="53" spans="2:30" ht="15.75" thickBot="1" x14ac:dyDescent="0.3"/>
    <row r="54" spans="2:30" x14ac:dyDescent="0.25">
      <c r="B54" s="10" t="s">
        <v>14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23"/>
      <c r="R54" s="23"/>
      <c r="S54" s="23"/>
      <c r="T54" s="11"/>
      <c r="U54" s="11"/>
      <c r="V54" s="11"/>
      <c r="W54" s="34"/>
      <c r="X54" s="34"/>
      <c r="Y54" s="34"/>
      <c r="Z54" s="11"/>
      <c r="AA54" s="11"/>
      <c r="AB54" s="11"/>
      <c r="AC54" s="11"/>
      <c r="AD54" s="12"/>
    </row>
    <row r="55" spans="2:30" x14ac:dyDescent="0.25">
      <c r="B55" s="13"/>
      <c r="C55" s="36" t="s">
        <v>47</v>
      </c>
      <c r="D55" s="37"/>
      <c r="E55" s="21"/>
      <c r="F55" s="33" t="s">
        <v>21</v>
      </c>
      <c r="G55" s="33"/>
      <c r="H55" s="33"/>
      <c r="I55" s="21"/>
      <c r="J55" s="33" t="s">
        <v>22</v>
      </c>
      <c r="K55" s="33"/>
      <c r="L55" s="33"/>
      <c r="M55" s="33"/>
      <c r="N55" s="33"/>
      <c r="O55" s="33"/>
      <c r="P55" s="21"/>
      <c r="Q55" s="32" t="s">
        <v>45</v>
      </c>
      <c r="R55" s="32"/>
      <c r="S55" s="32"/>
      <c r="T55" s="32"/>
      <c r="U55" s="21"/>
      <c r="V55" s="32" t="s">
        <v>46</v>
      </c>
      <c r="W55" s="32"/>
      <c r="X55" s="32"/>
      <c r="Y55" s="32"/>
      <c r="Z55" s="21"/>
      <c r="AA55" s="21"/>
      <c r="AB55" s="32" t="s">
        <v>29</v>
      </c>
      <c r="AC55" s="32"/>
      <c r="AD55" s="16"/>
    </row>
    <row r="56" spans="2:30" x14ac:dyDescent="0.25">
      <c r="B56" s="13"/>
      <c r="C56" s="8" t="s">
        <v>1</v>
      </c>
      <c r="D56" s="8" t="s">
        <v>2</v>
      </c>
      <c r="E56" s="15"/>
      <c r="F56" s="2" t="s">
        <v>0</v>
      </c>
      <c r="G56" s="2" t="s">
        <v>1</v>
      </c>
      <c r="H56" s="2" t="s">
        <v>2</v>
      </c>
      <c r="I56" s="15"/>
      <c r="J56" s="2" t="s">
        <v>0</v>
      </c>
      <c r="K56" s="2" t="s">
        <v>3</v>
      </c>
      <c r="L56" s="2" t="s">
        <v>4</v>
      </c>
      <c r="M56" s="2" t="s">
        <v>5</v>
      </c>
      <c r="N56" s="2" t="s">
        <v>6</v>
      </c>
      <c r="O56" s="2" t="s">
        <v>7</v>
      </c>
      <c r="P56" s="15"/>
      <c r="Q56" s="9"/>
      <c r="R56" s="9" t="str">
        <f>N57</f>
        <v>INTERCEPT</v>
      </c>
      <c r="S56" s="9" t="str">
        <f>N58</f>
        <v>TX(Intervention)</v>
      </c>
      <c r="T56" s="9" t="str">
        <f>N59</f>
        <v>SCALE</v>
      </c>
      <c r="U56" s="15"/>
      <c r="V56" s="9"/>
      <c r="W56" s="9" t="str">
        <f>R56</f>
        <v>INTERCEPT</v>
      </c>
      <c r="X56" s="9" t="str">
        <f>S56</f>
        <v>TX(Intervention)</v>
      </c>
      <c r="Y56" s="9" t="str">
        <f>T56</f>
        <v>SCALE</v>
      </c>
      <c r="Z56" s="15"/>
      <c r="AA56" s="15"/>
      <c r="AB56" s="8" t="s">
        <v>1</v>
      </c>
      <c r="AC56" s="8" t="s">
        <v>2</v>
      </c>
      <c r="AD56" s="16"/>
    </row>
    <row r="57" spans="2:30" x14ac:dyDescent="0.25">
      <c r="B57" s="13"/>
      <c r="C57" s="9" t="str">
        <f>G57</f>
        <v>INTERCEPT</v>
      </c>
      <c r="D57" s="9">
        <f>IF(PSA,AC57, H57)</f>
        <v>5.1774104479351797</v>
      </c>
      <c r="E57" s="15"/>
      <c r="F57" s="1" t="str">
        <f>'Exported data'!B15</f>
        <v>Gamma</v>
      </c>
      <c r="G57" s="1" t="str">
        <f>'Exported data'!C15</f>
        <v>INTERCEPT</v>
      </c>
      <c r="H57" s="1">
        <f>'Exported data'!D15</f>
        <v>5.1774104479351797</v>
      </c>
      <c r="I57" s="15"/>
      <c r="J57" s="1" t="str">
        <f>'Exported data'!F29</f>
        <v>Gamma</v>
      </c>
      <c r="K57" s="1">
        <f>'Exported data'!G29</f>
        <v>1</v>
      </c>
      <c r="L57" s="1" t="str">
        <f>'Exported data'!H29</f>
        <v>INTERCEPT</v>
      </c>
      <c r="M57" s="1">
        <f>'Exported data'!I29</f>
        <v>1</v>
      </c>
      <c r="N57" s="1" t="str">
        <f>'Exported data'!J29</f>
        <v>INTERCEPT</v>
      </c>
      <c r="O57" s="1">
        <f>'Exported data'!K29</f>
        <v>3.0350842936850298E-3</v>
      </c>
      <c r="P57" s="15"/>
      <c r="Q57" s="9" t="str">
        <f>L57</f>
        <v>INTERCEPT</v>
      </c>
      <c r="R57" s="9">
        <f>O57</f>
        <v>3.0350842936850298E-3</v>
      </c>
      <c r="S57" s="9">
        <f>O58</f>
        <v>-3.7984691267301698E-3</v>
      </c>
      <c r="T57" s="9">
        <f>O59</f>
        <v>2.8882201773521799E-5</v>
      </c>
      <c r="U57" s="15"/>
      <c r="V57" s="9" t="str">
        <f>Q57</f>
        <v>INTERCEPT</v>
      </c>
      <c r="W57" s="9">
        <f>SQRT(R57)</f>
        <v>5.5091599120782743E-2</v>
      </c>
      <c r="X57" s="9">
        <v>0</v>
      </c>
      <c r="Y57" s="9">
        <v>0</v>
      </c>
      <c r="Z57" s="14" t="s">
        <v>56</v>
      </c>
      <c r="AA57" s="15"/>
      <c r="AB57" s="9" t="str">
        <f>G57</f>
        <v>INTERCEPT</v>
      </c>
      <c r="AC57" s="20">
        <f ca="1">H57+INDEX(MMULT(matTgam,rvec_3),1,1)</f>
        <v>5.1915431371703749</v>
      </c>
      <c r="AD57" s="16"/>
    </row>
    <row r="58" spans="2:30" x14ac:dyDescent="0.25">
      <c r="B58" s="13"/>
      <c r="C58" s="9" t="str">
        <f>G58</f>
        <v>TX(Intervention)</v>
      </c>
      <c r="D58" s="9">
        <f>IF(PSA,AC58, H58)</f>
        <v>0.67146622014991497</v>
      </c>
      <c r="E58" s="15"/>
      <c r="F58" s="1" t="str">
        <f>'Exported data'!B16</f>
        <v>Gamma</v>
      </c>
      <c r="G58" s="1" t="str">
        <f>'Exported data'!C16</f>
        <v>TX(Intervention)</v>
      </c>
      <c r="H58" s="1">
        <f>'Exported data'!D16</f>
        <v>0.67146622014991497</v>
      </c>
      <c r="I58" s="15"/>
      <c r="J58" s="1" t="str">
        <f>'Exported data'!F30</f>
        <v>Gamma</v>
      </c>
      <c r="K58" s="1">
        <f>'Exported data'!G30</f>
        <v>1</v>
      </c>
      <c r="L58" s="1" t="str">
        <f>'Exported data'!H30</f>
        <v>INTERCEPT</v>
      </c>
      <c r="M58" s="1">
        <f>'Exported data'!I30</f>
        <v>2</v>
      </c>
      <c r="N58" s="1" t="str">
        <f>'Exported data'!J30</f>
        <v>TX(Intervention)</v>
      </c>
      <c r="O58" s="1">
        <f>'Exported data'!K30</f>
        <v>-3.7984691267301698E-3</v>
      </c>
      <c r="P58" s="15"/>
      <c r="Q58" s="9" t="str">
        <f>L60</f>
        <v>TX(Intervention)</v>
      </c>
      <c r="R58" s="9">
        <f>O60</f>
        <v>-3.7984691267301698E-3</v>
      </c>
      <c r="S58" s="9">
        <f>O61</f>
        <v>9.1188264872694297E-3</v>
      </c>
      <c r="T58" s="9">
        <f>O62</f>
        <v>7.1027293547635401E-4</v>
      </c>
      <c r="U58" s="15"/>
      <c r="V58" s="9" t="str">
        <f>Q58</f>
        <v>TX(Intervention)</v>
      </c>
      <c r="W58" s="9">
        <f>R58/W57</f>
        <v>-6.8948245964006449E-2</v>
      </c>
      <c r="X58" s="9">
        <f>SQRT(S58-W58^2)</f>
        <v>6.6067888310103406E-2</v>
      </c>
      <c r="Y58" s="9">
        <v>0</v>
      </c>
      <c r="Z58" s="15"/>
      <c r="AA58" s="15"/>
      <c r="AB58" s="9" t="str">
        <f>G58</f>
        <v>TX(Intervention)</v>
      </c>
      <c r="AC58" s="20">
        <f ca="1">H58+INDEX(MMULT(matTgam,rvec_3),2,1)</f>
        <v>0.66878973686240706</v>
      </c>
      <c r="AD58" s="16"/>
    </row>
    <row r="59" spans="2:30" x14ac:dyDescent="0.25">
      <c r="B59" s="13"/>
      <c r="C59" s="9" t="str">
        <f>G59</f>
        <v>SCALE</v>
      </c>
      <c r="D59" s="9">
        <f>IF(PSA,AC59, H59)</f>
        <v>0.78455160755924402</v>
      </c>
      <c r="E59" s="15"/>
      <c r="F59" s="1" t="str">
        <f>'Exported data'!B17</f>
        <v>Gamma</v>
      </c>
      <c r="G59" s="1" t="str">
        <f>'Exported data'!C17</f>
        <v>SCALE</v>
      </c>
      <c r="H59" s="1">
        <f>'Exported data'!D17</f>
        <v>0.78455160755924402</v>
      </c>
      <c r="I59" s="15"/>
      <c r="J59" s="1" t="str">
        <f>'Exported data'!F31</f>
        <v>Gamma</v>
      </c>
      <c r="K59" s="1">
        <f>'Exported data'!G31</f>
        <v>1</v>
      </c>
      <c r="L59" s="1" t="str">
        <f>'Exported data'!H31</f>
        <v>INTERCEPT</v>
      </c>
      <c r="M59" s="1">
        <f>'Exported data'!I31</f>
        <v>3</v>
      </c>
      <c r="N59" s="1" t="str">
        <f>'Exported data'!J31</f>
        <v>SCALE</v>
      </c>
      <c r="O59" s="1">
        <f>'Exported data'!K31</f>
        <v>2.8882201773521799E-5</v>
      </c>
      <c r="P59" s="15"/>
      <c r="Q59" s="9" t="str">
        <f>L63</f>
        <v>SCALE</v>
      </c>
      <c r="R59" s="9">
        <f>O63</f>
        <v>2.8882201773521799E-5</v>
      </c>
      <c r="S59" s="9">
        <f>O64</f>
        <v>7.1027293547635401E-4</v>
      </c>
      <c r="T59" s="9">
        <f>O65</f>
        <v>8.56870915392048E-4</v>
      </c>
      <c r="U59" s="15"/>
      <c r="V59" s="9" t="str">
        <f>Q59</f>
        <v>SCALE</v>
      </c>
      <c r="W59" s="9">
        <f>R59/W57</f>
        <v>5.2425782214454329E-4</v>
      </c>
      <c r="X59" s="9">
        <f>(S59-W59*W58)/X58</f>
        <v>1.1297766764432584E-2</v>
      </c>
      <c r="Y59" s="9">
        <f>SQRT(T59-W59^2-X59^2)</f>
        <v>2.6999195085491916E-2</v>
      </c>
      <c r="Z59" s="15"/>
      <c r="AA59" s="15"/>
      <c r="AB59" s="9" t="str">
        <f>G59</f>
        <v>SCALE</v>
      </c>
      <c r="AC59" s="20">
        <f ca="1">H59+INDEX(MMULT(matTgam,rvec_3),3,1)</f>
        <v>0.79363111700321154</v>
      </c>
      <c r="AD59" s="16"/>
    </row>
    <row r="60" spans="2:30" x14ac:dyDescent="0.25">
      <c r="B60" s="13"/>
      <c r="C60" s="15"/>
      <c r="D60" s="15"/>
      <c r="E60" s="15"/>
      <c r="F60" s="15"/>
      <c r="G60" s="15"/>
      <c r="H60" s="15"/>
      <c r="I60" s="15"/>
      <c r="J60" s="1" t="str">
        <f>'Exported data'!F32</f>
        <v>Gamma</v>
      </c>
      <c r="K60" s="1">
        <f>'Exported data'!G32</f>
        <v>2</v>
      </c>
      <c r="L60" s="1" t="str">
        <f>'Exported data'!H32</f>
        <v>TX(Intervention)</v>
      </c>
      <c r="M60" s="1">
        <f>'Exported data'!I32</f>
        <v>1</v>
      </c>
      <c r="N60" s="1" t="str">
        <f>'Exported data'!J32</f>
        <v>INTERCEPT</v>
      </c>
      <c r="O60" s="1">
        <f>'Exported data'!K32</f>
        <v>-3.7984691267301698E-3</v>
      </c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6"/>
    </row>
    <row r="61" spans="2:30" x14ac:dyDescent="0.25">
      <c r="B61" s="13"/>
      <c r="C61" s="32" t="s">
        <v>48</v>
      </c>
      <c r="D61" s="32"/>
      <c r="E61" s="32"/>
      <c r="F61" s="15"/>
      <c r="G61" s="15"/>
      <c r="H61" s="15"/>
      <c r="I61" s="15"/>
      <c r="J61" s="1" t="str">
        <f>'Exported data'!F33</f>
        <v>Gamma</v>
      </c>
      <c r="K61" s="1">
        <f>'Exported data'!G33</f>
        <v>2</v>
      </c>
      <c r="L61" s="1" t="str">
        <f>'Exported data'!H33</f>
        <v>TX(Intervention)</v>
      </c>
      <c r="M61" s="1">
        <f>'Exported data'!I33</f>
        <v>2</v>
      </c>
      <c r="N61" s="1" t="str">
        <f>'Exported data'!J33</f>
        <v>TX(Intervention)</v>
      </c>
      <c r="O61" s="1">
        <f>'Exported data'!K33</f>
        <v>9.1188264872694297E-3</v>
      </c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6"/>
    </row>
    <row r="62" spans="2:30" x14ac:dyDescent="0.25">
      <c r="B62" s="13"/>
      <c r="C62" s="8" t="s">
        <v>24</v>
      </c>
      <c r="D62" s="8" t="s">
        <v>41</v>
      </c>
      <c r="E62" s="8" t="s">
        <v>42</v>
      </c>
      <c r="F62" s="15"/>
      <c r="G62" s="15"/>
      <c r="H62" s="15"/>
      <c r="I62" s="15"/>
      <c r="J62" s="1" t="str">
        <f>'Exported data'!F34</f>
        <v>Gamma</v>
      </c>
      <c r="K62" s="1">
        <f>'Exported data'!G34</f>
        <v>2</v>
      </c>
      <c r="L62" s="1" t="str">
        <f>'Exported data'!H34</f>
        <v>TX(Intervention)</v>
      </c>
      <c r="M62" s="1">
        <f>'Exported data'!I34</f>
        <v>3</v>
      </c>
      <c r="N62" s="1" t="str">
        <f>'Exported data'!J34</f>
        <v>SCALE</v>
      </c>
      <c r="O62" s="1">
        <f>'Exported data'!K34</f>
        <v>7.1027293547635401E-4</v>
      </c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6"/>
    </row>
    <row r="63" spans="2:30" x14ac:dyDescent="0.25">
      <c r="B63" s="13"/>
      <c r="C63" s="9" t="s">
        <v>40</v>
      </c>
      <c r="D63" s="9" t="s">
        <v>37</v>
      </c>
      <c r="E63" s="9">
        <f>(EXP(-D57))/D59^2</f>
        <v>9.1671888603336842E-3</v>
      </c>
      <c r="F63" s="14" t="s">
        <v>61</v>
      </c>
      <c r="G63" s="15"/>
      <c r="H63" s="15"/>
      <c r="I63" s="15"/>
      <c r="J63" s="1" t="str">
        <f>'Exported data'!F35</f>
        <v>Gamma</v>
      </c>
      <c r="K63" s="1">
        <f>'Exported data'!G35</f>
        <v>3</v>
      </c>
      <c r="L63" s="1" t="str">
        <f>'Exported data'!H35</f>
        <v>SCALE</v>
      </c>
      <c r="M63" s="1">
        <f>'Exported data'!I35</f>
        <v>1</v>
      </c>
      <c r="N63" s="1" t="str">
        <f>'Exported data'!J35</f>
        <v>INTERCEPT</v>
      </c>
      <c r="O63" s="1">
        <f>'Exported data'!K35</f>
        <v>2.8882201773521799E-5</v>
      </c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6"/>
    </row>
    <row r="64" spans="2:30" x14ac:dyDescent="0.25">
      <c r="B64" s="13"/>
      <c r="C64" s="9" t="s">
        <v>40</v>
      </c>
      <c r="D64" s="9" t="s">
        <v>49</v>
      </c>
      <c r="E64" s="9">
        <f>1/(D59^2)</f>
        <v>1.6246393454974801</v>
      </c>
      <c r="F64" s="14" t="s">
        <v>62</v>
      </c>
      <c r="G64" s="15"/>
      <c r="H64" s="15"/>
      <c r="I64" s="15"/>
      <c r="J64" s="1" t="str">
        <f>'Exported data'!F36</f>
        <v>Gamma</v>
      </c>
      <c r="K64" s="1">
        <f>'Exported data'!G36</f>
        <v>3</v>
      </c>
      <c r="L64" s="1" t="str">
        <f>'Exported data'!H36</f>
        <v>SCALE</v>
      </c>
      <c r="M64" s="1">
        <f>'Exported data'!I36</f>
        <v>2</v>
      </c>
      <c r="N64" s="1" t="str">
        <f>'Exported data'!J36</f>
        <v>TX(Intervention)</v>
      </c>
      <c r="O64" s="1">
        <f>'Exported data'!K36</f>
        <v>7.1027293547635401E-4</v>
      </c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6"/>
    </row>
    <row r="65" spans="2:30" x14ac:dyDescent="0.25">
      <c r="B65" s="13"/>
      <c r="C65" s="9" t="s">
        <v>43</v>
      </c>
      <c r="D65" s="9" t="s">
        <v>37</v>
      </c>
      <c r="E65" s="9">
        <f>(EXP(-(D57+D58)))/D59^2</f>
        <v>4.6840562789651E-3</v>
      </c>
      <c r="F65" s="14" t="s">
        <v>63</v>
      </c>
      <c r="G65" s="15"/>
      <c r="H65" s="15"/>
      <c r="I65" s="15"/>
      <c r="J65" s="1" t="str">
        <f>'Exported data'!F37</f>
        <v>Gamma</v>
      </c>
      <c r="K65" s="1">
        <f>'Exported data'!G37</f>
        <v>3</v>
      </c>
      <c r="L65" s="1" t="str">
        <f>'Exported data'!H37</f>
        <v>SCALE</v>
      </c>
      <c r="M65" s="1">
        <f>'Exported data'!I37</f>
        <v>3</v>
      </c>
      <c r="N65" s="1" t="str">
        <f>'Exported data'!J37</f>
        <v>SCALE</v>
      </c>
      <c r="O65" s="1">
        <f>'Exported data'!K37</f>
        <v>8.56870915392048E-4</v>
      </c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6"/>
    </row>
    <row r="66" spans="2:30" x14ac:dyDescent="0.25">
      <c r="B66" s="13"/>
      <c r="C66" s="9" t="s">
        <v>43</v>
      </c>
      <c r="D66" s="9" t="s">
        <v>49</v>
      </c>
      <c r="E66" s="9">
        <f>1/(D59^2)</f>
        <v>1.6246393454974801</v>
      </c>
      <c r="F66" s="14" t="s">
        <v>64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6"/>
    </row>
    <row r="67" spans="2:30" ht="15.75" thickBot="1" x14ac:dyDescent="0.3">
      <c r="B67" s="17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9"/>
    </row>
    <row r="68" spans="2:30" ht="15.75" thickBot="1" x14ac:dyDescent="0.3"/>
    <row r="69" spans="2:30" x14ac:dyDescent="0.25">
      <c r="B69" s="10" t="s">
        <v>15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23"/>
      <c r="R69" s="23"/>
      <c r="S69" s="23"/>
      <c r="T69" s="11"/>
      <c r="U69" s="11"/>
      <c r="V69" s="11"/>
      <c r="W69" s="34"/>
      <c r="X69" s="34"/>
      <c r="Y69" s="34"/>
      <c r="Z69" s="11"/>
      <c r="AA69" s="11"/>
      <c r="AB69" s="11"/>
      <c r="AC69" s="11"/>
      <c r="AD69" s="12"/>
    </row>
    <row r="70" spans="2:30" x14ac:dyDescent="0.25">
      <c r="B70" s="13"/>
      <c r="C70" s="36" t="s">
        <v>47</v>
      </c>
      <c r="D70" s="37"/>
      <c r="E70" s="15"/>
      <c r="F70" s="33" t="s">
        <v>21</v>
      </c>
      <c r="G70" s="33"/>
      <c r="H70" s="33"/>
      <c r="I70" s="15"/>
      <c r="J70" s="33" t="s">
        <v>22</v>
      </c>
      <c r="K70" s="33"/>
      <c r="L70" s="33"/>
      <c r="M70" s="33"/>
      <c r="N70" s="33"/>
      <c r="O70" s="33"/>
      <c r="P70" s="15"/>
      <c r="Q70" s="32" t="s">
        <v>45</v>
      </c>
      <c r="R70" s="32"/>
      <c r="S70" s="32"/>
      <c r="T70" s="32"/>
      <c r="U70" s="32"/>
      <c r="V70" s="32" t="s">
        <v>46</v>
      </c>
      <c r="W70" s="32"/>
      <c r="X70" s="32"/>
      <c r="Y70" s="32"/>
      <c r="Z70" s="32"/>
      <c r="AA70" s="15"/>
      <c r="AB70" s="32" t="s">
        <v>29</v>
      </c>
      <c r="AC70" s="32"/>
      <c r="AD70" s="16"/>
    </row>
    <row r="71" spans="2:30" x14ac:dyDescent="0.25">
      <c r="B71" s="13"/>
      <c r="C71" s="8" t="s">
        <v>1</v>
      </c>
      <c r="D71" s="8" t="s">
        <v>2</v>
      </c>
      <c r="E71" s="15"/>
      <c r="F71" s="2" t="s">
        <v>0</v>
      </c>
      <c r="G71" s="2" t="s">
        <v>1</v>
      </c>
      <c r="H71" s="2" t="s">
        <v>2</v>
      </c>
      <c r="I71" s="15"/>
      <c r="J71" s="2" t="s">
        <v>0</v>
      </c>
      <c r="K71" s="2" t="s">
        <v>3</v>
      </c>
      <c r="L71" s="2" t="s">
        <v>4</v>
      </c>
      <c r="M71" s="2" t="s">
        <v>5</v>
      </c>
      <c r="N71" s="2" t="s">
        <v>6</v>
      </c>
      <c r="O71" s="2" t="s">
        <v>7</v>
      </c>
      <c r="P71" s="15"/>
      <c r="Q71" s="9"/>
      <c r="R71" s="9" t="str">
        <f>N72</f>
        <v>INTERCEPT</v>
      </c>
      <c r="S71" s="9" t="str">
        <f>N73</f>
        <v>TX(Intervention)</v>
      </c>
      <c r="T71" s="9" t="str">
        <f>N74</f>
        <v>SCALE</v>
      </c>
      <c r="U71" s="9" t="str">
        <f>N75</f>
        <v>SHAPE</v>
      </c>
      <c r="V71" s="9"/>
      <c r="W71" s="9" t="str">
        <f>R71</f>
        <v>INTERCEPT</v>
      </c>
      <c r="X71" s="9" t="str">
        <f>S71</f>
        <v>TX(Intervention)</v>
      </c>
      <c r="Y71" s="9" t="str">
        <f>T71</f>
        <v>SCALE</v>
      </c>
      <c r="Z71" s="9" t="str">
        <f>U71</f>
        <v>SHAPE</v>
      </c>
      <c r="AA71" s="15"/>
      <c r="AB71" s="8" t="s">
        <v>1</v>
      </c>
      <c r="AC71" s="8" t="s">
        <v>2</v>
      </c>
      <c r="AD71" s="16"/>
    </row>
    <row r="72" spans="2:30" x14ac:dyDescent="0.25">
      <c r="B72" s="13"/>
      <c r="C72" s="9" t="str">
        <f>G72</f>
        <v>INTERCEPT</v>
      </c>
      <c r="D72" s="9">
        <f>IF(PSA,AC72, H72)</f>
        <v>5.2681096420425497</v>
      </c>
      <c r="E72" s="15"/>
      <c r="F72" s="1" t="str">
        <f>'Exported data'!B18</f>
        <v>Generalized Gamma</v>
      </c>
      <c r="G72" s="1" t="str">
        <f>'Exported data'!C18</f>
        <v>INTERCEPT</v>
      </c>
      <c r="H72" s="1">
        <f>'Exported data'!D18</f>
        <v>5.2681096420425497</v>
      </c>
      <c r="I72" s="15"/>
      <c r="J72" s="1" t="str">
        <f>'Exported data'!F38</f>
        <v>Generalized Gamma</v>
      </c>
      <c r="K72" s="1">
        <f>'Exported data'!G38</f>
        <v>1</v>
      </c>
      <c r="L72" s="1" t="str">
        <f>'Exported data'!H38</f>
        <v>INTERCEPT</v>
      </c>
      <c r="M72" s="1">
        <f>'Exported data'!I38</f>
        <v>1</v>
      </c>
      <c r="N72" s="1" t="str">
        <f>'Exported data'!J38</f>
        <v>INTERCEPT</v>
      </c>
      <c r="O72" s="1">
        <f>'Exported data'!K38</f>
        <v>5.1966900564377697E-3</v>
      </c>
      <c r="P72" s="15"/>
      <c r="Q72" s="9" t="str">
        <f>L72</f>
        <v>INTERCEPT</v>
      </c>
      <c r="R72" s="9">
        <f>O72</f>
        <v>5.1966900564377697E-3</v>
      </c>
      <c r="S72" s="9">
        <f>O73</f>
        <v>-2.7373537625294099E-3</v>
      </c>
      <c r="T72" s="9">
        <f>O74</f>
        <v>-1.4563647517170501E-3</v>
      </c>
      <c r="U72" s="9">
        <f>O75</f>
        <v>9.6647964176684604E-3</v>
      </c>
      <c r="V72" s="9" t="str">
        <f>Q72</f>
        <v>INTERCEPT</v>
      </c>
      <c r="W72" s="9">
        <f>SQRT(R72)</f>
        <v>7.2088071526694136E-2</v>
      </c>
      <c r="X72" s="9">
        <v>0</v>
      </c>
      <c r="Y72" s="9">
        <v>0</v>
      </c>
      <c r="Z72" s="9">
        <v>0</v>
      </c>
      <c r="AA72" s="14" t="s">
        <v>77</v>
      </c>
      <c r="AB72" s="9" t="str">
        <f>G72</f>
        <v>INTERCEPT</v>
      </c>
      <c r="AC72" s="20">
        <f ca="1">H72+INDEX(MMULT(matTggam,rvec_4),1,1)</f>
        <v>5.2866024490895498</v>
      </c>
      <c r="AD72" s="16"/>
    </row>
    <row r="73" spans="2:30" x14ac:dyDescent="0.25">
      <c r="B73" s="13"/>
      <c r="C73" s="9" t="str">
        <f>G73</f>
        <v>TX(Intervention)</v>
      </c>
      <c r="D73" s="9">
        <f>IF(PSA,AC73, H73)</f>
        <v>0.65030378051547499</v>
      </c>
      <c r="E73" s="15"/>
      <c r="F73" s="1" t="str">
        <f>'Exported data'!B19</f>
        <v>Generalized Gamma</v>
      </c>
      <c r="G73" s="1" t="str">
        <f>'Exported data'!C19</f>
        <v>TX(Intervention)</v>
      </c>
      <c r="H73" s="1">
        <f>'Exported data'!D19</f>
        <v>0.65030378051547499</v>
      </c>
      <c r="I73" s="15"/>
      <c r="J73" s="1" t="str">
        <f>'Exported data'!F39</f>
        <v>Generalized Gamma</v>
      </c>
      <c r="K73" s="1">
        <f>'Exported data'!G39</f>
        <v>1</v>
      </c>
      <c r="L73" s="1" t="str">
        <f>'Exported data'!H39</f>
        <v>INTERCEPT</v>
      </c>
      <c r="M73" s="1">
        <f>'Exported data'!I39</f>
        <v>2</v>
      </c>
      <c r="N73" s="1" t="str">
        <f>'Exported data'!J39</f>
        <v>TX(Intervention)</v>
      </c>
      <c r="O73" s="1">
        <f>'Exported data'!K39</f>
        <v>-2.7373537625294099E-3</v>
      </c>
      <c r="P73" s="15"/>
      <c r="Q73" s="9" t="str">
        <f>L76</f>
        <v>TX(Intervention)</v>
      </c>
      <c r="R73" s="9">
        <f>O76</f>
        <v>-2.7373537625294099E-3</v>
      </c>
      <c r="S73" s="9">
        <f>O77</f>
        <v>8.2437853721121397E-3</v>
      </c>
      <c r="T73" s="9">
        <f>O78</f>
        <v>-3.9610210890673401E-4</v>
      </c>
      <c r="U73" s="9">
        <f>O79</f>
        <v>2.3931666792359101E-3</v>
      </c>
      <c r="V73" s="9" t="str">
        <f>Q73</f>
        <v>TX(Intervention)</v>
      </c>
      <c r="W73" s="9">
        <f>R73/W72</f>
        <v>-3.7972353879875548E-2</v>
      </c>
      <c r="X73" s="9">
        <f>SQRT(S73-W73^2)</f>
        <v>8.247354553390826E-2</v>
      </c>
      <c r="Y73" s="9">
        <v>0</v>
      </c>
      <c r="Z73" s="9">
        <v>0</v>
      </c>
      <c r="AA73" s="15"/>
      <c r="AB73" s="9" t="str">
        <f>G73</f>
        <v>TX(Intervention)</v>
      </c>
      <c r="AC73" s="20">
        <f ca="1">H73+INDEX(MMULT(matTggam,rvec_4),2,1)</f>
        <v>0.65930099040591461</v>
      </c>
      <c r="AD73" s="16"/>
    </row>
    <row r="74" spans="2:30" x14ac:dyDescent="0.25">
      <c r="B74" s="13"/>
      <c r="C74" s="9" t="str">
        <f>G74</f>
        <v>SCALE</v>
      </c>
      <c r="D74" s="9">
        <f>IF(PSA,AC74, H74)</f>
        <v>0.725302562811588</v>
      </c>
      <c r="E74" s="15"/>
      <c r="F74" s="1" t="str">
        <f>'Exported data'!B20</f>
        <v>Generalized Gamma</v>
      </c>
      <c r="G74" s="1" t="str">
        <f>'Exported data'!C20</f>
        <v>SCALE</v>
      </c>
      <c r="H74" s="1">
        <f>'Exported data'!D20</f>
        <v>0.725302562811588</v>
      </c>
      <c r="I74" s="15"/>
      <c r="J74" s="1" t="str">
        <f>'Exported data'!F40</f>
        <v>Generalized Gamma</v>
      </c>
      <c r="K74" s="1">
        <f>'Exported data'!G40</f>
        <v>1</v>
      </c>
      <c r="L74" s="1" t="str">
        <f>'Exported data'!H40</f>
        <v>INTERCEPT</v>
      </c>
      <c r="M74" s="1">
        <f>'Exported data'!I40</f>
        <v>3</v>
      </c>
      <c r="N74" s="1" t="str">
        <f>'Exported data'!J40</f>
        <v>SCALE</v>
      </c>
      <c r="O74" s="1">
        <f>'Exported data'!K40</f>
        <v>-1.4563647517170501E-3</v>
      </c>
      <c r="P74" s="15"/>
      <c r="Q74" s="9" t="str">
        <f>L80</f>
        <v>SCALE</v>
      </c>
      <c r="R74" s="9">
        <f>O80</f>
        <v>-1.4563647517170501E-3</v>
      </c>
      <c r="S74" s="9">
        <f>O81</f>
        <v>-3.9610210890673401E-4</v>
      </c>
      <c r="T74" s="9">
        <f>O82</f>
        <v>1.81316152625331E-3</v>
      </c>
      <c r="U74" s="9">
        <f>O83</f>
        <v>-6.0522266189891004E-3</v>
      </c>
      <c r="V74" s="9" t="str">
        <f>Q74</f>
        <v>SCALE</v>
      </c>
      <c r="W74" s="9">
        <f>R74/W72</f>
        <v>-2.0202576111052712E-2</v>
      </c>
      <c r="X74" s="9">
        <f>(S74-W74*W73)/X73</f>
        <v>-1.4104419432319557E-2</v>
      </c>
      <c r="Y74" s="9">
        <f>SQRT(T74-W74^2-X74^2)</f>
        <v>3.4728702786134102E-2</v>
      </c>
      <c r="Z74" s="9">
        <v>0</v>
      </c>
      <c r="AA74" s="15"/>
      <c r="AB74" s="9" t="str">
        <f>G74</f>
        <v>SCALE</v>
      </c>
      <c r="AC74" s="20">
        <f ca="1">H74+INDEX(MMULT(matTggam,rvec_4),3,1)</f>
        <v>0.72511950644095879</v>
      </c>
      <c r="AD74" s="16"/>
    </row>
    <row r="75" spans="2:30" x14ac:dyDescent="0.25">
      <c r="B75" s="13"/>
      <c r="C75" s="9" t="str">
        <f>G75</f>
        <v>SHAPE</v>
      </c>
      <c r="D75" s="9">
        <f>IF(PSA,AC75, H75)</f>
        <v>1.00811679881766</v>
      </c>
      <c r="E75" s="15"/>
      <c r="F75" s="1" t="str">
        <f>'Exported data'!B21</f>
        <v>Generalized Gamma</v>
      </c>
      <c r="G75" s="1" t="str">
        <f>'Exported data'!C21</f>
        <v>SHAPE</v>
      </c>
      <c r="H75" s="1">
        <f>'Exported data'!D21</f>
        <v>1.00811679881766</v>
      </c>
      <c r="I75" s="15"/>
      <c r="J75" s="1" t="str">
        <f>'Exported data'!F41</f>
        <v>Generalized Gamma</v>
      </c>
      <c r="K75" s="1">
        <f>'Exported data'!G41</f>
        <v>1</v>
      </c>
      <c r="L75" s="1" t="str">
        <f>'Exported data'!H41</f>
        <v>INTERCEPT</v>
      </c>
      <c r="M75" s="1">
        <f>'Exported data'!I41</f>
        <v>4</v>
      </c>
      <c r="N75" s="1" t="str">
        <f>'Exported data'!J41</f>
        <v>SHAPE</v>
      </c>
      <c r="O75" s="1">
        <f>'Exported data'!K41</f>
        <v>9.6647964176684604E-3</v>
      </c>
      <c r="P75" s="15"/>
      <c r="Q75" s="9" t="str">
        <f>L84</f>
        <v>SHAPE</v>
      </c>
      <c r="R75" s="9">
        <f>O84</f>
        <v>9.6647964176684604E-3</v>
      </c>
      <c r="S75" s="9">
        <f>O85</f>
        <v>2.3931666792359101E-3</v>
      </c>
      <c r="T75" s="9">
        <f>O86</f>
        <v>-6.0522266189891004E-3</v>
      </c>
      <c r="U75" s="9">
        <f>O87</f>
        <v>3.4855313003294197E-2</v>
      </c>
      <c r="V75" s="9" t="str">
        <f>Q75</f>
        <v>SHAPE</v>
      </c>
      <c r="W75" s="9">
        <f>R75/W72</f>
        <v>0.13406928792774817</v>
      </c>
      <c r="X75" s="9">
        <f>(S75-W73*W75)/X73</f>
        <v>9.0745378732071988E-2</v>
      </c>
      <c r="Y75" s="9">
        <f>(T75-W74*W75-X74*X75)/Y74</f>
        <v>-5.9425506187241794E-2</v>
      </c>
      <c r="Z75" s="9">
        <f>SQRT(U75-W75^2-X75^2-Y75^2)</f>
        <v>7.1516602904526036E-2</v>
      </c>
      <c r="AA75" s="15"/>
      <c r="AB75" s="9" t="str">
        <f>G75</f>
        <v>SHAPE</v>
      </c>
      <c r="AC75" s="20">
        <f ca="1">H75+INDEX(MMULT(matTggam,rvec_4),3,1)</f>
        <v>1.0079337424470309</v>
      </c>
      <c r="AD75" s="16"/>
    </row>
    <row r="76" spans="2:30" x14ac:dyDescent="0.25">
      <c r="B76" s="13"/>
      <c r="C76" s="15"/>
      <c r="D76" s="15"/>
      <c r="E76" s="15"/>
      <c r="F76" s="15"/>
      <c r="G76" s="15"/>
      <c r="H76" s="15"/>
      <c r="I76" s="15"/>
      <c r="J76" s="1" t="str">
        <f>'Exported data'!F42</f>
        <v>Generalized Gamma</v>
      </c>
      <c r="K76" s="1">
        <f>'Exported data'!G42</f>
        <v>2</v>
      </c>
      <c r="L76" s="1" t="str">
        <f>'Exported data'!H42</f>
        <v>TX(Intervention)</v>
      </c>
      <c r="M76" s="1">
        <f>'Exported data'!I42</f>
        <v>1</v>
      </c>
      <c r="N76" s="1" t="str">
        <f>'Exported data'!J42</f>
        <v>INTERCEPT</v>
      </c>
      <c r="O76" s="1">
        <f>'Exported data'!K42</f>
        <v>-2.7373537625294099E-3</v>
      </c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6"/>
    </row>
    <row r="77" spans="2:30" x14ac:dyDescent="0.25">
      <c r="B77" s="13"/>
      <c r="C77" s="32" t="s">
        <v>48</v>
      </c>
      <c r="D77" s="32"/>
      <c r="E77" s="32"/>
      <c r="F77" s="15"/>
      <c r="G77" s="15"/>
      <c r="H77" s="15"/>
      <c r="I77" s="15"/>
      <c r="J77" s="1" t="str">
        <f>'Exported data'!F43</f>
        <v>Generalized Gamma</v>
      </c>
      <c r="K77" s="1">
        <f>'Exported data'!G43</f>
        <v>2</v>
      </c>
      <c r="L77" s="1" t="str">
        <f>'Exported data'!H43</f>
        <v>TX(Intervention)</v>
      </c>
      <c r="M77" s="1">
        <f>'Exported data'!I43</f>
        <v>2</v>
      </c>
      <c r="N77" s="1" t="str">
        <f>'Exported data'!J43</f>
        <v>TX(Intervention)</v>
      </c>
      <c r="O77" s="1">
        <f>'Exported data'!K43</f>
        <v>8.2437853721121397E-3</v>
      </c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6"/>
    </row>
    <row r="78" spans="2:30" x14ac:dyDescent="0.25">
      <c r="B78" s="13"/>
      <c r="C78" s="8" t="s">
        <v>24</v>
      </c>
      <c r="D78" s="8" t="s">
        <v>41</v>
      </c>
      <c r="E78" s="8" t="s">
        <v>42</v>
      </c>
      <c r="F78" s="15"/>
      <c r="G78" s="15"/>
      <c r="H78" s="15"/>
      <c r="I78" s="15"/>
      <c r="J78" s="1" t="str">
        <f>'Exported data'!F44</f>
        <v>Generalized Gamma</v>
      </c>
      <c r="K78" s="1">
        <f>'Exported data'!G44</f>
        <v>2</v>
      </c>
      <c r="L78" s="1" t="str">
        <f>'Exported data'!H44</f>
        <v>TX(Intervention)</v>
      </c>
      <c r="M78" s="1">
        <f>'Exported data'!I44</f>
        <v>3</v>
      </c>
      <c r="N78" s="1" t="str">
        <f>'Exported data'!J44</f>
        <v>SCALE</v>
      </c>
      <c r="O78" s="1">
        <f>'Exported data'!K44</f>
        <v>-3.9610210890673401E-4</v>
      </c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6"/>
    </row>
    <row r="79" spans="2:30" x14ac:dyDescent="0.25">
      <c r="B79" s="13"/>
      <c r="C79" s="9" t="s">
        <v>40</v>
      </c>
      <c r="D79" s="9" t="s">
        <v>37</v>
      </c>
      <c r="E79" s="9">
        <f xml:space="preserve"> (EXP(-D72)^(D75/D74))/(D75^2)</f>
        <v>6.5005734870494404E-4</v>
      </c>
      <c r="F79" s="14" t="s">
        <v>66</v>
      </c>
      <c r="G79" s="15"/>
      <c r="H79" s="15"/>
      <c r="I79" s="15"/>
      <c r="J79" s="1" t="str">
        <f>'Exported data'!F45</f>
        <v>Generalized Gamma</v>
      </c>
      <c r="K79" s="1">
        <f>'Exported data'!G45</f>
        <v>2</v>
      </c>
      <c r="L79" s="1" t="str">
        <f>'Exported data'!H45</f>
        <v>TX(Intervention)</v>
      </c>
      <c r="M79" s="1">
        <f>'Exported data'!I45</f>
        <v>4</v>
      </c>
      <c r="N79" s="1" t="str">
        <f>'Exported data'!J45</f>
        <v>SHAPE</v>
      </c>
      <c r="O79" s="1">
        <f>'Exported data'!K45</f>
        <v>2.3931666792359101E-3</v>
      </c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6"/>
    </row>
    <row r="80" spans="2:30" x14ac:dyDescent="0.25">
      <c r="B80" s="13"/>
      <c r="C80" s="9" t="s">
        <v>40</v>
      </c>
      <c r="D80" s="9" t="s">
        <v>49</v>
      </c>
      <c r="E80" s="9">
        <f>1/(D75^2)</f>
        <v>0.9839619321093912</v>
      </c>
      <c r="F80" s="14" t="s">
        <v>69</v>
      </c>
      <c r="G80" s="15"/>
      <c r="H80" s="15"/>
      <c r="I80" s="15"/>
      <c r="J80" s="1" t="str">
        <f>'Exported data'!F46</f>
        <v>Generalized Gamma</v>
      </c>
      <c r="K80" s="1">
        <f>'Exported data'!G46</f>
        <v>3</v>
      </c>
      <c r="L80" s="1" t="str">
        <f>'Exported data'!H46</f>
        <v>SCALE</v>
      </c>
      <c r="M80" s="1">
        <f>'Exported data'!I46</f>
        <v>1</v>
      </c>
      <c r="N80" s="1" t="str">
        <f>'Exported data'!J46</f>
        <v>INTERCEPT</v>
      </c>
      <c r="O80" s="1">
        <f>'Exported data'!K46</f>
        <v>-1.4563647517170501E-3</v>
      </c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6"/>
    </row>
    <row r="81" spans="2:30" x14ac:dyDescent="0.25">
      <c r="B81" s="13"/>
      <c r="C81" s="9" t="s">
        <v>40</v>
      </c>
      <c r="D81" s="9" t="s">
        <v>65</v>
      </c>
      <c r="E81" s="9">
        <f>D75/D74</f>
        <v>1.3899258743961431</v>
      </c>
      <c r="F81" s="14" t="s">
        <v>82</v>
      </c>
      <c r="G81" s="15"/>
      <c r="H81" s="15"/>
      <c r="I81" s="15"/>
      <c r="J81" s="1" t="str">
        <f>'Exported data'!F47</f>
        <v>Generalized Gamma</v>
      </c>
      <c r="K81" s="1">
        <f>'Exported data'!G47</f>
        <v>3</v>
      </c>
      <c r="L81" s="1" t="str">
        <f>'Exported data'!H47</f>
        <v>SCALE</v>
      </c>
      <c r="M81" s="1">
        <f>'Exported data'!I47</f>
        <v>2</v>
      </c>
      <c r="N81" s="1" t="str">
        <f>'Exported data'!J47</f>
        <v>TX(Intervention)</v>
      </c>
      <c r="O81" s="1">
        <f>'Exported data'!K47</f>
        <v>-3.9610210890673401E-4</v>
      </c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6"/>
    </row>
    <row r="82" spans="2:30" x14ac:dyDescent="0.25">
      <c r="B82" s="13"/>
      <c r="C82" s="9" t="s">
        <v>43</v>
      </c>
      <c r="D82" s="9" t="s">
        <v>37</v>
      </c>
      <c r="E82" s="9">
        <f>(EXP(-(D72+D73))^(D75/D74))/(D75^2)</f>
        <v>2.6327168900908571E-4</v>
      </c>
      <c r="F82" s="14" t="s">
        <v>83</v>
      </c>
      <c r="G82" s="15"/>
      <c r="H82" s="15"/>
      <c r="I82" s="15"/>
      <c r="J82" s="1" t="str">
        <f>'Exported data'!F48</f>
        <v>Generalized Gamma</v>
      </c>
      <c r="K82" s="1">
        <f>'Exported data'!G48</f>
        <v>3</v>
      </c>
      <c r="L82" s="1" t="str">
        <f>'Exported data'!H48</f>
        <v>SCALE</v>
      </c>
      <c r="M82" s="1">
        <f>'Exported data'!I48</f>
        <v>3</v>
      </c>
      <c r="N82" s="1" t="str">
        <f>'Exported data'!J48</f>
        <v>SCALE</v>
      </c>
      <c r="O82" s="1">
        <f>'Exported data'!K48</f>
        <v>1.81316152625331E-3</v>
      </c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6"/>
    </row>
    <row r="83" spans="2:30" x14ac:dyDescent="0.25">
      <c r="B83" s="13"/>
      <c r="C83" s="9" t="s">
        <v>43</v>
      </c>
      <c r="D83" s="9" t="s">
        <v>49</v>
      </c>
      <c r="E83" s="9">
        <f>1/(D75^2)</f>
        <v>0.9839619321093912</v>
      </c>
      <c r="F83" s="14" t="s">
        <v>67</v>
      </c>
      <c r="G83" s="15"/>
      <c r="H83" s="15"/>
      <c r="I83" s="15"/>
      <c r="J83" s="1" t="str">
        <f>'Exported data'!F49</f>
        <v>Generalized Gamma</v>
      </c>
      <c r="K83" s="1">
        <f>'Exported data'!G49</f>
        <v>3</v>
      </c>
      <c r="L83" s="1" t="str">
        <f>'Exported data'!H49</f>
        <v>SCALE</v>
      </c>
      <c r="M83" s="1">
        <f>'Exported data'!I49</f>
        <v>4</v>
      </c>
      <c r="N83" s="1" t="str">
        <f>'Exported data'!J49</f>
        <v>SHAPE</v>
      </c>
      <c r="O83" s="1">
        <f>'Exported data'!K49</f>
        <v>-6.0522266189891004E-3</v>
      </c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6"/>
    </row>
    <row r="84" spans="2:30" x14ac:dyDescent="0.25">
      <c r="B84" s="13"/>
      <c r="C84" s="9" t="s">
        <v>43</v>
      </c>
      <c r="D84" s="9" t="s">
        <v>65</v>
      </c>
      <c r="E84" s="9">
        <f>D75/D74</f>
        <v>1.3899258743961431</v>
      </c>
      <c r="F84" s="14" t="s">
        <v>68</v>
      </c>
      <c r="G84" s="15"/>
      <c r="H84" s="15"/>
      <c r="I84" s="15"/>
      <c r="J84" s="1" t="str">
        <f>'Exported data'!F50</f>
        <v>Generalized Gamma</v>
      </c>
      <c r="K84" s="1">
        <f>'Exported data'!G50</f>
        <v>4</v>
      </c>
      <c r="L84" s="1" t="str">
        <f>'Exported data'!H50</f>
        <v>SHAPE</v>
      </c>
      <c r="M84" s="1">
        <f>'Exported data'!I50</f>
        <v>1</v>
      </c>
      <c r="N84" s="1" t="str">
        <f>'Exported data'!J50</f>
        <v>INTERCEPT</v>
      </c>
      <c r="O84" s="1">
        <f>'Exported data'!K50</f>
        <v>9.6647964176684604E-3</v>
      </c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6"/>
    </row>
    <row r="85" spans="2:30" x14ac:dyDescent="0.25">
      <c r="B85" s="13"/>
      <c r="C85" s="15"/>
      <c r="D85" s="15"/>
      <c r="E85" s="15"/>
      <c r="F85" s="15"/>
      <c r="G85" s="15"/>
      <c r="H85" s="15"/>
      <c r="I85" s="15"/>
      <c r="J85" s="1" t="str">
        <f>'Exported data'!F51</f>
        <v>Generalized Gamma</v>
      </c>
      <c r="K85" s="1">
        <f>'Exported data'!G51</f>
        <v>4</v>
      </c>
      <c r="L85" s="1" t="str">
        <f>'Exported data'!H51</f>
        <v>SHAPE</v>
      </c>
      <c r="M85" s="1">
        <f>'Exported data'!I51</f>
        <v>2</v>
      </c>
      <c r="N85" s="1" t="str">
        <f>'Exported data'!J51</f>
        <v>TX(Intervention)</v>
      </c>
      <c r="O85" s="1">
        <f>'Exported data'!K51</f>
        <v>2.3931666792359101E-3</v>
      </c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6"/>
    </row>
    <row r="86" spans="2:30" x14ac:dyDescent="0.25">
      <c r="B86" s="13"/>
      <c r="C86" s="15"/>
      <c r="D86" s="15"/>
      <c r="E86" s="15"/>
      <c r="F86" s="15"/>
      <c r="G86" s="15"/>
      <c r="H86" s="15"/>
      <c r="I86" s="15"/>
      <c r="J86" s="1" t="str">
        <f>'Exported data'!F52</f>
        <v>Generalized Gamma</v>
      </c>
      <c r="K86" s="1">
        <f>'Exported data'!G52</f>
        <v>4</v>
      </c>
      <c r="L86" s="1" t="str">
        <f>'Exported data'!H52</f>
        <v>SHAPE</v>
      </c>
      <c r="M86" s="1">
        <f>'Exported data'!I52</f>
        <v>3</v>
      </c>
      <c r="N86" s="1" t="str">
        <f>'Exported data'!J52</f>
        <v>SCALE</v>
      </c>
      <c r="O86" s="1">
        <f>'Exported data'!K52</f>
        <v>-6.0522266189891004E-3</v>
      </c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6"/>
    </row>
    <row r="87" spans="2:30" x14ac:dyDescent="0.25">
      <c r="B87" s="13"/>
      <c r="C87" s="15"/>
      <c r="D87" s="15"/>
      <c r="E87" s="15"/>
      <c r="F87" s="15"/>
      <c r="G87" s="15"/>
      <c r="H87" s="15"/>
      <c r="I87" s="15"/>
      <c r="J87" s="1" t="str">
        <f>'Exported data'!F53</f>
        <v>Generalized Gamma</v>
      </c>
      <c r="K87" s="1">
        <f>'Exported data'!G53</f>
        <v>4</v>
      </c>
      <c r="L87" s="1" t="str">
        <f>'Exported data'!H53</f>
        <v>SHAPE</v>
      </c>
      <c r="M87" s="1">
        <f>'Exported data'!I53</f>
        <v>4</v>
      </c>
      <c r="N87" s="1" t="str">
        <f>'Exported data'!J53</f>
        <v>SHAPE</v>
      </c>
      <c r="O87" s="1">
        <f>'Exported data'!K53</f>
        <v>3.4855313003294197E-2</v>
      </c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6"/>
    </row>
    <row r="88" spans="2:30" ht="15.75" thickBot="1" x14ac:dyDescent="0.3">
      <c r="B88" s="17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9"/>
    </row>
    <row r="89" spans="2:30" ht="15.75" thickBot="1" x14ac:dyDescent="0.3"/>
    <row r="90" spans="2:30" x14ac:dyDescent="0.25">
      <c r="B90" s="10" t="s">
        <v>70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23"/>
      <c r="R90" s="23"/>
      <c r="S90" s="23"/>
      <c r="T90" s="11"/>
      <c r="U90" s="11"/>
      <c r="V90" s="11"/>
      <c r="W90" s="34"/>
      <c r="X90" s="34"/>
      <c r="Y90" s="34"/>
      <c r="Z90" s="11"/>
      <c r="AA90" s="11"/>
      <c r="AB90" s="11"/>
      <c r="AC90" s="11"/>
      <c r="AD90" s="12"/>
    </row>
    <row r="91" spans="2:30" x14ac:dyDescent="0.25">
      <c r="B91" s="13"/>
      <c r="C91" s="36" t="s">
        <v>47</v>
      </c>
      <c r="D91" s="37"/>
      <c r="E91" s="21"/>
      <c r="F91" s="33" t="s">
        <v>21</v>
      </c>
      <c r="G91" s="33"/>
      <c r="H91" s="33"/>
      <c r="I91" s="21"/>
      <c r="J91" s="33" t="s">
        <v>22</v>
      </c>
      <c r="K91" s="33"/>
      <c r="L91" s="33"/>
      <c r="M91" s="33"/>
      <c r="N91" s="33"/>
      <c r="O91" s="33"/>
      <c r="P91" s="21"/>
      <c r="Q91" s="32" t="s">
        <v>45</v>
      </c>
      <c r="R91" s="32"/>
      <c r="S91" s="32"/>
      <c r="T91" s="32"/>
      <c r="U91" s="21"/>
      <c r="V91" s="32" t="s">
        <v>46</v>
      </c>
      <c r="W91" s="32"/>
      <c r="X91" s="32"/>
      <c r="Y91" s="32"/>
      <c r="Z91" s="21"/>
      <c r="AA91" s="21"/>
      <c r="AB91" s="32" t="s">
        <v>29</v>
      </c>
      <c r="AC91" s="32"/>
      <c r="AD91" s="16"/>
    </row>
    <row r="92" spans="2:30" x14ac:dyDescent="0.25">
      <c r="B92" s="13"/>
      <c r="C92" s="8" t="s">
        <v>1</v>
      </c>
      <c r="D92" s="8" t="s">
        <v>2</v>
      </c>
      <c r="E92" s="15"/>
      <c r="F92" s="2" t="s">
        <v>0</v>
      </c>
      <c r="G92" s="2" t="s">
        <v>1</v>
      </c>
      <c r="H92" s="2" t="s">
        <v>2</v>
      </c>
      <c r="I92" s="15"/>
      <c r="J92" s="2" t="s">
        <v>0</v>
      </c>
      <c r="K92" s="2" t="s">
        <v>3</v>
      </c>
      <c r="L92" s="2" t="s">
        <v>4</v>
      </c>
      <c r="M92" s="2" t="s">
        <v>5</v>
      </c>
      <c r="N92" s="2" t="s">
        <v>6</v>
      </c>
      <c r="O92" s="2" t="s">
        <v>7</v>
      </c>
      <c r="P92" s="15"/>
      <c r="Q92" s="9"/>
      <c r="R92" s="9" t="str">
        <f>N93</f>
        <v>INTERCEPT</v>
      </c>
      <c r="S92" s="9" t="str">
        <f>N94</f>
        <v>TX(Intervention)</v>
      </c>
      <c r="T92" s="9" t="str">
        <f>N95</f>
        <v>SCALE</v>
      </c>
      <c r="U92" s="15"/>
      <c r="V92" s="9"/>
      <c r="W92" s="9" t="str">
        <f>R92</f>
        <v>INTERCEPT</v>
      </c>
      <c r="X92" s="9" t="str">
        <f>S92</f>
        <v>TX(Intervention)</v>
      </c>
      <c r="Y92" s="9" t="str">
        <f>T92</f>
        <v>SCALE</v>
      </c>
      <c r="Z92" s="15"/>
      <c r="AA92" s="15"/>
      <c r="AB92" s="8" t="s">
        <v>1</v>
      </c>
      <c r="AC92" s="8" t="s">
        <v>2</v>
      </c>
      <c r="AD92" s="16"/>
    </row>
    <row r="93" spans="2:30" x14ac:dyDescent="0.25">
      <c r="B93" s="13"/>
      <c r="C93" s="9" t="str">
        <f>G93</f>
        <v>INTERCEPT</v>
      </c>
      <c r="D93" s="9">
        <f>IF(PSA,AC93, H93)</f>
        <v>4.9180567880226196</v>
      </c>
      <c r="E93" s="15"/>
      <c r="F93" s="1" t="str">
        <f>'Exported data'!B22</f>
        <v>Log Logistic</v>
      </c>
      <c r="G93" s="1" t="str">
        <f>'Exported data'!C22</f>
        <v>INTERCEPT</v>
      </c>
      <c r="H93" s="1">
        <f>'Exported data'!D22</f>
        <v>4.9180567880226196</v>
      </c>
      <c r="I93" s="15"/>
      <c r="J93" s="1" t="str">
        <f>'Exported data'!F54</f>
        <v>Log Logistic</v>
      </c>
      <c r="K93" s="1">
        <f>'Exported data'!G54</f>
        <v>1</v>
      </c>
      <c r="L93" s="1" t="str">
        <f>'Exported data'!H54</f>
        <v>INTERCEPT</v>
      </c>
      <c r="M93" s="1">
        <f>'Exported data'!I54</f>
        <v>1</v>
      </c>
      <c r="N93" s="1" t="str">
        <f>'Exported data'!J54</f>
        <v>INTERCEPT</v>
      </c>
      <c r="O93" s="1">
        <f>'Exported data'!K54</f>
        <v>2.9926874452074598E-3</v>
      </c>
      <c r="P93" s="15"/>
      <c r="Q93" s="9" t="str">
        <f>L93</f>
        <v>INTERCEPT</v>
      </c>
      <c r="R93" s="9">
        <f>O93</f>
        <v>2.9926874452074598E-3</v>
      </c>
      <c r="S93" s="9">
        <f>O94</f>
        <v>-3.7333239236766098E-3</v>
      </c>
      <c r="T93" s="9">
        <f>O95</f>
        <v>-2.9066587500213098E-4</v>
      </c>
      <c r="U93" s="15"/>
      <c r="V93" s="9" t="str">
        <f>Q93</f>
        <v>INTERCEPT</v>
      </c>
      <c r="W93" s="9">
        <f>SQRT(R93)</f>
        <v>5.4705460835344943E-2</v>
      </c>
      <c r="X93" s="9">
        <v>0</v>
      </c>
      <c r="Y93" s="9">
        <v>0</v>
      </c>
      <c r="Z93" s="14" t="s">
        <v>75</v>
      </c>
      <c r="AA93" s="15"/>
      <c r="AB93" s="9" t="str">
        <f>G93</f>
        <v>INTERCEPT</v>
      </c>
      <c r="AC93" s="20">
        <f ca="1">H93+INDEX(MMULT(matTllog,rvec_3),1,1)</f>
        <v>4.93209042091389</v>
      </c>
      <c r="AD93" s="16"/>
    </row>
    <row r="94" spans="2:30" x14ac:dyDescent="0.25">
      <c r="B94" s="13"/>
      <c r="C94" s="9" t="str">
        <f>G94</f>
        <v>TX(Intervention)</v>
      </c>
      <c r="D94" s="9">
        <f>IF(PSA,AC94, H94)</f>
        <v>0.69228966123427904</v>
      </c>
      <c r="E94" s="15"/>
      <c r="F94" s="1" t="str">
        <f>'Exported data'!B23</f>
        <v>Log Logistic</v>
      </c>
      <c r="G94" s="1" t="str">
        <f>'Exported data'!C23</f>
        <v>TX(Intervention)</v>
      </c>
      <c r="H94" s="1">
        <f>'Exported data'!D23</f>
        <v>0.69228966123427904</v>
      </c>
      <c r="I94" s="15"/>
      <c r="J94" s="1" t="str">
        <f>'Exported data'!F55</f>
        <v>Log Logistic</v>
      </c>
      <c r="K94" s="1">
        <f>'Exported data'!G55</f>
        <v>1</v>
      </c>
      <c r="L94" s="1" t="str">
        <f>'Exported data'!H55</f>
        <v>INTERCEPT</v>
      </c>
      <c r="M94" s="1">
        <f>'Exported data'!I55</f>
        <v>2</v>
      </c>
      <c r="N94" s="1" t="str">
        <f>'Exported data'!J55</f>
        <v>TX(Intervention)</v>
      </c>
      <c r="O94" s="1">
        <f>'Exported data'!K55</f>
        <v>-3.7333239236766098E-3</v>
      </c>
      <c r="P94" s="15"/>
      <c r="Q94" s="9" t="str">
        <f>L96</f>
        <v>TX(Intervention)</v>
      </c>
      <c r="R94" s="9">
        <f>O96</f>
        <v>-3.7333239236766098E-3</v>
      </c>
      <c r="S94" s="9">
        <f>O97</f>
        <v>8.7234429652386994E-3</v>
      </c>
      <c r="T94" s="9">
        <f>O98</f>
        <v>4.5575561822496001E-4</v>
      </c>
      <c r="U94" s="15"/>
      <c r="V94" s="9" t="str">
        <f>Q94</f>
        <v>TX(Intervention)</v>
      </c>
      <c r="W94" s="9">
        <f>R94/W93</f>
        <v>-6.8244081425679656E-2</v>
      </c>
      <c r="X94" s="9">
        <f>SQRT(S94-W94^2)</f>
        <v>6.3766670883808135E-2</v>
      </c>
      <c r="Y94" s="9">
        <v>0</v>
      </c>
      <c r="Z94" s="15"/>
      <c r="AA94" s="15"/>
      <c r="AB94" s="9" t="str">
        <f>G94</f>
        <v>TX(Intervention)</v>
      </c>
      <c r="AC94" s="20">
        <f ca="1">H94+INDEX(MMULT(matTllog,rvec_3),2,1)</f>
        <v>0.68927097292420691</v>
      </c>
      <c r="AD94" s="16"/>
    </row>
    <row r="95" spans="2:30" x14ac:dyDescent="0.25">
      <c r="B95" s="13"/>
      <c r="C95" s="9" t="str">
        <f>G95</f>
        <v>SCALE</v>
      </c>
      <c r="D95" s="9">
        <f>IF(PSA,AC95, H95)</f>
        <v>0.53242151100859803</v>
      </c>
      <c r="E95" s="15"/>
      <c r="F95" s="1" t="str">
        <f>'Exported data'!B24</f>
        <v>Log Logistic</v>
      </c>
      <c r="G95" s="1" t="str">
        <f>'Exported data'!C24</f>
        <v>SCALE</v>
      </c>
      <c r="H95" s="1">
        <f>'Exported data'!D24</f>
        <v>0.53242151100859803</v>
      </c>
      <c r="I95" s="15"/>
      <c r="J95" s="1" t="str">
        <f>'Exported data'!F56</f>
        <v>Log Logistic</v>
      </c>
      <c r="K95" s="1">
        <f>'Exported data'!G56</f>
        <v>1</v>
      </c>
      <c r="L95" s="1" t="str">
        <f>'Exported data'!H56</f>
        <v>INTERCEPT</v>
      </c>
      <c r="M95" s="1">
        <f>'Exported data'!I56</f>
        <v>3</v>
      </c>
      <c r="N95" s="1" t="str">
        <f>'Exported data'!J56</f>
        <v>SCALE</v>
      </c>
      <c r="O95" s="1">
        <f>'Exported data'!K56</f>
        <v>-2.9066587500213098E-4</v>
      </c>
      <c r="P95" s="15"/>
      <c r="Q95" s="9" t="str">
        <f>L99</f>
        <v>SCALE</v>
      </c>
      <c r="R95" s="9">
        <f>O99</f>
        <v>-2.9066587500213098E-4</v>
      </c>
      <c r="S95" s="9">
        <f>O100</f>
        <v>4.5575561822496001E-4</v>
      </c>
      <c r="T95" s="9">
        <f>O101</f>
        <v>7.7627062418097104E-4</v>
      </c>
      <c r="U95" s="15"/>
      <c r="V95" s="9" t="str">
        <f>Q95</f>
        <v>SCALE</v>
      </c>
      <c r="W95" s="9">
        <f>R95/W93</f>
        <v>-5.3132881171952971E-3</v>
      </c>
      <c r="X95" s="9">
        <f>(S95-W95*W94)/X94</f>
        <v>1.4608752507517576E-3</v>
      </c>
      <c r="Y95" s="9">
        <f>SQRT(T95-W95^2-X95^2)</f>
        <v>2.7311269415140397E-2</v>
      </c>
      <c r="Z95" s="15"/>
      <c r="AA95" s="15"/>
      <c r="AB95" s="9" t="str">
        <f>G95</f>
        <v>SCALE</v>
      </c>
      <c r="AC95" s="20">
        <f ca="1">H95+INDEX(MMULT(matTllog,rvec_3),3,1)</f>
        <v>0.53784225583573653</v>
      </c>
      <c r="AD95" s="16"/>
    </row>
    <row r="96" spans="2:30" x14ac:dyDescent="0.25">
      <c r="B96" s="13"/>
      <c r="C96" s="15"/>
      <c r="D96" s="15"/>
      <c r="E96" s="15"/>
      <c r="F96" s="15"/>
      <c r="G96" s="15"/>
      <c r="H96" s="15"/>
      <c r="I96" s="15"/>
      <c r="J96" s="1" t="str">
        <f>'Exported data'!F57</f>
        <v>Log Logistic</v>
      </c>
      <c r="K96" s="1">
        <f>'Exported data'!G57</f>
        <v>2</v>
      </c>
      <c r="L96" s="1" t="str">
        <f>'Exported data'!H57</f>
        <v>TX(Intervention)</v>
      </c>
      <c r="M96" s="1">
        <f>'Exported data'!I57</f>
        <v>1</v>
      </c>
      <c r="N96" s="1" t="str">
        <f>'Exported data'!J57</f>
        <v>INTERCEPT</v>
      </c>
      <c r="O96" s="1">
        <f>'Exported data'!K57</f>
        <v>-3.7333239236766098E-3</v>
      </c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6"/>
    </row>
    <row r="97" spans="2:30" x14ac:dyDescent="0.25">
      <c r="B97" s="13"/>
      <c r="C97" s="32" t="s">
        <v>48</v>
      </c>
      <c r="D97" s="32"/>
      <c r="E97" s="32"/>
      <c r="F97" s="15"/>
      <c r="G97" s="15"/>
      <c r="H97" s="15"/>
      <c r="I97" s="15"/>
      <c r="J97" s="1" t="str">
        <f>'Exported data'!F58</f>
        <v>Log Logistic</v>
      </c>
      <c r="K97" s="1">
        <f>'Exported data'!G58</f>
        <v>2</v>
      </c>
      <c r="L97" s="1" t="str">
        <f>'Exported data'!H58</f>
        <v>TX(Intervention)</v>
      </c>
      <c r="M97" s="1">
        <f>'Exported data'!I58</f>
        <v>2</v>
      </c>
      <c r="N97" s="1" t="str">
        <f>'Exported data'!J58</f>
        <v>TX(Intervention)</v>
      </c>
      <c r="O97" s="1">
        <f>'Exported data'!K58</f>
        <v>8.7234429652386994E-3</v>
      </c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6"/>
    </row>
    <row r="98" spans="2:30" x14ac:dyDescent="0.25">
      <c r="B98" s="13"/>
      <c r="C98" s="8" t="s">
        <v>24</v>
      </c>
      <c r="D98" s="8" t="s">
        <v>41</v>
      </c>
      <c r="E98" s="8" t="s">
        <v>42</v>
      </c>
      <c r="F98" s="15"/>
      <c r="G98" s="15"/>
      <c r="H98" s="15"/>
      <c r="I98" s="15"/>
      <c r="J98" s="1" t="str">
        <f>'Exported data'!F59</f>
        <v>Log Logistic</v>
      </c>
      <c r="K98" s="1">
        <f>'Exported data'!G59</f>
        <v>2</v>
      </c>
      <c r="L98" s="1" t="str">
        <f>'Exported data'!H59</f>
        <v>TX(Intervention)</v>
      </c>
      <c r="M98" s="1">
        <f>'Exported data'!I59</f>
        <v>3</v>
      </c>
      <c r="N98" s="1" t="str">
        <f>'Exported data'!J59</f>
        <v>SCALE</v>
      </c>
      <c r="O98" s="1">
        <f>'Exported data'!K59</f>
        <v>4.5575561822496001E-4</v>
      </c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6"/>
    </row>
    <row r="99" spans="2:30" x14ac:dyDescent="0.25">
      <c r="B99" s="13"/>
      <c r="C99" s="9" t="s">
        <v>40</v>
      </c>
      <c r="D99" s="9" t="s">
        <v>37</v>
      </c>
      <c r="E99" s="9">
        <f>EXP(-D93/D95)</f>
        <v>9.7354760649794308E-5</v>
      </c>
      <c r="F99" s="14" t="s">
        <v>71</v>
      </c>
      <c r="G99" s="15"/>
      <c r="H99" s="15"/>
      <c r="I99" s="15"/>
      <c r="J99" s="1" t="str">
        <f>'Exported data'!F60</f>
        <v>Log Logistic</v>
      </c>
      <c r="K99" s="1">
        <f>'Exported data'!G60</f>
        <v>3</v>
      </c>
      <c r="L99" s="1" t="str">
        <f>'Exported data'!H60</f>
        <v>SCALE</v>
      </c>
      <c r="M99" s="1">
        <f>'Exported data'!I60</f>
        <v>1</v>
      </c>
      <c r="N99" s="1" t="str">
        <f>'Exported data'!J60</f>
        <v>INTERCEPT</v>
      </c>
      <c r="O99" s="1">
        <f>'Exported data'!K60</f>
        <v>-2.9066587500213098E-4</v>
      </c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6"/>
    </row>
    <row r="100" spans="2:30" x14ac:dyDescent="0.25">
      <c r="B100" s="13"/>
      <c r="C100" s="9" t="s">
        <v>40</v>
      </c>
      <c r="D100" s="9" t="s">
        <v>49</v>
      </c>
      <c r="E100" s="9">
        <f>1/D95</f>
        <v>1.8782111152978023</v>
      </c>
      <c r="F100" s="14" t="s">
        <v>72</v>
      </c>
      <c r="G100" s="15"/>
      <c r="H100" s="15"/>
      <c r="I100" s="15"/>
      <c r="J100" s="1" t="str">
        <f>'Exported data'!F61</f>
        <v>Log Logistic</v>
      </c>
      <c r="K100" s="1">
        <f>'Exported data'!G61</f>
        <v>3</v>
      </c>
      <c r="L100" s="1" t="str">
        <f>'Exported data'!H61</f>
        <v>SCALE</v>
      </c>
      <c r="M100" s="1">
        <f>'Exported data'!I61</f>
        <v>2</v>
      </c>
      <c r="N100" s="1" t="str">
        <f>'Exported data'!J61</f>
        <v>TX(Intervention)</v>
      </c>
      <c r="O100" s="1">
        <f>'Exported data'!K61</f>
        <v>4.5575561822496001E-4</v>
      </c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6"/>
    </row>
    <row r="101" spans="2:30" x14ac:dyDescent="0.25">
      <c r="B101" s="13"/>
      <c r="C101" s="9" t="s">
        <v>43</v>
      </c>
      <c r="D101" s="9" t="s">
        <v>37</v>
      </c>
      <c r="E101" s="9">
        <f>EXP(-(D93+D94)/D95)</f>
        <v>2.6525207208760954E-5</v>
      </c>
      <c r="F101" s="14" t="s">
        <v>73</v>
      </c>
      <c r="G101" s="15"/>
      <c r="H101" s="15"/>
      <c r="I101" s="15"/>
      <c r="J101" s="1" t="str">
        <f>'Exported data'!F62</f>
        <v>Log Logistic</v>
      </c>
      <c r="K101" s="1">
        <f>'Exported data'!G62</f>
        <v>3</v>
      </c>
      <c r="L101" s="1" t="str">
        <f>'Exported data'!H62</f>
        <v>SCALE</v>
      </c>
      <c r="M101" s="1">
        <f>'Exported data'!I62</f>
        <v>3</v>
      </c>
      <c r="N101" s="1" t="str">
        <f>'Exported data'!J62</f>
        <v>SCALE</v>
      </c>
      <c r="O101" s="1">
        <f>'Exported data'!K62</f>
        <v>7.7627062418097104E-4</v>
      </c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6"/>
    </row>
    <row r="102" spans="2:30" x14ac:dyDescent="0.25">
      <c r="B102" s="13"/>
      <c r="C102" s="9" t="s">
        <v>43</v>
      </c>
      <c r="D102" s="9" t="s">
        <v>49</v>
      </c>
      <c r="E102" s="9">
        <f>1/D95</f>
        <v>1.8782111152978023</v>
      </c>
      <c r="F102" s="14" t="s">
        <v>74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6"/>
    </row>
    <row r="103" spans="2:30" ht="15.75" thickBot="1" x14ac:dyDescent="0.3">
      <c r="B103" s="17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2:30" ht="15.75" thickBot="1" x14ac:dyDescent="0.3"/>
    <row r="105" spans="2:30" x14ac:dyDescent="0.25">
      <c r="B105" s="10" t="s">
        <v>18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23"/>
      <c r="R105" s="23"/>
      <c r="S105" s="23"/>
      <c r="T105" s="11"/>
      <c r="U105" s="11"/>
      <c r="V105" s="11"/>
      <c r="W105" s="34"/>
      <c r="X105" s="34"/>
      <c r="Y105" s="34"/>
      <c r="Z105" s="11"/>
      <c r="AA105" s="11"/>
      <c r="AB105" s="11"/>
      <c r="AC105" s="11"/>
      <c r="AD105" s="12"/>
    </row>
    <row r="106" spans="2:30" x14ac:dyDescent="0.25">
      <c r="B106" s="13"/>
      <c r="C106" s="36" t="s">
        <v>47</v>
      </c>
      <c r="D106" s="37"/>
      <c r="E106" s="21"/>
      <c r="F106" s="33" t="s">
        <v>21</v>
      </c>
      <c r="G106" s="33"/>
      <c r="H106" s="33"/>
      <c r="I106" s="21"/>
      <c r="J106" s="33" t="s">
        <v>22</v>
      </c>
      <c r="K106" s="33"/>
      <c r="L106" s="33"/>
      <c r="M106" s="33"/>
      <c r="N106" s="33"/>
      <c r="O106" s="33"/>
      <c r="P106" s="21"/>
      <c r="Q106" s="32" t="s">
        <v>45</v>
      </c>
      <c r="R106" s="32"/>
      <c r="S106" s="32"/>
      <c r="T106" s="32"/>
      <c r="U106" s="21"/>
      <c r="V106" s="32" t="s">
        <v>46</v>
      </c>
      <c r="W106" s="32"/>
      <c r="X106" s="32"/>
      <c r="Y106" s="32"/>
      <c r="Z106" s="21"/>
      <c r="AA106" s="21"/>
      <c r="AB106" s="32" t="s">
        <v>29</v>
      </c>
      <c r="AC106" s="32"/>
      <c r="AD106" s="16"/>
    </row>
    <row r="107" spans="2:30" x14ac:dyDescent="0.25">
      <c r="B107" s="13"/>
      <c r="C107" s="8" t="s">
        <v>1</v>
      </c>
      <c r="D107" s="8" t="s">
        <v>2</v>
      </c>
      <c r="E107" s="15"/>
      <c r="F107" s="2" t="s">
        <v>0</v>
      </c>
      <c r="G107" s="2" t="s">
        <v>1</v>
      </c>
      <c r="H107" s="2" t="s">
        <v>2</v>
      </c>
      <c r="I107" s="15"/>
      <c r="J107" s="2" t="s">
        <v>0</v>
      </c>
      <c r="K107" s="2" t="s">
        <v>3</v>
      </c>
      <c r="L107" s="2" t="s">
        <v>4</v>
      </c>
      <c r="M107" s="2" t="s">
        <v>5</v>
      </c>
      <c r="N107" s="2" t="s">
        <v>6</v>
      </c>
      <c r="O107" s="2" t="s">
        <v>7</v>
      </c>
      <c r="P107" s="15"/>
      <c r="Q107" s="9"/>
      <c r="R107" s="9" t="str">
        <f>N108</f>
        <v>INTERCEPT</v>
      </c>
      <c r="S107" s="9" t="str">
        <f>N109</f>
        <v>TX(Intervention)</v>
      </c>
      <c r="T107" s="9" t="str">
        <f>N110</f>
        <v>SCALE</v>
      </c>
      <c r="U107" s="15"/>
      <c r="V107" s="9"/>
      <c r="W107" s="9" t="str">
        <f>R107</f>
        <v>INTERCEPT</v>
      </c>
      <c r="X107" s="9" t="str">
        <f>S107</f>
        <v>TX(Intervention)</v>
      </c>
      <c r="Y107" s="9" t="str">
        <f>T107</f>
        <v>SCALE</v>
      </c>
      <c r="Z107" s="15"/>
      <c r="AA107" s="15"/>
      <c r="AB107" s="8" t="s">
        <v>1</v>
      </c>
      <c r="AC107" s="8" t="s">
        <v>2</v>
      </c>
      <c r="AD107" s="16"/>
    </row>
    <row r="108" spans="2:30" x14ac:dyDescent="0.25">
      <c r="B108" s="13"/>
      <c r="C108" s="9" t="str">
        <f>G108</f>
        <v>INTERCEPT</v>
      </c>
      <c r="D108" s="9">
        <f>IF(PSA,AC108, H108)</f>
        <v>5.5361902480026099</v>
      </c>
      <c r="E108" s="15"/>
      <c r="F108" s="1" t="str">
        <f>'Exported data'!B25</f>
        <v>Gompertz</v>
      </c>
      <c r="G108" s="1" t="str">
        <f>'Exported data'!C25</f>
        <v>INTERCEPT</v>
      </c>
      <c r="H108" s="1">
        <f>'Exported data'!D25</f>
        <v>5.5361902480026099</v>
      </c>
      <c r="I108" s="15"/>
      <c r="J108" s="1" t="str">
        <f>'Exported data'!F63</f>
        <v>Gompertz</v>
      </c>
      <c r="K108" s="1">
        <f>'Exported data'!G63</f>
        <v>1</v>
      </c>
      <c r="L108" s="1" t="str">
        <f>'Exported data'!H63</f>
        <v>INTERCEPT</v>
      </c>
      <c r="M108" s="1">
        <f>'Exported data'!I63</f>
        <v>1</v>
      </c>
      <c r="N108" s="1" t="str">
        <f>'Exported data'!J63</f>
        <v>INTERCEPT</v>
      </c>
      <c r="O108" s="1">
        <f>'Exported data'!K63</f>
        <v>5.7733173948910799E-3</v>
      </c>
      <c r="P108" s="15"/>
      <c r="Q108" s="9" t="str">
        <f>L108</f>
        <v>INTERCEPT</v>
      </c>
      <c r="R108" s="9">
        <f>O108</f>
        <v>5.7733173948910799E-3</v>
      </c>
      <c r="S108" s="9">
        <f>O109</f>
        <v>-7.1869580382171103E-3</v>
      </c>
      <c r="T108" s="9">
        <f>O110</f>
        <v>6.8827262754693298E-6</v>
      </c>
      <c r="U108" s="15"/>
      <c r="V108" s="9" t="str">
        <f>Q108</f>
        <v>INTERCEPT</v>
      </c>
      <c r="W108" s="9">
        <f>SQRT(R108)</f>
        <v>7.598234923250978E-2</v>
      </c>
      <c r="X108" s="9">
        <v>0</v>
      </c>
      <c r="Y108" s="9">
        <v>0</v>
      </c>
      <c r="Z108" s="14" t="s">
        <v>76</v>
      </c>
      <c r="AA108" s="15"/>
      <c r="AB108" s="9" t="str">
        <f>G108</f>
        <v>INTERCEPT</v>
      </c>
      <c r="AC108" s="20">
        <f ca="1">H108+INDEX(MMULT(matTgomp,rvec_3),1,1)</f>
        <v>5.5556820570297702</v>
      </c>
      <c r="AD108" s="16"/>
    </row>
    <row r="109" spans="2:30" x14ac:dyDescent="0.25">
      <c r="B109" s="13"/>
      <c r="C109" s="9" t="str">
        <f>G109</f>
        <v>TX(Intervention)</v>
      </c>
      <c r="D109" s="9">
        <f>IF(PSA,AC109, H109)</f>
        <v>0.91285353902013</v>
      </c>
      <c r="E109" s="15"/>
      <c r="F109" s="1" t="str">
        <f>'Exported data'!B26</f>
        <v>Gompertz</v>
      </c>
      <c r="G109" s="1" t="str">
        <f>'Exported data'!C26</f>
        <v>TX(Intervention)</v>
      </c>
      <c r="H109" s="1">
        <f>'Exported data'!D26</f>
        <v>0.91285353902013</v>
      </c>
      <c r="I109" s="15"/>
      <c r="J109" s="1" t="str">
        <f>'Exported data'!F64</f>
        <v>Gompertz</v>
      </c>
      <c r="K109" s="1">
        <f>'Exported data'!G64</f>
        <v>1</v>
      </c>
      <c r="L109" s="1" t="str">
        <f>'Exported data'!H64</f>
        <v>INTERCEPT</v>
      </c>
      <c r="M109" s="1">
        <f>'Exported data'!I64</f>
        <v>2</v>
      </c>
      <c r="N109" s="1" t="str">
        <f>'Exported data'!J64</f>
        <v>TX(Intervention)</v>
      </c>
      <c r="O109" s="1">
        <f>'Exported data'!K64</f>
        <v>-7.1869580382171103E-3</v>
      </c>
      <c r="P109" s="15"/>
      <c r="Q109" s="9" t="str">
        <f>L111</f>
        <v>TX(Intervention)</v>
      </c>
      <c r="R109" s="9">
        <f>O111</f>
        <v>-7.1869580382171103E-3</v>
      </c>
      <c r="S109" s="9">
        <f>O112</f>
        <v>1.8369570764361E-2</v>
      </c>
      <c r="T109" s="9">
        <f>O113</f>
        <v>7.2450605283140496E-6</v>
      </c>
      <c r="U109" s="15"/>
      <c r="V109" s="9" t="str">
        <f>Q109</f>
        <v>TX(Intervention)</v>
      </c>
      <c r="W109" s="9">
        <f>R109/W108</f>
        <v>-9.4587204933933536E-2</v>
      </c>
      <c r="X109" s="9">
        <f>SQRT(S109-W109^2)</f>
        <v>9.7071269833803348E-2</v>
      </c>
      <c r="Y109" s="9">
        <v>0</v>
      </c>
      <c r="Z109" s="15"/>
      <c r="AA109" s="15"/>
      <c r="AB109" s="9" t="str">
        <f>G109</f>
        <v>TX(Intervention)</v>
      </c>
      <c r="AC109" s="20">
        <f ca="1">H109+INDEX(MMULT(matTgomp,rvec_3),2,1)</f>
        <v>0.91064395420197197</v>
      </c>
      <c r="AD109" s="16"/>
    </row>
    <row r="110" spans="2:30" x14ac:dyDescent="0.25">
      <c r="B110" s="13"/>
      <c r="C110" s="9" t="str">
        <f>G110</f>
        <v>SCALE</v>
      </c>
      <c r="D110" s="9">
        <f>IF(PSA,AC110, H110)</f>
        <v>2.3869401819882302E-3</v>
      </c>
      <c r="E110" s="15"/>
      <c r="F110" s="1" t="str">
        <f>'Exported data'!B27</f>
        <v>Gompertz</v>
      </c>
      <c r="G110" s="1" t="str">
        <f>'Exported data'!C27</f>
        <v>SCALE</v>
      </c>
      <c r="H110" s="1">
        <f>'Exported data'!D27</f>
        <v>2.3869401819882302E-3</v>
      </c>
      <c r="I110" s="15"/>
      <c r="J110" s="1" t="str">
        <f>'Exported data'!F65</f>
        <v>Gompertz</v>
      </c>
      <c r="K110" s="1">
        <f>'Exported data'!G65</f>
        <v>1</v>
      </c>
      <c r="L110" s="1" t="str">
        <f>'Exported data'!H65</f>
        <v>INTERCEPT</v>
      </c>
      <c r="M110" s="1">
        <f>'Exported data'!I65</f>
        <v>3</v>
      </c>
      <c r="N110" s="1" t="str">
        <f>'Exported data'!J65</f>
        <v>SCALE</v>
      </c>
      <c r="O110" s="1">
        <f>'Exported data'!K65</f>
        <v>6.8827262754693298E-6</v>
      </c>
      <c r="P110" s="15"/>
      <c r="Q110" s="9" t="str">
        <f>L114</f>
        <v>SCALE</v>
      </c>
      <c r="R110" s="9">
        <f>O114</f>
        <v>6.8827262754693298E-6</v>
      </c>
      <c r="S110" s="9">
        <f>O115</f>
        <v>7.2450605283140496E-6</v>
      </c>
      <c r="T110" s="9">
        <f>O116</f>
        <v>8.6613739670011098E-8</v>
      </c>
      <c r="U110" s="15"/>
      <c r="V110" s="9" t="str">
        <f>Q110</f>
        <v>SCALE</v>
      </c>
      <c r="W110" s="9">
        <f>R110/W108</f>
        <v>9.0583225512123132E-5</v>
      </c>
      <c r="X110" s="9">
        <f>(S110-W110*W109)/X109</f>
        <v>1.6290169759270354E-4</v>
      </c>
      <c r="Y110" s="9">
        <f>SQRT(T110-W110^2-X110^2)</f>
        <v>2.2775305891962531E-4</v>
      </c>
      <c r="Z110" s="15"/>
      <c r="AA110" s="15"/>
      <c r="AB110" s="9" t="str">
        <f>G110</f>
        <v>SCALE</v>
      </c>
      <c r="AC110" s="20">
        <f ca="1">H110+INDEX(MMULT(matTgomp,rvec_3),3,1)</f>
        <v>2.5009924333968397E-3</v>
      </c>
      <c r="AD110" s="16"/>
    </row>
    <row r="111" spans="2:30" x14ac:dyDescent="0.25">
      <c r="B111" s="13"/>
      <c r="C111" s="15"/>
      <c r="D111" s="15"/>
      <c r="E111" s="15"/>
      <c r="F111" s="15"/>
      <c r="G111" s="15"/>
      <c r="H111" s="15"/>
      <c r="I111" s="15"/>
      <c r="J111" s="1" t="str">
        <f>'Exported data'!F66</f>
        <v>Gompertz</v>
      </c>
      <c r="K111" s="1">
        <f>'Exported data'!G66</f>
        <v>2</v>
      </c>
      <c r="L111" s="1" t="str">
        <f>'Exported data'!H66</f>
        <v>TX(Intervention)</v>
      </c>
      <c r="M111" s="1">
        <f>'Exported data'!I66</f>
        <v>1</v>
      </c>
      <c r="N111" s="1" t="str">
        <f>'Exported data'!J66</f>
        <v>INTERCEPT</v>
      </c>
      <c r="O111" s="1">
        <f>'Exported data'!K66</f>
        <v>-7.1869580382171103E-3</v>
      </c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6"/>
    </row>
    <row r="112" spans="2:30" x14ac:dyDescent="0.25">
      <c r="B112" s="13"/>
      <c r="C112" s="32" t="s">
        <v>48</v>
      </c>
      <c r="D112" s="32"/>
      <c r="E112" s="32"/>
      <c r="F112" s="15"/>
      <c r="G112" s="15"/>
      <c r="H112" s="15"/>
      <c r="I112" s="15"/>
      <c r="J112" s="1" t="str">
        <f>'Exported data'!F67</f>
        <v>Gompertz</v>
      </c>
      <c r="K112" s="1">
        <f>'Exported data'!G67</f>
        <v>2</v>
      </c>
      <c r="L112" s="1" t="str">
        <f>'Exported data'!H67</f>
        <v>TX(Intervention)</v>
      </c>
      <c r="M112" s="1">
        <f>'Exported data'!I67</f>
        <v>2</v>
      </c>
      <c r="N112" s="1" t="str">
        <f>'Exported data'!J67</f>
        <v>TX(Intervention)</v>
      </c>
      <c r="O112" s="1">
        <f>'Exported data'!K67</f>
        <v>1.8369570764361E-2</v>
      </c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6"/>
    </row>
    <row r="113" spans="2:30" x14ac:dyDescent="0.25">
      <c r="B113" s="13"/>
      <c r="C113" s="8" t="s">
        <v>24</v>
      </c>
      <c r="D113" s="8" t="s">
        <v>41</v>
      </c>
      <c r="E113" s="8" t="s">
        <v>42</v>
      </c>
      <c r="F113" s="15"/>
      <c r="G113" s="15"/>
      <c r="H113" s="15"/>
      <c r="I113" s="15"/>
      <c r="J113" s="1" t="str">
        <f>'Exported data'!F68</f>
        <v>Gompertz</v>
      </c>
      <c r="K113" s="1">
        <f>'Exported data'!G68</f>
        <v>2</v>
      </c>
      <c r="L113" s="1" t="str">
        <f>'Exported data'!H68</f>
        <v>TX(Intervention)</v>
      </c>
      <c r="M113" s="1">
        <f>'Exported data'!I68</f>
        <v>3</v>
      </c>
      <c r="N113" s="1" t="str">
        <f>'Exported data'!J68</f>
        <v>SCALE</v>
      </c>
      <c r="O113" s="1">
        <f>'Exported data'!K68</f>
        <v>7.2450605283140496E-6</v>
      </c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6"/>
    </row>
    <row r="114" spans="2:30" x14ac:dyDescent="0.25">
      <c r="B114" s="13"/>
      <c r="C114" s="9" t="s">
        <v>40</v>
      </c>
      <c r="D114" s="9" t="s">
        <v>37</v>
      </c>
      <c r="E114" s="9">
        <f>EXP(-D108)</f>
        <v>3.9415144632098317E-3</v>
      </c>
      <c r="F114" s="14" t="s">
        <v>84</v>
      </c>
      <c r="G114" s="15"/>
      <c r="H114" s="15"/>
      <c r="I114" s="15"/>
      <c r="J114" s="1" t="str">
        <f>'Exported data'!F69</f>
        <v>Gompertz</v>
      </c>
      <c r="K114" s="1">
        <f>'Exported data'!G69</f>
        <v>3</v>
      </c>
      <c r="L114" s="1" t="str">
        <f>'Exported data'!H69</f>
        <v>SCALE</v>
      </c>
      <c r="M114" s="1">
        <f>'Exported data'!I69</f>
        <v>1</v>
      </c>
      <c r="N114" s="1" t="str">
        <f>'Exported data'!J69</f>
        <v>INTERCEPT</v>
      </c>
      <c r="O114" s="1">
        <f>'Exported data'!K69</f>
        <v>6.8827262754693298E-6</v>
      </c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6"/>
    </row>
    <row r="115" spans="2:30" x14ac:dyDescent="0.25">
      <c r="B115" s="13"/>
      <c r="C115" s="9" t="s">
        <v>40</v>
      </c>
      <c r="D115" s="9" t="s">
        <v>49</v>
      </c>
      <c r="E115" s="9">
        <f>D110</f>
        <v>2.3869401819882302E-3</v>
      </c>
      <c r="F115" s="14" t="s">
        <v>85</v>
      </c>
      <c r="G115" s="15"/>
      <c r="H115" s="15"/>
      <c r="I115" s="15"/>
      <c r="J115" s="1" t="str">
        <f>'Exported data'!F70</f>
        <v>Gompertz</v>
      </c>
      <c r="K115" s="1">
        <f>'Exported data'!G70</f>
        <v>3</v>
      </c>
      <c r="L115" s="1" t="str">
        <f>'Exported data'!H70</f>
        <v>SCALE</v>
      </c>
      <c r="M115" s="1">
        <f>'Exported data'!I70</f>
        <v>2</v>
      </c>
      <c r="N115" s="1" t="str">
        <f>'Exported data'!J70</f>
        <v>TX(Intervention)</v>
      </c>
      <c r="O115" s="1">
        <f>'Exported data'!K70</f>
        <v>7.2450605283140496E-6</v>
      </c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6"/>
    </row>
    <row r="116" spans="2:30" x14ac:dyDescent="0.25">
      <c r="B116" s="13"/>
      <c r="C116" s="9" t="s">
        <v>43</v>
      </c>
      <c r="D116" s="9" t="s">
        <v>37</v>
      </c>
      <c r="E116" s="9">
        <f>EXP(-(D108+D109))</f>
        <v>1.5820342073450699E-3</v>
      </c>
      <c r="F116" s="14" t="s">
        <v>86</v>
      </c>
      <c r="G116" s="15"/>
      <c r="H116" s="15"/>
      <c r="I116" s="15"/>
      <c r="J116" s="1" t="str">
        <f>'Exported data'!F71</f>
        <v>Gompertz</v>
      </c>
      <c r="K116" s="1">
        <f>'Exported data'!G71</f>
        <v>3</v>
      </c>
      <c r="L116" s="1" t="str">
        <f>'Exported data'!H71</f>
        <v>SCALE</v>
      </c>
      <c r="M116" s="1">
        <f>'Exported data'!I71</f>
        <v>3</v>
      </c>
      <c r="N116" s="1" t="str">
        <f>'Exported data'!J71</f>
        <v>SCALE</v>
      </c>
      <c r="O116" s="1">
        <f>'Exported data'!K71</f>
        <v>8.6613739670011098E-8</v>
      </c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6"/>
    </row>
    <row r="117" spans="2:30" x14ac:dyDescent="0.25">
      <c r="B117" s="13"/>
      <c r="C117" s="9" t="s">
        <v>43</v>
      </c>
      <c r="D117" s="9" t="s">
        <v>49</v>
      </c>
      <c r="E117" s="9">
        <f>D110</f>
        <v>2.3869401819882302E-3</v>
      </c>
      <c r="F117" s="14" t="s">
        <v>87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6"/>
    </row>
    <row r="118" spans="2:30" ht="15.75" thickBot="1" x14ac:dyDescent="0.3">
      <c r="B118" s="17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9"/>
    </row>
  </sheetData>
  <mergeCells count="57">
    <mergeCell ref="C112:E112"/>
    <mergeCell ref="AB91:AC91"/>
    <mergeCell ref="C97:E97"/>
    <mergeCell ref="W105:Y105"/>
    <mergeCell ref="C106:D106"/>
    <mergeCell ref="F106:H106"/>
    <mergeCell ref="J106:O106"/>
    <mergeCell ref="Q106:T106"/>
    <mergeCell ref="V106:Y106"/>
    <mergeCell ref="AB106:AC106"/>
    <mergeCell ref="C77:E77"/>
    <mergeCell ref="Q70:U70"/>
    <mergeCell ref="V70:Z70"/>
    <mergeCell ref="W90:Y90"/>
    <mergeCell ref="C91:D91"/>
    <mergeCell ref="F91:H91"/>
    <mergeCell ref="J91:O91"/>
    <mergeCell ref="Q91:T91"/>
    <mergeCell ref="V91:Y91"/>
    <mergeCell ref="AB55:AC55"/>
    <mergeCell ref="C61:E61"/>
    <mergeCell ref="W69:Y69"/>
    <mergeCell ref="C70:D70"/>
    <mergeCell ref="F70:H70"/>
    <mergeCell ref="J70:O70"/>
    <mergeCell ref="AB70:AC70"/>
    <mergeCell ref="C46:E46"/>
    <mergeCell ref="W54:Y54"/>
    <mergeCell ref="C55:D55"/>
    <mergeCell ref="F55:H55"/>
    <mergeCell ref="J55:O55"/>
    <mergeCell ref="Q55:T55"/>
    <mergeCell ref="V55:Y55"/>
    <mergeCell ref="C18:E18"/>
    <mergeCell ref="C13:D13"/>
    <mergeCell ref="Q13:S13"/>
    <mergeCell ref="V13:X13"/>
    <mergeCell ref="AB40:AC40"/>
    <mergeCell ref="AB25:AC25"/>
    <mergeCell ref="C31:E31"/>
    <mergeCell ref="Q25:T25"/>
    <mergeCell ref="V25:Y25"/>
    <mergeCell ref="C40:D40"/>
    <mergeCell ref="F40:H40"/>
    <mergeCell ref="J40:O40"/>
    <mergeCell ref="Q40:T40"/>
    <mergeCell ref="V40:Y40"/>
    <mergeCell ref="W39:Y39"/>
    <mergeCell ref="W24:Y24"/>
    <mergeCell ref="C25:D25"/>
    <mergeCell ref="F25:H25"/>
    <mergeCell ref="J25:O25"/>
    <mergeCell ref="AB13:AC13"/>
    <mergeCell ref="F13:H13"/>
    <mergeCell ref="J13:O13"/>
    <mergeCell ref="W12:Y12"/>
    <mergeCell ref="B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1"/>
  <sheetViews>
    <sheetView tabSelected="1" workbookViewId="0">
      <selection activeCell="A2" sqref="A2"/>
    </sheetView>
  </sheetViews>
  <sheetFormatPr defaultRowHeight="15" x14ac:dyDescent="0.25"/>
  <cols>
    <col min="2" max="2" width="19.140625" bestFit="1" customWidth="1"/>
    <col min="3" max="3" width="15.85546875" bestFit="1" customWidth="1"/>
    <col min="4" max="4" width="12" bestFit="1" customWidth="1"/>
    <col min="6" max="6" width="19.140625" bestFit="1" customWidth="1"/>
    <col min="7" max="7" width="8.7109375" bestFit="1" customWidth="1"/>
    <col min="8" max="8" width="15.85546875" bestFit="1" customWidth="1"/>
    <col min="9" max="9" width="7.85546875" bestFit="1" customWidth="1"/>
    <col min="10" max="10" width="15.85546875" bestFit="1" customWidth="1"/>
    <col min="11" max="11" width="12.7109375" bestFit="1" customWidth="1"/>
  </cols>
  <sheetData>
    <row r="2" spans="2:11" x14ac:dyDescent="0.25">
      <c r="B2" s="39" t="s">
        <v>19</v>
      </c>
      <c r="C2" s="39"/>
    </row>
    <row r="3" spans="2:11" x14ac:dyDescent="0.25">
      <c r="B3" s="40" t="s">
        <v>20</v>
      </c>
      <c r="C3" s="41"/>
    </row>
    <row r="5" spans="2:11" x14ac:dyDescent="0.25">
      <c r="B5" s="33" t="s">
        <v>21</v>
      </c>
      <c r="C5" s="33"/>
      <c r="D5" s="33"/>
      <c r="F5" s="33" t="s">
        <v>22</v>
      </c>
      <c r="G5" s="33"/>
      <c r="H5" s="33"/>
      <c r="I5" s="33"/>
      <c r="J5" s="33"/>
      <c r="K5" s="33"/>
    </row>
    <row r="6" spans="2:11" x14ac:dyDescent="0.25">
      <c r="B6" s="2" t="s">
        <v>0</v>
      </c>
      <c r="C6" s="2" t="s">
        <v>1</v>
      </c>
      <c r="D6" s="2" t="s">
        <v>2</v>
      </c>
      <c r="F6" s="2" t="s">
        <v>0</v>
      </c>
      <c r="G6" s="2" t="s">
        <v>3</v>
      </c>
      <c r="H6" s="2" t="s">
        <v>4</v>
      </c>
      <c r="I6" s="2" t="s">
        <v>5</v>
      </c>
      <c r="J6" s="2" t="s">
        <v>6</v>
      </c>
      <c r="K6" s="2" t="s">
        <v>7</v>
      </c>
    </row>
    <row r="7" spans="2:11" x14ac:dyDescent="0.25">
      <c r="B7" s="1" t="s">
        <v>8</v>
      </c>
      <c r="C7" s="1" t="s">
        <v>9</v>
      </c>
      <c r="D7" s="1">
        <v>5.1879166220817297</v>
      </c>
      <c r="F7" s="1" t="s">
        <v>8</v>
      </c>
      <c r="G7" s="1">
        <v>1</v>
      </c>
      <c r="H7" s="1" t="s">
        <v>9</v>
      </c>
      <c r="I7" s="1">
        <v>1</v>
      </c>
      <c r="J7" s="1" t="s">
        <v>9</v>
      </c>
      <c r="K7" s="1">
        <v>3.4032887296273902E-3</v>
      </c>
    </row>
    <row r="8" spans="2:11" x14ac:dyDescent="0.25">
      <c r="B8" s="1" t="s">
        <v>8</v>
      </c>
      <c r="C8" s="1" t="s">
        <v>10</v>
      </c>
      <c r="D8" s="1">
        <v>0.72255957337449195</v>
      </c>
      <c r="F8" s="1" t="s">
        <v>8</v>
      </c>
      <c r="G8" s="1">
        <v>1</v>
      </c>
      <c r="H8" s="1" t="s">
        <v>9</v>
      </c>
      <c r="I8" s="1">
        <v>2</v>
      </c>
      <c r="J8" s="1" t="s">
        <v>10</v>
      </c>
      <c r="K8" s="1">
        <v>-4.1605190100699402E-3</v>
      </c>
    </row>
    <row r="9" spans="2:11" x14ac:dyDescent="0.25">
      <c r="B9" s="1" t="s">
        <v>11</v>
      </c>
      <c r="C9" s="1" t="s">
        <v>9</v>
      </c>
      <c r="D9" s="1">
        <v>5.2649679456207599</v>
      </c>
      <c r="F9" s="1" t="s">
        <v>8</v>
      </c>
      <c r="G9" s="1">
        <v>2</v>
      </c>
      <c r="H9" s="1" t="s">
        <v>10</v>
      </c>
      <c r="I9" s="1">
        <v>1</v>
      </c>
      <c r="J9" s="1" t="s">
        <v>9</v>
      </c>
      <c r="K9" s="1">
        <v>-4.1605190100699402E-3</v>
      </c>
    </row>
    <row r="10" spans="2:11" x14ac:dyDescent="0.25">
      <c r="B10" s="1" t="s">
        <v>11</v>
      </c>
      <c r="C10" s="1" t="s">
        <v>10</v>
      </c>
      <c r="D10" s="1">
        <v>0.65100489931191396</v>
      </c>
      <c r="F10" s="1" t="s">
        <v>8</v>
      </c>
      <c r="G10" s="1">
        <v>2</v>
      </c>
      <c r="H10" s="1" t="s">
        <v>10</v>
      </c>
      <c r="I10" s="1">
        <v>2</v>
      </c>
      <c r="J10" s="1" t="s">
        <v>10</v>
      </c>
      <c r="K10" s="1">
        <v>1.09482395853136E-2</v>
      </c>
    </row>
    <row r="11" spans="2:11" x14ac:dyDescent="0.25">
      <c r="B11" s="1" t="s">
        <v>11</v>
      </c>
      <c r="C11" s="1" t="s">
        <v>12</v>
      </c>
      <c r="D11" s="1">
        <v>0.72705446829398102</v>
      </c>
      <c r="F11" s="1" t="s">
        <v>11</v>
      </c>
      <c r="G11" s="1">
        <v>1</v>
      </c>
      <c r="H11" s="1" t="s">
        <v>9</v>
      </c>
      <c r="I11" s="1">
        <v>1</v>
      </c>
      <c r="J11" s="1" t="s">
        <v>9</v>
      </c>
      <c r="K11" s="1">
        <v>2.9982920426890199E-3</v>
      </c>
    </row>
    <row r="12" spans="2:11" x14ac:dyDescent="0.25">
      <c r="B12" s="1" t="s">
        <v>13</v>
      </c>
      <c r="C12" s="1" t="s">
        <v>9</v>
      </c>
      <c r="D12" s="1">
        <v>4.8509378343474197</v>
      </c>
      <c r="F12" s="1" t="s">
        <v>11</v>
      </c>
      <c r="G12" s="1">
        <v>1</v>
      </c>
      <c r="H12" s="1" t="s">
        <v>9</v>
      </c>
      <c r="I12" s="1">
        <v>2</v>
      </c>
      <c r="J12" s="1" t="s">
        <v>10</v>
      </c>
      <c r="K12" s="1">
        <v>-3.9435207207101104E-3</v>
      </c>
    </row>
    <row r="13" spans="2:11" x14ac:dyDescent="0.25">
      <c r="B13" s="1" t="s">
        <v>13</v>
      </c>
      <c r="C13" s="1" t="s">
        <v>10</v>
      </c>
      <c r="D13" s="1">
        <v>0.69614936171075203</v>
      </c>
      <c r="F13" s="1" t="s">
        <v>11</v>
      </c>
      <c r="G13" s="1">
        <v>1</v>
      </c>
      <c r="H13" s="1" t="s">
        <v>9</v>
      </c>
      <c r="I13" s="1">
        <v>3</v>
      </c>
      <c r="J13" s="1" t="s">
        <v>12</v>
      </c>
      <c r="K13" s="1">
        <v>-6.1663548774948995E-5</v>
      </c>
    </row>
    <row r="14" spans="2:11" x14ac:dyDescent="0.25">
      <c r="B14" s="1" t="s">
        <v>13</v>
      </c>
      <c r="C14" s="1" t="s">
        <v>12</v>
      </c>
      <c r="D14" s="1">
        <v>0.97897743740161702</v>
      </c>
      <c r="F14" s="1" t="s">
        <v>11</v>
      </c>
      <c r="G14" s="1">
        <v>2</v>
      </c>
      <c r="H14" s="1" t="s">
        <v>10</v>
      </c>
      <c r="I14" s="1">
        <v>1</v>
      </c>
      <c r="J14" s="1" t="s">
        <v>9</v>
      </c>
      <c r="K14" s="1">
        <v>-3.9435207207101104E-3</v>
      </c>
    </row>
    <row r="15" spans="2:11" x14ac:dyDescent="0.25">
      <c r="B15" s="1" t="s">
        <v>14</v>
      </c>
      <c r="C15" s="1" t="s">
        <v>9</v>
      </c>
      <c r="D15" s="1">
        <v>5.1774104479351797</v>
      </c>
      <c r="F15" s="1" t="s">
        <v>11</v>
      </c>
      <c r="G15" s="1">
        <v>2</v>
      </c>
      <c r="H15" s="1" t="s">
        <v>10</v>
      </c>
      <c r="I15" s="1">
        <v>2</v>
      </c>
      <c r="J15" s="1" t="s">
        <v>10</v>
      </c>
      <c r="K15" s="1">
        <v>8.8346154020175396E-3</v>
      </c>
    </row>
    <row r="16" spans="2:11" x14ac:dyDescent="0.25">
      <c r="B16" s="1" t="s">
        <v>14</v>
      </c>
      <c r="C16" s="1" t="s">
        <v>10</v>
      </c>
      <c r="D16" s="1">
        <v>0.67146622014991497</v>
      </c>
      <c r="F16" s="1" t="s">
        <v>11</v>
      </c>
      <c r="G16" s="1">
        <v>2</v>
      </c>
      <c r="H16" s="1" t="s">
        <v>10</v>
      </c>
      <c r="I16" s="1">
        <v>3</v>
      </c>
      <c r="J16" s="1" t="s">
        <v>12</v>
      </c>
      <c r="K16" s="1">
        <v>5.2596593987996095E-4</v>
      </c>
    </row>
    <row r="17" spans="2:11" x14ac:dyDescent="0.25">
      <c r="B17" s="1" t="s">
        <v>14</v>
      </c>
      <c r="C17" s="1" t="s">
        <v>12</v>
      </c>
      <c r="D17" s="1">
        <v>0.78455160755924402</v>
      </c>
      <c r="F17" s="1" t="s">
        <v>11</v>
      </c>
      <c r="G17" s="1">
        <v>3</v>
      </c>
      <c r="H17" s="1" t="s">
        <v>12</v>
      </c>
      <c r="I17" s="1">
        <v>1</v>
      </c>
      <c r="J17" s="1" t="s">
        <v>9</v>
      </c>
      <c r="K17" s="1">
        <v>-6.1663548774948995E-5</v>
      </c>
    </row>
    <row r="18" spans="2:11" x14ac:dyDescent="0.25">
      <c r="B18" s="1" t="s">
        <v>15</v>
      </c>
      <c r="C18" s="1" t="s">
        <v>9</v>
      </c>
      <c r="D18" s="1">
        <v>5.2681096420425497</v>
      </c>
      <c r="F18" s="1" t="s">
        <v>11</v>
      </c>
      <c r="G18" s="1">
        <v>3</v>
      </c>
      <c r="H18" s="1" t="s">
        <v>12</v>
      </c>
      <c r="I18" s="1">
        <v>2</v>
      </c>
      <c r="J18" s="1" t="s">
        <v>10</v>
      </c>
      <c r="K18" s="1">
        <v>5.2596593987996095E-4</v>
      </c>
    </row>
    <row r="19" spans="2:11" x14ac:dyDescent="0.25">
      <c r="B19" s="1" t="s">
        <v>15</v>
      </c>
      <c r="C19" s="1" t="s">
        <v>10</v>
      </c>
      <c r="D19" s="1">
        <v>0.65030378051547499</v>
      </c>
      <c r="F19" s="1" t="s">
        <v>11</v>
      </c>
      <c r="G19" s="1">
        <v>3</v>
      </c>
      <c r="H19" s="1" t="s">
        <v>12</v>
      </c>
      <c r="I19" s="1">
        <v>3</v>
      </c>
      <c r="J19" s="1" t="s">
        <v>12</v>
      </c>
      <c r="K19" s="1">
        <v>8.43907099797101E-4</v>
      </c>
    </row>
    <row r="20" spans="2:11" x14ac:dyDescent="0.25">
      <c r="B20" s="1" t="s">
        <v>15</v>
      </c>
      <c r="C20" s="1" t="s">
        <v>12</v>
      </c>
      <c r="D20" s="1">
        <v>0.725302562811588</v>
      </c>
      <c r="F20" s="1" t="s">
        <v>13</v>
      </c>
      <c r="G20" s="1">
        <v>1</v>
      </c>
      <c r="H20" s="1" t="s">
        <v>9</v>
      </c>
      <c r="I20" s="1">
        <v>1</v>
      </c>
      <c r="J20" s="1" t="s">
        <v>9</v>
      </c>
      <c r="K20" s="1">
        <v>4.0264358113845603E-3</v>
      </c>
    </row>
    <row r="21" spans="2:11" x14ac:dyDescent="0.25">
      <c r="B21" s="1" t="s">
        <v>15</v>
      </c>
      <c r="C21" s="1" t="s">
        <v>16</v>
      </c>
      <c r="D21" s="1">
        <v>1.00811679881766</v>
      </c>
      <c r="F21" s="1" t="s">
        <v>13</v>
      </c>
      <c r="G21" s="1">
        <v>1</v>
      </c>
      <c r="H21" s="1" t="s">
        <v>9</v>
      </c>
      <c r="I21" s="1">
        <v>2</v>
      </c>
      <c r="J21" s="1" t="s">
        <v>10</v>
      </c>
      <c r="K21" s="1">
        <v>-4.9105741370991298E-3</v>
      </c>
    </row>
    <row r="22" spans="2:11" x14ac:dyDescent="0.25">
      <c r="B22" s="1" t="s">
        <v>17</v>
      </c>
      <c r="C22" s="1" t="s">
        <v>9</v>
      </c>
      <c r="D22" s="1">
        <v>4.9180567880226196</v>
      </c>
      <c r="F22" s="1" t="s">
        <v>13</v>
      </c>
      <c r="G22" s="1">
        <v>1</v>
      </c>
      <c r="H22" s="1" t="s">
        <v>9</v>
      </c>
      <c r="I22" s="1">
        <v>3</v>
      </c>
      <c r="J22" s="1" t="s">
        <v>12</v>
      </c>
      <c r="K22" s="1">
        <v>-1.42446905205325E-3</v>
      </c>
    </row>
    <row r="23" spans="2:11" x14ac:dyDescent="0.25">
      <c r="B23" s="1" t="s">
        <v>17</v>
      </c>
      <c r="C23" s="1" t="s">
        <v>10</v>
      </c>
      <c r="D23" s="1">
        <v>0.69228966123427904</v>
      </c>
      <c r="F23" s="1" t="s">
        <v>13</v>
      </c>
      <c r="G23" s="1">
        <v>2</v>
      </c>
      <c r="H23" s="1" t="s">
        <v>10</v>
      </c>
      <c r="I23" s="1">
        <v>1</v>
      </c>
      <c r="J23" s="1" t="s">
        <v>9</v>
      </c>
      <c r="K23" s="1">
        <v>-4.9105741370991298E-3</v>
      </c>
    </row>
    <row r="24" spans="2:11" x14ac:dyDescent="0.25">
      <c r="B24" s="1" t="s">
        <v>17</v>
      </c>
      <c r="C24" s="1" t="s">
        <v>12</v>
      </c>
      <c r="D24" s="1">
        <v>0.53242151100859803</v>
      </c>
      <c r="F24" s="1" t="s">
        <v>13</v>
      </c>
      <c r="G24" s="1">
        <v>2</v>
      </c>
      <c r="H24" s="1" t="s">
        <v>10</v>
      </c>
      <c r="I24" s="1">
        <v>2</v>
      </c>
      <c r="J24" s="1" t="s">
        <v>10</v>
      </c>
      <c r="K24" s="1">
        <v>1.0319802582321701E-2</v>
      </c>
    </row>
    <row r="25" spans="2:11" x14ac:dyDescent="0.25">
      <c r="B25" s="1" t="s">
        <v>18</v>
      </c>
      <c r="C25" s="1" t="s">
        <v>9</v>
      </c>
      <c r="D25" s="1">
        <v>5.5361902480026099</v>
      </c>
      <c r="F25" s="1" t="s">
        <v>13</v>
      </c>
      <c r="G25" s="1">
        <v>2</v>
      </c>
      <c r="H25" s="1" t="s">
        <v>10</v>
      </c>
      <c r="I25" s="1">
        <v>3</v>
      </c>
      <c r="J25" s="1" t="s">
        <v>12</v>
      </c>
      <c r="K25" s="1">
        <v>1.93358863683836E-3</v>
      </c>
    </row>
    <row r="26" spans="2:11" x14ac:dyDescent="0.25">
      <c r="B26" s="1" t="s">
        <v>18</v>
      </c>
      <c r="C26" s="1" t="s">
        <v>10</v>
      </c>
      <c r="D26" s="1">
        <v>0.91285353902013</v>
      </c>
      <c r="F26" s="1" t="s">
        <v>13</v>
      </c>
      <c r="G26" s="1">
        <v>3</v>
      </c>
      <c r="H26" s="1" t="s">
        <v>12</v>
      </c>
      <c r="I26" s="1">
        <v>1</v>
      </c>
      <c r="J26" s="1" t="s">
        <v>9</v>
      </c>
      <c r="K26" s="1">
        <v>-1.42446905205325E-3</v>
      </c>
    </row>
    <row r="27" spans="2:11" x14ac:dyDescent="0.25">
      <c r="B27" s="1" t="s">
        <v>18</v>
      </c>
      <c r="C27" s="1" t="s">
        <v>12</v>
      </c>
      <c r="D27" s="1">
        <v>2.3869401819882302E-3</v>
      </c>
      <c r="F27" s="1" t="s">
        <v>13</v>
      </c>
      <c r="G27" s="1">
        <v>3</v>
      </c>
      <c r="H27" s="1" t="s">
        <v>12</v>
      </c>
      <c r="I27" s="1">
        <v>2</v>
      </c>
      <c r="J27" s="1" t="s">
        <v>10</v>
      </c>
      <c r="K27" s="1">
        <v>1.93358863683836E-3</v>
      </c>
    </row>
    <row r="28" spans="2:11" x14ac:dyDescent="0.25">
      <c r="F28" s="1" t="s">
        <v>13</v>
      </c>
      <c r="G28" s="1">
        <v>3</v>
      </c>
      <c r="H28" s="1" t="s">
        <v>12</v>
      </c>
      <c r="I28" s="1">
        <v>3</v>
      </c>
      <c r="J28" s="1" t="s">
        <v>12</v>
      </c>
      <c r="K28" s="1">
        <v>3.9079794513937997E-3</v>
      </c>
    </row>
    <row r="29" spans="2:11" x14ac:dyDescent="0.25">
      <c r="F29" s="1" t="s">
        <v>14</v>
      </c>
      <c r="G29" s="1">
        <v>1</v>
      </c>
      <c r="H29" s="1" t="s">
        <v>9</v>
      </c>
      <c r="I29" s="1">
        <v>1</v>
      </c>
      <c r="J29" s="1" t="s">
        <v>9</v>
      </c>
      <c r="K29" s="1">
        <v>3.0350842936850298E-3</v>
      </c>
    </row>
    <row r="30" spans="2:11" x14ac:dyDescent="0.25">
      <c r="F30" s="1" t="s">
        <v>14</v>
      </c>
      <c r="G30" s="1">
        <v>1</v>
      </c>
      <c r="H30" s="1" t="s">
        <v>9</v>
      </c>
      <c r="I30" s="1">
        <v>2</v>
      </c>
      <c r="J30" s="1" t="s">
        <v>10</v>
      </c>
      <c r="K30" s="1">
        <v>-3.7984691267301698E-3</v>
      </c>
    </row>
    <row r="31" spans="2:11" x14ac:dyDescent="0.25">
      <c r="F31" s="1" t="s">
        <v>14</v>
      </c>
      <c r="G31" s="1">
        <v>1</v>
      </c>
      <c r="H31" s="1" t="s">
        <v>9</v>
      </c>
      <c r="I31" s="1">
        <v>3</v>
      </c>
      <c r="J31" s="1" t="s">
        <v>12</v>
      </c>
      <c r="K31" s="1">
        <v>2.8882201773521799E-5</v>
      </c>
    </row>
    <row r="32" spans="2:11" x14ac:dyDescent="0.25">
      <c r="F32" s="1" t="s">
        <v>14</v>
      </c>
      <c r="G32" s="1">
        <v>2</v>
      </c>
      <c r="H32" s="1" t="s">
        <v>10</v>
      </c>
      <c r="I32" s="1">
        <v>1</v>
      </c>
      <c r="J32" s="1" t="s">
        <v>9</v>
      </c>
      <c r="K32" s="1">
        <v>-3.7984691267301698E-3</v>
      </c>
    </row>
    <row r="33" spans="6:11" x14ac:dyDescent="0.25">
      <c r="F33" s="1" t="s">
        <v>14</v>
      </c>
      <c r="G33" s="1">
        <v>2</v>
      </c>
      <c r="H33" s="1" t="s">
        <v>10</v>
      </c>
      <c r="I33" s="1">
        <v>2</v>
      </c>
      <c r="J33" s="1" t="s">
        <v>10</v>
      </c>
      <c r="K33" s="1">
        <v>9.1188264872694297E-3</v>
      </c>
    </row>
    <row r="34" spans="6:11" x14ac:dyDescent="0.25">
      <c r="F34" s="1" t="s">
        <v>14</v>
      </c>
      <c r="G34" s="1">
        <v>2</v>
      </c>
      <c r="H34" s="1" t="s">
        <v>10</v>
      </c>
      <c r="I34" s="1">
        <v>3</v>
      </c>
      <c r="J34" s="1" t="s">
        <v>12</v>
      </c>
      <c r="K34" s="1">
        <v>7.1027293547635401E-4</v>
      </c>
    </row>
    <row r="35" spans="6:11" x14ac:dyDescent="0.25">
      <c r="F35" s="1" t="s">
        <v>14</v>
      </c>
      <c r="G35" s="1">
        <v>3</v>
      </c>
      <c r="H35" s="1" t="s">
        <v>12</v>
      </c>
      <c r="I35" s="1">
        <v>1</v>
      </c>
      <c r="J35" s="1" t="s">
        <v>9</v>
      </c>
      <c r="K35" s="1">
        <v>2.8882201773521799E-5</v>
      </c>
    </row>
    <row r="36" spans="6:11" x14ac:dyDescent="0.25">
      <c r="F36" s="1" t="s">
        <v>14</v>
      </c>
      <c r="G36" s="1">
        <v>3</v>
      </c>
      <c r="H36" s="1" t="s">
        <v>12</v>
      </c>
      <c r="I36" s="1">
        <v>2</v>
      </c>
      <c r="J36" s="1" t="s">
        <v>10</v>
      </c>
      <c r="K36" s="1">
        <v>7.1027293547635401E-4</v>
      </c>
    </row>
    <row r="37" spans="6:11" x14ac:dyDescent="0.25">
      <c r="F37" s="1" t="s">
        <v>14</v>
      </c>
      <c r="G37" s="1">
        <v>3</v>
      </c>
      <c r="H37" s="1" t="s">
        <v>12</v>
      </c>
      <c r="I37" s="1">
        <v>3</v>
      </c>
      <c r="J37" s="1" t="s">
        <v>12</v>
      </c>
      <c r="K37" s="1">
        <v>8.56870915392048E-4</v>
      </c>
    </row>
    <row r="38" spans="6:11" x14ac:dyDescent="0.25">
      <c r="F38" s="1" t="s">
        <v>15</v>
      </c>
      <c r="G38" s="1">
        <v>1</v>
      </c>
      <c r="H38" s="1" t="s">
        <v>9</v>
      </c>
      <c r="I38" s="1">
        <v>1</v>
      </c>
      <c r="J38" s="1" t="s">
        <v>9</v>
      </c>
      <c r="K38" s="1">
        <v>5.1966900564377697E-3</v>
      </c>
    </row>
    <row r="39" spans="6:11" x14ac:dyDescent="0.25">
      <c r="F39" s="1" t="s">
        <v>15</v>
      </c>
      <c r="G39" s="1">
        <v>1</v>
      </c>
      <c r="H39" s="1" t="s">
        <v>9</v>
      </c>
      <c r="I39" s="1">
        <v>2</v>
      </c>
      <c r="J39" s="1" t="s">
        <v>10</v>
      </c>
      <c r="K39" s="1">
        <v>-2.7373537625294099E-3</v>
      </c>
    </row>
    <row r="40" spans="6:11" x14ac:dyDescent="0.25">
      <c r="F40" s="1" t="s">
        <v>15</v>
      </c>
      <c r="G40" s="1">
        <v>1</v>
      </c>
      <c r="H40" s="1" t="s">
        <v>9</v>
      </c>
      <c r="I40" s="1">
        <v>3</v>
      </c>
      <c r="J40" s="1" t="s">
        <v>12</v>
      </c>
      <c r="K40" s="1">
        <v>-1.4563647517170501E-3</v>
      </c>
    </row>
    <row r="41" spans="6:11" x14ac:dyDescent="0.25">
      <c r="F41" s="1" t="s">
        <v>15</v>
      </c>
      <c r="G41" s="1">
        <v>1</v>
      </c>
      <c r="H41" s="1" t="s">
        <v>9</v>
      </c>
      <c r="I41" s="1">
        <v>4</v>
      </c>
      <c r="J41" s="1" t="s">
        <v>16</v>
      </c>
      <c r="K41" s="1">
        <v>9.6647964176684604E-3</v>
      </c>
    </row>
    <row r="42" spans="6:11" x14ac:dyDescent="0.25">
      <c r="F42" s="1" t="s">
        <v>15</v>
      </c>
      <c r="G42" s="1">
        <v>2</v>
      </c>
      <c r="H42" s="1" t="s">
        <v>10</v>
      </c>
      <c r="I42" s="1">
        <v>1</v>
      </c>
      <c r="J42" s="1" t="s">
        <v>9</v>
      </c>
      <c r="K42" s="1">
        <v>-2.7373537625294099E-3</v>
      </c>
    </row>
    <row r="43" spans="6:11" x14ac:dyDescent="0.25">
      <c r="F43" s="1" t="s">
        <v>15</v>
      </c>
      <c r="G43" s="1">
        <v>2</v>
      </c>
      <c r="H43" s="1" t="s">
        <v>10</v>
      </c>
      <c r="I43" s="1">
        <v>2</v>
      </c>
      <c r="J43" s="1" t="s">
        <v>10</v>
      </c>
      <c r="K43" s="1">
        <v>8.2437853721121397E-3</v>
      </c>
    </row>
    <row r="44" spans="6:11" x14ac:dyDescent="0.25">
      <c r="F44" s="1" t="s">
        <v>15</v>
      </c>
      <c r="G44" s="1">
        <v>2</v>
      </c>
      <c r="H44" s="1" t="s">
        <v>10</v>
      </c>
      <c r="I44" s="1">
        <v>3</v>
      </c>
      <c r="J44" s="1" t="s">
        <v>12</v>
      </c>
      <c r="K44" s="1">
        <v>-3.9610210890673401E-4</v>
      </c>
    </row>
    <row r="45" spans="6:11" x14ac:dyDescent="0.25">
      <c r="F45" s="1" t="s">
        <v>15</v>
      </c>
      <c r="G45" s="1">
        <v>2</v>
      </c>
      <c r="H45" s="1" t="s">
        <v>10</v>
      </c>
      <c r="I45" s="1">
        <v>4</v>
      </c>
      <c r="J45" s="1" t="s">
        <v>16</v>
      </c>
      <c r="K45" s="1">
        <v>2.3931666792359101E-3</v>
      </c>
    </row>
    <row r="46" spans="6:11" x14ac:dyDescent="0.25">
      <c r="F46" s="1" t="s">
        <v>15</v>
      </c>
      <c r="G46" s="1">
        <v>3</v>
      </c>
      <c r="H46" s="1" t="s">
        <v>12</v>
      </c>
      <c r="I46" s="1">
        <v>1</v>
      </c>
      <c r="J46" s="1" t="s">
        <v>9</v>
      </c>
      <c r="K46" s="1">
        <v>-1.4563647517170501E-3</v>
      </c>
    </row>
    <row r="47" spans="6:11" x14ac:dyDescent="0.25">
      <c r="F47" s="1" t="s">
        <v>15</v>
      </c>
      <c r="G47" s="1">
        <v>3</v>
      </c>
      <c r="H47" s="1" t="s">
        <v>12</v>
      </c>
      <c r="I47" s="1">
        <v>2</v>
      </c>
      <c r="J47" s="1" t="s">
        <v>10</v>
      </c>
      <c r="K47" s="1">
        <v>-3.9610210890673401E-4</v>
      </c>
    </row>
    <row r="48" spans="6:11" x14ac:dyDescent="0.25">
      <c r="F48" s="1" t="s">
        <v>15</v>
      </c>
      <c r="G48" s="1">
        <v>3</v>
      </c>
      <c r="H48" s="1" t="s">
        <v>12</v>
      </c>
      <c r="I48" s="1">
        <v>3</v>
      </c>
      <c r="J48" s="1" t="s">
        <v>12</v>
      </c>
      <c r="K48" s="1">
        <v>1.81316152625331E-3</v>
      </c>
    </row>
    <row r="49" spans="6:11" x14ac:dyDescent="0.25">
      <c r="F49" s="1" t="s">
        <v>15</v>
      </c>
      <c r="G49" s="1">
        <v>3</v>
      </c>
      <c r="H49" s="1" t="s">
        <v>12</v>
      </c>
      <c r="I49" s="1">
        <v>4</v>
      </c>
      <c r="J49" s="1" t="s">
        <v>16</v>
      </c>
      <c r="K49" s="1">
        <v>-6.0522266189891004E-3</v>
      </c>
    </row>
    <row r="50" spans="6:11" x14ac:dyDescent="0.25">
      <c r="F50" s="1" t="s">
        <v>15</v>
      </c>
      <c r="G50" s="1">
        <v>4</v>
      </c>
      <c r="H50" s="1" t="s">
        <v>16</v>
      </c>
      <c r="I50" s="1">
        <v>1</v>
      </c>
      <c r="J50" s="1" t="s">
        <v>9</v>
      </c>
      <c r="K50" s="1">
        <v>9.6647964176684604E-3</v>
      </c>
    </row>
    <row r="51" spans="6:11" x14ac:dyDescent="0.25">
      <c r="F51" s="1" t="s">
        <v>15</v>
      </c>
      <c r="G51" s="1">
        <v>4</v>
      </c>
      <c r="H51" s="1" t="s">
        <v>16</v>
      </c>
      <c r="I51" s="1">
        <v>2</v>
      </c>
      <c r="J51" s="1" t="s">
        <v>10</v>
      </c>
      <c r="K51" s="1">
        <v>2.3931666792359101E-3</v>
      </c>
    </row>
    <row r="52" spans="6:11" x14ac:dyDescent="0.25">
      <c r="F52" s="1" t="s">
        <v>15</v>
      </c>
      <c r="G52" s="1">
        <v>4</v>
      </c>
      <c r="H52" s="1" t="s">
        <v>16</v>
      </c>
      <c r="I52" s="1">
        <v>3</v>
      </c>
      <c r="J52" s="1" t="s">
        <v>12</v>
      </c>
      <c r="K52" s="1">
        <v>-6.0522266189891004E-3</v>
      </c>
    </row>
    <row r="53" spans="6:11" x14ac:dyDescent="0.25">
      <c r="F53" s="1" t="s">
        <v>15</v>
      </c>
      <c r="G53" s="1">
        <v>4</v>
      </c>
      <c r="H53" s="1" t="s">
        <v>16</v>
      </c>
      <c r="I53" s="1">
        <v>4</v>
      </c>
      <c r="J53" s="1" t="s">
        <v>16</v>
      </c>
      <c r="K53" s="1">
        <v>3.4855313003294197E-2</v>
      </c>
    </row>
    <row r="54" spans="6:11" x14ac:dyDescent="0.25">
      <c r="F54" s="1" t="s">
        <v>17</v>
      </c>
      <c r="G54" s="1">
        <v>1</v>
      </c>
      <c r="H54" s="1" t="s">
        <v>9</v>
      </c>
      <c r="I54" s="1">
        <v>1</v>
      </c>
      <c r="J54" s="1" t="s">
        <v>9</v>
      </c>
      <c r="K54" s="1">
        <v>2.9926874452074598E-3</v>
      </c>
    </row>
    <row r="55" spans="6:11" x14ac:dyDescent="0.25">
      <c r="F55" s="1" t="s">
        <v>17</v>
      </c>
      <c r="G55" s="1">
        <v>1</v>
      </c>
      <c r="H55" s="1" t="s">
        <v>9</v>
      </c>
      <c r="I55" s="1">
        <v>2</v>
      </c>
      <c r="J55" s="1" t="s">
        <v>10</v>
      </c>
      <c r="K55" s="1">
        <v>-3.7333239236766098E-3</v>
      </c>
    </row>
    <row r="56" spans="6:11" x14ac:dyDescent="0.25">
      <c r="F56" s="1" t="s">
        <v>17</v>
      </c>
      <c r="G56" s="1">
        <v>1</v>
      </c>
      <c r="H56" s="1" t="s">
        <v>9</v>
      </c>
      <c r="I56" s="1">
        <v>3</v>
      </c>
      <c r="J56" s="1" t="s">
        <v>12</v>
      </c>
      <c r="K56" s="1">
        <v>-2.9066587500213098E-4</v>
      </c>
    </row>
    <row r="57" spans="6:11" x14ac:dyDescent="0.25">
      <c r="F57" s="1" t="s">
        <v>17</v>
      </c>
      <c r="G57" s="1">
        <v>2</v>
      </c>
      <c r="H57" s="1" t="s">
        <v>10</v>
      </c>
      <c r="I57" s="1">
        <v>1</v>
      </c>
      <c r="J57" s="1" t="s">
        <v>9</v>
      </c>
      <c r="K57" s="1">
        <v>-3.7333239236766098E-3</v>
      </c>
    </row>
    <row r="58" spans="6:11" x14ac:dyDescent="0.25">
      <c r="F58" s="1" t="s">
        <v>17</v>
      </c>
      <c r="G58" s="1">
        <v>2</v>
      </c>
      <c r="H58" s="1" t="s">
        <v>10</v>
      </c>
      <c r="I58" s="1">
        <v>2</v>
      </c>
      <c r="J58" s="1" t="s">
        <v>10</v>
      </c>
      <c r="K58" s="1">
        <v>8.7234429652386994E-3</v>
      </c>
    </row>
    <row r="59" spans="6:11" x14ac:dyDescent="0.25">
      <c r="F59" s="1" t="s">
        <v>17</v>
      </c>
      <c r="G59" s="1">
        <v>2</v>
      </c>
      <c r="H59" s="1" t="s">
        <v>10</v>
      </c>
      <c r="I59" s="1">
        <v>3</v>
      </c>
      <c r="J59" s="1" t="s">
        <v>12</v>
      </c>
      <c r="K59" s="1">
        <v>4.5575561822496001E-4</v>
      </c>
    </row>
    <row r="60" spans="6:11" x14ac:dyDescent="0.25">
      <c r="F60" s="1" t="s">
        <v>17</v>
      </c>
      <c r="G60" s="1">
        <v>3</v>
      </c>
      <c r="H60" s="1" t="s">
        <v>12</v>
      </c>
      <c r="I60" s="1">
        <v>1</v>
      </c>
      <c r="J60" s="1" t="s">
        <v>9</v>
      </c>
      <c r="K60" s="1">
        <v>-2.9066587500213098E-4</v>
      </c>
    </row>
    <row r="61" spans="6:11" x14ac:dyDescent="0.25">
      <c r="F61" s="1" t="s">
        <v>17</v>
      </c>
      <c r="G61" s="1">
        <v>3</v>
      </c>
      <c r="H61" s="1" t="s">
        <v>12</v>
      </c>
      <c r="I61" s="1">
        <v>2</v>
      </c>
      <c r="J61" s="1" t="s">
        <v>10</v>
      </c>
      <c r="K61" s="1">
        <v>4.5575561822496001E-4</v>
      </c>
    </row>
    <row r="62" spans="6:11" x14ac:dyDescent="0.25">
      <c r="F62" s="1" t="s">
        <v>17</v>
      </c>
      <c r="G62" s="1">
        <v>3</v>
      </c>
      <c r="H62" s="1" t="s">
        <v>12</v>
      </c>
      <c r="I62" s="1">
        <v>3</v>
      </c>
      <c r="J62" s="1" t="s">
        <v>12</v>
      </c>
      <c r="K62" s="1">
        <v>7.7627062418097104E-4</v>
      </c>
    </row>
    <row r="63" spans="6:11" x14ac:dyDescent="0.25">
      <c r="F63" s="1" t="s">
        <v>18</v>
      </c>
      <c r="G63" s="1">
        <v>1</v>
      </c>
      <c r="H63" s="1" t="s">
        <v>9</v>
      </c>
      <c r="I63" s="1">
        <v>1</v>
      </c>
      <c r="J63" s="1" t="s">
        <v>9</v>
      </c>
      <c r="K63" s="1">
        <v>5.7733173948910799E-3</v>
      </c>
    </row>
    <row r="64" spans="6:11" x14ac:dyDescent="0.25">
      <c r="F64" s="1" t="s">
        <v>18</v>
      </c>
      <c r="G64" s="1">
        <v>1</v>
      </c>
      <c r="H64" s="1" t="s">
        <v>9</v>
      </c>
      <c r="I64" s="1">
        <v>2</v>
      </c>
      <c r="J64" s="1" t="s">
        <v>10</v>
      </c>
      <c r="K64" s="1">
        <v>-7.1869580382171103E-3</v>
      </c>
    </row>
    <row r="65" spans="6:11" x14ac:dyDescent="0.25">
      <c r="F65" s="1" t="s">
        <v>18</v>
      </c>
      <c r="G65" s="1">
        <v>1</v>
      </c>
      <c r="H65" s="1" t="s">
        <v>9</v>
      </c>
      <c r="I65" s="1">
        <v>3</v>
      </c>
      <c r="J65" s="1" t="s">
        <v>12</v>
      </c>
      <c r="K65" s="1">
        <v>6.8827262754693298E-6</v>
      </c>
    </row>
    <row r="66" spans="6:11" x14ac:dyDescent="0.25">
      <c r="F66" s="1" t="s">
        <v>18</v>
      </c>
      <c r="G66" s="1">
        <v>2</v>
      </c>
      <c r="H66" s="1" t="s">
        <v>10</v>
      </c>
      <c r="I66" s="1">
        <v>1</v>
      </c>
      <c r="J66" s="1" t="s">
        <v>9</v>
      </c>
      <c r="K66" s="1">
        <v>-7.1869580382171103E-3</v>
      </c>
    </row>
    <row r="67" spans="6:11" x14ac:dyDescent="0.25">
      <c r="F67" s="1" t="s">
        <v>18</v>
      </c>
      <c r="G67" s="1">
        <v>2</v>
      </c>
      <c r="H67" s="1" t="s">
        <v>10</v>
      </c>
      <c r="I67" s="1">
        <v>2</v>
      </c>
      <c r="J67" s="1" t="s">
        <v>10</v>
      </c>
      <c r="K67" s="1">
        <v>1.8369570764361E-2</v>
      </c>
    </row>
    <row r="68" spans="6:11" x14ac:dyDescent="0.25">
      <c r="F68" s="1" t="s">
        <v>18</v>
      </c>
      <c r="G68" s="1">
        <v>2</v>
      </c>
      <c r="H68" s="1" t="s">
        <v>10</v>
      </c>
      <c r="I68" s="1">
        <v>3</v>
      </c>
      <c r="J68" s="1" t="s">
        <v>12</v>
      </c>
      <c r="K68" s="1">
        <v>7.2450605283140496E-6</v>
      </c>
    </row>
    <row r="69" spans="6:11" x14ac:dyDescent="0.25">
      <c r="F69" s="1" t="s">
        <v>18</v>
      </c>
      <c r="G69" s="1">
        <v>3</v>
      </c>
      <c r="H69" s="1" t="s">
        <v>12</v>
      </c>
      <c r="I69" s="1">
        <v>1</v>
      </c>
      <c r="J69" s="1" t="s">
        <v>9</v>
      </c>
      <c r="K69" s="1">
        <v>6.8827262754693298E-6</v>
      </c>
    </row>
    <row r="70" spans="6:11" x14ac:dyDescent="0.25">
      <c r="F70" s="1" t="s">
        <v>18</v>
      </c>
      <c r="G70" s="1">
        <v>3</v>
      </c>
      <c r="H70" s="1" t="s">
        <v>12</v>
      </c>
      <c r="I70" s="1">
        <v>2</v>
      </c>
      <c r="J70" s="1" t="s">
        <v>10</v>
      </c>
      <c r="K70" s="1">
        <v>7.2450605283140496E-6</v>
      </c>
    </row>
    <row r="71" spans="6:11" x14ac:dyDescent="0.25">
      <c r="F71" s="1" t="s">
        <v>18</v>
      </c>
      <c r="G71" s="1">
        <v>3</v>
      </c>
      <c r="H71" s="1" t="s">
        <v>12</v>
      </c>
      <c r="I71" s="1">
        <v>3</v>
      </c>
      <c r="J71" s="1" t="s">
        <v>12</v>
      </c>
      <c r="K71" s="1">
        <v>8.6613739670011098E-8</v>
      </c>
    </row>
  </sheetData>
  <mergeCells count="4">
    <mergeCell ref="B2:C2"/>
    <mergeCell ref="B3:C3"/>
    <mergeCell ref="F5:K5"/>
    <mergeCell ref="B5:D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46</vt:i4>
      </vt:variant>
    </vt:vector>
  </HeadingPairs>
  <TitlesOfParts>
    <vt:vector size="49" baseType="lpstr">
      <vt:lpstr>Extrapolations</vt:lpstr>
      <vt:lpstr>Stat. Parameters</vt:lpstr>
      <vt:lpstr>Exported data</vt:lpstr>
      <vt:lpstr>cycle_length</vt:lpstr>
      <vt:lpstr>exp_c_lambda</vt:lpstr>
      <vt:lpstr>exp_i_lambda</vt:lpstr>
      <vt:lpstr>gam_c_gamma</vt:lpstr>
      <vt:lpstr>gam_c_lambda</vt:lpstr>
      <vt:lpstr>gam_i_gamma</vt:lpstr>
      <vt:lpstr>gam_i_lambda</vt:lpstr>
      <vt:lpstr>ggam_c_delta</vt:lpstr>
      <vt:lpstr>ggam_c_gamma</vt:lpstr>
      <vt:lpstr>ggam_c_lambda</vt:lpstr>
      <vt:lpstr>ggam_i_delta</vt:lpstr>
      <vt:lpstr>ggam_i_gamma</vt:lpstr>
      <vt:lpstr>ggam_i_lambda</vt:lpstr>
      <vt:lpstr>gomp_c_gamma</vt:lpstr>
      <vt:lpstr>gomp_c_lambda</vt:lpstr>
      <vt:lpstr>gomp_i_gamma</vt:lpstr>
      <vt:lpstr>gomp_i_lambda</vt:lpstr>
      <vt:lpstr>ll_c_gamma</vt:lpstr>
      <vt:lpstr>ll_c_lambda</vt:lpstr>
      <vt:lpstr>ll_i_gamma</vt:lpstr>
      <vt:lpstr>ll_i_lambda</vt:lpstr>
      <vt:lpstr>ln_c_gamma</vt:lpstr>
      <vt:lpstr>ln_c_lambda</vt:lpstr>
      <vt:lpstr>ln_i_gamma</vt:lpstr>
      <vt:lpstr>ln_i_lambda</vt:lpstr>
      <vt:lpstr>matTexp</vt:lpstr>
      <vt:lpstr>matTgam</vt:lpstr>
      <vt:lpstr>matTggam</vt:lpstr>
      <vt:lpstr>matTgomp</vt:lpstr>
      <vt:lpstr>matTllog</vt:lpstr>
      <vt:lpstr>matTlnor</vt:lpstr>
      <vt:lpstr>matTweib</vt:lpstr>
      <vt:lpstr>option_truefalse</vt:lpstr>
      <vt:lpstr>PSA</vt:lpstr>
      <vt:lpstr>rand_1</vt:lpstr>
      <vt:lpstr>rand_2</vt:lpstr>
      <vt:lpstr>rand_3</vt:lpstr>
      <vt:lpstr>rand_4</vt:lpstr>
      <vt:lpstr>rvec_1</vt:lpstr>
      <vt:lpstr>rvec_2</vt:lpstr>
      <vt:lpstr>rvec_3</vt:lpstr>
      <vt:lpstr>rvec_4</vt:lpstr>
      <vt:lpstr>weib_c_gamma</vt:lpstr>
      <vt:lpstr>weib_c_lambda</vt:lpstr>
      <vt:lpstr>weib_i_gamma</vt:lpstr>
      <vt:lpstr>weib_i_lambda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Bennett, Iain {MGPD~Basel}</dc:creator>
  <cp:lastModifiedBy>Bennett, Iain {MGPD~Basel}</cp:lastModifiedBy>
  <dcterms:created xsi:type="dcterms:W3CDTF">2022-05-12T11:20:04Z</dcterms:created>
  <dcterms:modified xsi:type="dcterms:W3CDTF">2022-05-13T18:27:54Z</dcterms:modified>
</cp:coreProperties>
</file>