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Noah\Downloads\"/>
    </mc:Choice>
  </mc:AlternateContent>
  <xr:revisionPtr revIDLastSave="0" documentId="13_ncr:1_{6F7E934B-F6D2-46A1-99E9-2A0959CD2232}" xr6:coauthVersionLast="47" xr6:coauthVersionMax="47" xr10:uidLastSave="{00000000-0000-0000-0000-000000000000}"/>
  <bookViews>
    <workbookView xWindow="-98" yWindow="-98" windowWidth="28996" windowHeight="15796" tabRatio="576" activeTab="1" xr2:uid="{00000000-000D-0000-FFFF-FFFF00000000}"/>
  </bookViews>
  <sheets>
    <sheet name="Other" sheetId="17" r:id="rId1"/>
    <sheet name="Consumables" sheetId="18" r:id="rId2"/>
    <sheet name="MMM's" sheetId="3" r:id="rId3"/>
    <sheet name="Evercoat" sheetId="4" r:id="rId4"/>
    <sheet name="Axalta" sheetId="6" r:id="rId5"/>
    <sheet name="PPG Industrial" sheetId="7" r:id="rId6"/>
    <sheet name="Norton,SEM,Transstar" sheetId="8" r:id="rId7"/>
    <sheet name="CHROMA" sheetId="9" r:id="rId8"/>
    <sheet name="Farm&amp;Fleet" sheetId="10" r:id="rId9"/>
    <sheet name=" Harbor  northern tools" sheetId="15" r:id="rId10"/>
    <sheet name="S and S" sheetId="16" r:id="rId11"/>
    <sheet name="Catalogues" sheetId="13" r:id="rId12"/>
    <sheet name="OBSOLETE ITEMS" sheetId="14" r:id="rId13"/>
    <sheet name="NRE" sheetId="12" r:id="rId14"/>
    <sheet name="NRE Per unit" sheetId="19" r:id="rId15"/>
  </sheets>
  <definedNames>
    <definedName name="_xlnm._FilterDatabase" localSheetId="2" hidden="1">'MMM''s'!$M$239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8" l="1"/>
  <c r="M72" i="18"/>
  <c r="G15" i="7"/>
  <c r="M22" i="8"/>
  <c r="M50" i="6"/>
  <c r="N50" i="6" s="1"/>
  <c r="M46" i="6"/>
  <c r="M74" i="17"/>
  <c r="M76" i="17"/>
  <c r="M75" i="17"/>
  <c r="M73" i="17"/>
  <c r="N73" i="17" s="1"/>
  <c r="M69" i="17"/>
  <c r="M68" i="17"/>
  <c r="M65" i="17"/>
  <c r="M64" i="17"/>
  <c r="N64" i="17" s="1"/>
  <c r="M60" i="17"/>
  <c r="M57" i="17"/>
  <c r="N57" i="17" s="1"/>
  <c r="M56" i="17"/>
  <c r="M55" i="17"/>
  <c r="N55" i="17" s="1"/>
  <c r="M54" i="17"/>
  <c r="M53" i="17"/>
  <c r="M51" i="17"/>
  <c r="M49" i="17"/>
  <c r="N49" i="17" s="1"/>
  <c r="M48" i="17"/>
  <c r="M47" i="17"/>
  <c r="M46" i="17"/>
  <c r="M43" i="17"/>
  <c r="N43" i="17" s="1"/>
  <c r="M40" i="17"/>
  <c r="M37" i="17"/>
  <c r="N37" i="17" s="1"/>
  <c r="M34" i="17"/>
  <c r="M32" i="17"/>
  <c r="N32" i="17" s="1"/>
  <c r="M31" i="17"/>
  <c r="M28" i="17"/>
  <c r="N28" i="17" s="1"/>
  <c r="M27" i="17"/>
  <c r="M26" i="17"/>
  <c r="M25" i="17"/>
  <c r="M24" i="17"/>
  <c r="M19" i="17"/>
  <c r="M20" i="17"/>
  <c r="N20" i="17" s="1"/>
  <c r="M18" i="17"/>
  <c r="M17" i="17"/>
  <c r="M16" i="17"/>
  <c r="M15" i="17"/>
  <c r="N15" i="17" s="1"/>
  <c r="M14" i="17"/>
  <c r="M13" i="17"/>
  <c r="N13" i="17" s="1"/>
  <c r="M12" i="17"/>
  <c r="N12" i="17" s="1"/>
  <c r="M11" i="17"/>
  <c r="M7" i="17"/>
  <c r="M6" i="17"/>
  <c r="M5" i="17"/>
  <c r="M4" i="17"/>
  <c r="N69" i="17"/>
  <c r="N65" i="17"/>
  <c r="N53" i="17"/>
  <c r="N25" i="17"/>
  <c r="N17" i="17"/>
  <c r="N5" i="17"/>
  <c r="J9" i="12"/>
  <c r="M9" i="12" s="1"/>
  <c r="N9" i="12" s="1"/>
  <c r="F20" i="17"/>
  <c r="M8" i="6"/>
  <c r="N8" i="6" s="1"/>
  <c r="N51" i="17"/>
  <c r="F51" i="17"/>
  <c r="M158" i="3"/>
  <c r="N158" i="3" s="1"/>
  <c r="J158" i="3"/>
  <c r="K158" i="3" s="1"/>
  <c r="F158" i="3"/>
  <c r="K28" i="12"/>
  <c r="J28" i="12"/>
  <c r="L28" i="12" s="1"/>
  <c r="J80" i="3"/>
  <c r="K80" i="3" s="1"/>
  <c r="F80" i="3"/>
  <c r="M80" i="3" s="1"/>
  <c r="N80" i="3" s="1"/>
  <c r="J67" i="12"/>
  <c r="L67" i="12" s="1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L43" i="12" s="1"/>
  <c r="J39" i="12"/>
  <c r="J38" i="12"/>
  <c r="J37" i="12"/>
  <c r="J36" i="12"/>
  <c r="J35" i="12"/>
  <c r="J34" i="12"/>
  <c r="J33" i="12"/>
  <c r="J32" i="12"/>
  <c r="L32" i="12" s="1"/>
  <c r="J31" i="12"/>
  <c r="L31" i="12" s="1"/>
  <c r="J30" i="12"/>
  <c r="J29" i="12"/>
  <c r="J27" i="12"/>
  <c r="J26" i="12"/>
  <c r="L26" i="12" s="1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8" i="12"/>
  <c r="J7" i="12"/>
  <c r="J6" i="12"/>
  <c r="J5" i="12"/>
  <c r="J4" i="12"/>
  <c r="L4" i="12" s="1"/>
  <c r="J3" i="12"/>
  <c r="J2" i="12"/>
  <c r="L13" i="12"/>
  <c r="K13" i="12"/>
  <c r="F32" i="17"/>
  <c r="M66" i="6"/>
  <c r="N66" i="6" s="1"/>
  <c r="F66" i="6"/>
  <c r="F31" i="17"/>
  <c r="N31" i="17"/>
  <c r="N11" i="17"/>
  <c r="F11" i="17"/>
  <c r="F12" i="17"/>
  <c r="J34" i="6"/>
  <c r="K34" i="6" s="1"/>
  <c r="F34" i="6"/>
  <c r="G34" i="6" s="1"/>
  <c r="M34" i="6" s="1"/>
  <c r="N34" i="6" s="1"/>
  <c r="F28" i="6"/>
  <c r="M28" i="6"/>
  <c r="N28" i="6" s="1"/>
  <c r="J28" i="6"/>
  <c r="K28" i="6" s="1"/>
  <c r="J22" i="18"/>
  <c r="K22" i="18" s="1"/>
  <c r="N22" i="18"/>
  <c r="M22" i="18"/>
  <c r="F22" i="18"/>
  <c r="E22" i="18"/>
  <c r="F3" i="4"/>
  <c r="M3" i="4" s="1"/>
  <c r="N3" i="4" s="1"/>
  <c r="N14" i="18"/>
  <c r="M14" i="18"/>
  <c r="F14" i="18"/>
  <c r="E14" i="18"/>
  <c r="J33" i="3"/>
  <c r="K33" i="3" s="1"/>
  <c r="F33" i="3"/>
  <c r="M33" i="3" s="1"/>
  <c r="N33" i="3" s="1"/>
  <c r="J33" i="6"/>
  <c r="K33" i="6" s="1"/>
  <c r="F33" i="6"/>
  <c r="G33" i="6" s="1"/>
  <c r="M33" i="6" s="1"/>
  <c r="N33" i="6" s="1"/>
  <c r="M35" i="6"/>
  <c r="N35" i="6"/>
  <c r="M58" i="6"/>
  <c r="N58" i="6" s="1"/>
  <c r="F58" i="6"/>
  <c r="F60" i="6"/>
  <c r="M60" i="6"/>
  <c r="N60" i="6" s="1"/>
  <c r="J63" i="6"/>
  <c r="K63" i="6" s="1"/>
  <c r="F63" i="6"/>
  <c r="M63" i="6" s="1"/>
  <c r="N63" i="6" s="1"/>
  <c r="J22" i="8"/>
  <c r="K22" i="8" s="1"/>
  <c r="F22" i="8"/>
  <c r="J161" i="3"/>
  <c r="K161" i="3" s="1"/>
  <c r="F161" i="3"/>
  <c r="M161" i="3" s="1"/>
  <c r="N161" i="3" s="1"/>
  <c r="J114" i="3"/>
  <c r="K114" i="3" s="1"/>
  <c r="F114" i="3"/>
  <c r="M114" i="3" s="1"/>
  <c r="N114" i="3" s="1"/>
  <c r="J124" i="3"/>
  <c r="F68" i="18"/>
  <c r="F67" i="18"/>
  <c r="F66" i="18"/>
  <c r="F65" i="18"/>
  <c r="F64" i="18"/>
  <c r="F63" i="18"/>
  <c r="F61" i="18"/>
  <c r="F60" i="18"/>
  <c r="F58" i="18"/>
  <c r="F57" i="18"/>
  <c r="F56" i="18"/>
  <c r="F51" i="18"/>
  <c r="F50" i="18"/>
  <c r="F49" i="18"/>
  <c r="F48" i="18"/>
  <c r="F47" i="18"/>
  <c r="F46" i="18"/>
  <c r="F40" i="18"/>
  <c r="F39" i="18"/>
  <c r="F36" i="18"/>
  <c r="F35" i="18"/>
  <c r="F34" i="18"/>
  <c r="F33" i="18"/>
  <c r="F29" i="18"/>
  <c r="F26" i="18"/>
  <c r="F25" i="18"/>
  <c r="F21" i="18"/>
  <c r="F20" i="18"/>
  <c r="F19" i="18"/>
  <c r="F18" i="18"/>
  <c r="F17" i="18"/>
  <c r="F11" i="18"/>
  <c r="F10" i="18"/>
  <c r="F9" i="18"/>
  <c r="F8" i="18"/>
  <c r="F7" i="18"/>
  <c r="F6" i="18"/>
  <c r="F5" i="18"/>
  <c r="F4" i="18"/>
  <c r="E21" i="18"/>
  <c r="M21" i="18"/>
  <c r="N21" i="18" s="1"/>
  <c r="J21" i="18"/>
  <c r="K21" i="18" s="1"/>
  <c r="N45" i="18"/>
  <c r="F45" i="18"/>
  <c r="J17" i="8"/>
  <c r="K17" i="8" s="1"/>
  <c r="F17" i="8"/>
  <c r="M17" i="8" s="1"/>
  <c r="N17" i="8" s="1"/>
  <c r="F13" i="17"/>
  <c r="F15" i="17"/>
  <c r="F16" i="17"/>
  <c r="N16" i="17"/>
  <c r="M57" i="6"/>
  <c r="N57" i="6" s="1"/>
  <c r="F57" i="6"/>
  <c r="M43" i="6"/>
  <c r="N43" i="6" s="1"/>
  <c r="F43" i="6"/>
  <c r="F110" i="3"/>
  <c r="M110" i="3" s="1"/>
  <c r="N110" i="3" s="1"/>
  <c r="F229" i="3"/>
  <c r="M229" i="3" s="1"/>
  <c r="N229" i="3" s="1"/>
  <c r="F120" i="3"/>
  <c r="M120" i="3" s="1"/>
  <c r="N120" i="3" s="1"/>
  <c r="M54" i="6"/>
  <c r="N54" i="6" s="1"/>
  <c r="F54" i="6"/>
  <c r="F50" i="6"/>
  <c r="F4" i="4"/>
  <c r="M4" i="4" s="1"/>
  <c r="N4" i="4" s="1"/>
  <c r="F101" i="3"/>
  <c r="M101" i="3" s="1"/>
  <c r="N101" i="3" s="1"/>
  <c r="F32" i="8"/>
  <c r="M32" i="8" s="1"/>
  <c r="N32" i="8" s="1"/>
  <c r="F19" i="8"/>
  <c r="M19" i="8" s="1"/>
  <c r="N19" i="8" s="1"/>
  <c r="N98" i="3"/>
  <c r="F98" i="3"/>
  <c r="M25" i="3"/>
  <c r="N25" i="3" s="1"/>
  <c r="K32" i="12"/>
  <c r="K31" i="12"/>
  <c r="K30" i="12"/>
  <c r="K66" i="12"/>
  <c r="H43" i="12"/>
  <c r="K63" i="18"/>
  <c r="J68" i="18"/>
  <c r="K68" i="18" s="1"/>
  <c r="J67" i="18"/>
  <c r="K67" i="18" s="1"/>
  <c r="J66" i="18"/>
  <c r="K66" i="18" s="1"/>
  <c r="J65" i="18"/>
  <c r="K65" i="18" s="1"/>
  <c r="J64" i="18"/>
  <c r="K64" i="18" s="1"/>
  <c r="J63" i="18"/>
  <c r="J61" i="18"/>
  <c r="K61" i="18" s="1"/>
  <c r="J60" i="18"/>
  <c r="K60" i="18" s="1"/>
  <c r="J58" i="18"/>
  <c r="K58" i="18" s="1"/>
  <c r="J57" i="18"/>
  <c r="K57" i="18" s="1"/>
  <c r="J56" i="18"/>
  <c r="K56" i="18" s="1"/>
  <c r="J51" i="18"/>
  <c r="K51" i="18" s="1"/>
  <c r="J50" i="18"/>
  <c r="K50" i="18" s="1"/>
  <c r="J49" i="18"/>
  <c r="K49" i="18" s="1"/>
  <c r="J48" i="18"/>
  <c r="K48" i="18" s="1"/>
  <c r="J47" i="18"/>
  <c r="K47" i="18" s="1"/>
  <c r="J46" i="18"/>
  <c r="K46" i="18" s="1"/>
  <c r="J40" i="18"/>
  <c r="K40" i="18" s="1"/>
  <c r="J39" i="18"/>
  <c r="K39" i="18" s="1"/>
  <c r="J36" i="18"/>
  <c r="K36" i="18" s="1"/>
  <c r="J35" i="18"/>
  <c r="K35" i="18" s="1"/>
  <c r="J34" i="18"/>
  <c r="K34" i="18" s="1"/>
  <c r="J33" i="18"/>
  <c r="K33" i="18" s="1"/>
  <c r="J29" i="18"/>
  <c r="K29" i="18" s="1"/>
  <c r="J26" i="18"/>
  <c r="K26" i="18" s="1"/>
  <c r="J25" i="18"/>
  <c r="K25" i="18" s="1"/>
  <c r="J20" i="18"/>
  <c r="K20" i="18" s="1"/>
  <c r="J19" i="18"/>
  <c r="K19" i="18" s="1"/>
  <c r="J18" i="18"/>
  <c r="K18" i="18" s="1"/>
  <c r="J17" i="18"/>
  <c r="K17" i="18" s="1"/>
  <c r="J11" i="18"/>
  <c r="K11" i="18" s="1"/>
  <c r="J10" i="18"/>
  <c r="K10" i="18" s="1"/>
  <c r="J9" i="18"/>
  <c r="K9" i="18" s="1"/>
  <c r="J7" i="18"/>
  <c r="K7" i="18" s="1"/>
  <c r="J6" i="18"/>
  <c r="K6" i="18" s="1"/>
  <c r="J5" i="18"/>
  <c r="K5" i="18" s="1"/>
  <c r="K84" i="17"/>
  <c r="J84" i="17"/>
  <c r="M54" i="16"/>
  <c r="N54" i="16"/>
  <c r="K51" i="16"/>
  <c r="J51" i="16"/>
  <c r="M4" i="16"/>
  <c r="N4" i="16" s="1"/>
  <c r="M4" i="15"/>
  <c r="K44" i="9"/>
  <c r="J44" i="9"/>
  <c r="N45" i="9"/>
  <c r="M45" i="9"/>
  <c r="K39" i="9"/>
  <c r="F39" i="9"/>
  <c r="J4" i="9"/>
  <c r="J3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K3" i="9"/>
  <c r="K4" i="9"/>
  <c r="J39" i="9"/>
  <c r="J38" i="9"/>
  <c r="K38" i="9" s="1"/>
  <c r="J37" i="9"/>
  <c r="K37" i="9" s="1"/>
  <c r="J36" i="9"/>
  <c r="K36" i="9" s="1"/>
  <c r="J35" i="9"/>
  <c r="K35" i="9" s="1"/>
  <c r="J34" i="9"/>
  <c r="K34" i="9" s="1"/>
  <c r="J33" i="9"/>
  <c r="K33" i="9" s="1"/>
  <c r="J32" i="9"/>
  <c r="K32" i="9" s="1"/>
  <c r="J31" i="9"/>
  <c r="K31" i="9" s="1"/>
  <c r="J30" i="9"/>
  <c r="K30" i="9" s="1"/>
  <c r="J29" i="9"/>
  <c r="K29" i="9" s="1"/>
  <c r="J28" i="9"/>
  <c r="K28" i="9" s="1"/>
  <c r="J27" i="9"/>
  <c r="K27" i="9" s="1"/>
  <c r="J26" i="9"/>
  <c r="K26" i="9" s="1"/>
  <c r="J25" i="9"/>
  <c r="K25" i="9" s="1"/>
  <c r="J24" i="9"/>
  <c r="K24" i="9" s="1"/>
  <c r="J23" i="9"/>
  <c r="K23" i="9" s="1"/>
  <c r="J19" i="9"/>
  <c r="K19" i="9" s="1"/>
  <c r="J12" i="9"/>
  <c r="K12" i="9" s="1"/>
  <c r="J11" i="9"/>
  <c r="K11" i="9" s="1"/>
  <c r="J5" i="9"/>
  <c r="K5" i="9" s="1"/>
  <c r="J28" i="8"/>
  <c r="J27" i="8"/>
  <c r="J11" i="8"/>
  <c r="J10" i="8"/>
  <c r="J6" i="8"/>
  <c r="K6" i="8" s="1"/>
  <c r="J29" i="8"/>
  <c r="K29" i="8" s="1"/>
  <c r="J16" i="8"/>
  <c r="K16" i="8" s="1"/>
  <c r="J15" i="8"/>
  <c r="K15" i="8" s="1"/>
  <c r="J14" i="8"/>
  <c r="K14" i="8" s="1"/>
  <c r="J9" i="8"/>
  <c r="K9" i="8" s="1"/>
  <c r="J5" i="8"/>
  <c r="K5" i="8" s="1"/>
  <c r="J9" i="7"/>
  <c r="J6" i="7"/>
  <c r="M23" i="7"/>
  <c r="M22" i="7"/>
  <c r="M15" i="7"/>
  <c r="N15" i="7" s="1"/>
  <c r="G22" i="7"/>
  <c r="F18" i="7"/>
  <c r="F9" i="7"/>
  <c r="F28" i="7"/>
  <c r="F24" i="7"/>
  <c r="F23" i="7"/>
  <c r="F22" i="7"/>
  <c r="F17" i="7"/>
  <c r="F16" i="7"/>
  <c r="F15" i="7"/>
  <c r="F14" i="7"/>
  <c r="F6" i="7"/>
  <c r="F5" i="7"/>
  <c r="G6" i="7" s="1"/>
  <c r="M6" i="7" s="1"/>
  <c r="N6" i="7" s="1"/>
  <c r="J28" i="7"/>
  <c r="J24" i="7"/>
  <c r="J23" i="7"/>
  <c r="J22" i="7"/>
  <c r="J18" i="7"/>
  <c r="J17" i="7"/>
  <c r="J16" i="7"/>
  <c r="J15" i="7"/>
  <c r="J14" i="7"/>
  <c r="K14" i="7" s="1"/>
  <c r="J5" i="7"/>
  <c r="K5" i="7" s="1"/>
  <c r="K28" i="7"/>
  <c r="K23" i="7"/>
  <c r="K22" i="7"/>
  <c r="K18" i="7"/>
  <c r="K17" i="7"/>
  <c r="K16" i="7"/>
  <c r="K15" i="7"/>
  <c r="K9" i="7"/>
  <c r="N23" i="7"/>
  <c r="N22" i="7"/>
  <c r="K6" i="7"/>
  <c r="K24" i="7"/>
  <c r="K15" i="6"/>
  <c r="K14" i="6"/>
  <c r="K13" i="6"/>
  <c r="J7" i="6"/>
  <c r="K7" i="6" s="1"/>
  <c r="J6" i="6"/>
  <c r="K6" i="6" s="1"/>
  <c r="J46" i="6"/>
  <c r="K46" i="6" s="1"/>
  <c r="J44" i="6"/>
  <c r="K44" i="6" s="1"/>
  <c r="J40" i="6"/>
  <c r="K40" i="6" s="1"/>
  <c r="J39" i="6"/>
  <c r="K39" i="6" s="1"/>
  <c r="J38" i="6"/>
  <c r="K38" i="6" s="1"/>
  <c r="J27" i="6"/>
  <c r="K27" i="6" s="1"/>
  <c r="J32" i="6"/>
  <c r="K32" i="6" s="1"/>
  <c r="J31" i="6"/>
  <c r="K31" i="6" s="1"/>
  <c r="J21" i="6"/>
  <c r="K21" i="6" s="1"/>
  <c r="M47" i="6"/>
  <c r="N47" i="6" s="1"/>
  <c r="N46" i="6"/>
  <c r="M45" i="6"/>
  <c r="N45" i="6" s="1"/>
  <c r="M44" i="6"/>
  <c r="N44" i="6" s="1"/>
  <c r="M42" i="6"/>
  <c r="N42" i="6" s="1"/>
  <c r="M41" i="6"/>
  <c r="N41" i="6" s="1"/>
  <c r="M40" i="6"/>
  <c r="N40" i="6" s="1"/>
  <c r="M39" i="6"/>
  <c r="N39" i="6" s="1"/>
  <c r="M38" i="6"/>
  <c r="N38" i="6" s="1"/>
  <c r="M36" i="6"/>
  <c r="N36" i="6" s="1"/>
  <c r="M32" i="6"/>
  <c r="N32" i="6" s="1"/>
  <c r="M30" i="6"/>
  <c r="N30" i="6" s="1"/>
  <c r="M29" i="6"/>
  <c r="N29" i="6" s="1"/>
  <c r="M27" i="6"/>
  <c r="N27" i="6" s="1"/>
  <c r="M21" i="6"/>
  <c r="N21" i="6" s="1"/>
  <c r="M20" i="6"/>
  <c r="N20" i="6" s="1"/>
  <c r="M19" i="6"/>
  <c r="N19" i="6" s="1"/>
  <c r="M18" i="6"/>
  <c r="N18" i="6" s="1"/>
  <c r="M16" i="6"/>
  <c r="N16" i="6" s="1"/>
  <c r="M15" i="6"/>
  <c r="N15" i="6" s="1"/>
  <c r="M13" i="6"/>
  <c r="N13" i="6" s="1"/>
  <c r="J18" i="6"/>
  <c r="K18" i="6" s="1"/>
  <c r="J8" i="6"/>
  <c r="K8" i="6" s="1"/>
  <c r="J5" i="6"/>
  <c r="K5" i="6" s="1"/>
  <c r="J4" i="6"/>
  <c r="K4" i="6" s="1"/>
  <c r="J3" i="6"/>
  <c r="K21" i="3"/>
  <c r="K20" i="3"/>
  <c r="K19" i="3"/>
  <c r="K18" i="3"/>
  <c r="K17" i="3"/>
  <c r="J14" i="3"/>
  <c r="K14" i="3" s="1"/>
  <c r="J13" i="3"/>
  <c r="K13" i="3" s="1"/>
  <c r="K12" i="3"/>
  <c r="J25" i="4"/>
  <c r="K25" i="4" s="1"/>
  <c r="J21" i="4"/>
  <c r="K21" i="4" s="1"/>
  <c r="J19" i="4"/>
  <c r="K19" i="4" s="1"/>
  <c r="J20" i="4"/>
  <c r="K20" i="4" s="1"/>
  <c r="J18" i="4"/>
  <c r="K18" i="4" s="1"/>
  <c r="J15" i="4"/>
  <c r="K15" i="4" s="1"/>
  <c r="J14" i="4"/>
  <c r="K14" i="4" s="1"/>
  <c r="J28" i="4"/>
  <c r="K28" i="4" s="1"/>
  <c r="J11" i="4"/>
  <c r="K11" i="4" s="1"/>
  <c r="J10" i="4"/>
  <c r="K10" i="4" s="1"/>
  <c r="J7" i="4"/>
  <c r="K7" i="4" s="1"/>
  <c r="J6" i="4"/>
  <c r="K6" i="4" s="1"/>
  <c r="J5" i="4"/>
  <c r="J223" i="18"/>
  <c r="J210" i="18"/>
  <c r="K210" i="18" s="1"/>
  <c r="J209" i="18"/>
  <c r="K209" i="18" s="1"/>
  <c r="J208" i="18"/>
  <c r="K208" i="18" s="1"/>
  <c r="J205" i="18"/>
  <c r="K205" i="18" s="1"/>
  <c r="J204" i="18"/>
  <c r="K204" i="18" s="1"/>
  <c r="J194" i="18"/>
  <c r="J4" i="18"/>
  <c r="M68" i="18"/>
  <c r="N68" i="18" s="1"/>
  <c r="M67" i="18"/>
  <c r="N67" i="18" s="1"/>
  <c r="M66" i="18"/>
  <c r="N66" i="18" s="1"/>
  <c r="M65" i="18"/>
  <c r="N65" i="18" s="1"/>
  <c r="M64" i="18"/>
  <c r="N64" i="18" s="1"/>
  <c r="M63" i="18"/>
  <c r="N63" i="18" s="1"/>
  <c r="M61" i="18"/>
  <c r="N61" i="18" s="1"/>
  <c r="M60" i="18"/>
  <c r="N60" i="18" s="1"/>
  <c r="M58" i="18"/>
  <c r="N58" i="18" s="1"/>
  <c r="M57" i="18"/>
  <c r="N57" i="18" s="1"/>
  <c r="M56" i="18"/>
  <c r="N56" i="18" s="1"/>
  <c r="M51" i="18"/>
  <c r="N51" i="18" s="1"/>
  <c r="M50" i="18"/>
  <c r="N50" i="18" s="1"/>
  <c r="M49" i="18"/>
  <c r="N49" i="18" s="1"/>
  <c r="M48" i="18"/>
  <c r="N48" i="18" s="1"/>
  <c r="M47" i="18"/>
  <c r="N47" i="18" s="1"/>
  <c r="M46" i="18"/>
  <c r="N46" i="18" s="1"/>
  <c r="M40" i="18"/>
  <c r="N40" i="18" s="1"/>
  <c r="M39" i="18"/>
  <c r="N39" i="18" s="1"/>
  <c r="M36" i="18"/>
  <c r="N36" i="18" s="1"/>
  <c r="M35" i="18"/>
  <c r="N35" i="18" s="1"/>
  <c r="M34" i="18"/>
  <c r="N34" i="18" s="1"/>
  <c r="M33" i="18"/>
  <c r="N33" i="18" s="1"/>
  <c r="M29" i="18"/>
  <c r="N29" i="18" s="1"/>
  <c r="M26" i="18"/>
  <c r="N26" i="18" s="1"/>
  <c r="M25" i="18"/>
  <c r="N25" i="18" s="1"/>
  <c r="M20" i="18"/>
  <c r="N20" i="18" s="1"/>
  <c r="M19" i="18"/>
  <c r="N19" i="18" s="1"/>
  <c r="M18" i="18"/>
  <c r="N18" i="18" s="1"/>
  <c r="M17" i="18"/>
  <c r="N17" i="18" s="1"/>
  <c r="M11" i="18"/>
  <c r="N11" i="18" s="1"/>
  <c r="M10" i="18"/>
  <c r="N10" i="18" s="1"/>
  <c r="M9" i="18"/>
  <c r="N9" i="18" s="1"/>
  <c r="M8" i="18"/>
  <c r="N8" i="18" s="1"/>
  <c r="M7" i="18"/>
  <c r="N7" i="18" s="1"/>
  <c r="N6" i="18"/>
  <c r="N72" i="18" s="1"/>
  <c r="M5" i="18"/>
  <c r="M4" i="18"/>
  <c r="E68" i="18"/>
  <c r="E67" i="18"/>
  <c r="E66" i="18"/>
  <c r="E65" i="18"/>
  <c r="E64" i="18"/>
  <c r="E63" i="18"/>
  <c r="E61" i="18"/>
  <c r="E60" i="18"/>
  <c r="E58" i="18"/>
  <c r="E57" i="18"/>
  <c r="E56" i="18"/>
  <c r="E51" i="18"/>
  <c r="E50" i="18"/>
  <c r="E49" i="18"/>
  <c r="E48" i="18"/>
  <c r="E47" i="18"/>
  <c r="E46" i="18"/>
  <c r="E40" i="18"/>
  <c r="E39" i="18"/>
  <c r="E35" i="18"/>
  <c r="E34" i="18"/>
  <c r="E33" i="18"/>
  <c r="E29" i="18"/>
  <c r="E26" i="18"/>
  <c r="E25" i="18"/>
  <c r="E20" i="18"/>
  <c r="E19" i="18"/>
  <c r="E18" i="18"/>
  <c r="E17" i="18"/>
  <c r="E10" i="18"/>
  <c r="E9" i="18"/>
  <c r="E8" i="18"/>
  <c r="E7" i="18"/>
  <c r="E6" i="18"/>
  <c r="E5" i="18"/>
  <c r="N76" i="17"/>
  <c r="N75" i="17"/>
  <c r="N74" i="17"/>
  <c r="N68" i="17"/>
  <c r="N60" i="17"/>
  <c r="N56" i="17"/>
  <c r="N54" i="17"/>
  <c r="N48" i="17"/>
  <c r="N47" i="17"/>
  <c r="N46" i="17"/>
  <c r="N40" i="17"/>
  <c r="N34" i="17"/>
  <c r="N27" i="17"/>
  <c r="N26" i="17"/>
  <c r="N24" i="17"/>
  <c r="N19" i="17"/>
  <c r="N18" i="17"/>
  <c r="N14" i="17"/>
  <c r="N7" i="17"/>
  <c r="N6" i="17"/>
  <c r="F76" i="17"/>
  <c r="F75" i="17"/>
  <c r="F74" i="17"/>
  <c r="F73" i="17"/>
  <c r="F69" i="17"/>
  <c r="F68" i="17"/>
  <c r="F65" i="17"/>
  <c r="F64" i="17"/>
  <c r="F60" i="17"/>
  <c r="F57" i="17"/>
  <c r="F56" i="17"/>
  <c r="F54" i="17"/>
  <c r="F53" i="17"/>
  <c r="F49" i="17"/>
  <c r="F48" i="17"/>
  <c r="F47" i="17"/>
  <c r="F46" i="17"/>
  <c r="F43" i="17"/>
  <c r="F40" i="17"/>
  <c r="F37" i="17"/>
  <c r="F34" i="17"/>
  <c r="F28" i="17"/>
  <c r="F27" i="17"/>
  <c r="F26" i="17"/>
  <c r="F25" i="17"/>
  <c r="F24" i="17"/>
  <c r="F19" i="17"/>
  <c r="F18" i="17"/>
  <c r="F17" i="17"/>
  <c r="F14" i="17"/>
  <c r="F7" i="17"/>
  <c r="F6" i="17"/>
  <c r="F5" i="17"/>
  <c r="F4" i="17"/>
  <c r="F6" i="8"/>
  <c r="M6" i="8" s="1"/>
  <c r="N6" i="8" s="1"/>
  <c r="F18" i="6"/>
  <c r="F14" i="6"/>
  <c r="F40" i="6"/>
  <c r="F39" i="6"/>
  <c r="F38" i="6"/>
  <c r="F32" i="6"/>
  <c r="F31" i="6"/>
  <c r="F27" i="6"/>
  <c r="F21" i="6"/>
  <c r="F46" i="6"/>
  <c r="F44" i="6"/>
  <c r="F8" i="6"/>
  <c r="F7" i="6"/>
  <c r="F6" i="6"/>
  <c r="F5" i="6"/>
  <c r="F4" i="6"/>
  <c r="F3" i="6"/>
  <c r="M74" i="10"/>
  <c r="N74" i="10" s="1"/>
  <c r="M73" i="10"/>
  <c r="N73" i="10" s="1"/>
  <c r="M72" i="10"/>
  <c r="N72" i="10" s="1"/>
  <c r="M71" i="10"/>
  <c r="N71" i="10" s="1"/>
  <c r="M70" i="10"/>
  <c r="N70" i="10" s="1"/>
  <c r="M69" i="10"/>
  <c r="N69" i="10" s="1"/>
  <c r="M68" i="10"/>
  <c r="N68" i="10" s="1"/>
  <c r="M67" i="10"/>
  <c r="N67" i="10" s="1"/>
  <c r="M66" i="10"/>
  <c r="N66" i="10" s="1"/>
  <c r="M65" i="10"/>
  <c r="N65" i="10" s="1"/>
  <c r="M64" i="10"/>
  <c r="N64" i="10" s="1"/>
  <c r="M63" i="10"/>
  <c r="N63" i="10" s="1"/>
  <c r="M62" i="10"/>
  <c r="N62" i="10" s="1"/>
  <c r="M61" i="10"/>
  <c r="N61" i="10" s="1"/>
  <c r="M60" i="10"/>
  <c r="N60" i="10" s="1"/>
  <c r="M59" i="10"/>
  <c r="N59" i="10" s="1"/>
  <c r="M58" i="10"/>
  <c r="N58" i="10" s="1"/>
  <c r="M57" i="10"/>
  <c r="N57" i="10" s="1"/>
  <c r="M56" i="10"/>
  <c r="N56" i="10" s="1"/>
  <c r="M55" i="10"/>
  <c r="N55" i="10" s="1"/>
  <c r="M54" i="10"/>
  <c r="N54" i="10" s="1"/>
  <c r="M53" i="10"/>
  <c r="N53" i="10" s="1"/>
  <c r="M52" i="10"/>
  <c r="N52" i="10" s="1"/>
  <c r="M51" i="10"/>
  <c r="N51" i="10" s="1"/>
  <c r="M50" i="10"/>
  <c r="N50" i="10" s="1"/>
  <c r="M49" i="10"/>
  <c r="N49" i="10" s="1"/>
  <c r="M48" i="10"/>
  <c r="N48" i="10" s="1"/>
  <c r="M47" i="10"/>
  <c r="N47" i="10" s="1"/>
  <c r="M46" i="10"/>
  <c r="N46" i="10" s="1"/>
  <c r="M45" i="10"/>
  <c r="N45" i="10" s="1"/>
  <c r="M44" i="10"/>
  <c r="N44" i="10" s="1"/>
  <c r="M43" i="10"/>
  <c r="N43" i="10" s="1"/>
  <c r="M42" i="10"/>
  <c r="N42" i="10" s="1"/>
  <c r="M41" i="10"/>
  <c r="N41" i="10" s="1"/>
  <c r="M40" i="10"/>
  <c r="N40" i="10" s="1"/>
  <c r="M39" i="10"/>
  <c r="N39" i="10" s="1"/>
  <c r="M38" i="10"/>
  <c r="N38" i="10" s="1"/>
  <c r="M37" i="10"/>
  <c r="N37" i="10" s="1"/>
  <c r="M36" i="10"/>
  <c r="N36" i="10" s="1"/>
  <c r="M35" i="10"/>
  <c r="N35" i="10" s="1"/>
  <c r="M34" i="10"/>
  <c r="N34" i="10" s="1"/>
  <c r="M33" i="10"/>
  <c r="N33" i="10" s="1"/>
  <c r="M32" i="10"/>
  <c r="N32" i="10" s="1"/>
  <c r="M31" i="10"/>
  <c r="N31" i="10" s="1"/>
  <c r="M30" i="10"/>
  <c r="N30" i="10" s="1"/>
  <c r="M29" i="10"/>
  <c r="N29" i="10" s="1"/>
  <c r="M28" i="10"/>
  <c r="N28" i="10" s="1"/>
  <c r="M27" i="10"/>
  <c r="N27" i="10" s="1"/>
  <c r="M26" i="10"/>
  <c r="N26" i="10" s="1"/>
  <c r="M25" i="10"/>
  <c r="N25" i="10" s="1"/>
  <c r="M24" i="10"/>
  <c r="N24" i="10" s="1"/>
  <c r="M23" i="10"/>
  <c r="N23" i="10" s="1"/>
  <c r="M22" i="10"/>
  <c r="N22" i="10" s="1"/>
  <c r="M21" i="10"/>
  <c r="N21" i="10" s="1"/>
  <c r="M20" i="10"/>
  <c r="N20" i="10" s="1"/>
  <c r="M19" i="10"/>
  <c r="N19" i="10" s="1"/>
  <c r="M18" i="10"/>
  <c r="N18" i="10" s="1"/>
  <c r="M17" i="10"/>
  <c r="N17" i="10" s="1"/>
  <c r="M16" i="10"/>
  <c r="N16" i="10" s="1"/>
  <c r="M15" i="10"/>
  <c r="N15" i="10" s="1"/>
  <c r="M14" i="10"/>
  <c r="N14" i="10" s="1"/>
  <c r="M13" i="10"/>
  <c r="N13" i="10" s="1"/>
  <c r="M12" i="10"/>
  <c r="N12" i="10" s="1"/>
  <c r="M11" i="10"/>
  <c r="N11" i="10" s="1"/>
  <c r="M10" i="10"/>
  <c r="N10" i="10" s="1"/>
  <c r="M9" i="10"/>
  <c r="N9" i="10" s="1"/>
  <c r="M8" i="10"/>
  <c r="N8" i="10" s="1"/>
  <c r="M7" i="10"/>
  <c r="N7" i="10" s="1"/>
  <c r="M6" i="10"/>
  <c r="N6" i="10" s="1"/>
  <c r="M5" i="10"/>
  <c r="N5" i="10" s="1"/>
  <c r="M4" i="10"/>
  <c r="N4" i="10" s="1"/>
  <c r="M3" i="10"/>
  <c r="N3" i="10" s="1"/>
  <c r="M2" i="10"/>
  <c r="M4" i="8"/>
  <c r="N4" i="8" s="1"/>
  <c r="F29" i="8"/>
  <c r="M29" i="8" s="1"/>
  <c r="N29" i="8" s="1"/>
  <c r="F28" i="8"/>
  <c r="M28" i="8" s="1"/>
  <c r="N28" i="8" s="1"/>
  <c r="F27" i="8"/>
  <c r="M27" i="8" s="1"/>
  <c r="N27" i="8" s="1"/>
  <c r="F16" i="8"/>
  <c r="M16" i="8" s="1"/>
  <c r="N16" i="8" s="1"/>
  <c r="F15" i="8"/>
  <c r="M15" i="8" s="1"/>
  <c r="N15" i="8" s="1"/>
  <c r="F14" i="8"/>
  <c r="M14" i="8" s="1"/>
  <c r="N14" i="8" s="1"/>
  <c r="F11" i="8"/>
  <c r="M11" i="8" s="1"/>
  <c r="N11" i="8" s="1"/>
  <c r="F10" i="8"/>
  <c r="M10" i="8" s="1"/>
  <c r="N10" i="8" s="1"/>
  <c r="F9" i="8"/>
  <c r="M9" i="8" s="1"/>
  <c r="F5" i="8"/>
  <c r="M5" i="8" s="1"/>
  <c r="N5" i="8" s="1"/>
  <c r="F15" i="4"/>
  <c r="M15" i="4" s="1"/>
  <c r="N15" i="4" s="1"/>
  <c r="F14" i="4"/>
  <c r="M14" i="4" s="1"/>
  <c r="N14" i="4" s="1"/>
  <c r="F28" i="4"/>
  <c r="M28" i="4" s="1"/>
  <c r="N28" i="4" s="1"/>
  <c r="F25" i="4"/>
  <c r="M25" i="4" s="1"/>
  <c r="N25" i="4" s="1"/>
  <c r="F10" i="4"/>
  <c r="M10" i="4" s="1"/>
  <c r="N10" i="4" s="1"/>
  <c r="F12" i="4"/>
  <c r="M12" i="4" s="1"/>
  <c r="N12" i="4" s="1"/>
  <c r="F11" i="4"/>
  <c r="M11" i="4" s="1"/>
  <c r="N11" i="4" s="1"/>
  <c r="F7" i="4"/>
  <c r="M7" i="4" s="1"/>
  <c r="N7" i="4" s="1"/>
  <c r="F21" i="4"/>
  <c r="M21" i="4" s="1"/>
  <c r="N21" i="4" s="1"/>
  <c r="F20" i="4"/>
  <c r="M20" i="4" s="1"/>
  <c r="N20" i="4" s="1"/>
  <c r="F19" i="4"/>
  <c r="M19" i="4" s="1"/>
  <c r="N19" i="4" s="1"/>
  <c r="F18" i="4"/>
  <c r="M18" i="4" s="1"/>
  <c r="N18" i="4" s="1"/>
  <c r="F6" i="4"/>
  <c r="M6" i="4" s="1"/>
  <c r="N6" i="4" s="1"/>
  <c r="F5" i="4"/>
  <c r="M5" i="4" s="1"/>
  <c r="F5" i="9"/>
  <c r="F4" i="9"/>
  <c r="F3" i="9"/>
  <c r="F19" i="9"/>
  <c r="F12" i="9"/>
  <c r="F11" i="9"/>
  <c r="F12" i="3"/>
  <c r="M12" i="3" s="1"/>
  <c r="N12" i="3" s="1"/>
  <c r="F14" i="3"/>
  <c r="M14" i="3" s="1"/>
  <c r="N14" i="3" s="1"/>
  <c r="F13" i="3"/>
  <c r="M13" i="3" s="1"/>
  <c r="N13" i="3" s="1"/>
  <c r="N99" i="3"/>
  <c r="N39" i="3"/>
  <c r="M82" i="3"/>
  <c r="N82" i="3" s="1"/>
  <c r="M26" i="3"/>
  <c r="N26" i="3" s="1"/>
  <c r="F226" i="3"/>
  <c r="M226" i="3" s="1"/>
  <c r="N226" i="3" s="1"/>
  <c r="F220" i="3"/>
  <c r="M220" i="3" s="1"/>
  <c r="N220" i="3" s="1"/>
  <c r="F214" i="3"/>
  <c r="M214" i="3" s="1"/>
  <c r="N214" i="3" s="1"/>
  <c r="F216" i="3"/>
  <c r="M216" i="3" s="1"/>
  <c r="N216" i="3" s="1"/>
  <c r="F215" i="3"/>
  <c r="M215" i="3" s="1"/>
  <c r="N215" i="3" s="1"/>
  <c r="F211" i="3"/>
  <c r="M211" i="3" s="1"/>
  <c r="N211" i="3" s="1"/>
  <c r="F210" i="3"/>
  <c r="M210" i="3" s="1"/>
  <c r="N210" i="3" s="1"/>
  <c r="F206" i="3"/>
  <c r="M206" i="3" s="1"/>
  <c r="N206" i="3" s="1"/>
  <c r="F205" i="3"/>
  <c r="M205" i="3" s="1"/>
  <c r="N205" i="3" s="1"/>
  <c r="F204" i="3"/>
  <c r="M204" i="3" s="1"/>
  <c r="N204" i="3" s="1"/>
  <c r="F201" i="3"/>
  <c r="M201" i="3" s="1"/>
  <c r="N201" i="3" s="1"/>
  <c r="F200" i="3"/>
  <c r="M200" i="3" s="1"/>
  <c r="N200" i="3" s="1"/>
  <c r="F196" i="3"/>
  <c r="M196" i="3" s="1"/>
  <c r="N196" i="3" s="1"/>
  <c r="J196" i="3"/>
  <c r="K196" i="3" s="1"/>
  <c r="F195" i="3"/>
  <c r="M195" i="3" s="1"/>
  <c r="N195" i="3" s="1"/>
  <c r="F194" i="3"/>
  <c r="M194" i="3" s="1"/>
  <c r="N194" i="3" s="1"/>
  <c r="F193" i="3"/>
  <c r="M193" i="3" s="1"/>
  <c r="N193" i="3" s="1"/>
  <c r="F192" i="3"/>
  <c r="M192" i="3" s="1"/>
  <c r="N192" i="3" s="1"/>
  <c r="F188" i="3"/>
  <c r="M188" i="3" s="1"/>
  <c r="N188" i="3" s="1"/>
  <c r="F187" i="3"/>
  <c r="M187" i="3" s="1"/>
  <c r="N187" i="3" s="1"/>
  <c r="F184" i="3"/>
  <c r="M184" i="3" s="1"/>
  <c r="N184" i="3" s="1"/>
  <c r="F183" i="3"/>
  <c r="M183" i="3" s="1"/>
  <c r="N183" i="3" s="1"/>
  <c r="F182" i="3"/>
  <c r="M182" i="3" s="1"/>
  <c r="N182" i="3" s="1"/>
  <c r="F178" i="3"/>
  <c r="M178" i="3" s="1"/>
  <c r="N178" i="3" s="1"/>
  <c r="F177" i="3"/>
  <c r="M177" i="3" s="1"/>
  <c r="N177" i="3" s="1"/>
  <c r="F176" i="3"/>
  <c r="M176" i="3" s="1"/>
  <c r="N176" i="3" s="1"/>
  <c r="F172" i="3"/>
  <c r="M172" i="3" s="1"/>
  <c r="N172" i="3" s="1"/>
  <c r="F171" i="3"/>
  <c r="M171" i="3" s="1"/>
  <c r="N171" i="3" s="1"/>
  <c r="F170" i="3"/>
  <c r="M170" i="3" s="1"/>
  <c r="N170" i="3" s="1"/>
  <c r="F169" i="3"/>
  <c r="M169" i="3" s="1"/>
  <c r="N169" i="3" s="1"/>
  <c r="F168" i="3"/>
  <c r="M168" i="3" s="1"/>
  <c r="N168" i="3" s="1"/>
  <c r="F165" i="3"/>
  <c r="M165" i="3" s="1"/>
  <c r="N165" i="3" s="1"/>
  <c r="F164" i="3"/>
  <c r="M164" i="3" s="1"/>
  <c r="N164" i="3" s="1"/>
  <c r="F163" i="3"/>
  <c r="M163" i="3" s="1"/>
  <c r="N163" i="3" s="1"/>
  <c r="F162" i="3"/>
  <c r="M162" i="3" s="1"/>
  <c r="N162" i="3" s="1"/>
  <c r="F160" i="3"/>
  <c r="M160" i="3" s="1"/>
  <c r="N160" i="3" s="1"/>
  <c r="F159" i="3"/>
  <c r="M159" i="3" s="1"/>
  <c r="N159" i="3" s="1"/>
  <c r="F157" i="3"/>
  <c r="M157" i="3" s="1"/>
  <c r="N157" i="3" s="1"/>
  <c r="F154" i="3"/>
  <c r="M154" i="3" s="1"/>
  <c r="N154" i="3" s="1"/>
  <c r="F153" i="3"/>
  <c r="M153" i="3" s="1"/>
  <c r="N153" i="3" s="1"/>
  <c r="F151" i="3"/>
  <c r="M151" i="3" s="1"/>
  <c r="N151" i="3" s="1"/>
  <c r="F150" i="3"/>
  <c r="M150" i="3" s="1"/>
  <c r="N150" i="3" s="1"/>
  <c r="F149" i="3"/>
  <c r="M149" i="3" s="1"/>
  <c r="N149" i="3" s="1"/>
  <c r="F147" i="3"/>
  <c r="M147" i="3" s="1"/>
  <c r="N147" i="3" s="1"/>
  <c r="F145" i="3"/>
  <c r="M145" i="3" s="1"/>
  <c r="N145" i="3" s="1"/>
  <c r="F127" i="3"/>
  <c r="M127" i="3" s="1"/>
  <c r="N127" i="3" s="1"/>
  <c r="F136" i="3"/>
  <c r="M136" i="3" s="1"/>
  <c r="N136" i="3" s="1"/>
  <c r="F137" i="3"/>
  <c r="M137" i="3" s="1"/>
  <c r="N137" i="3" s="1"/>
  <c r="F138" i="3"/>
  <c r="M138" i="3" s="1"/>
  <c r="N138" i="3" s="1"/>
  <c r="F139" i="3"/>
  <c r="M139" i="3" s="1"/>
  <c r="N139" i="3" s="1"/>
  <c r="F140" i="3"/>
  <c r="M140" i="3" s="1"/>
  <c r="N140" i="3" s="1"/>
  <c r="F141" i="3"/>
  <c r="M141" i="3" s="1"/>
  <c r="N141" i="3" s="1"/>
  <c r="F142" i="3"/>
  <c r="M142" i="3" s="1"/>
  <c r="N142" i="3" s="1"/>
  <c r="F134" i="3"/>
  <c r="M134" i="3" s="1"/>
  <c r="N134" i="3" s="1"/>
  <c r="F133" i="3"/>
  <c r="M133" i="3" s="1"/>
  <c r="N133" i="3" s="1"/>
  <c r="F132" i="3"/>
  <c r="M132" i="3" s="1"/>
  <c r="N132" i="3" s="1"/>
  <c r="F131" i="3"/>
  <c r="M131" i="3" s="1"/>
  <c r="N131" i="3" s="1"/>
  <c r="F130" i="3"/>
  <c r="M130" i="3" s="1"/>
  <c r="N130" i="3" s="1"/>
  <c r="F129" i="3"/>
  <c r="M129" i="3" s="1"/>
  <c r="N129" i="3" s="1"/>
  <c r="F128" i="3"/>
  <c r="M128" i="3" s="1"/>
  <c r="N128" i="3" s="1"/>
  <c r="F125" i="3"/>
  <c r="M125" i="3" s="1"/>
  <c r="N125" i="3" s="1"/>
  <c r="F124" i="3"/>
  <c r="M124" i="3" s="1"/>
  <c r="N124" i="3" s="1"/>
  <c r="F123" i="3"/>
  <c r="M123" i="3" s="1"/>
  <c r="N123" i="3" s="1"/>
  <c r="F122" i="3"/>
  <c r="M122" i="3" s="1"/>
  <c r="N122" i="3" s="1"/>
  <c r="F121" i="3"/>
  <c r="M121" i="3" s="1"/>
  <c r="N121" i="3" s="1"/>
  <c r="J157" i="3"/>
  <c r="K157" i="3" s="1"/>
  <c r="F118" i="3"/>
  <c r="M118" i="3" s="1"/>
  <c r="N118" i="3" s="1"/>
  <c r="F117" i="3"/>
  <c r="M117" i="3" s="1"/>
  <c r="N117" i="3" s="1"/>
  <c r="F116" i="3"/>
  <c r="M116" i="3" s="1"/>
  <c r="N116" i="3" s="1"/>
  <c r="F113" i="3"/>
  <c r="M113" i="3" s="1"/>
  <c r="N113" i="3" s="1"/>
  <c r="F112" i="3"/>
  <c r="M112" i="3" s="1"/>
  <c r="N112" i="3" s="1"/>
  <c r="F111" i="3"/>
  <c r="M111" i="3" s="1"/>
  <c r="N111" i="3" s="1"/>
  <c r="F109" i="3"/>
  <c r="M109" i="3" s="1"/>
  <c r="N109" i="3" s="1"/>
  <c r="F108" i="3"/>
  <c r="M108" i="3" s="1"/>
  <c r="N108" i="3" s="1"/>
  <c r="F107" i="3"/>
  <c r="M107" i="3" s="1"/>
  <c r="N107" i="3" s="1"/>
  <c r="F104" i="3"/>
  <c r="M104" i="3" s="1"/>
  <c r="N104" i="3" s="1"/>
  <c r="F102" i="3"/>
  <c r="M102" i="3" s="1"/>
  <c r="N102" i="3" s="1"/>
  <c r="F100" i="3"/>
  <c r="M100" i="3" s="1"/>
  <c r="N100" i="3" s="1"/>
  <c r="F99" i="3"/>
  <c r="F95" i="3"/>
  <c r="M95" i="3" s="1"/>
  <c r="N95" i="3" s="1"/>
  <c r="F94" i="3"/>
  <c r="M94" i="3" s="1"/>
  <c r="N94" i="3" s="1"/>
  <c r="F93" i="3"/>
  <c r="M93" i="3" s="1"/>
  <c r="N93" i="3" s="1"/>
  <c r="F92" i="3"/>
  <c r="M92" i="3" s="1"/>
  <c r="N92" i="3" s="1"/>
  <c r="F89" i="3"/>
  <c r="M89" i="3" s="1"/>
  <c r="N89" i="3" s="1"/>
  <c r="F88" i="3"/>
  <c r="M88" i="3" s="1"/>
  <c r="N88" i="3" s="1"/>
  <c r="F87" i="3"/>
  <c r="M87" i="3" s="1"/>
  <c r="N87" i="3" s="1"/>
  <c r="F86" i="3"/>
  <c r="M86" i="3" s="1"/>
  <c r="N86" i="3" s="1"/>
  <c r="F84" i="3"/>
  <c r="M84" i="3" s="1"/>
  <c r="N84" i="3" s="1"/>
  <c r="F83" i="3"/>
  <c r="M83" i="3" s="1"/>
  <c r="N83" i="3" s="1"/>
  <c r="F81" i="3"/>
  <c r="M81" i="3" s="1"/>
  <c r="N81" i="3" s="1"/>
  <c r="F79" i="3"/>
  <c r="M79" i="3" s="1"/>
  <c r="N79" i="3" s="1"/>
  <c r="F78" i="3"/>
  <c r="M78" i="3" s="1"/>
  <c r="N78" i="3" s="1"/>
  <c r="F77" i="3"/>
  <c r="M77" i="3" s="1"/>
  <c r="N77" i="3" s="1"/>
  <c r="F76" i="3"/>
  <c r="M76" i="3" s="1"/>
  <c r="N76" i="3" s="1"/>
  <c r="F73" i="3"/>
  <c r="M73" i="3" s="1"/>
  <c r="N73" i="3" s="1"/>
  <c r="F72" i="3"/>
  <c r="M72" i="3" s="1"/>
  <c r="N72" i="3" s="1"/>
  <c r="F68" i="3"/>
  <c r="M68" i="3" s="1"/>
  <c r="N68" i="3" s="1"/>
  <c r="F67" i="3"/>
  <c r="M67" i="3" s="1"/>
  <c r="N67" i="3" s="1"/>
  <c r="F66" i="3"/>
  <c r="M66" i="3" s="1"/>
  <c r="N66" i="3" s="1"/>
  <c r="F65" i="3"/>
  <c r="M65" i="3" s="1"/>
  <c r="N65" i="3" s="1"/>
  <c r="F61" i="3"/>
  <c r="M61" i="3" s="1"/>
  <c r="N61" i="3" s="1"/>
  <c r="F60" i="3"/>
  <c r="M60" i="3" s="1"/>
  <c r="N60" i="3" s="1"/>
  <c r="F59" i="3"/>
  <c r="M59" i="3" s="1"/>
  <c r="N59" i="3" s="1"/>
  <c r="F57" i="3"/>
  <c r="M57" i="3" s="1"/>
  <c r="N57" i="3" s="1"/>
  <c r="F58" i="3"/>
  <c r="M58" i="3" s="1"/>
  <c r="N58" i="3" s="1"/>
  <c r="F54" i="3"/>
  <c r="M54" i="3" s="1"/>
  <c r="N54" i="3" s="1"/>
  <c r="F52" i="3"/>
  <c r="M52" i="3" s="1"/>
  <c r="N52" i="3" s="1"/>
  <c r="F51" i="3"/>
  <c r="M51" i="3" s="1"/>
  <c r="N51" i="3" s="1"/>
  <c r="F53" i="3"/>
  <c r="M53" i="3" s="1"/>
  <c r="N53" i="3" s="1"/>
  <c r="F50" i="3"/>
  <c r="M50" i="3" s="1"/>
  <c r="N50" i="3" s="1"/>
  <c r="F48" i="3"/>
  <c r="M48" i="3" s="1"/>
  <c r="N48" i="3" s="1"/>
  <c r="F49" i="3"/>
  <c r="M49" i="3" s="1"/>
  <c r="N49" i="3" s="1"/>
  <c r="F47" i="3"/>
  <c r="M47" i="3" s="1"/>
  <c r="N47" i="3" s="1"/>
  <c r="F46" i="3"/>
  <c r="M46" i="3" s="1"/>
  <c r="N46" i="3" s="1"/>
  <c r="F45" i="3"/>
  <c r="M45" i="3" s="1"/>
  <c r="N45" i="3" s="1"/>
  <c r="F44" i="3"/>
  <c r="M44" i="3" s="1"/>
  <c r="N44" i="3" s="1"/>
  <c r="F43" i="3"/>
  <c r="M43" i="3" s="1"/>
  <c r="N43" i="3" s="1"/>
  <c r="F39" i="3"/>
  <c r="F38" i="3"/>
  <c r="M38" i="3" s="1"/>
  <c r="N38" i="3" s="1"/>
  <c r="F37" i="3"/>
  <c r="M37" i="3" s="1"/>
  <c r="N37" i="3" s="1"/>
  <c r="F36" i="3"/>
  <c r="M36" i="3" s="1"/>
  <c r="N36" i="3" s="1"/>
  <c r="F35" i="3"/>
  <c r="M35" i="3" s="1"/>
  <c r="N35" i="3" s="1"/>
  <c r="F32" i="3"/>
  <c r="M32" i="3" s="1"/>
  <c r="N32" i="3" s="1"/>
  <c r="F34" i="3"/>
  <c r="M34" i="3" s="1"/>
  <c r="N34" i="3" s="1"/>
  <c r="F31" i="3"/>
  <c r="M31" i="3" s="1"/>
  <c r="N31" i="3" s="1"/>
  <c r="F30" i="3"/>
  <c r="M30" i="3" s="1"/>
  <c r="N30" i="3" s="1"/>
  <c r="F29" i="3"/>
  <c r="M29" i="3" s="1"/>
  <c r="N29" i="3" s="1"/>
  <c r="F28" i="3"/>
  <c r="M28" i="3" s="1"/>
  <c r="N28" i="3" s="1"/>
  <c r="F27" i="3"/>
  <c r="M27" i="3" s="1"/>
  <c r="N27" i="3" s="1"/>
  <c r="F24" i="3"/>
  <c r="M24" i="3" s="1"/>
  <c r="N24" i="3" s="1"/>
  <c r="F9" i="3"/>
  <c r="M9" i="3" s="1"/>
  <c r="N9" i="3" s="1"/>
  <c r="F8" i="3"/>
  <c r="M8" i="3" s="1"/>
  <c r="N8" i="3" s="1"/>
  <c r="F7" i="3"/>
  <c r="M7" i="3" s="1"/>
  <c r="N7" i="3" s="1"/>
  <c r="F6" i="3"/>
  <c r="M6" i="3" s="1"/>
  <c r="N6" i="3" s="1"/>
  <c r="F5" i="3"/>
  <c r="M5" i="3" s="1"/>
  <c r="N5" i="3" s="1"/>
  <c r="F4" i="3"/>
  <c r="M4" i="3" s="1"/>
  <c r="N4" i="3" s="1"/>
  <c r="F3" i="3"/>
  <c r="M3" i="3" s="1"/>
  <c r="N3" i="3" s="1"/>
  <c r="F21" i="3"/>
  <c r="M21" i="3" s="1"/>
  <c r="N21" i="3" s="1"/>
  <c r="F19" i="3"/>
  <c r="M19" i="3" s="1"/>
  <c r="N19" i="3" s="1"/>
  <c r="F18" i="3"/>
  <c r="M18" i="3" s="1"/>
  <c r="N18" i="3" s="1"/>
  <c r="F17" i="3"/>
  <c r="M17" i="3" s="1"/>
  <c r="N17" i="3" s="1"/>
  <c r="F20" i="3"/>
  <c r="M20" i="3" s="1"/>
  <c r="N20" i="3" s="1"/>
  <c r="K126" i="3"/>
  <c r="K82" i="3"/>
  <c r="K50" i="3"/>
  <c r="J123" i="3"/>
  <c r="K123" i="3" s="1"/>
  <c r="J83" i="3"/>
  <c r="K83" i="3" s="1"/>
  <c r="J24" i="3"/>
  <c r="K24" i="3" s="1"/>
  <c r="L9" i="14"/>
  <c r="H9" i="14"/>
  <c r="K9" i="14" s="1"/>
  <c r="G9" i="14"/>
  <c r="L7" i="14"/>
  <c r="H7" i="14"/>
  <c r="K7" i="14" s="1"/>
  <c r="G7" i="14"/>
  <c r="J26" i="3"/>
  <c r="K26" i="3" s="1"/>
  <c r="J27" i="3"/>
  <c r="K27" i="3" s="1"/>
  <c r="J216" i="3"/>
  <c r="J215" i="3"/>
  <c r="K215" i="3" s="1"/>
  <c r="J214" i="3"/>
  <c r="K214" i="3" s="1"/>
  <c r="J211" i="3"/>
  <c r="K211" i="3" s="1"/>
  <c r="J210" i="3"/>
  <c r="K210" i="3" s="1"/>
  <c r="J200" i="3"/>
  <c r="J195" i="3"/>
  <c r="K195" i="3" s="1"/>
  <c r="J194" i="3"/>
  <c r="K194" i="3" s="1"/>
  <c r="J193" i="3"/>
  <c r="K193" i="3" s="1"/>
  <c r="J192" i="3"/>
  <c r="K192" i="3" s="1"/>
  <c r="J188" i="3"/>
  <c r="K188" i="3" s="1"/>
  <c r="J187" i="3"/>
  <c r="K187" i="3" s="1"/>
  <c r="J184" i="3"/>
  <c r="K184" i="3" s="1"/>
  <c r="J183" i="3"/>
  <c r="K183" i="3" s="1"/>
  <c r="J182" i="3"/>
  <c r="K182" i="3" s="1"/>
  <c r="J178" i="3"/>
  <c r="K178" i="3" s="1"/>
  <c r="J177" i="3"/>
  <c r="K177" i="3" s="1"/>
  <c r="J176" i="3"/>
  <c r="K176" i="3" s="1"/>
  <c r="J172" i="3"/>
  <c r="K172" i="3" s="1"/>
  <c r="J171" i="3"/>
  <c r="K171" i="3" s="1"/>
  <c r="J170" i="3"/>
  <c r="K170" i="3" s="1"/>
  <c r="J169" i="3"/>
  <c r="K169" i="3" s="1"/>
  <c r="J168" i="3"/>
  <c r="K168" i="3" s="1"/>
  <c r="J165" i="3"/>
  <c r="K165" i="3" s="1"/>
  <c r="J164" i="3"/>
  <c r="K164" i="3" s="1"/>
  <c r="J163" i="3"/>
  <c r="K163" i="3" s="1"/>
  <c r="J162" i="3"/>
  <c r="K162" i="3" s="1"/>
  <c r="J160" i="3"/>
  <c r="K160" i="3" s="1"/>
  <c r="J159" i="3"/>
  <c r="K159" i="3" s="1"/>
  <c r="J154" i="3"/>
  <c r="K154" i="3" s="1"/>
  <c r="J153" i="3"/>
  <c r="K153" i="3" s="1"/>
  <c r="J151" i="3"/>
  <c r="K151" i="3" s="1"/>
  <c r="J150" i="3"/>
  <c r="K150" i="3" s="1"/>
  <c r="J149" i="3"/>
  <c r="K149" i="3" s="1"/>
  <c r="J147" i="3"/>
  <c r="K147" i="3" s="1"/>
  <c r="J145" i="3"/>
  <c r="K145" i="3" s="1"/>
  <c r="J142" i="3"/>
  <c r="K142" i="3" s="1"/>
  <c r="J141" i="3"/>
  <c r="K141" i="3" s="1"/>
  <c r="J140" i="3"/>
  <c r="K140" i="3" s="1"/>
  <c r="J139" i="3"/>
  <c r="K139" i="3" s="1"/>
  <c r="J138" i="3"/>
  <c r="K138" i="3" s="1"/>
  <c r="J137" i="3"/>
  <c r="K137" i="3" s="1"/>
  <c r="J136" i="3"/>
  <c r="K136" i="3" s="1"/>
  <c r="J134" i="3"/>
  <c r="K134" i="3" s="1"/>
  <c r="J133" i="3"/>
  <c r="K133" i="3" s="1"/>
  <c r="J132" i="3"/>
  <c r="K132" i="3" s="1"/>
  <c r="J131" i="3"/>
  <c r="K131" i="3" s="1"/>
  <c r="J130" i="3"/>
  <c r="K130" i="3" s="1"/>
  <c r="J129" i="3"/>
  <c r="K129" i="3" s="1"/>
  <c r="J128" i="3"/>
  <c r="K128" i="3" s="1"/>
  <c r="J127" i="3"/>
  <c r="K127" i="3" s="1"/>
  <c r="J125" i="3"/>
  <c r="K125" i="3" s="1"/>
  <c r="K124" i="3"/>
  <c r="J122" i="3"/>
  <c r="K122" i="3" s="1"/>
  <c r="J121" i="3"/>
  <c r="K121" i="3" s="1"/>
  <c r="J118" i="3"/>
  <c r="K118" i="3" s="1"/>
  <c r="J117" i="3"/>
  <c r="K117" i="3" s="1"/>
  <c r="J116" i="3"/>
  <c r="K116" i="3" s="1"/>
  <c r="J113" i="3"/>
  <c r="K113" i="3" s="1"/>
  <c r="J112" i="3"/>
  <c r="K112" i="3" s="1"/>
  <c r="J111" i="3"/>
  <c r="K111" i="3" s="1"/>
  <c r="J110" i="3"/>
  <c r="K110" i="3" s="1"/>
  <c r="J102" i="3"/>
  <c r="K102" i="3" s="1"/>
  <c r="J101" i="3"/>
  <c r="K101" i="3" s="1"/>
  <c r="J100" i="3"/>
  <c r="K100" i="3" s="1"/>
  <c r="J99" i="3"/>
  <c r="K99" i="3" s="1"/>
  <c r="J94" i="3"/>
  <c r="K94" i="3" s="1"/>
  <c r="J93" i="3"/>
  <c r="K93" i="3" s="1"/>
  <c r="J92" i="3"/>
  <c r="K92" i="3" s="1"/>
  <c r="J89" i="3"/>
  <c r="K89" i="3" s="1"/>
  <c r="J88" i="3"/>
  <c r="K88" i="3" s="1"/>
  <c r="J87" i="3"/>
  <c r="K87" i="3" s="1"/>
  <c r="J86" i="3"/>
  <c r="K86" i="3" s="1"/>
  <c r="J84" i="3"/>
  <c r="K84" i="3" s="1"/>
  <c r="J81" i="3"/>
  <c r="K81" i="3" s="1"/>
  <c r="J79" i="3"/>
  <c r="K79" i="3" s="1"/>
  <c r="J78" i="3"/>
  <c r="K78" i="3" s="1"/>
  <c r="J77" i="3"/>
  <c r="K77" i="3" s="1"/>
  <c r="J76" i="3"/>
  <c r="K76" i="3" s="1"/>
  <c r="J73" i="3"/>
  <c r="K73" i="3" s="1"/>
  <c r="J72" i="3"/>
  <c r="K72" i="3" s="1"/>
  <c r="J68" i="3"/>
  <c r="K68" i="3" s="1"/>
  <c r="J67" i="3"/>
  <c r="K67" i="3" s="1"/>
  <c r="J66" i="3"/>
  <c r="K66" i="3" s="1"/>
  <c r="J65" i="3"/>
  <c r="K65" i="3" s="1"/>
  <c r="J60" i="3"/>
  <c r="J59" i="3"/>
  <c r="K59" i="3" s="1"/>
  <c r="J58" i="3"/>
  <c r="K58" i="3" s="1"/>
  <c r="J57" i="3"/>
  <c r="K57" i="3" s="1"/>
  <c r="J53" i="3"/>
  <c r="K53" i="3" s="1"/>
  <c r="J52" i="3"/>
  <c r="K52" i="3" s="1"/>
  <c r="J51" i="3"/>
  <c r="K51" i="3" s="1"/>
  <c r="J49" i="3"/>
  <c r="K49" i="3" s="1"/>
  <c r="J47" i="3"/>
  <c r="K47" i="3" s="1"/>
  <c r="J45" i="3"/>
  <c r="K45" i="3" s="1"/>
  <c r="J44" i="3"/>
  <c r="K44" i="3" s="1"/>
  <c r="J43" i="3"/>
  <c r="K43" i="3" s="1"/>
  <c r="J38" i="3"/>
  <c r="K38" i="3" s="1"/>
  <c r="J34" i="3"/>
  <c r="K34" i="3" s="1"/>
  <c r="J32" i="3"/>
  <c r="K32" i="3" s="1"/>
  <c r="J31" i="3"/>
  <c r="K31" i="3" s="1"/>
  <c r="J30" i="3"/>
  <c r="K30" i="3" s="1"/>
  <c r="J29" i="3"/>
  <c r="K29" i="3" s="1"/>
  <c r="J28" i="3"/>
  <c r="K28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L6" i="14"/>
  <c r="H6" i="14"/>
  <c r="K6" i="14" s="1"/>
  <c r="L5" i="14"/>
  <c r="H5" i="14"/>
  <c r="K5" i="14" s="1"/>
  <c r="K67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39" i="12"/>
  <c r="L41" i="12"/>
  <c r="L42" i="12"/>
  <c r="L40" i="12"/>
  <c r="L36" i="12"/>
  <c r="L35" i="12"/>
  <c r="L34" i="12"/>
  <c r="L33" i="12"/>
  <c r="L25" i="12"/>
  <c r="L22" i="12"/>
  <c r="L21" i="12"/>
  <c r="L12" i="12"/>
  <c r="L11" i="12"/>
  <c r="L5" i="12"/>
  <c r="L17" i="12"/>
  <c r="L18" i="12"/>
  <c r="L19" i="12"/>
  <c r="L15" i="12"/>
  <c r="K15" i="12"/>
  <c r="L38" i="12"/>
  <c r="L70" i="12"/>
  <c r="L46" i="12"/>
  <c r="L45" i="12"/>
  <c r="L44" i="12"/>
  <c r="L37" i="12"/>
  <c r="L30" i="12"/>
  <c r="L29" i="12"/>
  <c r="L27" i="12"/>
  <c r="L24" i="12"/>
  <c r="L23" i="12"/>
  <c r="L20" i="12"/>
  <c r="L16" i="12"/>
  <c r="L14" i="12"/>
  <c r="L7" i="12"/>
  <c r="L6" i="12"/>
  <c r="L3" i="12"/>
  <c r="L2" i="12"/>
  <c r="K17" i="12"/>
  <c r="K70" i="12"/>
  <c r="K46" i="12"/>
  <c r="K45" i="12"/>
  <c r="K44" i="12"/>
  <c r="K43" i="12"/>
  <c r="K39" i="12"/>
  <c r="K38" i="12"/>
  <c r="K37" i="12"/>
  <c r="K36" i="12"/>
  <c r="K35" i="12"/>
  <c r="K34" i="12"/>
  <c r="K33" i="12"/>
  <c r="K29" i="12"/>
  <c r="K27" i="12"/>
  <c r="K26" i="12"/>
  <c r="K25" i="12"/>
  <c r="K24" i="12"/>
  <c r="K23" i="12"/>
  <c r="K22" i="12"/>
  <c r="K21" i="12"/>
  <c r="K20" i="12"/>
  <c r="K19" i="12"/>
  <c r="K18" i="12"/>
  <c r="K16" i="12"/>
  <c r="K14" i="12"/>
  <c r="K12" i="12"/>
  <c r="K11" i="12"/>
  <c r="K7" i="12"/>
  <c r="K6" i="12"/>
  <c r="K4" i="12"/>
  <c r="K3" i="12"/>
  <c r="K2" i="12"/>
  <c r="K5" i="12"/>
  <c r="H42" i="12"/>
  <c r="J42" i="12" s="1"/>
  <c r="H41" i="12"/>
  <c r="J41" i="12" s="1"/>
  <c r="H40" i="12"/>
  <c r="J40" i="12" s="1"/>
  <c r="N22" i="8" l="1"/>
  <c r="G14" i="7"/>
  <c r="M14" i="7" s="1"/>
  <c r="N14" i="7" s="1"/>
  <c r="K44" i="7"/>
  <c r="J44" i="7"/>
  <c r="G5" i="7"/>
  <c r="M5" i="7" s="1"/>
  <c r="J71" i="18"/>
  <c r="G14" i="6"/>
  <c r="M14" i="6" s="1"/>
  <c r="N14" i="6" s="1"/>
  <c r="G5" i="6"/>
  <c r="M5" i="6" s="1"/>
  <c r="N5" i="6" s="1"/>
  <c r="G6" i="6"/>
  <c r="M6" i="6" s="1"/>
  <c r="N6" i="6" s="1"/>
  <c r="G3" i="6"/>
  <c r="M3" i="6" s="1"/>
  <c r="N3" i="6" s="1"/>
  <c r="G7" i="6"/>
  <c r="M7" i="6" s="1"/>
  <c r="N7" i="6" s="1"/>
  <c r="G37" i="6"/>
  <c r="M37" i="6" s="1"/>
  <c r="N37" i="6" s="1"/>
  <c r="G4" i="6"/>
  <c r="M4" i="6" s="1"/>
  <c r="N4" i="6" s="1"/>
  <c r="G8" i="6"/>
  <c r="J37" i="8"/>
  <c r="K37" i="8"/>
  <c r="N5" i="18"/>
  <c r="N4" i="15"/>
  <c r="N2" i="10"/>
  <c r="N75" i="10" s="1"/>
  <c r="M75" i="10"/>
  <c r="G5" i="9"/>
  <c r="M5" i="9"/>
  <c r="N5" i="9" s="1"/>
  <c r="J30" i="4"/>
  <c r="K5" i="4"/>
  <c r="K30" i="4" s="1"/>
  <c r="K3" i="3"/>
  <c r="J232" i="3"/>
  <c r="K4" i="18"/>
  <c r="K71" i="18" s="1"/>
  <c r="K3" i="6"/>
  <c r="K68" i="6" s="1"/>
  <c r="J68" i="6"/>
  <c r="N5" i="4"/>
  <c r="N31" i="4" s="1"/>
  <c r="M31" i="4"/>
  <c r="N4" i="18"/>
  <c r="M85" i="17"/>
  <c r="N4" i="17"/>
  <c r="N85" i="17" s="1"/>
  <c r="N239" i="3"/>
  <c r="M38" i="8"/>
  <c r="G31" i="6"/>
  <c r="M31" i="6" s="1"/>
  <c r="N223" i="10"/>
  <c r="M223" i="10"/>
  <c r="N9" i="8"/>
  <c r="N38" i="8" s="1"/>
  <c r="M239" i="3"/>
  <c r="K216" i="3"/>
  <c r="L78" i="12"/>
  <c r="K40" i="12"/>
  <c r="K41" i="12"/>
  <c r="K42" i="12"/>
  <c r="H223" i="15" l="1"/>
  <c r="I223" i="15"/>
  <c r="K232" i="3"/>
  <c r="N31" i="6"/>
  <c r="N68" i="6" s="1"/>
  <c r="M68" i="6"/>
  <c r="K78" i="12"/>
  <c r="M44" i="7"/>
  <c r="N5" i="7"/>
  <c r="N4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64" authorId="0" shapeId="0" xr:uid="{E35E5FC8-B721-4187-8FB7-DF81CE5F7166}">
      <text>
        <r>
          <rPr>
            <sz val="10"/>
            <rFont val="Arial"/>
            <family val="2"/>
          </rPr>
          <t>PRICE BASED ON THE PURCHASE OF 10 KITS AT ONCE</t>
        </r>
      </text>
    </comment>
    <comment ref="D65" authorId="0" shapeId="0" xr:uid="{FFD30D52-CDA7-422C-9109-6101E789B5AD}">
      <text>
        <r>
          <rPr>
            <sz val="10"/>
            <rFont val="Arial"/>
            <family val="2"/>
          </rPr>
          <t>PRICE BASED ON THE PURCHASE OF 10 KITS AT ONCE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rtaylor@walcottcollision.com</author>
  </authors>
  <commentList>
    <comment ref="F3" authorId="0" shapeId="0" xr:uid="{16316F1E-8C7B-4F72-BE9F-F13555C2FB1E}">
      <text>
        <r>
          <rPr>
            <sz val="10"/>
            <rFont val="Arial"/>
            <family val="2"/>
          </rPr>
          <t>1.87 PER 8 HR OF ACTUAL SPRAYING TIME</t>
        </r>
      </text>
    </comment>
    <comment ref="E27" authorId="1" shapeId="0" xr:uid="{F63F7C3E-0108-4273-8D43-2941C4308B49}">
      <text>
        <r>
          <rPr>
            <b/>
            <sz val="9"/>
            <color indexed="81"/>
            <rFont val="Tahoma"/>
            <family val="2"/>
          </rPr>
          <t>Cost of minimum amout used each time... incl glue left in tip is $8.00 ..
(NOT INCL Glue amount used for actual repair on panel)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1" shapeId="0" xr:uid="{022794CF-27A9-4A8A-A0AC-7FB776749DA9}">
      <text>
        <r>
          <rPr>
            <b/>
            <sz val="9"/>
            <color indexed="81"/>
            <rFont val="Tahoma"/>
            <family val="2"/>
          </rPr>
          <t>tip is $8.00 ..
(NOT INCL Glue amount used for actual repair on panel)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1" shapeId="0" xr:uid="{A5D86869-7912-4962-BCAC-AD3E1D67EB2A}">
      <text>
        <r>
          <rPr>
            <b/>
            <sz val="9"/>
            <color indexed="81"/>
            <rFont val="Tahoma"/>
            <family val="2"/>
          </rPr>
          <t>tip is $8.00 ..
(NOT INCL Glue amount used for actual repair on panel)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1" shapeId="0" xr:uid="{FB6AB65E-9DB8-4D3C-8467-63FB2C1BE439}">
      <text>
        <r>
          <rPr>
            <b/>
            <sz val="9"/>
            <color indexed="81"/>
            <rFont val="Tahoma"/>
            <family val="2"/>
          </rPr>
          <t>tip is $8.00 ..
(NOT INCL Glue amount used for actual repair on panel)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1" shapeId="0" xr:uid="{2B659927-34FA-421D-8423-7C5208E1FA05}">
      <text>
        <r>
          <rPr>
            <sz val="9"/>
            <color indexed="81"/>
            <rFont val="Tahoma"/>
            <family val="2"/>
          </rPr>
          <t>tip is $8.00 ..
(NOT INCL Glue amount used for actual repair on panel)</t>
        </r>
      </text>
    </comment>
    <comment ref="E33" authorId="0" shapeId="0" xr:uid="{3124F135-055A-4BD5-BF5B-69A1060CDDEF}">
      <text>
        <r>
          <rPr>
            <sz val="10"/>
            <rFont val="Arial"/>
            <family val="2"/>
          </rPr>
          <t>tip is $8.00 ..
(NOT INCL Glue amount used for actual repair on panel)</t>
        </r>
      </text>
    </comment>
    <comment ref="E34" authorId="0" shapeId="0" xr:uid="{C888D9A5-9C68-4E5F-BF71-E67842A384AD}">
      <text>
        <r>
          <rPr>
            <sz val="10"/>
            <rFont val="Arial"/>
            <family val="2"/>
          </rPr>
          <t>tip is $8.00 ..
(NOT INCL Glue amount used for actual repair on panel)</t>
        </r>
      </text>
    </comment>
    <comment ref="F76" authorId="0" shapeId="0" xr:uid="{1BC517A2-C043-4FE4-8652-379BBC9C8A3C}">
      <text>
        <r>
          <rPr>
            <sz val="10"/>
            <rFont val="Arial"/>
            <family val="2"/>
          </rPr>
          <t>55 Meters Long..Or 180 ft log..means .011 cents per linnear foot</t>
        </r>
      </text>
    </comment>
    <comment ref="F77" authorId="0" shapeId="0" xr:uid="{62F0673F-6EA0-4E71-A6AD-FA38F7C3B87E}">
      <text>
        <r>
          <rPr>
            <sz val="10"/>
            <rFont val="Arial"/>
            <family val="2"/>
          </rPr>
          <t>55 Meters Long..Or 180 ft log..means .02 cents per linnear fooT</t>
        </r>
      </text>
    </comment>
    <comment ref="F78" authorId="0" shapeId="0" xr:uid="{803912DC-90B3-4AF1-88A1-277280C980B4}">
      <text>
        <r>
          <rPr>
            <sz val="10"/>
            <rFont val="Arial"/>
            <family val="2"/>
          </rPr>
          <t>55 Meters Long..Or 180 ft log..means .014 cents per linnear foot</t>
        </r>
      </text>
    </comment>
    <comment ref="F79" authorId="0" shapeId="0" xr:uid="{0BD57A81-63BD-42B8-82D4-D49FBB09D860}">
      <text>
        <r>
          <rPr>
            <sz val="10"/>
            <rFont val="Arial"/>
            <family val="2"/>
          </rPr>
          <t>55 Meters Long..Or 180 ft log..means .019 cents per linnear foot</t>
        </r>
      </text>
    </comment>
    <comment ref="F80" authorId="0" shapeId="0" xr:uid="{D6261153-7037-4F40-8C3D-3E7EEF152675}">
      <text>
        <r>
          <rPr>
            <sz val="10"/>
            <rFont val="Arial"/>
            <family val="2"/>
          </rPr>
          <t>55 Meters Long..Or 180 ft log..means .034 cents per linnear foot</t>
        </r>
      </text>
    </comment>
    <comment ref="F81" authorId="0" shapeId="0" xr:uid="{6685F25D-3878-48B3-B5E8-742D2F83DB76}">
      <text>
        <r>
          <rPr>
            <sz val="10"/>
            <rFont val="Arial"/>
            <family val="2"/>
          </rPr>
          <t>55 Meters Long..Or 180 ft log..means .034 cents per linnear foot</t>
        </r>
      </text>
    </comment>
    <comment ref="E213" authorId="0" shapeId="0" xr:uid="{EDE0C1D9-6AB4-4140-A0BC-462E24F51ED0}">
      <text>
        <r>
          <rPr>
            <sz val="10"/>
            <rFont val="Arial"/>
            <family val="2"/>
          </rPr>
          <t>Arnolds  price on 2-19-14  is 26.99 pack of 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00000000-0006-0000-0500-000001000000}">
      <text>
        <r>
          <rPr>
            <sz val="10"/>
            <rFont val="Arial"/>
            <family val="2"/>
          </rPr>
          <t>80% fill =102oz 
+32oz activator+4oz accelerator divided by 136(oz)</t>
        </r>
      </text>
    </comment>
    <comment ref="F5" authorId="0" shapeId="0" xr:uid="{00000000-0006-0000-0500-000002000000}">
      <text>
        <r>
          <rPr>
            <sz val="10"/>
            <rFont val="Arial"/>
            <family val="2"/>
          </rPr>
          <t>Full gal 128oz..+activator 32oz +389 4 oz=164oz
Paint 107.25
Activ    47.9
Accel    18.92
Total     174.07
/ by 164 oz=  1.06 pr oz
sprayble</t>
        </r>
      </text>
    </comment>
    <comment ref="F6" authorId="0" shapeId="0" xr:uid="{00000000-0006-0000-0500-000003000000}">
      <text>
        <r>
          <rPr>
            <sz val="10"/>
            <rFont val="Arial"/>
            <family val="2"/>
          </rPr>
          <t>Imron 86.4
Activ   47.9
Acce    19.82
Total    154.12
Divided by 164 oz =.93 oz sprayable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2" authorId="0" shapeId="0" xr:uid="{3F3A5B62-B646-4E1D-8A8C-730ECDFE617E}">
      <text>
        <r>
          <rPr>
            <sz val="10"/>
            <rFont val="Arial"/>
            <family val="2"/>
          </rPr>
          <t>55 Meters Long..Or 180 ft log..means .02 cents per linnear fooT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800-000001000000}">
      <text>
        <r>
          <rPr>
            <sz val="10"/>
            <rFont val="Arial"/>
            <family val="2"/>
          </rPr>
          <t>4;1;1.5
4 parts sealer
1 part activator
1.5 reducer
divide by 6.5 to get per ounce price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04" authorId="0" shapeId="0" xr:uid="{65A78069-3BE7-4B91-9980-818B92A60F95}">
      <text>
        <r>
          <rPr>
            <sz val="10"/>
            <rFont val="Arial"/>
            <family val="2"/>
          </rPr>
          <t>Arnolds  price on 2-19-14  is 26.99 pack of 5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8" authorId="0" shapeId="0" xr:uid="{13C73930-4C7A-427D-8C7A-67E71B2DB09B}">
      <text>
        <r>
          <rPr>
            <sz val="10"/>
            <rFont val="Arial"/>
            <family val="2"/>
          </rPr>
          <t>55 Meters Long..Or 180 ft log..means .034 cents per linnear foot</t>
        </r>
      </text>
    </comment>
  </commentList>
</comments>
</file>

<file path=xl/sharedStrings.xml><?xml version="1.0" encoding="utf-8"?>
<sst xmlns="http://schemas.openxmlformats.org/spreadsheetml/2006/main" count="1497" uniqueCount="1040">
  <si>
    <t>Item  NCS? Ctalogue</t>
  </si>
  <si>
    <t>SDS Sheet</t>
  </si>
  <si>
    <t>Tech Data Sheet</t>
  </si>
  <si>
    <t>ITEM DESCRIPTION</t>
  </si>
  <si>
    <t>Price /units per box</t>
  </si>
  <si>
    <t>Cost per unit</t>
  </si>
  <si>
    <t>MIxed cost per unit</t>
  </si>
  <si>
    <t>2021 Cost</t>
  </si>
  <si>
    <t>2022 Cost</t>
  </si>
  <si>
    <t>22 cost increase</t>
  </si>
  <si>
    <t>Dollar Amount of increase</t>
  </si>
  <si>
    <t>units used</t>
  </si>
  <si>
    <t>per unit ( Cost)</t>
  </si>
  <si>
    <t>Retail Price Per unit</t>
  </si>
  <si>
    <t>STRIPE REMOVAL TOOLS/ACCESORIES</t>
  </si>
  <si>
    <t>ASO 32</t>
  </si>
  <si>
    <t>STRIPE REMOVAL KIT W/ TOOL</t>
  </si>
  <si>
    <t>Each</t>
  </si>
  <si>
    <t>MMM07498</t>
  </si>
  <si>
    <t>4”  BY 5/8 inch Replacement Wheel</t>
  </si>
  <si>
    <t>MMM07499</t>
  </si>
  <si>
    <t>ASO400E</t>
  </si>
  <si>
    <t>IPS 400E</t>
  </si>
  <si>
    <t>3 ½ “   Stripe Removal Tool</t>
  </si>
  <si>
    <t xml:space="preserve"> Each</t>
  </si>
  <si>
    <t>MIXING /PPE CUPS</t>
  </si>
  <si>
    <t>VTK 41-916</t>
  </si>
  <si>
    <t>16 ounce  MIXING CUPS</t>
  </si>
  <si>
    <t>/100 QTY             price per cup</t>
  </si>
  <si>
    <t>GLE 9174</t>
  </si>
  <si>
    <t>5 QT MIXING CUPS</t>
  </si>
  <si>
    <t xml:space="preserve"> / 25 QTY             price per cup</t>
  </si>
  <si>
    <t>VTK 41-974</t>
  </si>
  <si>
    <t>GLE 932 NCS</t>
  </si>
  <si>
    <t>1 QUART MIXING CUPS 100/S</t>
  </si>
  <si>
    <t>VTK 41-932</t>
  </si>
  <si>
    <t xml:space="preserve">DEV DPC-601  </t>
  </si>
  <si>
    <t>De Belviss  24 oz PPE CUPS</t>
  </si>
  <si>
    <t>BOX/32 CUPS     price per cup</t>
  </si>
  <si>
    <t>DEV DPC-600</t>
  </si>
  <si>
    <t>De belviss  34 oz PPE CUPS</t>
  </si>
  <si>
    <t>CAN-MTGAL</t>
  </si>
  <si>
    <t>Metal Gallon Can With Lid</t>
  </si>
  <si>
    <t>CAN-MTQT</t>
  </si>
  <si>
    <t>Metal Quart Can With Lid</t>
  </si>
  <si>
    <t>DEV PT-52-K60</t>
  </si>
  <si>
    <t>De Belviss  2.5 Gal Pot Liners</t>
  </si>
  <si>
    <t>BOX/60 Liners     price per cup</t>
  </si>
  <si>
    <t>GLOVES</t>
  </si>
  <si>
    <t xml:space="preserve">SAS 6609 </t>
  </si>
  <si>
    <t>DERMALITE GLOVES</t>
  </si>
  <si>
    <t>BOX/50 pairs</t>
  </si>
  <si>
    <t>SAS 6604</t>
  </si>
  <si>
    <t>THICKSTER LARGE</t>
  </si>
  <si>
    <t xml:space="preserve"> BOX /50 pairs</t>
  </si>
  <si>
    <t>SAS 66518</t>
  </si>
  <si>
    <t>Raven Gloves  Large</t>
  </si>
  <si>
    <t xml:space="preserve"> Box/ 50 pairs</t>
  </si>
  <si>
    <t>SAS 66519</t>
  </si>
  <si>
    <t>Raven Gloves  X Large</t>
  </si>
  <si>
    <t>MCF MK296L</t>
  </si>
  <si>
    <t>MIS     0</t>
  </si>
  <si>
    <t>Microflex Large Gloves</t>
  </si>
  <si>
    <t xml:space="preserve"> BOX/50 pairs</t>
  </si>
  <si>
    <t>SPRAY     SUITS</t>
  </si>
  <si>
    <t>M-5903</t>
  </si>
  <si>
    <t>Extra Large Tyvex Suit (25/BX)</t>
  </si>
  <si>
    <t xml:space="preserve">    Price per suit</t>
  </si>
  <si>
    <t>VTK 82-207</t>
  </si>
  <si>
    <t>82-207</t>
  </si>
  <si>
    <t>Extra Large Tyvex Suit       4XL</t>
  </si>
  <si>
    <t>SPRAY HOOD SOCKS</t>
  </si>
  <si>
    <t>GLE-1600 P</t>
  </si>
  <si>
    <t>GER 070195</t>
  </si>
  <si>
    <t>PREMIUM HOOD SOCK</t>
  </si>
  <si>
    <t>Box/Qty 20        Price per sock</t>
  </si>
  <si>
    <t>WASH THINNER</t>
  </si>
  <si>
    <t>VTK 36-30005</t>
  </si>
  <si>
    <t>PBE 5700-5</t>
  </si>
  <si>
    <t xml:space="preserve">5 GALLON  WASH THINNER </t>
  </si>
  <si>
    <t>5 GAL   price per ounce</t>
  </si>
  <si>
    <t>TACK CLOTHS</t>
  </si>
  <si>
    <t>CRY PREMIUM</t>
  </si>
  <si>
    <t>CRYSTAL TACK CLOTHS</t>
  </si>
  <si>
    <t xml:space="preserve"> 12 pr box price per cloth</t>
  </si>
  <si>
    <t>RAZOR BLADES</t>
  </si>
  <si>
    <t>VTK 48-509</t>
  </si>
  <si>
    <t>PBE-66-0403</t>
  </si>
  <si>
    <t>#9 RAZOR BLADES</t>
  </si>
  <si>
    <t>BOX/100Qty</t>
  </si>
  <si>
    <t>MASKING PAPER</t>
  </si>
  <si>
    <t>VTK 75-806</t>
  </si>
  <si>
    <t>6”* 750 FT  WHITE MASKING PAPER</t>
  </si>
  <si>
    <t>Roll / 750 FT price per foot</t>
  </si>
  <si>
    <t>VTK 75-812</t>
  </si>
  <si>
    <t>PBE W12</t>
  </si>
  <si>
    <t>12”* 750 FT  WHITE MASKING PAPER</t>
  </si>
  <si>
    <t xml:space="preserve"> Roll / 750 FT price per foot</t>
  </si>
  <si>
    <t>VTK 75-818</t>
  </si>
  <si>
    <t>PBE W18</t>
  </si>
  <si>
    <t>18”* 750 FT  WHITE MASKING PAPER</t>
  </si>
  <si>
    <t>VTK 75-236</t>
  </si>
  <si>
    <t>36”* 750 FT  WHITE MASKING PAPER</t>
  </si>
  <si>
    <t xml:space="preserve"> Roll/ 750 FT price per foot</t>
  </si>
  <si>
    <t>CRASH WRAP</t>
  </si>
  <si>
    <t>VTK 74-365</t>
  </si>
  <si>
    <t>74-365</t>
  </si>
  <si>
    <t>Vie Teck Yellow Crash Wrap</t>
  </si>
  <si>
    <t xml:space="preserve">BOX/100 feet </t>
  </si>
  <si>
    <t>M-6410</t>
  </si>
  <si>
    <t>SPRAY OUT CARDS</t>
  </si>
  <si>
    <t>qty 50 price per card</t>
  </si>
  <si>
    <t>UTR 1002</t>
  </si>
  <si>
    <t>04M 1001</t>
  </si>
  <si>
    <t>2.6 COPPER NAILS</t>
  </si>
  <si>
    <t>Price per Nail</t>
  </si>
  <si>
    <t>KLE GAR343</t>
  </si>
  <si>
    <t>AIRCRAFT STRIPER GALLON</t>
  </si>
  <si>
    <t>ABH 15795</t>
  </si>
  <si>
    <t>ACID BRUSH</t>
  </si>
  <si>
    <t xml:space="preserve"> Box /100 Qty Price per blade</t>
  </si>
  <si>
    <t>Q/B QB-3</t>
  </si>
  <si>
    <t>Q BOND KIT LARGE</t>
  </si>
  <si>
    <t>7 ounce bottle price per ounce</t>
  </si>
  <si>
    <t>DETAIL PRODUCTS</t>
  </si>
  <si>
    <t>WIZ 01217</t>
  </si>
  <si>
    <t>WIZA-01217</t>
  </si>
  <si>
    <t>WIZARDS MIST -N-SHINE</t>
  </si>
  <si>
    <t xml:space="preserve"> Gal/128 oz</t>
  </si>
  <si>
    <t>BEDLINER KITS</t>
  </si>
  <si>
    <t>UPO UP0820</t>
  </si>
  <si>
    <t>RAPTOR BEDLINER KIT (BLACK)Price per Qt</t>
  </si>
  <si>
    <t>Price per Quart Bottle</t>
  </si>
  <si>
    <t>UPO UP0821</t>
  </si>
  <si>
    <t>RAPTOR BEDLINER KIT (TINTABLE)Price per Qt</t>
  </si>
  <si>
    <t>UNDERCOATING</t>
  </si>
  <si>
    <t>MMM08881</t>
  </si>
  <si>
    <t>BLACK UNDERCOATING</t>
  </si>
  <si>
    <t>Qty/ 16oz         price per ounce</t>
  </si>
  <si>
    <t>MMM08883</t>
  </si>
  <si>
    <t xml:space="preserve">RUBBERIZED UNDERCOTING </t>
  </si>
  <si>
    <t>Qty/ 19.7oz     price per ounce</t>
  </si>
  <si>
    <t>ADHESIVE REMOVERS/</t>
  </si>
  <si>
    <t>MMM08984</t>
  </si>
  <si>
    <t>Adhesive Remover Qt</t>
  </si>
  <si>
    <t>QT/ 32 oz price per ounce</t>
  </si>
  <si>
    <t>4”  BY 5/8 inch Stripe Replace Wheel</t>
  </si>
  <si>
    <t>A/T 13-032</t>
  </si>
  <si>
    <t>Auto Tech Adhesive Remover</t>
  </si>
  <si>
    <t>Bottle/32oz  price per ounce</t>
  </si>
  <si>
    <t>Glues for (Glue Pulling system)</t>
  </si>
  <si>
    <t>95% Rubbing Alchohol</t>
  </si>
  <si>
    <t xml:space="preserve">Glues </t>
  </si>
  <si>
    <t>AVERAGES</t>
  </si>
  <si>
    <t>Item NCS? Ctalogue</t>
  </si>
  <si>
    <t>Description</t>
  </si>
  <si>
    <t>Price/Units per Box</t>
  </si>
  <si>
    <t>Cost per Unit</t>
  </si>
  <si>
    <t>Mixed Cost per Unit</t>
  </si>
  <si>
    <t>22 Cost Increase</t>
  </si>
  <si>
    <t>Dollar Amount of Increase</t>
  </si>
  <si>
    <t>Units Used</t>
  </si>
  <si>
    <t>Cost</t>
  </si>
  <si>
    <t>Retail</t>
  </si>
  <si>
    <t>Price</t>
  </si>
  <si>
    <t>SPRAY/PUMP BOTTLES</t>
  </si>
  <si>
    <t>WUR  891503360</t>
  </si>
  <si>
    <t>Wurth Pump Spray Bottle    1 Litre</t>
  </si>
  <si>
    <t>EMM 9705</t>
  </si>
  <si>
    <t>Colad  Pump Spray Bottle    1 litre</t>
  </si>
  <si>
    <t>MMM37716</t>
  </si>
  <si>
    <t>Detailing Spray Bottle</t>
  </si>
  <si>
    <t>MMM37717</t>
  </si>
  <si>
    <t>MMM37716 (replacment trigger head)</t>
  </si>
  <si>
    <t xml:space="preserve">MMM8117 </t>
  </si>
  <si>
    <t>8115/8116 6.75 Oz Dispensor</t>
  </si>
  <si>
    <t>MMM37720</t>
  </si>
  <si>
    <t>Detailing Squeeze Bottle</t>
  </si>
  <si>
    <t>FIV 5398</t>
  </si>
  <si>
    <t>5 Gal Thinner Pump</t>
  </si>
  <si>
    <t>VTK 55-550</t>
  </si>
  <si>
    <t>ENGC 11131</t>
  </si>
  <si>
    <t>15 OZ AREO GUN CLEANER</t>
  </si>
  <si>
    <t>MIXING SCALE COVERS</t>
  </si>
  <si>
    <t>E5438</t>
  </si>
  <si>
    <t>TopMix 2 Touch Screen Cover</t>
  </si>
  <si>
    <t>AIR FITTINGS</t>
  </si>
  <si>
    <t>MILS785</t>
  </si>
  <si>
    <t>FEMALE COUPLER T STYLE</t>
  </si>
  <si>
    <t>MILS783</t>
  </si>
  <si>
    <t>T STYLE MALE NIPPLE</t>
  </si>
  <si>
    <t>MILS727</t>
  </si>
  <si>
    <t>MALE NIPPLE M STYLE</t>
  </si>
  <si>
    <t>MILS715</t>
  </si>
  <si>
    <t>FEMALE COUPLER M STYLE</t>
  </si>
  <si>
    <t>DEV HAV-501</t>
  </si>
  <si>
    <t>Air Adjustment Valve &amp; Gauge</t>
  </si>
  <si>
    <t>SAT 675642</t>
  </si>
  <si>
    <t>Dual Regulator, Pressure Pot</t>
  </si>
  <si>
    <t xml:space="preserve">DA /ROLOC       BACKING PADS </t>
  </si>
  <si>
    <t>MMM5776</t>
  </si>
  <si>
    <t>6” DA HOOKIT BACKING PADS</t>
  </si>
  <si>
    <t>NOR  38633</t>
  </si>
  <si>
    <t xml:space="preserve">3” SPEED LOCK VORTEX BACKER </t>
  </si>
  <si>
    <t>SEALER/GLUE DISPENSORS</t>
  </si>
  <si>
    <t>MMM08571</t>
  </si>
  <si>
    <t>AUTOMIX DISPENSOR</t>
  </si>
  <si>
    <t>BONDO EQUIPMENT</t>
  </si>
  <si>
    <t>VTK 42-114</t>
  </si>
  <si>
    <t xml:space="preserve">PBE 120 </t>
  </si>
  <si>
    <t>4” YELLOW  BONDO SPREADER</t>
  </si>
  <si>
    <t>VTK 42-100</t>
  </si>
  <si>
    <t>MARSON 20382</t>
  </si>
  <si>
    <t>BONDO BOARD qty100  price per sheet</t>
  </si>
  <si>
    <t>MMM20382</t>
  </si>
  <si>
    <t>LARGE PAPER MIXING BOARD</t>
  </si>
  <si>
    <t>MGC 00112</t>
  </si>
  <si>
    <t>MTG D -12-2</t>
  </si>
  <si>
    <t>2 PACK GUN FILTERS</t>
  </si>
  <si>
    <t>ARBORS</t>
  </si>
  <si>
    <t>ASO 400E-AR</t>
  </si>
  <si>
    <t>ISN AST400E-AR</t>
  </si>
  <si>
    <t>ARBOR FOR DECAL ERASER  (3”) WHEEL)</t>
  </si>
  <si>
    <t>MMM07500</t>
  </si>
  <si>
    <t xml:space="preserve">1"X1/4" SHANK ROLOC AND HOLDER </t>
  </si>
  <si>
    <t>DA Pads</t>
  </si>
  <si>
    <t>MMM 5781</t>
  </si>
  <si>
    <t>Hookit Disc Pad w/5 Mounting Holes, 8</t>
  </si>
  <si>
    <t>Hookit 2 backing pad assy</t>
  </si>
  <si>
    <t>MMM05568</t>
  </si>
  <si>
    <t>SOFT STICKIT PAD 8"</t>
  </si>
  <si>
    <t>MMM05776</t>
  </si>
  <si>
    <t>6” HOOKIT DA BACKING PADS</t>
  </si>
  <si>
    <t>MMM05777</t>
  </si>
  <si>
    <t>6" HOOKIT SOFT INTERFACE PAD</t>
  </si>
  <si>
    <t>MMM05771</t>
  </si>
  <si>
    <t>3” HOOKIT DA BACKING PADS</t>
  </si>
  <si>
    <t>MMM05270</t>
  </si>
  <si>
    <t>obso</t>
  </si>
  <si>
    <t>3" HOOKIT II BACKING PAD</t>
  </si>
  <si>
    <t>MMM20427</t>
  </si>
  <si>
    <t>3" HOOKIT BACKING PAD</t>
  </si>
  <si>
    <t>BUFFING PADS</t>
  </si>
  <si>
    <t>MMM85078</t>
  </si>
  <si>
    <t>3”Round  3/16”Knapp Velcro Buff Pad</t>
  </si>
  <si>
    <t>MMM05719</t>
  </si>
  <si>
    <t xml:space="preserve">9” White Wool Single Side Buffing  Pad </t>
  </si>
  <si>
    <t>MMM05713</t>
  </si>
  <si>
    <t xml:space="preserve">9” Yellow Wool Single Side Buffing  Pad </t>
  </si>
  <si>
    <t>MMM05738</t>
  </si>
  <si>
    <t xml:space="preserve">8” Black Foam Single Side Buffing  Pad </t>
  </si>
  <si>
    <t>MMM05733</t>
  </si>
  <si>
    <t xml:space="preserve">8” Blue Foam Single Side Buffing  Pad </t>
  </si>
  <si>
    <t>MMM05708</t>
  </si>
  <si>
    <t xml:space="preserve">ULTRAFINE POLISHING PAD </t>
  </si>
  <si>
    <t xml:space="preserve">PREFECT-IT 3 COMPOUNDING PAD </t>
  </si>
  <si>
    <t>MMM05753</t>
  </si>
  <si>
    <t xml:space="preserve">WOOL COMPOUNDING PAD </t>
  </si>
  <si>
    <t>MMM05759</t>
  </si>
  <si>
    <t xml:space="preserve">3" PURPLE FOAM BUFFING PAD </t>
  </si>
  <si>
    <t>MMM05760</t>
  </si>
  <si>
    <t xml:space="preserve">3" BLUE FOAM POLISHING PAD </t>
  </si>
  <si>
    <t xml:space="preserve">MMM01963 </t>
  </si>
  <si>
    <t xml:space="preserve">3" WHITE FOAM BUFF PAD </t>
  </si>
  <si>
    <t>Mixed Cost pr unit</t>
  </si>
  <si>
    <t>2021 COST</t>
  </si>
  <si>
    <t>RESPIRATORS (per 8hr of sprayable)</t>
  </si>
  <si>
    <t>MMM07193</t>
  </si>
  <si>
    <t>3M LARGE  RESPIRATOR</t>
  </si>
  <si>
    <t>pr 8 hr use       price per hour</t>
  </si>
  <si>
    <t>MMM07192</t>
  </si>
  <si>
    <t>3M MEDIUM RESPIRATOR</t>
  </si>
  <si>
    <t>MMM07195</t>
  </si>
  <si>
    <t>Cartridge Replacement Pack Vapor/P95</t>
  </si>
  <si>
    <t>1 cartridge 2 filters/per 8hr usage</t>
  </si>
  <si>
    <t>MMM07046</t>
  </si>
  <si>
    <t xml:space="preserve">ORGANIC VAPOR CARTRIGES </t>
  </si>
  <si>
    <t>1 pachage/8 hr usage price per hour</t>
  </si>
  <si>
    <t>MMM07142</t>
  </si>
  <si>
    <t xml:space="preserve">FACE SHIELD COVERS </t>
  </si>
  <si>
    <t>25/per pack Qty   price per lens</t>
  </si>
  <si>
    <t>MMM89486</t>
  </si>
  <si>
    <t xml:space="preserve">SAFTERY LENS COVERS </t>
  </si>
  <si>
    <t>MMM89487</t>
  </si>
  <si>
    <t>SEMI-PERMENANT LENS COVER EA</t>
  </si>
  <si>
    <t>5/per pack Qty  price per lens</t>
  </si>
  <si>
    <t>3M SPRAY CAN UNITS</t>
  </si>
  <si>
    <t>MMM05917</t>
  </si>
  <si>
    <t>WELD THRU II PRIMER</t>
  </si>
  <si>
    <t>12.75 Spray can  price per ounce</t>
  </si>
  <si>
    <t>MMM08864</t>
  </si>
  <si>
    <t>BODY SCHULTZ RUBBER COATING</t>
  </si>
  <si>
    <t>Quart /32OZ         price per ounce</t>
  </si>
  <si>
    <t>MMM08949</t>
  </si>
  <si>
    <t>No Clean Up Rocker Guard</t>
  </si>
  <si>
    <t>Can/22OZ         price per ounce</t>
  </si>
  <si>
    <t>PPS Spray Cups</t>
  </si>
  <si>
    <t>MMM26028</t>
  </si>
  <si>
    <t>PPS Cups 3 ounce  (Micro)</t>
  </si>
  <si>
    <t>50 liners            Price per Liner</t>
  </si>
  <si>
    <t>MMM26114</t>
  </si>
  <si>
    <t>PPS Cups 6 ounce  (Mini)</t>
  </si>
  <si>
    <t>MMM26112</t>
  </si>
  <si>
    <t>PPS Cups 31.5 ounce  (Mid)</t>
  </si>
  <si>
    <t>MMM26000</t>
  </si>
  <si>
    <t>PPS Cups 22 ounce  (Standard)</t>
  </si>
  <si>
    <t>MMM26024</t>
  </si>
  <si>
    <t>PPS Cups 28 ounce  (Large)</t>
  </si>
  <si>
    <t>3M GLUES/SEAM SEALERS</t>
  </si>
  <si>
    <t>MMM08193</t>
  </si>
  <si>
    <t>AUTOMIX TIPS</t>
  </si>
  <si>
    <r>
      <t xml:space="preserve">12.03 Bag / Qty 6    </t>
    </r>
    <r>
      <rPr>
        <b/>
        <sz val="11"/>
        <color rgb="FF000000"/>
        <rFont val="Calibri"/>
        <family val="2"/>
      </rPr>
      <t>ADD TO EACH</t>
    </r>
  </si>
  <si>
    <t>MMM 8194</t>
  </si>
  <si>
    <t>3M Static Mixing Nozzles</t>
  </si>
  <si>
    <t>Box   Qty 50     Tips only</t>
  </si>
  <si>
    <t>MMM08308</t>
  </si>
  <si>
    <t>AUTOMIX SEAM SEALER</t>
  </si>
  <si>
    <t>MMM08115</t>
  </si>
  <si>
    <t>3M 8115   ADHESIVE</t>
  </si>
  <si>
    <t>200 ml/6.75 oz tube Plus 1 tip($2.40)</t>
  </si>
  <si>
    <t>MMM08116</t>
  </si>
  <si>
    <t>3M 8116   ADHESIVE</t>
  </si>
  <si>
    <t>MMM08463</t>
  </si>
  <si>
    <t>3M 8463  Flexible Foam Repair</t>
  </si>
  <si>
    <t>MMM04247</t>
  </si>
  <si>
    <t>3M 4847 Super Fast  Plastics Repair</t>
  </si>
  <si>
    <t>MMM08223</t>
  </si>
  <si>
    <t>UNIVERSAL ADHESIVE BLACK</t>
  </si>
  <si>
    <t xml:space="preserve">MMM04274 </t>
  </si>
  <si>
    <t>NVH           NOISE DAMPNER</t>
  </si>
  <si>
    <t>MMM08307</t>
  </si>
  <si>
    <t>Self Leveling SEAM SEALER</t>
  </si>
  <si>
    <t>MMM08310</t>
  </si>
  <si>
    <t>BARE METAL SEAM SEALER</t>
  </si>
  <si>
    <t>MMM8360</t>
  </si>
  <si>
    <t>Urethane Seam Sealer (white)</t>
  </si>
  <si>
    <t>310ml/10.4oz Tube         per oz cost</t>
  </si>
  <si>
    <t>MMM8361</t>
  </si>
  <si>
    <t>Urethane Seam Sealer (gray)</t>
  </si>
  <si>
    <t>MMM8364</t>
  </si>
  <si>
    <t>Urethane Seam Sealer (beige)</t>
  </si>
  <si>
    <t>MMM08609</t>
  </si>
  <si>
    <t>WINDSHIELD URETHANE SEALER</t>
  </si>
  <si>
    <t>16.19 Tube/10.5 oz         per oz cost</t>
  </si>
  <si>
    <t>MMM8374</t>
  </si>
  <si>
    <t xml:space="preserve"> moisture-curing MSP seam sealer </t>
  </si>
  <si>
    <t>10.5 oz tube                       per oz cost</t>
  </si>
  <si>
    <t>3M Catalogue</t>
  </si>
  <si>
    <t>Satey attachment</t>
  </si>
  <si>
    <t>3M   ROLOC DISCS</t>
  </si>
  <si>
    <t>MMM07453</t>
  </si>
  <si>
    <t>2" Hookit Scothbrite  (Course)</t>
  </si>
  <si>
    <t>Box / Qty 25   price per disc</t>
  </si>
  <si>
    <t>MMM07486</t>
  </si>
  <si>
    <t>3'   Hookit Schotchbrite Wheel(MED)</t>
  </si>
  <si>
    <t>MMM07485</t>
  </si>
  <si>
    <t>3'   Hookit Schotchbrite Wheel Course</t>
  </si>
  <si>
    <t>MMM07536</t>
  </si>
  <si>
    <t xml:space="preserve">2" Purple  Bristle disc 36 grit  </t>
  </si>
  <si>
    <t>Box / Qty 4   price per disc</t>
  </si>
  <si>
    <t>MMM36535</t>
  </si>
  <si>
    <t xml:space="preserve">3”  Roloc  36 GRIT </t>
  </si>
  <si>
    <t>MMM36536</t>
  </si>
  <si>
    <t xml:space="preserve">3”  Roloc  80 GRIT </t>
  </si>
  <si>
    <t>MMM36527</t>
  </si>
  <si>
    <t>2" Roloc 50 GRIT</t>
  </si>
  <si>
    <t>2" Roloc 80 GRIT Green</t>
  </si>
  <si>
    <t>MMM07466</t>
  </si>
  <si>
    <t xml:space="preserve">4' BLACK ROLOC CLEANN STRIP DISC </t>
  </si>
  <si>
    <t>Box / Qty 1      price per disc</t>
  </si>
  <si>
    <t>MMM21552</t>
  </si>
  <si>
    <t>4" by 1/2” Roloc Clean And Strip</t>
  </si>
  <si>
    <t>MMM07480</t>
  </si>
  <si>
    <t>MMM67430</t>
  </si>
  <si>
    <t>TDS</t>
  </si>
  <si>
    <t>Clean and Strip Unitized Wheel</t>
  </si>
  <si>
    <t>Box / Qty 1     price per disc</t>
  </si>
  <si>
    <t>Body Disc Catalogue</t>
  </si>
  <si>
    <t>5 “ FIBRE GRINDING DISCS</t>
  </si>
  <si>
    <t>MMM33413</t>
  </si>
  <si>
    <t>3M 5” FIBRE GRINDING DISC 36 GRIT</t>
  </si>
  <si>
    <t xml:space="preserve"> BAG/Qty 5   price per disc</t>
  </si>
  <si>
    <t>MMM36507</t>
  </si>
  <si>
    <t xml:space="preserve">5" X 7/8" P38 GREEN FIBER DISC </t>
  </si>
  <si>
    <t>Box / Qty 20   price per disc</t>
  </si>
  <si>
    <t xml:space="preserve">5" X 7/8" P24 GREEN FIBER DISC </t>
  </si>
  <si>
    <t>MMM33415</t>
  </si>
  <si>
    <t>3M 5” FIBRE GRINDING DISC 50 GRIT</t>
  </si>
  <si>
    <t xml:space="preserve"> BAG/Qty 10    price per disc</t>
  </si>
  <si>
    <t>3M 5” FIBRE GRINDING DISC 60 GRIT</t>
  </si>
  <si>
    <t xml:space="preserve"> Box /Qty 5       price per disc</t>
  </si>
  <si>
    <t>3M SCUFF PADS</t>
  </si>
  <si>
    <t>MMM07748</t>
  </si>
  <si>
    <t xml:space="preserve">GREY SCUFF PAD 3M  </t>
  </si>
  <si>
    <t xml:space="preserve">roll /30 pads             price per pad </t>
  </si>
  <si>
    <t>MMM07521</t>
  </si>
  <si>
    <t>ABRASIVE SHEET ROLL  RED 8" by 20 ft</t>
  </si>
  <si>
    <t>MMM07747</t>
  </si>
  <si>
    <t>RED SCUFF PAD 3M</t>
  </si>
  <si>
    <t>GREY SCUFF PADS 6” by 9” PADS</t>
  </si>
  <si>
    <t xml:space="preserve"> Box/20 per Box      price per pad </t>
  </si>
  <si>
    <t>PLASTIC COVERS/SHEETING</t>
  </si>
  <si>
    <t>MMM06724</t>
  </si>
  <si>
    <t>3M 12'X350' PLASTIC SHEETING</t>
  </si>
  <si>
    <t>BOX / 350 ft          price per foot</t>
  </si>
  <si>
    <t>MMM06728</t>
  </si>
  <si>
    <t>3M 16'X350' PLASTIC SHEETING</t>
  </si>
  <si>
    <t>TAPES</t>
  </si>
  <si>
    <t>MMM06652</t>
  </si>
  <si>
    <t>3M   ¾ GOLD TAPE</t>
  </si>
  <si>
    <t xml:space="preserve">180 ft  Roll/        per foot price </t>
  </si>
  <si>
    <t>MMM06654</t>
  </si>
  <si>
    <t>3M 1 1/2" GOLD TAPE</t>
  </si>
  <si>
    <t>MMM26332</t>
  </si>
  <si>
    <t>3M   ½ GREEN TAPE</t>
  </si>
  <si>
    <t>MMM26334</t>
  </si>
  <si>
    <t>3M   ¾ GREEN TAPE</t>
  </si>
  <si>
    <t>MMM26336</t>
  </si>
  <si>
    <t>3M   1   GREEN TAPE</t>
  </si>
  <si>
    <t>MMM26338</t>
  </si>
  <si>
    <t>3M   1  ½ GREEN TAPE</t>
  </si>
  <si>
    <t>MMM06525</t>
  </si>
  <si>
    <t>3M ¼ “ GREEN WATERBORNE TAPE</t>
  </si>
  <si>
    <t>MMM06529</t>
  </si>
  <si>
    <t>3M ¾ GREEN WATERBORNE TAPE</t>
  </si>
  <si>
    <t>MMM06404</t>
  </si>
  <si>
    <t>3M BLUE FINE LINE 1/8"</t>
  </si>
  <si>
    <t xml:space="preserve">108 ft  Roll/        per foot price </t>
  </si>
  <si>
    <t>MMM06405</t>
  </si>
  <si>
    <t>3M BLUE FINE LINE ¼"</t>
  </si>
  <si>
    <t>MMM06408</t>
  </si>
  <si>
    <t>3M BLUE FINE LINE ½"</t>
  </si>
  <si>
    <t>MMM06293</t>
  </si>
  <si>
    <t>3M FOAM EDGE MASKING ROLL</t>
  </si>
  <si>
    <t xml:space="preserve">160 ft  Roll/        per foot price </t>
  </si>
  <si>
    <t>2 SIDED ATTACHING TAPES (side mldgs)</t>
  </si>
  <si>
    <t>MMM06386</t>
  </si>
  <si>
    <t>1/4” BY 60 FT Black 2 Sided Tape</t>
  </si>
  <si>
    <t xml:space="preserve">60 ft  Roll/        per foot price </t>
  </si>
  <si>
    <t>MMM06382</t>
  </si>
  <si>
    <t>1/2” BY 60 FT Black 2 Sided Tape</t>
  </si>
  <si>
    <t>MMM06383</t>
  </si>
  <si>
    <t>7/8” BY 60 FT Black 2 Sided Tape</t>
  </si>
  <si>
    <t>MMM06396</t>
  </si>
  <si>
    <t>ADHESION PROMOTER WIPE</t>
  </si>
  <si>
    <t>box 100 qty        price per wipe</t>
  </si>
  <si>
    <t>8” SANDPAPER</t>
  </si>
  <si>
    <t>MMM00524</t>
  </si>
  <si>
    <t xml:space="preserve">8' GREEN HOOKIT P40  </t>
  </si>
  <si>
    <t>Box / Qty 25   price per sheet</t>
  </si>
  <si>
    <t>MMM00525</t>
  </si>
  <si>
    <t xml:space="preserve">8' GREEEN HOOKIT P36 </t>
  </si>
  <si>
    <t>MMM00521</t>
  </si>
  <si>
    <t>3M 80 Green Stck it GRIT 8” DA</t>
  </si>
  <si>
    <t>Box / Qty 50   price per  sheet</t>
  </si>
  <si>
    <t>MMM00522</t>
  </si>
  <si>
    <t>3M 60 GRIT Hookit 8” DA</t>
  </si>
  <si>
    <t>MMM01549</t>
  </si>
  <si>
    <t>3M 80 Green Hookit GRIT 8” DA</t>
  </si>
  <si>
    <t>MMM01845</t>
  </si>
  <si>
    <t>3M PURPLE  HOOKIT   8”  220 GRIT</t>
  </si>
  <si>
    <t>6” SANDPAPER</t>
  </si>
  <si>
    <t>31.61 each pad</t>
  </si>
  <si>
    <t>11.90 EACH  pad</t>
  </si>
  <si>
    <t>5.70 each  pad</t>
  </si>
  <si>
    <t>MMM02090</t>
  </si>
  <si>
    <t>3M TRIZACT HOOKIT 6” 1000 GRIT</t>
  </si>
  <si>
    <t>BOX/15 Qty           price per sheet</t>
  </si>
  <si>
    <t>MMM02088</t>
  </si>
  <si>
    <t>3M TRIZACT HOOKIT 6” 1500 GRIT</t>
  </si>
  <si>
    <t>BOX/25 Qty           price per sheet</t>
  </si>
  <si>
    <t>MMM02085</t>
  </si>
  <si>
    <t>3M TRIZACT HOOKIT 6” P3000 GRIT</t>
  </si>
  <si>
    <t>MMM30662</t>
  </si>
  <si>
    <t>3M TRIZACT HOOKIT 6” 5000 GRIT</t>
  </si>
  <si>
    <t>MMM30667</t>
  </si>
  <si>
    <t>3M TRIZACT HOOKIT 6” 8000 GRIT</t>
  </si>
  <si>
    <t>MMM00513</t>
  </si>
  <si>
    <t>6” GREEN  HOOKIT 60 GRIT</t>
  </si>
  <si>
    <t>MMM00512</t>
  </si>
  <si>
    <t>6” GREEN  HOOKIT 80 GRIT</t>
  </si>
  <si>
    <t>MMM01547</t>
  </si>
  <si>
    <t xml:space="preserve">6" GREEN STIKIT 40 GRIT </t>
  </si>
  <si>
    <t>BOX/100 Qty           price per sheet</t>
  </si>
  <si>
    <t>MMM30687</t>
  </si>
  <si>
    <t>3M 6" PURPLE HOOKIT 36 GRIT</t>
  </si>
  <si>
    <t>MMM30671</t>
  </si>
  <si>
    <t>3M 6" PURPLE HOOKIT 600 GRIT</t>
  </si>
  <si>
    <t>BOX/50 Qty           price per sheet</t>
  </si>
  <si>
    <t>MMM30670</t>
  </si>
  <si>
    <t>3M 6" PURPLE HOOKIT   P800 GRIT</t>
  </si>
  <si>
    <t>MMM30669</t>
  </si>
  <si>
    <t>3M 6" PURPLE HOOKIT   P1000 GRIT</t>
  </si>
  <si>
    <t>MMM30668</t>
  </si>
  <si>
    <t>3M 6" PURPLE HOOKIT   1200 GRIT</t>
  </si>
  <si>
    <t xml:space="preserve">3M 6" PURLE HOOKIT P1500 GRIT </t>
  </si>
  <si>
    <t>MMM01261</t>
  </si>
  <si>
    <t>3M RED HOOKIT 6”  80 GRIT</t>
  </si>
  <si>
    <t>MMM01224</t>
  </si>
  <si>
    <t>3M RED HOOKIT 6”  120 GRIT</t>
  </si>
  <si>
    <t>MMM01223</t>
  </si>
  <si>
    <t>3M RED HOOKIT 6”  150 GRIT</t>
  </si>
  <si>
    <t>MMM01222</t>
  </si>
  <si>
    <t>3M RED HOOKIT 6”  180 GRIT</t>
  </si>
  <si>
    <t>MMM01221</t>
  </si>
  <si>
    <t>3M RED HOOKIT 6”  220 GRIT</t>
  </si>
  <si>
    <t>MMM01220</t>
  </si>
  <si>
    <t>3M RED HOOKIT 6" P240 GRIT</t>
  </si>
  <si>
    <t>MMM01219</t>
  </si>
  <si>
    <t>3M RED HOOKIT 6”  320 GRIT</t>
  </si>
  <si>
    <t>MMM01218</t>
  </si>
  <si>
    <t>3M RED HOOKIT 6”  400 GRIT</t>
  </si>
  <si>
    <t>MMM00983</t>
  </si>
  <si>
    <t>3M  6" GOLD  HOOKIT   80 GRIT</t>
  </si>
  <si>
    <t>BOX/75 Qty           price per sheet</t>
  </si>
  <si>
    <t>MMM00979</t>
  </si>
  <si>
    <t>3M  6" GOLD  HOOKIT   180 GRIT</t>
  </si>
  <si>
    <t>MMM00978</t>
  </si>
  <si>
    <t>3M  6" GOLD  HOOKIT   220 GRIT</t>
  </si>
  <si>
    <t>MMM00975</t>
  </si>
  <si>
    <t>3M  6" GOLD  HOOKIT   320 GRIT</t>
  </si>
  <si>
    <t>MMM00973</t>
  </si>
  <si>
    <t>3M  6" GOLD  HOOKIT   400 GRIT</t>
  </si>
  <si>
    <t>MMM00970</t>
  </si>
  <si>
    <t>3M  6" GOLD  HOOKIT   800 GRIT</t>
  </si>
  <si>
    <t>MMM00972</t>
  </si>
  <si>
    <t xml:space="preserve">3M 6" GOLD HOOKIT P500 GRIT </t>
  </si>
  <si>
    <t>Catalogue</t>
  </si>
  <si>
    <t>SDS</t>
  </si>
  <si>
    <t xml:space="preserve">6 " CUBITRON </t>
  </si>
  <si>
    <t>MMM31374</t>
  </si>
  <si>
    <t>3M PURPLE VAC 6” 180 GRIT</t>
  </si>
  <si>
    <t>MMM30761</t>
  </si>
  <si>
    <t>3M PURPLE VAC 6” 600 GRIT</t>
  </si>
  <si>
    <t>MMM01443</t>
  </si>
  <si>
    <t>3M GOLD STICK-IT 6” 80 GRIT</t>
  </si>
  <si>
    <t>Roll /125 Qty       price per sheet</t>
  </si>
  <si>
    <t>MMM01441</t>
  </si>
  <si>
    <t>3M GOLD STICK-IT 6” 120 GRIT</t>
  </si>
  <si>
    <t>MMM01204</t>
  </si>
  <si>
    <t xml:space="preserve">3M GLOD STIK-IT 6" 0P360 GRIT </t>
  </si>
  <si>
    <t>MMM00969</t>
  </si>
  <si>
    <t>3M WHITE HOOKIT 6" P1000</t>
  </si>
  <si>
    <t>3M WHITE HOOKIT 6" P800</t>
  </si>
  <si>
    <t>3” SANDPAPER</t>
  </si>
  <si>
    <t>MMM30260</t>
  </si>
  <si>
    <t>3M 3" PURPLE HOOKIT   800 GRIT</t>
  </si>
  <si>
    <t>MMM30362</t>
  </si>
  <si>
    <t>3M TRIZACT HOOKIT 3” 5000 GRIT</t>
  </si>
  <si>
    <t>MMM30369</t>
  </si>
  <si>
    <t>3" ABRASIVE PURPLE HOOKIT FILM P1000</t>
  </si>
  <si>
    <t>MMM30367</t>
  </si>
  <si>
    <t>3" PURPLE HOOKIT FILM DISC P1500</t>
  </si>
  <si>
    <t>MMM907</t>
  </si>
  <si>
    <t>MMM00921</t>
  </si>
  <si>
    <t>3M 3” GOLD P80 GRIT</t>
  </si>
  <si>
    <t>MMM00917</t>
  </si>
  <si>
    <t xml:space="preserve"> 3M 3” GOLD P180 GRIT </t>
  </si>
  <si>
    <t>MMM00916</t>
  </si>
  <si>
    <t xml:space="preserve"> 3M 3” GOLD P220 GRIT </t>
  </si>
  <si>
    <t>MMM00914</t>
  </si>
  <si>
    <t xml:space="preserve">3" HOOKIT DISC P320 GRIT </t>
  </si>
  <si>
    <t>STICK-IT  SANDPAPER</t>
  </si>
  <si>
    <t>MMM02599</t>
  </si>
  <si>
    <t xml:space="preserve">3M Stickit 2 ¾ inch Roll 80 Grit </t>
  </si>
  <si>
    <t xml:space="preserve"> Roll / 75 ft long  price per foot</t>
  </si>
  <si>
    <t>MMM02597</t>
  </si>
  <si>
    <t xml:space="preserve">3M Stickit 2 ¾ inch Roll 120 Grit </t>
  </si>
  <si>
    <t>MMM02595</t>
  </si>
  <si>
    <t xml:space="preserve">3M Stickit 2 ¾ inch Roll 180 Grit </t>
  </si>
  <si>
    <t>MMM02594</t>
  </si>
  <si>
    <t xml:space="preserve">3M Stickit 2 ¾ inch Roll 220 Grit </t>
  </si>
  <si>
    <t>MMM02590</t>
  </si>
  <si>
    <t xml:space="preserve">3M Stickit 2 ¾ inch Roll 400 Grit </t>
  </si>
  <si>
    <t>16 inch sheet *2 3/4 paper</t>
  </si>
  <si>
    <t>MMM01793</t>
  </si>
  <si>
    <t>PURPLE HOOKIT 2.75" X 16.5"  40 Grit</t>
  </si>
  <si>
    <t>MMM02230</t>
  </si>
  <si>
    <t xml:space="preserve">3M Stickit 2 ¾ by 16 “sheet       80 Grit </t>
  </si>
  <si>
    <t>MMM01794</t>
  </si>
  <si>
    <t>PURPLE HOOKIT 2.75" X 16.5"  36 Grit</t>
  </si>
  <si>
    <t>IMPERIAL 5 ½ by 9” WET/DRY SANDPAPER</t>
  </si>
  <si>
    <t>MMM02021</t>
  </si>
  <si>
    <t>3M WET DRY SHEET 1000 GRIT</t>
  </si>
  <si>
    <t>Sleeve/50 Qty           price per sheet</t>
  </si>
  <si>
    <t>MMM02022</t>
  </si>
  <si>
    <t>3M WET DRY SHEET 1200 GRIT</t>
  </si>
  <si>
    <t>MMM02023</t>
  </si>
  <si>
    <t>3M WET DRY SHEET 1500 GRIT</t>
  </si>
  <si>
    <t>IMPERIAL 9 BY 11” WET/DRY SANDPAPER</t>
  </si>
  <si>
    <t>MMM02036</t>
  </si>
  <si>
    <t>3M  9” WET DRY SHEET 600 GRIT</t>
  </si>
  <si>
    <t>MMM02038</t>
  </si>
  <si>
    <t>3M  9” WET DRY SHEET 400 GRIT</t>
  </si>
  <si>
    <t>RUBBING COMPOUNDS</t>
  </si>
  <si>
    <t>MMM06061</t>
  </si>
  <si>
    <t>EXTRA CUT COMPOUND GALLON</t>
  </si>
  <si>
    <t xml:space="preserve"> Gal/128oz           price per oz</t>
  </si>
  <si>
    <t>MMM05955</t>
  </si>
  <si>
    <t>3M SUPER DUTY COMPOUND 1 GAL</t>
  </si>
  <si>
    <t>MMM06065</t>
  </si>
  <si>
    <t>Perfect-It EX Machine Polish (Black)</t>
  </si>
  <si>
    <t>MMM06086</t>
  </si>
  <si>
    <t>Perfect- it White Compound  Gallon</t>
  </si>
  <si>
    <t>MMM06097</t>
  </si>
  <si>
    <t>Perfect-ItEX Ultrafine (Blue) Quart</t>
  </si>
  <si>
    <t>Quart /32 oz       price per ounce</t>
  </si>
  <si>
    <t>CUT OFF/GRINDING WHEELS</t>
  </si>
  <si>
    <t>MMM33445</t>
  </si>
  <si>
    <t xml:space="preserve">5 PACK  3” by 1/16 “CUTTING WHEEL </t>
  </si>
  <si>
    <t>Qty / 5 Price per wheel</t>
  </si>
  <si>
    <t>MMM33446</t>
  </si>
  <si>
    <t xml:space="preserve">5 PACK  3” by 3/8 “CUTTING WHEEL </t>
  </si>
  <si>
    <t>CUBITRON FILE BELTS</t>
  </si>
  <si>
    <t> Cubitron™ II File Belts  60 grit</t>
  </si>
  <si>
    <t>Qty /10     Price per belt</t>
  </si>
  <si>
    <t> Cubitron™ II File Belts  80 grit</t>
  </si>
  <si>
    <t>MMM33447</t>
  </si>
  <si>
    <t> Cubitron™ II File Belts  36 grit</t>
  </si>
  <si>
    <t>SPRAY ADHESIVES</t>
  </si>
  <si>
    <t>MMM08088</t>
  </si>
  <si>
    <t>3M Spray Trim Adhesive</t>
  </si>
  <si>
    <t>18.1 oz can price per ounce</t>
  </si>
  <si>
    <t>MMM8090</t>
  </si>
  <si>
    <t xml:space="preserve">YELLOW SUPER TRIM ADHESIVE </t>
  </si>
  <si>
    <t>19 oz can price per ounce</t>
  </si>
  <si>
    <t>Qty 1 price per unit</t>
  </si>
  <si>
    <t>DRY COAT GUIDE</t>
  </si>
  <si>
    <t>MMM05860</t>
  </si>
  <si>
    <t>SOP</t>
  </si>
  <si>
    <t>Dry guide coat surface imperfections</t>
  </si>
  <si>
    <t xml:space="preserve">1.75ounce (50 grams) price per gram </t>
  </si>
  <si>
    <t>SAFETY</t>
  </si>
  <si>
    <t>MMM311-1252</t>
  </si>
  <si>
    <t>311-1252</t>
  </si>
  <si>
    <t>E-A-Rsoft Yellow Neon Earplugs</t>
  </si>
  <si>
    <t>Qty/200 pairs    price per pair</t>
  </si>
  <si>
    <t>SANDING BLOCKS</t>
  </si>
  <si>
    <t>MMM5684</t>
  </si>
  <si>
    <t>Hookit Sanding Block Kit   (Yellow)</t>
  </si>
  <si>
    <t>Item  NCS</t>
  </si>
  <si>
    <t>MIxed Cost per unit</t>
  </si>
  <si>
    <t>Cost Per unit</t>
  </si>
  <si>
    <t>Retail cost-</t>
  </si>
  <si>
    <t xml:space="preserve"> STRAND EVERGLASS</t>
  </si>
  <si>
    <t>FGE1190</t>
  </si>
  <si>
    <t xml:space="preserve">Tiger Hair - Gallon </t>
  </si>
  <si>
    <t>Qty / 128 oz   price per ounce</t>
  </si>
  <si>
    <t>FGE865</t>
  </si>
  <si>
    <t>SMC Resin - Gallon</t>
  </si>
  <si>
    <t>FGE 622</t>
  </si>
  <si>
    <t>FIBERGLASS RESIGN 1 GALLON</t>
  </si>
  <si>
    <t>FGE498</t>
  </si>
  <si>
    <t>HARDNER FOR FIBERGALSS RESIGN</t>
  </si>
  <si>
    <t>FGE603</t>
  </si>
  <si>
    <t>LIQUID RESIN HARDNER</t>
  </si>
  <si>
    <t>Qty / 1.35 oz   price per ounce</t>
  </si>
  <si>
    <t>GLAZE PUTTY</t>
  </si>
  <si>
    <t>FGE411</t>
  </si>
  <si>
    <t>PLOY-FLEX GLAZE PUTTY</t>
  </si>
  <si>
    <t>qty qt 30 ounce  price per ounce</t>
  </si>
  <si>
    <t>FGE1348</t>
  </si>
  <si>
    <t>UNDERCOAT</t>
  </si>
  <si>
    <t>Spray can 17.5 oz price per oz</t>
  </si>
  <si>
    <t>FGE416</t>
  </si>
  <si>
    <t>GLAZE COAT</t>
  </si>
  <si>
    <t>LOR 100EZ</t>
  </si>
  <si>
    <t>FUSOR 100EZ ADDHESIVE</t>
  </si>
  <si>
    <t>Qty 7.1 oz tube    price per oz</t>
  </si>
  <si>
    <t>LOR 114</t>
  </si>
  <si>
    <t>LOR 114LG</t>
  </si>
  <si>
    <t>PLASTIC FINISHING PASTE</t>
  </si>
  <si>
    <t>FILLERS</t>
  </si>
  <si>
    <t>FIB 120</t>
  </si>
  <si>
    <t>RAGE EXTREME GOLD GALLON</t>
  </si>
  <si>
    <t>FIB 282</t>
  </si>
  <si>
    <t>Evercoat Z-Grip GALLON</t>
  </si>
  <si>
    <t>FIB 622</t>
  </si>
  <si>
    <t>Evercoat Short Strand Fiberglass Gal</t>
  </si>
  <si>
    <t>FIB 864</t>
  </si>
  <si>
    <t>Evercoat  Fiberglass Resin Gal</t>
  </si>
  <si>
    <t>FIB 414</t>
  </si>
  <si>
    <t xml:space="preserve">METAL GLAZE         </t>
  </si>
  <si>
    <t>Qty / 0 oz   price per ounce</t>
  </si>
  <si>
    <t xml:space="preserve"> </t>
  </si>
  <si>
    <t>FGE 360</t>
  </si>
  <si>
    <t>4 oz Tube Blue Hardner</t>
  </si>
  <si>
    <t>Tube /4oz    price per ounce</t>
  </si>
  <si>
    <t>Q-PADS</t>
  </si>
  <si>
    <t>FGE-116</t>
  </si>
  <si>
    <t>FIB -116</t>
  </si>
  <si>
    <t>12 BY 12 Q PADS</t>
  </si>
  <si>
    <t xml:space="preserve"> Box / 6 Qty         price per pad</t>
  </si>
  <si>
    <t>Item</t>
  </si>
  <si>
    <t>MIXED Cost per ounce</t>
  </si>
  <si>
    <t>2021 PRICE</t>
  </si>
  <si>
    <t>unit cost</t>
  </si>
  <si>
    <t>Retail cost</t>
  </si>
  <si>
    <t>INDUSTRIAL PAINTS</t>
  </si>
  <si>
    <t>1.27per ounce</t>
  </si>
  <si>
    <t>33-24861</t>
  </si>
  <si>
    <t xml:space="preserve">Ind Imron 3.5 HG  White </t>
  </si>
  <si>
    <t>80% fill (102 ounce) gal price per ounce</t>
  </si>
  <si>
    <t>33-24926</t>
  </si>
  <si>
    <t>Ind Imron 3.5 HG  Black</t>
  </si>
  <si>
    <t>*RHD/GL</t>
  </si>
  <si>
    <t>Ind Imron 3.5 HG  John Deere Ind Yellow-1564</t>
  </si>
  <si>
    <t>*RHB/GL</t>
  </si>
  <si>
    <t>Ind Imron 3.5 HG  Bekins Grey-3214</t>
  </si>
  <si>
    <t>*RHA/GL</t>
  </si>
  <si>
    <t>Ind Imron 3.5 HG  Mack White-????</t>
  </si>
  <si>
    <t>Ind Imron 3.5 HG D O T Orange-1662</t>
  </si>
  <si>
    <t>INDUSTRIAL CLEARS</t>
  </si>
  <si>
    <t xml:space="preserve">  </t>
  </si>
  <si>
    <t>Gal /128 oz                price per ounce</t>
  </si>
  <si>
    <t>CLEANERS/WATER/WAX BASED</t>
  </si>
  <si>
    <t>DU PONT SPRAY CAN PRODUCTS</t>
  </si>
  <si>
    <t>410A</t>
  </si>
  <si>
    <t>410A     Self Etch Primer</t>
  </si>
  <si>
    <t>spray can/12 oz can         price per ounce</t>
  </si>
  <si>
    <t>790/CN</t>
  </si>
  <si>
    <t>QuickN'Easy Clear Blender       14.0 ounces</t>
  </si>
  <si>
    <t>spray can/14 oz can         price per ounce</t>
  </si>
  <si>
    <t>DU PONT EPOXY PRIMERS</t>
  </si>
  <si>
    <t>2580CR</t>
  </si>
  <si>
    <t>2580  /10/40  /90/         CR  Epoxy Primer ( Gal)        MIX  2:1 Ratio</t>
  </si>
  <si>
    <t>Gal128oz     price per ounce</t>
  </si>
  <si>
    <t>2505S</t>
  </si>
  <si>
    <t>2505S (3/5/7/9) Qt Activator     {GAL}</t>
  </si>
  <si>
    <t>2540 S</t>
  </si>
  <si>
    <t>2510/40/70/90</t>
  </si>
  <si>
    <t>2540    Epoxy Primer ( Gal)        MIX  2:1 Ratio 2503/5/7/9</t>
  </si>
  <si>
    <t>2510 S</t>
  </si>
  <si>
    <t>2510    Epoxy Primer ( Gal)        MIX  2:1 Ratio 2503/5/7/9</t>
  </si>
  <si>
    <t>DU PONT SEALERS</t>
  </si>
  <si>
    <t>1.77*4+3.38+1.53/6=2.00</t>
  </si>
  <si>
    <t>42410/  40  70       Chromapremier               4:1:1 ratio</t>
  </si>
  <si>
    <t>Gal128oz                       price per ounce</t>
  </si>
  <si>
    <t>12305 Catalyst 32 ounce</t>
  </si>
  <si>
    <t>Qt 32oz                           price per ounce</t>
  </si>
  <si>
    <t>42475 reducer 32 ounce</t>
  </si>
  <si>
    <t xml:space="preserve">Imron 194             Activater  (3 paint to 1 Act  ratio)  N/A       </t>
  </si>
  <si>
    <t xml:space="preserve">294S </t>
  </si>
  <si>
    <t xml:space="preserve">Imron 294             Activater  (3 paint to 1 Act  ratio)  N/A      </t>
  </si>
  <si>
    <t>qt 32 ounce price per ounce</t>
  </si>
  <si>
    <t>9T00</t>
  </si>
  <si>
    <t>Ind Imron Activator   9T00-A/32</t>
  </si>
  <si>
    <t>Qt 80% fill  (26 oz in a qt)   price per ounce</t>
  </si>
  <si>
    <t>389S Accelerator</t>
  </si>
  <si>
    <t>8989 Acceleratior</t>
  </si>
  <si>
    <t>VG 805</t>
  </si>
  <si>
    <t>VG805</t>
  </si>
  <si>
    <t>THINNERS</t>
  </si>
  <si>
    <t>Y34201</t>
  </si>
  <si>
    <t>AXALTA THINNER</t>
  </si>
  <si>
    <t>NASON</t>
  </si>
  <si>
    <t>402-02/CN</t>
  </si>
  <si>
    <t>Nason Trim Black - Flat Spray Can</t>
  </si>
  <si>
    <t>IMRON MIXING MACHINE</t>
  </si>
  <si>
    <t>3500P</t>
  </si>
  <si>
    <t>3500P IMRON 3.5 HG+ MIXING CLEAR</t>
  </si>
  <si>
    <t>PT198</t>
  </si>
  <si>
    <t>Powetint Binder</t>
  </si>
  <si>
    <t>MASTER TINT MIXING MACHINE</t>
  </si>
  <si>
    <t>1002S</t>
  </si>
  <si>
    <t>MasterTint Red Pearl</t>
  </si>
  <si>
    <t>Pint 16 oz                   price per ounce</t>
  </si>
  <si>
    <t>M6410</t>
  </si>
  <si>
    <t>H20 &amp; Solvent Test Panel (50/PK)</t>
  </si>
  <si>
    <t>Box/Qty 25       Price per suit</t>
  </si>
  <si>
    <t>PAINT PRODUCTS</t>
  </si>
  <si>
    <t>AK2-</t>
  </si>
  <si>
    <t>Amershield Black          Gal Mix 1:1</t>
  </si>
  <si>
    <t xml:space="preserve">Gal /  128 ounces </t>
  </si>
  <si>
    <t>AK2-B/GL</t>
  </si>
  <si>
    <t>Amershield Activator       Gal Mix 1:1</t>
  </si>
  <si>
    <t>AT833M/HPT</t>
  </si>
  <si>
    <t>Amercoat Accelerator       Pint</t>
  </si>
  <si>
    <t xml:space="preserve">Gal /  8 ounces </t>
  </si>
  <si>
    <t>PRIMER PRODUCTS</t>
  </si>
  <si>
    <t>Aerlock sprayable oz</t>
  </si>
  <si>
    <t>AK2-9/GL</t>
  </si>
  <si>
    <t>Amerlock 2/400 Black      Gal</t>
  </si>
  <si>
    <t>AK2-3/GL</t>
  </si>
  <si>
    <t>Amerlock 2/400  White     Gal</t>
  </si>
  <si>
    <t>Amerlock 2  Cure             Gal</t>
  </si>
  <si>
    <t>AT765/GL</t>
  </si>
  <si>
    <t>Amercoat 65 Thinner        gal</t>
  </si>
  <si>
    <t>AT861/HPT</t>
  </si>
  <si>
    <t>Amerlock Accelerator           Pint</t>
  </si>
  <si>
    <t>CRE Sprayable oz</t>
  </si>
  <si>
    <t>CRE-121/GL</t>
  </si>
  <si>
    <t>WHITE                Gal</t>
  </si>
  <si>
    <t>CRE-921/GL</t>
  </si>
  <si>
    <t>BLACK                Gal</t>
  </si>
  <si>
    <t>CRE-211H/GL</t>
  </si>
  <si>
    <t>HARDNER             Gal</t>
  </si>
  <si>
    <t>MEK</t>
  </si>
  <si>
    <t>Q60/GL</t>
  </si>
  <si>
    <t>MEK               Gal</t>
  </si>
  <si>
    <t>.</t>
  </si>
  <si>
    <t xml:space="preserve"> item No</t>
  </si>
  <si>
    <t>Tech Sheet</t>
  </si>
  <si>
    <t xml:space="preserve">Mixed cost pr unit </t>
  </si>
  <si>
    <t>Unit Cost</t>
  </si>
  <si>
    <t>CAR COVER PLASTICS</t>
  </si>
  <si>
    <t>16 ft * 350 ft car cover plastic</t>
  </si>
  <si>
    <t>NOR 03723</t>
  </si>
  <si>
    <t>NOR  03723</t>
  </si>
  <si>
    <t>20 ft * 350 ft car cover plastic</t>
  </si>
  <si>
    <t>Box/ 350 ft  price per linnear foot</t>
  </si>
  <si>
    <t>NOR 06728</t>
  </si>
  <si>
    <t>16"X400" PLASTIC SHEETING</t>
  </si>
  <si>
    <t>400 ft price per Linnear foot</t>
  </si>
  <si>
    <t>ROLOC DISCS</t>
  </si>
  <si>
    <t>NOR 62320</t>
  </si>
  <si>
    <t>2” Roloc  50 Grit</t>
  </si>
  <si>
    <t>BOX/ Qty 25 price per disc</t>
  </si>
  <si>
    <t>NOR 62330</t>
  </si>
  <si>
    <t>3” Roloc  50 Grit</t>
  </si>
  <si>
    <t>NOR 62328</t>
  </si>
  <si>
    <t>3” Roloc  36 Grit</t>
  </si>
  <si>
    <t>NOR  35417</t>
  </si>
  <si>
    <t>3” Roloc Vortex TR Course</t>
  </si>
  <si>
    <t>NOR  35430</t>
  </si>
  <si>
    <t>3” Roloc Vortex TR Medium</t>
  </si>
  <si>
    <t>NOR  38674</t>
  </si>
  <si>
    <t>3” Roloc  36 Grit Speed lock TR Disc</t>
  </si>
  <si>
    <t>NOR 31661</t>
  </si>
  <si>
    <t>8" X P180B NorGrip (100/Pk)</t>
  </si>
  <si>
    <t>8 inch Hook it 2</t>
  </si>
  <si>
    <t>TAPE</t>
  </si>
  <si>
    <t>NOR 00308</t>
  </si>
  <si>
    <t xml:space="preserve"> 1 1/2" Orange TAPE</t>
  </si>
  <si>
    <t>SEM39133</t>
  </si>
  <si>
    <t>FLEX PRIME AREOSOL</t>
  </si>
  <si>
    <t>Spray Can 16 oz price per ounce</t>
  </si>
  <si>
    <t>SEM39143</t>
  </si>
  <si>
    <t>TRIM BLACK AEROSOL</t>
  </si>
  <si>
    <t>SEM39693</t>
  </si>
  <si>
    <t>PRIMER SELF ETCHING GREEN</t>
  </si>
  <si>
    <t>TRANSTAR</t>
  </si>
  <si>
    <t>TRS4603</t>
  </si>
  <si>
    <t>Gray 2-in-1 Primer</t>
  </si>
  <si>
    <t>spray can primer 20 ounce</t>
  </si>
  <si>
    <t>Averages</t>
  </si>
  <si>
    <t>NCS Item</t>
  </si>
  <si>
    <t>SDS Shet</t>
  </si>
  <si>
    <t>MIxed cost pr unit</t>
  </si>
  <si>
    <t>SPRAYABLE OUNCE CALC</t>
  </si>
  <si>
    <t>PER OUNZE</t>
  </si>
  <si>
    <t>chroma sealer activator</t>
  </si>
  <si>
    <t>Qty/32oz  price per ounce</t>
  </si>
  <si>
    <t>42475S</t>
  </si>
  <si>
    <t>chroma sealer reducer</t>
  </si>
  <si>
    <t>42410S</t>
  </si>
  <si>
    <t xml:space="preserve">chroma sealer  </t>
  </si>
  <si>
    <t>Gal/128oz  price per ounce</t>
  </si>
  <si>
    <t>62320F</t>
  </si>
  <si>
    <t>Chroma Binder</t>
  </si>
  <si>
    <t>Price per ounce</t>
  </si>
  <si>
    <t>62330F</t>
  </si>
  <si>
    <t>Chroma Balancer</t>
  </si>
  <si>
    <t>REDUCERS</t>
  </si>
  <si>
    <t>7175S</t>
  </si>
  <si>
    <t>BASECOAT REDUCER</t>
  </si>
  <si>
    <t>MIXING SYSTEM</t>
  </si>
  <si>
    <t>4530S</t>
  </si>
  <si>
    <t>FLOP CONTROL AGENT</t>
  </si>
  <si>
    <t>64.66 / 32 oz</t>
  </si>
  <si>
    <t>WHITE  HS</t>
  </si>
  <si>
    <t>WHITE LS</t>
  </si>
  <si>
    <t>CRYSTALLINE WHITE</t>
  </si>
  <si>
    <t>BLACK</t>
  </si>
  <si>
    <t>BLACK GAL</t>
  </si>
  <si>
    <t>RED TRANSOXIDE</t>
  </si>
  <si>
    <t>Farm And Fleet Number</t>
  </si>
  <si>
    <t>ITEM Description</t>
  </si>
  <si>
    <t>Mixed cost per unit</t>
  </si>
  <si>
    <t>Item Description</t>
  </si>
  <si>
    <t>Catalogues</t>
  </si>
  <si>
    <t>3M Abrasives Catalogue</t>
  </si>
  <si>
    <t>3M Body Repair Solutions Guide</t>
  </si>
  <si>
    <t>3M Door Skin Replacement</t>
  </si>
  <si>
    <t>Chrysler Sealer repair Guide</t>
  </si>
  <si>
    <t>General Motors PDF SEaler Appplicatoin Guide</t>
  </si>
  <si>
    <t>Panel Bonding</t>
  </si>
  <si>
    <t>3M Cubitron  Sandpaper Part numbers And brochure</t>
  </si>
  <si>
    <t>3M Cubitron Grinding Disc Brochure</t>
  </si>
  <si>
    <t>Heavy Duty Truck Large Aluminum Dent Repair</t>
  </si>
  <si>
    <t>Heavy Duty Truck Seam sealer over Primer</t>
  </si>
  <si>
    <t xml:space="preserve">Aluminum Rivet Bonding </t>
  </si>
  <si>
    <t>3M Hearing Solutions Catalogue</t>
  </si>
  <si>
    <t>Vie Teck Supplies Catalog   (VTK)</t>
  </si>
  <si>
    <t>OBSOLETE ITEMS IN 2021</t>
  </si>
  <si>
    <t>MMM07048</t>
  </si>
  <si>
    <t>N95 Particulate Dust Mask</t>
  </si>
  <si>
    <t>OBSOLETE</t>
  </si>
  <si>
    <t>MMM07185</t>
  </si>
  <si>
    <t>N95 Particulate Dust Mask (valved)</t>
  </si>
  <si>
    <t>MMM08119</t>
  </si>
  <si>
    <t>3M 8119   SMC/FIBERGLASS Glue Repair</t>
  </si>
  <si>
    <t>MMM4611</t>
  </si>
  <si>
    <t>DOUBLE FACE TAPE BLACK 1/2"</t>
  </si>
  <si>
    <t>MMM01840</t>
  </si>
  <si>
    <t>3M PURPLE  HOOKIT   8”  180 GRIT</t>
  </si>
  <si>
    <t>OBOSOLETE</t>
  </si>
  <si>
    <t>MMM01820</t>
  </si>
  <si>
    <t>3M PURPLE VAC 6” 80 GRIT</t>
  </si>
  <si>
    <t>M-5901</t>
  </si>
  <si>
    <t>MEDIUM TYVEK COVERALL</t>
  </si>
  <si>
    <t>MRS 30200</t>
  </si>
  <si>
    <t>PLASTIC SEAT COVERS</t>
  </si>
  <si>
    <t>NCS Item No</t>
  </si>
  <si>
    <t>Arnold Item No</t>
  </si>
  <si>
    <t xml:space="preserve"> cost </t>
  </si>
  <si>
    <t>Internal Cost</t>
  </si>
  <si>
    <t>Retail Cost</t>
  </si>
  <si>
    <t>INVENTORY</t>
  </si>
  <si>
    <t>3.61 EACH</t>
  </si>
  <si>
    <t>2.46 EACH</t>
  </si>
  <si>
    <t>25.75 EACH</t>
  </si>
  <si>
    <t>100 pr box</t>
  </si>
  <si>
    <t xml:space="preserve"> BOX/32 CUPS</t>
  </si>
  <si>
    <t>2.82 Each</t>
  </si>
  <si>
    <t>Short Strand Kitty Hair    1 GALLON</t>
  </si>
  <si>
    <t xml:space="preserve">.96 per ounce </t>
  </si>
  <si>
    <t xml:space="preserve">De Belviss  2.5 Gal Pot Liners Box 60 </t>
  </si>
  <si>
    <t>4.08 each</t>
  </si>
  <si>
    <t>GLAZE COAT    30 ouce unit</t>
  </si>
  <si>
    <t>2.01 per ounce</t>
  </si>
  <si>
    <t>19.67 BOX /50 pairs</t>
  </si>
  <si>
    <t>17.39 Box/ 50 pairs</t>
  </si>
  <si>
    <t>2.14 each</t>
  </si>
  <si>
    <t>5 GAL price per ounce</t>
  </si>
  <si>
    <t xml:space="preserve"> 12 pr box</t>
  </si>
  <si>
    <t>6.60BOX/100Qty .06 pr foot</t>
  </si>
  <si>
    <t>8.01 Roll / 750 FT .01 per foot</t>
  </si>
  <si>
    <t>16.02 Roll / 750 FT .02 per foot</t>
  </si>
  <si>
    <t>24.03 Roll / 750 FT .03 per foot</t>
  </si>
  <si>
    <t>MMM7193</t>
  </si>
  <si>
    <t>pr 8 hr use</t>
  </si>
  <si>
    <t>25 PER PKG</t>
  </si>
  <si>
    <t>MMM01943</t>
  </si>
  <si>
    <t>obso 33415</t>
  </si>
  <si>
    <t xml:space="preserve"> BAG/Qty 10   (PER DISC)</t>
  </si>
  <si>
    <t xml:space="preserve">  roll /30 pad 6 inch ea per pad</t>
  </si>
  <si>
    <t>180 ft Roll /.02 pr ft</t>
  </si>
  <si>
    <t>180 ft Roll/.02 pr ft</t>
  </si>
  <si>
    <t xml:space="preserve"> 180 ft Roll/.03 pr ft</t>
  </si>
  <si>
    <t xml:space="preserve"> Roll/108ft</t>
  </si>
  <si>
    <t>3M BLUE FINE LINE 1/2"</t>
  </si>
  <si>
    <t>BOX/25qty ( PER SHEET)</t>
  </si>
  <si>
    <t>3M 80 GRIT 8” DA</t>
  </si>
  <si>
    <t>Box/75Qty  ( PER SHEET)</t>
  </si>
  <si>
    <t>Box /100 Qty ( PER SHEET)</t>
  </si>
  <si>
    <t>3.73Tube /4oz</t>
  </si>
  <si>
    <t>.93 oz</t>
  </si>
  <si>
    <t>59.94/ 350 ft</t>
  </si>
  <si>
    <t>.17 pr ft</t>
  </si>
  <si>
    <t>16 ounce can</t>
  </si>
  <si>
    <t>Krylon Red</t>
  </si>
  <si>
    <t>Wal mart</t>
  </si>
  <si>
    <t>Krylon Red Spray Can</t>
  </si>
  <si>
    <t>8 ounces</t>
  </si>
  <si>
    <t>Krylon Clear</t>
  </si>
  <si>
    <t>Krylon Clear Spray Can</t>
  </si>
  <si>
    <t>Krylon White</t>
  </si>
  <si>
    <t>Walmart</t>
  </si>
  <si>
    <t>Krylon White Spray Can</t>
  </si>
  <si>
    <t>Sams</t>
  </si>
  <si>
    <t>Aluminum foil</t>
  </si>
  <si>
    <t>1 box////  Per linnear foot</t>
  </si>
  <si>
    <t>ERC</t>
  </si>
  <si>
    <t xml:space="preserve">Jet Mag Sand </t>
  </si>
  <si>
    <t xml:space="preserve"> 3000 pound bag (.20 per poond</t>
  </si>
  <si>
    <t>Kelly</t>
  </si>
  <si>
    <t>Kelly Coatings invoice</t>
  </si>
  <si>
    <t>25W 34P-5G</t>
  </si>
  <si>
    <t>Suede Grey 5 Gal Pail</t>
  </si>
  <si>
    <t>5 gal pail(53.00 pr gal)</t>
  </si>
  <si>
    <t>525-971G</t>
  </si>
  <si>
    <t>Corlar 2.1 GRAY(2:1 Mix)</t>
  </si>
  <si>
    <t>Full Gal .54 per ounce</t>
  </si>
  <si>
    <t>FG-040</t>
  </si>
  <si>
    <t>Corlar 2.1 Activator</t>
  </si>
  <si>
    <t>Full Gal .55 per ounce</t>
  </si>
  <si>
    <t>T-8054</t>
  </si>
  <si>
    <t>Corlar Thinner (10% reduction)</t>
  </si>
  <si>
    <t>Full Gal .26 per ounce</t>
  </si>
  <si>
    <t>9P01-G</t>
  </si>
  <si>
    <t>White Primer</t>
  </si>
  <si>
    <t>Full Gal .87 per ounce</t>
  </si>
  <si>
    <t>9-T00A-8</t>
  </si>
  <si>
    <t>9P01 activator 8 ounce can</t>
  </si>
  <si>
    <t>Pint can full 16 ounces 1.77 per oz</t>
  </si>
  <si>
    <t>9-T00A-4</t>
  </si>
  <si>
    <t>Activator Quart can 80% full</t>
  </si>
  <si>
    <t>Qt 80% full 25.6 ounces 1.62 pr oz</t>
  </si>
  <si>
    <t>9M02-G</t>
  </si>
  <si>
    <t>Pot life Extender 5%to 15%</t>
  </si>
  <si>
    <t>Full Gal .53 per ounce</t>
  </si>
  <si>
    <t>8821 SDS</t>
  </si>
  <si>
    <t>8821S-G</t>
  </si>
  <si>
    <t>8821 imron Clear(1.04 sp oz)</t>
  </si>
  <si>
    <t>8821 Imron Clear gal(92.pr oz)</t>
  </si>
  <si>
    <t>15309 SDS</t>
  </si>
  <si>
    <t>15309-G</t>
  </si>
  <si>
    <t>15309 (8821) Activator</t>
  </si>
  <si>
    <t>Activator Full Gal (1.31 pr oz)</t>
  </si>
  <si>
    <t>VG-805-P</t>
  </si>
  <si>
    <t>Acclerator (pint)</t>
  </si>
  <si>
    <t>pint ( 1oz per mixed gal) 3.16 pr oz</t>
  </si>
  <si>
    <t>9T19-G</t>
  </si>
  <si>
    <t>Black Ind Basecoat</t>
  </si>
  <si>
    <t>80% Gal 102.4 oz .(1.02 per oz)</t>
  </si>
  <si>
    <t>9T11G</t>
  </si>
  <si>
    <t>White ind basecoat</t>
  </si>
  <si>
    <t>80% Gal 102.4 oz .(.88 per oz)</t>
  </si>
  <si>
    <t>12GN-G</t>
  </si>
  <si>
    <t>Armor Yellow (Watco)</t>
  </si>
  <si>
    <t>80% Gal 102.4 oz .(1.32 per oz)</t>
  </si>
  <si>
    <t>834568GN-G</t>
  </si>
  <si>
    <t>Process Black (Watco)</t>
  </si>
  <si>
    <t>80% Gal 102.4 oz .(.95 per oz)</t>
  </si>
  <si>
    <t>221142GN-G</t>
  </si>
  <si>
    <t>Grey(Kinder Morgan)</t>
  </si>
  <si>
    <t>221141GN-G</t>
  </si>
  <si>
    <t>Real Red (Kinder Morgan)</t>
  </si>
  <si>
    <t>Surefoot</t>
  </si>
  <si>
    <t>Rollers for Surefoot</t>
  </si>
  <si>
    <t>Decal Application Fluid</t>
  </si>
  <si>
    <t>Sublet Labor Sandblast</t>
  </si>
  <si>
    <t>Sublet Labor Refinish</t>
  </si>
  <si>
    <t>Hotel</t>
  </si>
  <si>
    <t>Fuel /Food</t>
  </si>
  <si>
    <t>Sublet NRE Labor</t>
  </si>
  <si>
    <t>OPERATION</t>
  </si>
  <si>
    <t>Engineers stand</t>
  </si>
  <si>
    <t>engine compartment and interior of cab (swede gray/Biege)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</si>
</sst>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#,##0.0"/>
  </numFmts>
  <fonts count="4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indexed="53"/>
      <name val="Calibri"/>
      <family val="2"/>
    </font>
    <font>
      <sz val="10"/>
      <color indexed="53"/>
      <name val="Arial"/>
      <family val="2"/>
    </font>
    <font>
      <sz val="10"/>
      <color indexed="8"/>
      <name val="Arial"/>
      <family val="2"/>
    </font>
    <font>
      <sz val="10"/>
      <color indexed="49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u/>
      <sz val="10"/>
      <color theme="10"/>
      <name val="Arial"/>
      <family val="2"/>
    </font>
    <font>
      <b/>
      <sz val="11"/>
      <color rgb="FFFF0000"/>
      <name val="Calibri"/>
      <family val="2"/>
    </font>
    <font>
      <sz val="11"/>
      <color rgb="FF222222"/>
      <name val="Source Sans Pro"/>
      <family val="2"/>
    </font>
    <font>
      <u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sz val="11"/>
      <name val="Calibri"/>
      <family val="2"/>
    </font>
    <font>
      <sz val="16"/>
      <color rgb="FFFF0000"/>
      <name val="Calibri"/>
      <family val="2"/>
    </font>
    <font>
      <b/>
      <sz val="16"/>
      <color rgb="FFFF0000"/>
      <name val="Arial"/>
      <family val="2"/>
    </font>
    <font>
      <sz val="10"/>
      <color rgb="FFFF0000"/>
      <name val="Arial"/>
      <family val="2"/>
    </font>
    <font>
      <b/>
      <sz val="11"/>
      <color indexed="53"/>
      <name val="Calibri"/>
      <family val="2"/>
    </font>
    <font>
      <b/>
      <u/>
      <sz val="10"/>
      <color rgb="FFFF0000"/>
      <name val="Arial"/>
      <family val="2"/>
    </font>
    <font>
      <b/>
      <sz val="10"/>
      <color indexed="53"/>
      <name val="Arial"/>
      <family val="2"/>
    </font>
    <font>
      <b/>
      <sz val="11"/>
      <color indexed="10"/>
      <name val="Calibri"/>
      <family val="2"/>
    </font>
    <font>
      <b/>
      <sz val="10"/>
      <color rgb="FFFF000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4"/>
      <color indexed="8"/>
      <name val="Calibri"/>
      <family val="2"/>
    </font>
    <font>
      <b/>
      <sz val="14"/>
      <color indexed="63"/>
      <name val="Arial"/>
      <family val="2"/>
    </font>
    <font>
      <b/>
      <sz val="14"/>
      <color theme="1"/>
      <name val="Calibri"/>
      <family val="2"/>
      <scheme val="minor"/>
    </font>
    <font>
      <b/>
      <u/>
      <sz val="10"/>
      <color theme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22"/>
      </patternFill>
    </fill>
    <fill>
      <patternFill patternType="solid">
        <fgColor indexed="22"/>
        <bgColor indexed="47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0">
    <xf numFmtId="0" fontId="0" fillId="0" borderId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1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3" fillId="0" borderId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5" fillId="8" borderId="1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12" borderId="0" applyNumberFormat="0" applyBorder="0" applyAlignment="0" applyProtection="0"/>
  </cellStyleXfs>
  <cellXfs count="132">
    <xf numFmtId="0" fontId="0" fillId="0" borderId="0" xfId="0"/>
    <xf numFmtId="0" fontId="13" fillId="0" borderId="0" xfId="7"/>
    <xf numFmtId="0" fontId="13" fillId="9" borderId="0" xfId="7" applyFill="1"/>
    <xf numFmtId="0" fontId="14" fillId="0" borderId="0" xfId="7" applyFont="1"/>
    <xf numFmtId="0" fontId="13" fillId="0" borderId="0" xfId="7" applyAlignment="1">
      <alignment horizontal="center"/>
    </xf>
    <xf numFmtId="0" fontId="0" fillId="0" borderId="0" xfId="7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14" fontId="13" fillId="0" borderId="0" xfId="7" applyNumberFormat="1"/>
    <xf numFmtId="0" fontId="13" fillId="10" borderId="0" xfId="7" applyFill="1"/>
    <xf numFmtId="164" fontId="13" fillId="0" borderId="0" xfId="7" applyNumberFormat="1"/>
    <xf numFmtId="164" fontId="0" fillId="0" borderId="0" xfId="0" applyNumberFormat="1"/>
    <xf numFmtId="4" fontId="13" fillId="0" borderId="0" xfId="7" applyNumberFormat="1"/>
    <xf numFmtId="4" fontId="0" fillId="0" borderId="0" xfId="0" applyNumberFormat="1"/>
    <xf numFmtId="0" fontId="20" fillId="0" borderId="0" xfId="7" applyFont="1"/>
    <xf numFmtId="0" fontId="21" fillId="0" borderId="0" xfId="18"/>
    <xf numFmtId="0" fontId="22" fillId="0" borderId="0" xfId="7" applyFont="1"/>
    <xf numFmtId="0" fontId="23" fillId="0" borderId="0" xfId="0" applyFont="1"/>
    <xf numFmtId="0" fontId="24" fillId="0" borderId="0" xfId="18" applyFont="1"/>
    <xf numFmtId="0" fontId="21" fillId="0" borderId="0" xfId="18" applyFill="1"/>
    <xf numFmtId="4" fontId="5" fillId="8" borderId="1" xfId="14" applyNumberFormat="1"/>
    <xf numFmtId="164" fontId="27" fillId="0" borderId="0" xfId="7" applyNumberFormat="1" applyFont="1"/>
    <xf numFmtId="164" fontId="1" fillId="12" borderId="1" xfId="19" applyNumberFormat="1" applyBorder="1"/>
    <xf numFmtId="10" fontId="1" fillId="12" borderId="1" xfId="19" applyNumberFormat="1" applyBorder="1"/>
    <xf numFmtId="2" fontId="1" fillId="12" borderId="1" xfId="19" applyNumberFormat="1" applyBorder="1"/>
    <xf numFmtId="164" fontId="1" fillId="12" borderId="3" xfId="19" applyNumberFormat="1" applyBorder="1"/>
    <xf numFmtId="10" fontId="1" fillId="12" borderId="3" xfId="19" applyNumberFormat="1" applyBorder="1"/>
    <xf numFmtId="2" fontId="1" fillId="12" borderId="3" xfId="19" applyNumberFormat="1" applyBorder="1"/>
    <xf numFmtId="164" fontId="1" fillId="12" borderId="4" xfId="19" applyNumberFormat="1" applyBorder="1"/>
    <xf numFmtId="10" fontId="1" fillId="12" borderId="4" xfId="19" applyNumberFormat="1" applyBorder="1"/>
    <xf numFmtId="2" fontId="1" fillId="12" borderId="4" xfId="19" applyNumberFormat="1" applyBorder="1"/>
    <xf numFmtId="164" fontId="1" fillId="12" borderId="2" xfId="19" applyNumberFormat="1" applyBorder="1"/>
    <xf numFmtId="10" fontId="1" fillId="12" borderId="2" xfId="19" applyNumberFormat="1" applyBorder="1"/>
    <xf numFmtId="2" fontId="1" fillId="12" borderId="2" xfId="19" applyNumberFormat="1" applyBorder="1"/>
    <xf numFmtId="0" fontId="1" fillId="12" borderId="2" xfId="19" applyBorder="1"/>
    <xf numFmtId="165" fontId="13" fillId="0" borderId="0" xfId="7" applyNumberFormat="1"/>
    <xf numFmtId="165" fontId="0" fillId="0" borderId="0" xfId="0" applyNumberFormat="1"/>
    <xf numFmtId="164" fontId="29" fillId="0" borderId="0" xfId="7" applyNumberFormat="1" applyFont="1"/>
    <xf numFmtId="164" fontId="20" fillId="0" borderId="0" xfId="7" applyNumberFormat="1" applyFont="1"/>
    <xf numFmtId="0" fontId="30" fillId="0" borderId="0" xfId="7" applyFont="1"/>
    <xf numFmtId="164" fontId="5" fillId="0" borderId="1" xfId="14" applyNumberFormat="1" applyFill="1"/>
    <xf numFmtId="164" fontId="31" fillId="0" borderId="0" xfId="7" applyNumberFormat="1" applyFont="1"/>
    <xf numFmtId="164" fontId="32" fillId="0" borderId="0" xfId="0" applyNumberFormat="1" applyFont="1"/>
    <xf numFmtId="4" fontId="27" fillId="0" borderId="0" xfId="7" applyNumberFormat="1" applyFont="1"/>
    <xf numFmtId="164" fontId="17" fillId="0" borderId="0" xfId="0" applyNumberFormat="1" applyFont="1"/>
    <xf numFmtId="164" fontId="33" fillId="0" borderId="0" xfId="0" applyNumberFormat="1" applyFont="1"/>
    <xf numFmtId="164" fontId="1" fillId="13" borderId="5" xfId="19" applyNumberFormat="1" applyFill="1" applyBorder="1"/>
    <xf numFmtId="10" fontId="1" fillId="13" borderId="5" xfId="19" applyNumberFormat="1" applyFill="1" applyBorder="1"/>
    <xf numFmtId="164" fontId="0" fillId="13" borderId="5" xfId="0" applyNumberFormat="1" applyFill="1" applyBorder="1"/>
    <xf numFmtId="164" fontId="5" fillId="13" borderId="5" xfId="14" applyNumberFormat="1" applyFill="1" applyBorder="1"/>
    <xf numFmtId="10" fontId="0" fillId="13" borderId="5" xfId="0" applyNumberFormat="1" applyFill="1" applyBorder="1"/>
    <xf numFmtId="164" fontId="13" fillId="13" borderId="5" xfId="7" applyNumberFormat="1" applyFill="1" applyBorder="1"/>
    <xf numFmtId="4" fontId="5" fillId="13" borderId="5" xfId="14" applyNumberFormat="1" applyFill="1" applyBorder="1"/>
    <xf numFmtId="166" fontId="5" fillId="0" borderId="6" xfId="14" applyNumberFormat="1" applyFill="1" applyBorder="1"/>
    <xf numFmtId="10" fontId="5" fillId="13" borderId="5" xfId="14" applyNumberFormat="1" applyFill="1" applyBorder="1"/>
    <xf numFmtId="0" fontId="34" fillId="0" borderId="0" xfId="7" applyFont="1"/>
    <xf numFmtId="0" fontId="35" fillId="0" borderId="0" xfId="18" applyFont="1"/>
    <xf numFmtId="0" fontId="36" fillId="0" borderId="0" xfId="0" applyFont="1"/>
    <xf numFmtId="0" fontId="37" fillId="0" borderId="0" xfId="7" applyFont="1"/>
    <xf numFmtId="164" fontId="5" fillId="13" borderId="1" xfId="14" applyNumberFormat="1" applyFill="1"/>
    <xf numFmtId="10" fontId="5" fillId="13" borderId="1" xfId="14" applyNumberFormat="1" applyFill="1"/>
    <xf numFmtId="164" fontId="38" fillId="0" borderId="0" xfId="0" applyNumberFormat="1" applyFont="1"/>
    <xf numFmtId="0" fontId="39" fillId="0" borderId="0" xfId="0" applyFont="1"/>
    <xf numFmtId="10" fontId="0" fillId="0" borderId="0" xfId="0" applyNumberFormat="1"/>
    <xf numFmtId="164" fontId="8" fillId="0" borderId="0" xfId="0" applyNumberFormat="1" applyFont="1"/>
    <xf numFmtId="164" fontId="13" fillId="0" borderId="7" xfId="7" applyNumberFormat="1" applyBorder="1"/>
    <xf numFmtId="164" fontId="13" fillId="0" borderId="5" xfId="7" applyNumberFormat="1" applyBorder="1"/>
    <xf numFmtId="164" fontId="13" fillId="0" borderId="8" xfId="7" applyNumberFormat="1" applyBorder="1"/>
    <xf numFmtId="164" fontId="0" fillId="0" borderId="8" xfId="0" applyNumberFormat="1" applyBorder="1"/>
    <xf numFmtId="10" fontId="13" fillId="13" borderId="5" xfId="7" applyNumberFormat="1" applyFill="1" applyBorder="1"/>
    <xf numFmtId="164" fontId="5" fillId="13" borderId="9" xfId="14" applyNumberFormat="1" applyFill="1" applyBorder="1"/>
    <xf numFmtId="164" fontId="5" fillId="13" borderId="10" xfId="14" applyNumberFormat="1" applyFill="1" applyBorder="1"/>
    <xf numFmtId="164" fontId="16" fillId="0" borderId="0" xfId="0" applyNumberFormat="1" applyFont="1"/>
    <xf numFmtId="164" fontId="18" fillId="0" borderId="0" xfId="0" applyNumberFormat="1" applyFont="1"/>
    <xf numFmtId="164" fontId="40" fillId="0" borderId="0" xfId="0" applyNumberFormat="1" applyFont="1"/>
    <xf numFmtId="1" fontId="13" fillId="0" borderId="0" xfId="7" applyNumberFormat="1"/>
    <xf numFmtId="1" fontId="0" fillId="0" borderId="0" xfId="0" applyNumberFormat="1"/>
    <xf numFmtId="0" fontId="38" fillId="0" borderId="0" xfId="0" applyFont="1"/>
    <xf numFmtId="4" fontId="5" fillId="13" borderId="11" xfId="14" applyNumberFormat="1" applyFill="1" applyBorder="1"/>
    <xf numFmtId="10" fontId="27" fillId="13" borderId="5" xfId="7" applyNumberFormat="1" applyFont="1" applyFill="1" applyBorder="1"/>
    <xf numFmtId="164" fontId="27" fillId="13" borderId="5" xfId="7" applyNumberFormat="1" applyFont="1" applyFill="1" applyBorder="1"/>
    <xf numFmtId="0" fontId="0" fillId="13" borderId="5" xfId="0" applyFill="1" applyBorder="1"/>
    <xf numFmtId="164" fontId="32" fillId="13" borderId="5" xfId="0" applyNumberFormat="1" applyFont="1" applyFill="1" applyBorder="1"/>
    <xf numFmtId="164" fontId="0" fillId="0" borderId="5" xfId="0" applyNumberFormat="1" applyBorder="1"/>
    <xf numFmtId="10" fontId="0" fillId="0" borderId="5" xfId="0" applyNumberFormat="1" applyBorder="1"/>
    <xf numFmtId="0" fontId="0" fillId="11" borderId="5" xfId="0" applyFill="1" applyBorder="1"/>
    <xf numFmtId="0" fontId="41" fillId="0" borderId="0" xfId="0" applyFont="1"/>
    <xf numFmtId="0" fontId="0" fillId="14" borderId="0" xfId="0" applyFill="1"/>
    <xf numFmtId="164" fontId="0" fillId="14" borderId="0" xfId="0" applyNumberFormat="1" applyFill="1"/>
    <xf numFmtId="4" fontId="5" fillId="14" borderId="1" xfId="14" applyNumberFormat="1" applyFill="1"/>
    <xf numFmtId="0" fontId="0" fillId="14" borderId="5" xfId="0" applyFill="1" applyBorder="1"/>
    <xf numFmtId="164" fontId="0" fillId="14" borderId="5" xfId="0" applyNumberFormat="1" applyFill="1" applyBorder="1"/>
    <xf numFmtId="0" fontId="21" fillId="14" borderId="0" xfId="18" applyFill="1"/>
    <xf numFmtId="164" fontId="5" fillId="0" borderId="5" xfId="14" applyNumberFormat="1" applyFill="1" applyBorder="1"/>
    <xf numFmtId="10" fontId="5" fillId="0" borderId="5" xfId="14" applyNumberFormat="1" applyFill="1" applyBorder="1"/>
    <xf numFmtId="0" fontId="33" fillId="0" borderId="0" xfId="0" applyFont="1"/>
    <xf numFmtId="0" fontId="42" fillId="15" borderId="0" xfId="7" applyFont="1" applyFill="1" applyAlignment="1">
      <alignment horizontal="center" vertical="center"/>
    </xf>
    <xf numFmtId="164" fontId="42" fillId="15" borderId="0" xfId="7" applyNumberFormat="1" applyFont="1" applyFill="1" applyAlignment="1">
      <alignment horizontal="center" vertical="center"/>
    </xf>
    <xf numFmtId="165" fontId="42" fillId="15" borderId="0" xfId="7" applyNumberFormat="1" applyFont="1" applyFill="1" applyAlignment="1">
      <alignment horizontal="center" vertical="center"/>
    </xf>
    <xf numFmtId="164" fontId="0" fillId="17" borderId="5" xfId="0" applyNumberFormat="1" applyFill="1" applyBorder="1"/>
    <xf numFmtId="0" fontId="13" fillId="17" borderId="5" xfId="7" applyFill="1" applyBorder="1"/>
    <xf numFmtId="164" fontId="13" fillId="17" borderId="5" xfId="7" applyNumberFormat="1" applyFill="1" applyBorder="1"/>
    <xf numFmtId="0" fontId="0" fillId="0" borderId="5" xfId="0" applyBorder="1"/>
    <xf numFmtId="0" fontId="13" fillId="0" borderId="5" xfId="7" applyBorder="1"/>
    <xf numFmtId="164" fontId="43" fillId="15" borderId="7" xfId="14" applyNumberFormat="1" applyFont="1" applyFill="1" applyBorder="1" applyAlignment="1">
      <alignment horizontal="center" vertical="center"/>
    </xf>
    <xf numFmtId="10" fontId="44" fillId="15" borderId="7" xfId="19" applyNumberFormat="1" applyFont="1" applyFill="1" applyBorder="1" applyAlignment="1">
      <alignment horizontal="center" vertical="center"/>
    </xf>
    <xf numFmtId="164" fontId="44" fillId="15" borderId="7" xfId="19" applyNumberFormat="1" applyFont="1" applyFill="1" applyBorder="1" applyAlignment="1">
      <alignment horizontal="center" vertical="center"/>
    </xf>
    <xf numFmtId="164" fontId="5" fillId="13" borderId="12" xfId="14" applyNumberFormat="1" applyFill="1" applyBorder="1"/>
    <xf numFmtId="10" fontId="0" fillId="13" borderId="12" xfId="0" applyNumberFormat="1" applyFill="1" applyBorder="1"/>
    <xf numFmtId="164" fontId="0" fillId="13" borderId="12" xfId="0" applyNumberFormat="1" applyFill="1" applyBorder="1"/>
    <xf numFmtId="0" fontId="0" fillId="19" borderId="5" xfId="0" applyFill="1" applyBorder="1"/>
    <xf numFmtId="165" fontId="13" fillId="19" borderId="5" xfId="7" applyNumberFormat="1" applyFill="1" applyBorder="1"/>
    <xf numFmtId="164" fontId="0" fillId="18" borderId="5" xfId="0" applyNumberFormat="1" applyFill="1" applyBorder="1"/>
    <xf numFmtId="164" fontId="13" fillId="18" borderId="5" xfId="7" applyNumberFormat="1" applyFill="1" applyBorder="1"/>
    <xf numFmtId="164" fontId="33" fillId="18" borderId="5" xfId="0" applyNumberFormat="1" applyFont="1" applyFill="1" applyBorder="1"/>
    <xf numFmtId="164" fontId="38" fillId="18" borderId="5" xfId="0" applyNumberFormat="1" applyFont="1" applyFill="1" applyBorder="1"/>
    <xf numFmtId="2" fontId="1" fillId="13" borderId="5" xfId="19" applyNumberFormat="1" applyFill="1" applyBorder="1"/>
    <xf numFmtId="164" fontId="0" fillId="20" borderId="5" xfId="0" applyNumberFormat="1" applyFill="1" applyBorder="1"/>
    <xf numFmtId="164" fontId="13" fillId="20" borderId="5" xfId="7" applyNumberFormat="1" applyFill="1" applyBorder="1"/>
    <xf numFmtId="164" fontId="33" fillId="20" borderId="5" xfId="0" applyNumberFormat="1" applyFont="1" applyFill="1" applyBorder="1"/>
    <xf numFmtId="164" fontId="38" fillId="20" borderId="5" xfId="0" applyNumberFormat="1" applyFont="1" applyFill="1" applyBorder="1"/>
    <xf numFmtId="0" fontId="40" fillId="16" borderId="5" xfId="0" applyFont="1" applyFill="1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13" fillId="0" borderId="5" xfId="7" applyBorder="1" applyAlignment="1">
      <alignment horizontal="left" indent="1"/>
    </xf>
    <xf numFmtId="0" fontId="34" fillId="0" borderId="5" xfId="7" applyFont="1" applyBorder="1" applyAlignment="1">
      <alignment horizontal="left" indent="1"/>
    </xf>
    <xf numFmtId="0" fontId="20" fillId="0" borderId="5" xfId="7" applyFont="1" applyBorder="1" applyAlignment="1">
      <alignment horizontal="left" indent="1"/>
    </xf>
    <xf numFmtId="0" fontId="45" fillId="16" borderId="5" xfId="18" applyFont="1" applyFill="1" applyBorder="1" applyAlignment="1">
      <alignment horizontal="left" indent="1"/>
    </xf>
    <xf numFmtId="0" fontId="21" fillId="0" borderId="5" xfId="18" applyBorder="1" applyAlignment="1">
      <alignment horizontal="left" indent="1"/>
    </xf>
    <xf numFmtId="0" fontId="14" fillId="0" borderId="5" xfId="7" applyFont="1" applyBorder="1" applyAlignment="1">
      <alignment horizontal="left" indent="1"/>
    </xf>
    <xf numFmtId="0" fontId="22" fillId="0" borderId="5" xfId="7" applyFont="1" applyBorder="1" applyAlignment="1">
      <alignment horizontal="left" indent="1"/>
    </xf>
    <xf numFmtId="0" fontId="27" fillId="16" borderId="5" xfId="7" applyFont="1" applyFill="1" applyBorder="1" applyAlignment="1">
      <alignment horizontal="left" indent="1"/>
    </xf>
  </cellXfs>
  <cellStyles count="20">
    <cellStyle name="20% - Accent6" xfId="19" builtinId="50"/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builtinId="27" customBuiltin="1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builtinId="26" customBuiltin="1"/>
    <cellStyle name="Heading" xfId="10" xr:uid="{00000000-0005-0000-0000-000009000000}"/>
    <cellStyle name="Heading 1" xfId="11" builtinId="16" customBuiltin="1"/>
    <cellStyle name="Heading 2" xfId="12" builtinId="17" customBuiltin="1"/>
    <cellStyle name="Hyperlink" xfId="18" builtinId="8"/>
    <cellStyle name="Neutral" xfId="13" builtinId="28" customBuiltin="1"/>
    <cellStyle name="Normal" xfId="0" builtinId="0"/>
    <cellStyle name="Note" xfId="14" builtinId="10" customBuiltin="1"/>
    <cellStyle name="Status" xfId="15" xr:uid="{00000000-0005-0000-0000-000010000000}"/>
    <cellStyle name="Text" xfId="16" xr:uid="{00000000-0005-0000-0000-000011000000}"/>
    <cellStyle name="Warning" xfId="17" xr:uid="{00000000-0005-0000-0000-00001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FF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4F6228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5.walmartimages.com/asr/a00905f5-8449-4c3b-ab53-4de56d7f239e_1.a9473064ffc340560d713799497344cd.jpeg?odnHeight=612&amp;odnWidth=612&amp;odnBg=FFFFFF" TargetMode="External"/><Relationship Id="rId2" Type="http://schemas.openxmlformats.org/officeDocument/2006/relationships/hyperlink" Target="https://vietek.com/wp-content/uploads/2019/01/Razor-Blades-Final-Transparent-v1.png" TargetMode="External"/><Relationship Id="rId1" Type="http://schemas.openxmlformats.org/officeDocument/2006/relationships/hyperlink" Target="https://vietek.com/products/razor-blade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multimedia.3m.com/mws/media/277553O/3mtm-ultraprotm-msp-sprayable-seam-sealer-pn-08374.pdf" TargetMode="External"/><Relationship Id="rId13" Type="http://schemas.openxmlformats.org/officeDocument/2006/relationships/hyperlink" Target="https://vietek.com/" TargetMode="External"/><Relationship Id="rId3" Type="http://schemas.openxmlformats.org/officeDocument/2006/relationships/hyperlink" Target="https://multimedia.3m.com/mws/media/1282450O/3m-cubitron-ii-part-number-reference.pdf" TargetMode="External"/><Relationship Id="rId7" Type="http://schemas.openxmlformats.org/officeDocument/2006/relationships/hyperlink" Target="https://multimedia.3m.com/mws/media/895724O/chrysler-sealer-sound-deadener-repair-guide.pdf" TargetMode="External"/><Relationship Id="rId12" Type="http://schemas.openxmlformats.org/officeDocument/2006/relationships/hyperlink" Target="https://multimedia.3m.com/mws/media/924139O/3m-hearing-solutions-catalog-2015.pdf" TargetMode="External"/><Relationship Id="rId2" Type="http://schemas.openxmlformats.org/officeDocument/2006/relationships/hyperlink" Target="https://multimedia.3m.com/mws/media/1084634O/door-skin-replacement.pdf" TargetMode="External"/><Relationship Id="rId1" Type="http://schemas.openxmlformats.org/officeDocument/2006/relationships/hyperlink" Target="https://multimedia.3m.com/mws/media/1358236O/aad-body-repair-catalog.pdf" TargetMode="External"/><Relationship Id="rId6" Type="http://schemas.openxmlformats.org/officeDocument/2006/relationships/hyperlink" Target="https://multimedia.3m.com/mws/media/1086637O/aluminum-dent-repair-hd-truck-sop.pdf" TargetMode="External"/><Relationship Id="rId11" Type="http://schemas.openxmlformats.org/officeDocument/2006/relationships/hyperlink" Target="https://multimedia.3m.com/mws/media/1084659O/panel-bonding-excluding-door-skin.pdf" TargetMode="External"/><Relationship Id="rId5" Type="http://schemas.openxmlformats.org/officeDocument/2006/relationships/hyperlink" Target="https://multimedia.3m.com/mws/media/424028O/121806-abrasives-catalog-pages-1-20.pdf" TargetMode="External"/><Relationship Id="rId10" Type="http://schemas.openxmlformats.org/officeDocument/2006/relationships/hyperlink" Target="https://multimedia.3m.com/mws/media/1084621O/aluminum-rivet-bonding.pdf" TargetMode="External"/><Relationship Id="rId4" Type="http://schemas.openxmlformats.org/officeDocument/2006/relationships/hyperlink" Target="https://multimedia.3m.com/mws/media/848217O/3mtm-cubitrontm-ii-abrasive-discs-brochure.pdf" TargetMode="External"/><Relationship Id="rId9" Type="http://schemas.openxmlformats.org/officeDocument/2006/relationships/hyperlink" Target="https://multimedia.3m.com/mws/media/1084614O/seam-sealer-installation-over-primer-hd-truck-sop.pdf" TargetMode="External"/><Relationship Id="rId14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xalta.com/content/dam/NA/US/Public/Transportation/Documents/English_SDS/8821S-SDS-EN.pdf" TargetMode="External"/><Relationship Id="rId7" Type="http://schemas.openxmlformats.org/officeDocument/2006/relationships/comments" Target="../comments7.xml"/><Relationship Id="rId2" Type="http://schemas.openxmlformats.org/officeDocument/2006/relationships/hyperlink" Target="https://www.axalta.com/content/dam/NA/US/Public/General%20Industrial/Documents/English-SDS/9M02-SDS-EN.pdf" TargetMode="External"/><Relationship Id="rId1" Type="http://schemas.openxmlformats.org/officeDocument/2006/relationships/hyperlink" Target="https://www.axalta.com/content/dam/NA/US/Public/General%20Industrial/Documents/English-SDS/9M02-SDS-EN.pdf" TargetMode="External"/><Relationship Id="rId6" Type="http://schemas.openxmlformats.org/officeDocument/2006/relationships/vmlDrawing" Target="../drawings/vmlDrawing7.vm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https://www.axalta.com/content/dam/NA/US/Public/Transportation/Documents/English_SDS/FG-15309-SDS-EN.pdf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zoro.com/static/cms/product/large/Z1F6qvfo5oy.JPG" TargetMode="External"/><Relationship Id="rId1" Type="http://schemas.openxmlformats.org/officeDocument/2006/relationships/hyperlink" Target="https://www.zoro.com/static/cms/product/large/Z1F6qvfo5oy.JP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multimedia.3m.com/mws/media/1278976O/blue-abrasives-product-brochure.pdf" TargetMode="External"/><Relationship Id="rId18" Type="http://schemas.openxmlformats.org/officeDocument/2006/relationships/hyperlink" Target="https://www.3m.com/3M/en_US/p/dc/v101089004/" TargetMode="External"/><Relationship Id="rId26" Type="http://schemas.openxmlformats.org/officeDocument/2006/relationships/hyperlink" Target="https://multimedia.3m.com/mws/media/277553O/3mtm-ultraprotm-msp-sprayable-seam-sealer-pn-08374.pdf" TargetMode="External"/><Relationship Id="rId39" Type="http://schemas.openxmlformats.org/officeDocument/2006/relationships/comments" Target="../comments2.xml"/><Relationship Id="rId21" Type="http://schemas.openxmlformats.org/officeDocument/2006/relationships/hyperlink" Target="https://multimedia.3m.com/mws/mediawebserver?mwsId=SSSSSu9n_zu8l00xmxmUoxtSnv70k17zHvu9lxtD7xtBevSSSSSS-" TargetMode="External"/><Relationship Id="rId34" Type="http://schemas.openxmlformats.org/officeDocument/2006/relationships/hyperlink" Target="https://multimedia.3m.com/mws/media/1087488O/hearing-protection-for-impulse-noise-technical-bulletin.pdf" TargetMode="External"/><Relationship Id="rId7" Type="http://schemas.openxmlformats.org/officeDocument/2006/relationships/hyperlink" Target="https://multimedia.3m.com/mws/media/755374O/3m-abrasive-wheels.pdf" TargetMode="External"/><Relationship Id="rId12" Type="http://schemas.openxmlformats.org/officeDocument/2006/relationships/hyperlink" Target="https://multimedia.3m.com/mws/media/1084638O/feather-prime-block-waterborne.pdf" TargetMode="External"/><Relationship Id="rId17" Type="http://schemas.openxmlformats.org/officeDocument/2006/relationships/hyperlink" Target="https://multimedia.3m.com/mws/mediawebserver?mwsId=SSSSSu9n_zu8l00xmxmU58teMv70k17zHvu9lxtD7xtBevSSSSSS-" TargetMode="External"/><Relationship Id="rId25" Type="http://schemas.openxmlformats.org/officeDocument/2006/relationships/hyperlink" Target="https://multimedia.3m.com/mws/mediawebserver?mwsId=SSSSSuUn_zu8l00xl82ZoY_BOv70k17zHvu9lxtD7SSSSSS--" TargetMode="External"/><Relationship Id="rId33" Type="http://schemas.openxmlformats.org/officeDocument/2006/relationships/hyperlink" Target="https://multimedia.3m.com/mws/media/755373O/3m-coated-abrasive-belts-and-scotch-brite-surface-conditioning-belts.pdf" TargetMode="External"/><Relationship Id="rId38" Type="http://schemas.openxmlformats.org/officeDocument/2006/relationships/vmlDrawing" Target="../drawings/vmlDrawing2.vml"/><Relationship Id="rId2" Type="http://schemas.openxmlformats.org/officeDocument/2006/relationships/hyperlink" Target="https://multimedia.3m.com/mws/media/926868O/3m-metalworking-catalogue.pdf" TargetMode="External"/><Relationship Id="rId16" Type="http://schemas.openxmlformats.org/officeDocument/2006/relationships/hyperlink" Target="https://multimedia.3m.com/mws/media/1358236O/aad-body-repair-catalog.pdf" TargetMode="External"/><Relationship Id="rId20" Type="http://schemas.openxmlformats.org/officeDocument/2006/relationships/hyperlink" Target="https://multimedia.3m.com/mws/mediawebserver?mwsId=SSSSSuUn_zu8l00xm8_Z4Yt94v70k17zHvu9lxtD7SSSSSS--" TargetMode="External"/><Relationship Id="rId29" Type="http://schemas.openxmlformats.org/officeDocument/2006/relationships/hyperlink" Target="https://multimedia.3m.com/mws/mediawebserver?mwsId=SSSSSuUn_zu8l00xlYt9lx_1Mv70k17zHvu9lxtD7SSSSSS--" TargetMode="External"/><Relationship Id="rId1" Type="http://schemas.openxmlformats.org/officeDocument/2006/relationships/hyperlink" Target="https://multimedia.3m.com/mws/mediawebserver?mwsId=SSSSSuUn_zu8l00x4Y_UlY_emv70k17zHvu9lxtD7SSSSSS--" TargetMode="External"/><Relationship Id="rId6" Type="http://schemas.openxmlformats.org/officeDocument/2006/relationships/hyperlink" Target="http://multimedia.3m.com/mws/media/145679P/3mtm-scotch-britetm-abrasive-wheel-cs-uw.jpg" TargetMode="External"/><Relationship Id="rId11" Type="http://schemas.openxmlformats.org/officeDocument/2006/relationships/hyperlink" Target="https://multimedia.3m.com/mws/media/1060782M/3m-dry-guide-coat-05861-50-gr-cartridge-and-applicator-kit.jpg" TargetMode="External"/><Relationship Id="rId24" Type="http://schemas.openxmlformats.org/officeDocument/2006/relationships/hyperlink" Target="http://multimedia.3m.com/mws/media/41414P/3mtm-super-trim-adhesive.jpg" TargetMode="External"/><Relationship Id="rId32" Type="http://schemas.openxmlformats.org/officeDocument/2006/relationships/hyperlink" Target="http://multimedia.3m.com/mws/media/1277168P/3m-file-belt-sander-457mm-18.jpg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3m.com/3M/en_US/p/d/b40071664/" TargetMode="External"/><Relationship Id="rId15" Type="http://schemas.openxmlformats.org/officeDocument/2006/relationships/hyperlink" Target="https://multimedia.3m.com/mws/media/994876P/3mtm-cubitrontm-ii-abrasive-fibre-disc-33415.jpg" TargetMode="External"/><Relationship Id="rId23" Type="http://schemas.openxmlformats.org/officeDocument/2006/relationships/hyperlink" Target="https://multimedia.3m.com/mws/mediawebserver?mwsId=SSSSSu9n_zu8l00xlY_9lxtxlv70k17zHvu9lxtD7xt1evSSSSSS-" TargetMode="External"/><Relationship Id="rId28" Type="http://schemas.openxmlformats.org/officeDocument/2006/relationships/hyperlink" Target="http://multimedia.3m.com/mws/media/45387P/3mtm-ultraprotm-urethane-seam-sealer.jpg" TargetMode="External"/><Relationship Id="rId36" Type="http://schemas.openxmlformats.org/officeDocument/2006/relationships/hyperlink" Target="https://www.cpooutlets.com/on/demandware.static/-/Sites-cpo-master-catalog/default/dw5a5995ae/product_media/thm/thmn907/images/2xlarge/thmn907.jpg" TargetMode="External"/><Relationship Id="rId10" Type="http://schemas.openxmlformats.org/officeDocument/2006/relationships/hyperlink" Target="https://multimedia.3m.com/mws/media/384883O/3m-indl-prds-access-for-abrasive-products-catalog-inter-pdf.pdf" TargetMode="External"/><Relationship Id="rId19" Type="http://schemas.openxmlformats.org/officeDocument/2006/relationships/hyperlink" Target="http://multimedia.3m.com/mws/media/1058439P/3m-green-corps-roloc-disc-01407-3-in-36yf.jpg" TargetMode="External"/><Relationship Id="rId31" Type="http://schemas.openxmlformats.org/officeDocument/2006/relationships/hyperlink" Target="https://multimedia.3m.com/mws/mediawebserver?mwsId=SSSSSuUn_zu8l00xMx2xnY_vov70k17zHvu9lxtD7SSSSSS--" TargetMode="External"/><Relationship Id="rId4" Type="http://schemas.openxmlformats.org/officeDocument/2006/relationships/hyperlink" Target="https://multimedia.3m.com/mws/media/755375O/3m-coated-abrasive-roloc-and-scotch-brite-roloc-roloc-spindle-mount-products.pdf" TargetMode="External"/><Relationship Id="rId9" Type="http://schemas.openxmlformats.org/officeDocument/2006/relationships/hyperlink" Target="https://multimedia.3m.com/mws/media/1023487O/3m-stripe-off-wheel-eu-safety-insert-34-8513-2468-0.pdf" TargetMode="External"/><Relationship Id="rId14" Type="http://schemas.openxmlformats.org/officeDocument/2006/relationships/hyperlink" Target="https://multimedia.3m.com/mws/mediawebserver?mwsId=SSSSSu9n_zu8l00xm8_v582xnv70k17zHvu9lxtD7xtBevSSSSSS-" TargetMode="External"/><Relationship Id="rId22" Type="http://schemas.openxmlformats.org/officeDocument/2006/relationships/hyperlink" Target="http://multimedia.3m.com/mws/media/1067361P/3m-windo-weld-super-fast-urethane-08609-blk-10-5-floz-cart.jpg" TargetMode="External"/><Relationship Id="rId27" Type="http://schemas.openxmlformats.org/officeDocument/2006/relationships/hyperlink" Target="https://multimedia.3m.com/mws/media/761546O/3m-urethane-seam-sealer-tds-08360-08361-08364.pdf" TargetMode="External"/><Relationship Id="rId30" Type="http://schemas.openxmlformats.org/officeDocument/2006/relationships/hyperlink" Target="https://multimedia.3m.com/mws/mediawebserver?mwsId=SSSSSuUn_zu8l00xlYt9lx_elv70k17zHvu9lxtD7SSSSSS--" TargetMode="External"/><Relationship Id="rId35" Type="http://schemas.openxmlformats.org/officeDocument/2006/relationships/hyperlink" Target="https://syndicate.synthrone.com/ce0gp5ri2yb3/V000094164/latest/assets/13155_opt.png" TargetMode="External"/><Relationship Id="rId8" Type="http://schemas.openxmlformats.org/officeDocument/2006/relationships/hyperlink" Target="http://multimedia.3m.com/mws/media/74536P/3mtm-stripe-off-wheel.jpg" TargetMode="External"/><Relationship Id="rId3" Type="http://schemas.openxmlformats.org/officeDocument/2006/relationships/hyperlink" Target="https://multimedia.3m.com/mws/media/926868O/3m-metalworking-catalogue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Truckshop/Desktop/SDS%20Folders%20DAWN/Evercoat/_Fiberglass-Auto_Resin%20FIB%20864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axalta.com/content/dam/NA/HQ/Public/Cromax/Documents/TDS/CX-TDS-25XSS-2580CR-Eng.pdf" TargetMode="External"/><Relationship Id="rId1" Type="http://schemas.openxmlformats.org/officeDocument/2006/relationships/hyperlink" Target="https://www.axalta.com/content/dam/NA/HQ/Public/Cromax/Documents/TDS/CX-TDS-25XSS-2580CR-Eng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.media-amazon.com/images/I/51P0g+kB1sL._AC_.jpg" TargetMode="Externa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15B5-6BB5-4E56-94CB-ED08546DB171}">
  <dimension ref="A1:O89"/>
  <sheetViews>
    <sheetView topLeftCell="A24" workbookViewId="0">
      <selection activeCell="E46" sqref="E46"/>
    </sheetView>
  </sheetViews>
  <sheetFormatPr defaultRowHeight="12.75" x14ac:dyDescent="0.35"/>
  <cols>
    <col min="1" max="1" width="18.73046875" customWidth="1"/>
    <col min="2" max="2" width="13.73046875" customWidth="1"/>
    <col min="3" max="3" width="16.265625" customWidth="1"/>
    <col min="4" max="4" width="41.59765625" customWidth="1"/>
    <col min="5" max="5" width="30.265625" customWidth="1"/>
    <col min="6" max="6" width="17" style="12" customWidth="1"/>
    <col min="7" max="7" width="13.1328125" style="12" customWidth="1"/>
    <col min="8" max="8" width="12.73046875" style="12" customWidth="1"/>
    <col min="9" max="9" width="12.59765625" style="12" customWidth="1"/>
    <col min="10" max="10" width="14.59765625" style="64" customWidth="1"/>
    <col min="11" max="11" width="24.59765625" style="12" customWidth="1"/>
    <col min="12" max="12" width="17" customWidth="1"/>
    <col min="13" max="13" width="16" style="12" customWidth="1"/>
    <col min="14" max="14" width="21" style="12" customWidth="1"/>
    <col min="15" max="15" width="14.1328125" style="12" customWidth="1"/>
  </cols>
  <sheetData>
    <row r="1" spans="1:15" s="1" customFormat="1" ht="14.1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1" t="s">
        <v>6</v>
      </c>
      <c r="H1" s="11" t="s">
        <v>7</v>
      </c>
      <c r="I1" s="47" t="s">
        <v>8</v>
      </c>
      <c r="J1" s="48" t="s">
        <v>9</v>
      </c>
      <c r="K1" s="47" t="s">
        <v>10</v>
      </c>
      <c r="L1" s="1" t="s">
        <v>11</v>
      </c>
      <c r="M1" s="11" t="s">
        <v>12</v>
      </c>
      <c r="N1" s="11" t="s">
        <v>13</v>
      </c>
      <c r="O1" s="11"/>
    </row>
    <row r="2" spans="1:15" ht="14.25" x14ac:dyDescent="0.45">
      <c r="A2" s="1"/>
      <c r="B2" s="1"/>
      <c r="D2" s="1"/>
      <c r="E2" s="1"/>
      <c r="I2" s="49"/>
      <c r="J2" s="51"/>
      <c r="K2" s="49"/>
    </row>
    <row r="3" spans="1:15" ht="14.25" x14ac:dyDescent="0.45">
      <c r="A3" s="1"/>
      <c r="B3" s="1"/>
      <c r="D3" s="56" t="s">
        <v>14</v>
      </c>
      <c r="E3" s="1"/>
      <c r="I3" s="49"/>
      <c r="J3" s="51"/>
      <c r="K3" s="49"/>
    </row>
    <row r="4" spans="1:15" ht="14.25" x14ac:dyDescent="0.45">
      <c r="A4" s="1" t="s">
        <v>15</v>
      </c>
      <c r="B4" s="1"/>
      <c r="D4" s="1" t="s">
        <v>16</v>
      </c>
      <c r="E4" s="1" t="s">
        <v>17</v>
      </c>
      <c r="F4" s="12">
        <f>SUM(I4)</f>
        <v>310.93</v>
      </c>
      <c r="I4" s="49">
        <v>310.93</v>
      </c>
      <c r="J4" s="51"/>
      <c r="K4" s="49"/>
      <c r="M4" s="12">
        <f>SUM(F4*L4)</f>
        <v>0</v>
      </c>
      <c r="N4" s="12">
        <f>SUM(M4*0.35)+M4</f>
        <v>0</v>
      </c>
    </row>
    <row r="5" spans="1:15" ht="14.25" x14ac:dyDescent="0.45">
      <c r="A5" s="1"/>
      <c r="B5" s="1" t="s">
        <v>18</v>
      </c>
      <c r="D5" s="1" t="s">
        <v>19</v>
      </c>
      <c r="E5" s="1" t="s">
        <v>17</v>
      </c>
      <c r="F5" s="12">
        <f t="shared" ref="F5:F7" si="0">SUM(I5)</f>
        <v>36.61</v>
      </c>
      <c r="I5" s="49">
        <v>36.61</v>
      </c>
      <c r="J5" s="51"/>
      <c r="K5" s="49"/>
      <c r="M5" s="12">
        <f>SUM(F5*L5)</f>
        <v>0</v>
      </c>
      <c r="N5" s="12">
        <f t="shared" ref="N5:N76" si="1">SUM(M5*0.35)+M5</f>
        <v>0</v>
      </c>
    </row>
    <row r="6" spans="1:15" ht="14.25" x14ac:dyDescent="0.45">
      <c r="A6" s="1"/>
      <c r="B6" s="1" t="s">
        <v>20</v>
      </c>
      <c r="D6" s="1" t="s">
        <v>19</v>
      </c>
      <c r="E6" s="1" t="s">
        <v>17</v>
      </c>
      <c r="F6" s="12">
        <f t="shared" si="0"/>
        <v>33.28</v>
      </c>
      <c r="I6" s="49">
        <v>33.28</v>
      </c>
      <c r="J6" s="51"/>
      <c r="K6" s="49"/>
      <c r="M6" s="12">
        <f>SUM(F6*L6)</f>
        <v>0</v>
      </c>
      <c r="N6" s="12">
        <f t="shared" si="1"/>
        <v>0</v>
      </c>
    </row>
    <row r="7" spans="1:15" x14ac:dyDescent="0.35">
      <c r="A7" t="s">
        <v>21</v>
      </c>
      <c r="B7" t="s">
        <v>22</v>
      </c>
      <c r="D7" t="s">
        <v>23</v>
      </c>
      <c r="E7" t="s">
        <v>24</v>
      </c>
      <c r="F7" s="12">
        <f t="shared" si="0"/>
        <v>20.29</v>
      </c>
      <c r="I7" s="49">
        <v>20.29</v>
      </c>
      <c r="J7" s="51"/>
      <c r="K7" s="49"/>
      <c r="M7" s="12">
        <f>SUM(F7*L7)</f>
        <v>0</v>
      </c>
      <c r="N7" s="12">
        <f t="shared" si="1"/>
        <v>0</v>
      </c>
    </row>
    <row r="8" spans="1:15" ht="14.25" x14ac:dyDescent="0.45">
      <c r="A8" s="1"/>
      <c r="B8" s="1"/>
      <c r="D8" s="1"/>
      <c r="E8" s="1"/>
      <c r="I8" s="49"/>
      <c r="J8" s="51"/>
      <c r="K8" s="49"/>
    </row>
    <row r="9" spans="1:15" ht="14.25" x14ac:dyDescent="0.45">
      <c r="A9" s="1"/>
      <c r="B9" s="1"/>
      <c r="D9" s="1"/>
      <c r="E9" s="1"/>
      <c r="I9" s="49"/>
      <c r="J9" s="51"/>
      <c r="K9" s="49"/>
    </row>
    <row r="10" spans="1:15" ht="14.25" x14ac:dyDescent="0.45">
      <c r="A10" s="1"/>
      <c r="B10" s="1"/>
      <c r="D10" s="56" t="s">
        <v>25</v>
      </c>
      <c r="E10" s="3"/>
      <c r="I10" s="49"/>
      <c r="J10" s="51"/>
      <c r="K10" s="49"/>
    </row>
    <row r="11" spans="1:15" ht="14.25" x14ac:dyDescent="0.45">
      <c r="A11" s="1" t="s">
        <v>26</v>
      </c>
      <c r="B11" s="1"/>
      <c r="D11" s="1" t="s">
        <v>27</v>
      </c>
      <c r="E11" s="1" t="s">
        <v>28</v>
      </c>
      <c r="F11" s="12">
        <f>SUM(I11/100)</f>
        <v>0.51500000000000001</v>
      </c>
      <c r="I11" s="49">
        <v>51.5</v>
      </c>
      <c r="J11" s="51"/>
      <c r="K11" s="49"/>
      <c r="M11" s="12">
        <f t="shared" ref="M11:M20" si="2">SUM(F11*L11)</f>
        <v>0</v>
      </c>
      <c r="N11" s="12">
        <f t="shared" ref="N11" si="3">SUM(M11*0.35)+M11</f>
        <v>0</v>
      </c>
    </row>
    <row r="12" spans="1:15" ht="14.25" x14ac:dyDescent="0.45">
      <c r="A12" s="1" t="s">
        <v>29</v>
      </c>
      <c r="B12" s="1"/>
      <c r="D12" s="1" t="s">
        <v>30</v>
      </c>
      <c r="E12" s="1" t="s">
        <v>31</v>
      </c>
      <c r="F12" s="12">
        <f>SUM(I12/25)</f>
        <v>1.944</v>
      </c>
      <c r="I12" s="49">
        <v>48.6</v>
      </c>
      <c r="J12" s="51"/>
      <c r="K12" s="49"/>
      <c r="M12" s="12">
        <f t="shared" si="2"/>
        <v>0</v>
      </c>
      <c r="N12" s="12">
        <f t="shared" si="1"/>
        <v>0</v>
      </c>
    </row>
    <row r="13" spans="1:15" ht="14.25" x14ac:dyDescent="0.45">
      <c r="A13" s="1" t="s">
        <v>32</v>
      </c>
      <c r="B13" s="1"/>
      <c r="D13" s="1" t="s">
        <v>30</v>
      </c>
      <c r="E13" s="1" t="s">
        <v>31</v>
      </c>
      <c r="F13" s="12">
        <f>SUM(I13/25)</f>
        <v>1.944</v>
      </c>
      <c r="I13" s="49">
        <v>48.6</v>
      </c>
      <c r="J13" s="51"/>
      <c r="K13" s="49"/>
      <c r="M13" s="12">
        <f t="shared" si="2"/>
        <v>0</v>
      </c>
      <c r="N13" s="12">
        <f t="shared" ref="N13" si="4">SUM(M13*0.35)+M13</f>
        <v>0</v>
      </c>
    </row>
    <row r="14" spans="1:15" ht="14.25" x14ac:dyDescent="0.45">
      <c r="A14" s="1" t="s">
        <v>33</v>
      </c>
      <c r="B14" s="1"/>
      <c r="D14" s="1" t="s">
        <v>34</v>
      </c>
      <c r="E14" s="1" t="s">
        <v>28</v>
      </c>
      <c r="F14" s="12">
        <f>SUM(I14/100)</f>
        <v>0.44600000000000001</v>
      </c>
      <c r="I14" s="49">
        <v>44.6</v>
      </c>
      <c r="J14" s="51"/>
      <c r="K14" s="49"/>
      <c r="M14" s="12">
        <f t="shared" si="2"/>
        <v>0</v>
      </c>
      <c r="N14" s="12">
        <f t="shared" si="1"/>
        <v>0</v>
      </c>
    </row>
    <row r="15" spans="1:15" ht="14.25" x14ac:dyDescent="0.45">
      <c r="A15" t="s">
        <v>35</v>
      </c>
      <c r="B15" s="1"/>
      <c r="D15" s="1" t="s">
        <v>34</v>
      </c>
      <c r="E15" s="1" t="s">
        <v>28</v>
      </c>
      <c r="F15" s="12">
        <f>SUM(I15/100)</f>
        <v>0.44600000000000001</v>
      </c>
      <c r="I15" s="49">
        <v>44.6</v>
      </c>
      <c r="J15" s="51"/>
      <c r="K15" s="49"/>
      <c r="M15" s="12">
        <f t="shared" si="2"/>
        <v>0</v>
      </c>
      <c r="N15" s="12">
        <f t="shared" ref="N15" si="5">SUM(M15*0.35)+M15</f>
        <v>0</v>
      </c>
    </row>
    <row r="16" spans="1:15" ht="14.25" x14ac:dyDescent="0.45">
      <c r="A16" s="1" t="s">
        <v>36</v>
      </c>
      <c r="B16" s="1"/>
      <c r="D16" s="1" t="s">
        <v>37</v>
      </c>
      <c r="E16" s="1" t="s">
        <v>38</v>
      </c>
      <c r="F16" s="12">
        <f>SUM(I16/32)</f>
        <v>2.5262500000000001</v>
      </c>
      <c r="I16" s="49">
        <v>80.84</v>
      </c>
      <c r="J16" s="51"/>
      <c r="K16" s="49"/>
      <c r="M16" s="12">
        <f t="shared" si="2"/>
        <v>0</v>
      </c>
      <c r="N16" s="12">
        <f t="shared" si="1"/>
        <v>0</v>
      </c>
    </row>
    <row r="17" spans="1:14" ht="14.25" x14ac:dyDescent="0.45">
      <c r="A17" s="1" t="s">
        <v>39</v>
      </c>
      <c r="B17" s="1"/>
      <c r="D17" s="1" t="s">
        <v>40</v>
      </c>
      <c r="E17" s="1" t="s">
        <v>38</v>
      </c>
      <c r="F17" s="12">
        <f>SUM(I17/32)</f>
        <v>3.30125</v>
      </c>
      <c r="I17" s="49">
        <v>105.64</v>
      </c>
      <c r="J17" s="51"/>
      <c r="K17" s="49"/>
      <c r="M17" s="12">
        <f t="shared" si="2"/>
        <v>0</v>
      </c>
      <c r="N17" s="12">
        <f t="shared" si="1"/>
        <v>0</v>
      </c>
    </row>
    <row r="18" spans="1:14" ht="14.25" x14ac:dyDescent="0.45">
      <c r="A18" s="1" t="s">
        <v>41</v>
      </c>
      <c r="B18" s="1"/>
      <c r="D18" s="1" t="s">
        <v>42</v>
      </c>
      <c r="E18" s="1" t="s">
        <v>17</v>
      </c>
      <c r="F18" s="12">
        <f>SUM(I18/100)</f>
        <v>2.1997999999999998</v>
      </c>
      <c r="I18" s="49">
        <v>219.98</v>
      </c>
      <c r="J18" s="51"/>
      <c r="K18" s="49"/>
      <c r="M18" s="12">
        <f t="shared" si="2"/>
        <v>0</v>
      </c>
      <c r="N18" s="12">
        <f t="shared" si="1"/>
        <v>0</v>
      </c>
    </row>
    <row r="19" spans="1:14" ht="14.25" x14ac:dyDescent="0.45">
      <c r="A19" s="1" t="s">
        <v>43</v>
      </c>
      <c r="B19" s="1"/>
      <c r="D19" s="1" t="s">
        <v>44</v>
      </c>
      <c r="E19" s="1" t="s">
        <v>17</v>
      </c>
      <c r="F19" s="12">
        <f>SUM(I19/100)</f>
        <v>1.7024000000000001</v>
      </c>
      <c r="I19" s="49">
        <v>170.24</v>
      </c>
      <c r="J19" s="51"/>
      <c r="K19" s="49"/>
      <c r="M19" s="12">
        <f t="shared" si="2"/>
        <v>0</v>
      </c>
      <c r="N19" s="12">
        <f t="shared" si="1"/>
        <v>0</v>
      </c>
    </row>
    <row r="20" spans="1:14" ht="14.25" x14ac:dyDescent="0.45">
      <c r="A20" s="1" t="s">
        <v>45</v>
      </c>
      <c r="B20" s="1"/>
      <c r="D20" s="1" t="s">
        <v>46</v>
      </c>
      <c r="E20" s="1" t="s">
        <v>47</v>
      </c>
      <c r="F20" s="12">
        <f>SUM(I20/60)</f>
        <v>4.0838333333333336</v>
      </c>
      <c r="I20" s="49">
        <v>245.03</v>
      </c>
      <c r="J20" s="51"/>
      <c r="K20" s="49"/>
      <c r="M20" s="12">
        <f t="shared" si="2"/>
        <v>0</v>
      </c>
      <c r="N20" s="12">
        <f t="shared" ref="N20" si="6">SUM(M20*0.35)+M20</f>
        <v>0</v>
      </c>
    </row>
    <row r="21" spans="1:14" ht="14.25" x14ac:dyDescent="0.45">
      <c r="A21" s="1"/>
      <c r="B21" s="1"/>
      <c r="D21" s="1"/>
      <c r="E21" s="1"/>
      <c r="I21" s="49"/>
      <c r="J21" s="51"/>
      <c r="K21" s="49"/>
    </row>
    <row r="22" spans="1:14" ht="14.25" x14ac:dyDescent="0.45">
      <c r="A22" s="1"/>
      <c r="B22" s="1"/>
      <c r="D22" s="1"/>
      <c r="E22" s="1"/>
      <c r="I22" s="49"/>
      <c r="J22" s="51"/>
      <c r="K22" s="49"/>
    </row>
    <row r="23" spans="1:14" ht="14.25" x14ac:dyDescent="0.45">
      <c r="A23" s="1"/>
      <c r="B23" s="1"/>
      <c r="D23" s="56" t="s">
        <v>48</v>
      </c>
      <c r="E23" s="1"/>
      <c r="I23" s="49"/>
      <c r="J23" s="51"/>
      <c r="K23" s="49"/>
    </row>
    <row r="24" spans="1:14" ht="14.25" x14ac:dyDescent="0.45">
      <c r="A24" s="1" t="s">
        <v>49</v>
      </c>
      <c r="B24" s="1"/>
      <c r="D24" s="1" t="s">
        <v>50</v>
      </c>
      <c r="E24" s="1" t="s">
        <v>51</v>
      </c>
      <c r="F24" s="12">
        <f>SUM(I24/50)</f>
        <v>0.52880000000000005</v>
      </c>
      <c r="I24" s="49">
        <v>26.44</v>
      </c>
      <c r="J24" s="51"/>
      <c r="K24" s="49"/>
      <c r="M24" s="12">
        <f>SUM(F24*L24)</f>
        <v>0</v>
      </c>
      <c r="N24" s="12">
        <f t="shared" si="1"/>
        <v>0</v>
      </c>
    </row>
    <row r="25" spans="1:14" ht="14.25" x14ac:dyDescent="0.45">
      <c r="A25" s="1" t="s">
        <v>52</v>
      </c>
      <c r="B25" s="1"/>
      <c r="D25" s="1" t="s">
        <v>53</v>
      </c>
      <c r="E25" s="1" t="s">
        <v>54</v>
      </c>
      <c r="F25" s="12">
        <f t="shared" ref="F25:F28" si="7">SUM(I25/50)</f>
        <v>0.57420000000000004</v>
      </c>
      <c r="I25" s="49">
        <v>28.71</v>
      </c>
      <c r="J25" s="51"/>
      <c r="K25" s="49"/>
      <c r="M25" s="12">
        <f>SUM(F25*L25)</f>
        <v>0</v>
      </c>
      <c r="N25" s="12">
        <f t="shared" si="1"/>
        <v>0</v>
      </c>
    </row>
    <row r="26" spans="1:14" ht="14.25" x14ac:dyDescent="0.45">
      <c r="A26" s="1"/>
      <c r="B26" s="1" t="s">
        <v>55</v>
      </c>
      <c r="D26" s="1" t="s">
        <v>56</v>
      </c>
      <c r="E26" s="1" t="s">
        <v>57</v>
      </c>
      <c r="F26" s="12">
        <f t="shared" si="7"/>
        <v>0.68480000000000008</v>
      </c>
      <c r="I26" s="49">
        <v>34.24</v>
      </c>
      <c r="J26" s="51"/>
      <c r="K26" s="49"/>
      <c r="M26" s="12">
        <f>SUM(F26*L26)</f>
        <v>0</v>
      </c>
      <c r="N26" s="12">
        <f t="shared" si="1"/>
        <v>0</v>
      </c>
    </row>
    <row r="27" spans="1:14" ht="14.25" x14ac:dyDescent="0.45">
      <c r="A27" s="1"/>
      <c r="B27" s="1" t="s">
        <v>58</v>
      </c>
      <c r="D27" s="1" t="s">
        <v>59</v>
      </c>
      <c r="E27" s="1" t="s">
        <v>57</v>
      </c>
      <c r="F27" s="12">
        <f t="shared" si="7"/>
        <v>0.68480000000000008</v>
      </c>
      <c r="I27" s="49">
        <v>34.24</v>
      </c>
      <c r="J27" s="51"/>
      <c r="K27" s="49"/>
      <c r="M27" s="12">
        <f>SUM(F27*L27)</f>
        <v>0</v>
      </c>
      <c r="N27" s="12">
        <f t="shared" si="1"/>
        <v>0</v>
      </c>
    </row>
    <row r="28" spans="1:14" ht="14.25" x14ac:dyDescent="0.45">
      <c r="A28" s="1" t="s">
        <v>60</v>
      </c>
      <c r="B28" s="1" t="s">
        <v>61</v>
      </c>
      <c r="D28" s="1" t="s">
        <v>62</v>
      </c>
      <c r="E28" s="1" t="s">
        <v>63</v>
      </c>
      <c r="F28" s="12">
        <f t="shared" si="7"/>
        <v>0.67019999999999991</v>
      </c>
      <c r="I28" s="49">
        <v>33.51</v>
      </c>
      <c r="J28" s="51"/>
      <c r="K28" s="49"/>
      <c r="M28" s="12">
        <f>SUM(F28*L28)</f>
        <v>0</v>
      </c>
      <c r="N28" s="12">
        <f t="shared" si="1"/>
        <v>0</v>
      </c>
    </row>
    <row r="29" spans="1:14" ht="14.25" x14ac:dyDescent="0.45">
      <c r="A29" s="1"/>
      <c r="B29" s="1"/>
      <c r="D29" s="1"/>
      <c r="E29" s="1"/>
      <c r="I29" s="49"/>
      <c r="J29" s="51"/>
      <c r="K29" s="49"/>
    </row>
    <row r="30" spans="1:14" ht="14.25" x14ac:dyDescent="0.45">
      <c r="A30" s="1"/>
      <c r="B30" s="1"/>
      <c r="D30" s="56" t="s">
        <v>64</v>
      </c>
      <c r="E30" s="1"/>
      <c r="I30" s="49"/>
      <c r="J30" s="51"/>
      <c r="K30" s="49"/>
    </row>
    <row r="31" spans="1:14" ht="14.25" x14ac:dyDescent="0.45">
      <c r="A31" s="1" t="s">
        <v>65</v>
      </c>
      <c r="B31" s="1">
        <v>5903</v>
      </c>
      <c r="D31" s="1" t="s">
        <v>66</v>
      </c>
      <c r="E31" s="1" t="s">
        <v>67</v>
      </c>
      <c r="F31" s="12">
        <f>SUM(I31/1)</f>
        <v>9.9499999999999993</v>
      </c>
      <c r="I31" s="49">
        <v>9.9499999999999993</v>
      </c>
      <c r="J31" s="51"/>
      <c r="K31" s="49"/>
      <c r="M31" s="12">
        <f>SUM(F31*L31)</f>
        <v>0</v>
      </c>
      <c r="N31" s="12">
        <f t="shared" ref="N31" si="8">SUM(M31*0.35)+M31</f>
        <v>0</v>
      </c>
    </row>
    <row r="32" spans="1:14" ht="14.25" x14ac:dyDescent="0.45">
      <c r="A32" s="1" t="s">
        <v>68</v>
      </c>
      <c r="B32" s="1" t="s">
        <v>69</v>
      </c>
      <c r="D32" s="1" t="s">
        <v>70</v>
      </c>
      <c r="E32" s="1" t="s">
        <v>67</v>
      </c>
      <c r="F32" s="12">
        <f>SUM(I32/1)</f>
        <v>10.18</v>
      </c>
      <c r="I32" s="49">
        <v>10.18</v>
      </c>
      <c r="J32" s="51"/>
      <c r="K32" s="49"/>
      <c r="M32" s="12">
        <f>SUM(F32*L32)</f>
        <v>0</v>
      </c>
      <c r="N32" s="12">
        <f t="shared" ref="N32" si="9">SUM(M32*0.35)+M32</f>
        <v>0</v>
      </c>
    </row>
    <row r="33" spans="1:14" ht="14.25" x14ac:dyDescent="0.45">
      <c r="A33" s="1"/>
      <c r="B33" s="1"/>
      <c r="D33" s="56" t="s">
        <v>71</v>
      </c>
      <c r="E33" s="1"/>
      <c r="I33" s="49"/>
      <c r="J33" s="51"/>
      <c r="K33" s="49"/>
    </row>
    <row r="34" spans="1:14" ht="14.25" x14ac:dyDescent="0.45">
      <c r="A34" s="1" t="s">
        <v>72</v>
      </c>
      <c r="B34" s="1" t="s">
        <v>73</v>
      </c>
      <c r="D34" s="1" t="s">
        <v>74</v>
      </c>
      <c r="E34" s="4" t="s">
        <v>75</v>
      </c>
      <c r="F34" s="12">
        <f>SUM(I34/20)</f>
        <v>2.1399999999999997</v>
      </c>
      <c r="I34" s="49">
        <v>42.8</v>
      </c>
      <c r="J34" s="51"/>
      <c r="K34" s="49"/>
      <c r="M34" s="12">
        <f>SUM(F34*L34)</f>
        <v>0</v>
      </c>
      <c r="N34" s="12">
        <f t="shared" si="1"/>
        <v>0</v>
      </c>
    </row>
    <row r="35" spans="1:14" ht="14.25" x14ac:dyDescent="0.45">
      <c r="A35" s="1"/>
      <c r="B35" s="1"/>
      <c r="D35" s="3"/>
      <c r="E35" s="1"/>
      <c r="I35" s="49"/>
      <c r="J35" s="51"/>
      <c r="K35" s="49"/>
    </row>
    <row r="36" spans="1:14" ht="14.25" x14ac:dyDescent="0.45">
      <c r="A36" s="1"/>
      <c r="B36" s="1"/>
      <c r="D36" s="56" t="s">
        <v>76</v>
      </c>
      <c r="E36" s="1"/>
      <c r="I36" s="49"/>
      <c r="J36" s="51"/>
      <c r="K36" s="49"/>
    </row>
    <row r="37" spans="1:14" ht="14.25" x14ac:dyDescent="0.45">
      <c r="A37" s="1" t="s">
        <v>77</v>
      </c>
      <c r="B37" s="1" t="s">
        <v>78</v>
      </c>
      <c r="D37" s="1" t="s">
        <v>79</v>
      </c>
      <c r="E37" s="1" t="s">
        <v>80</v>
      </c>
      <c r="F37" s="12">
        <f>SUM(I37/600)</f>
        <v>9.8916666666666667E-2</v>
      </c>
      <c r="I37" s="49">
        <v>59.35</v>
      </c>
      <c r="J37" s="51"/>
      <c r="K37" s="49"/>
      <c r="M37" s="12">
        <f>SUM(F37*L37)</f>
        <v>0</v>
      </c>
      <c r="N37" s="12">
        <f t="shared" si="1"/>
        <v>0</v>
      </c>
    </row>
    <row r="38" spans="1:14" ht="14.25" x14ac:dyDescent="0.45">
      <c r="A38" s="1"/>
      <c r="B38" s="1"/>
      <c r="D38" s="3"/>
      <c r="E38" s="1"/>
      <c r="I38" s="49"/>
      <c r="J38" s="51"/>
      <c r="K38" s="49"/>
    </row>
    <row r="39" spans="1:14" ht="14.25" x14ac:dyDescent="0.45">
      <c r="A39" s="1"/>
      <c r="B39" s="1"/>
      <c r="D39" s="56" t="s">
        <v>81</v>
      </c>
      <c r="E39" s="1"/>
      <c r="I39" s="49"/>
      <c r="J39" s="51"/>
      <c r="K39" s="49"/>
    </row>
    <row r="40" spans="1:14" ht="14.25" x14ac:dyDescent="0.45">
      <c r="A40" s="1" t="s">
        <v>82</v>
      </c>
      <c r="B40" s="1"/>
      <c r="D40" s="1" t="s">
        <v>83</v>
      </c>
      <c r="E40" s="1" t="s">
        <v>84</v>
      </c>
      <c r="F40" s="12">
        <f>SUM(I40/12)</f>
        <v>1.4400000000000002</v>
      </c>
      <c r="I40" s="49">
        <v>17.28</v>
      </c>
      <c r="J40" s="51"/>
      <c r="K40" s="49"/>
      <c r="M40" s="12">
        <f>SUM(F40*L40)</f>
        <v>0</v>
      </c>
      <c r="N40" s="12">
        <f t="shared" si="1"/>
        <v>0</v>
      </c>
    </row>
    <row r="41" spans="1:14" ht="14.25" x14ac:dyDescent="0.45">
      <c r="A41" s="1"/>
      <c r="B41" s="1"/>
      <c r="D41" s="3"/>
      <c r="E41" s="1"/>
      <c r="I41" s="49"/>
      <c r="J41" s="51"/>
      <c r="K41" s="49"/>
    </row>
    <row r="42" spans="1:14" ht="14.25" x14ac:dyDescent="0.45">
      <c r="A42" s="1"/>
      <c r="B42" s="1"/>
      <c r="D42" s="56" t="s">
        <v>85</v>
      </c>
      <c r="E42" s="1"/>
      <c r="I42" s="49"/>
      <c r="J42" s="51"/>
      <c r="K42" s="49"/>
    </row>
    <row r="43" spans="1:14" ht="14.25" x14ac:dyDescent="0.45">
      <c r="A43" s="16" t="s">
        <v>86</v>
      </c>
      <c r="B43" s="20" t="s">
        <v>87</v>
      </c>
      <c r="D43" s="1" t="s">
        <v>88</v>
      </c>
      <c r="E43" s="1" t="s">
        <v>89</v>
      </c>
      <c r="F43" s="12">
        <f>SUM(I43/100)</f>
        <v>4.82E-2</v>
      </c>
      <c r="I43" s="49">
        <v>4.82</v>
      </c>
      <c r="J43" s="51"/>
      <c r="K43" s="49"/>
      <c r="M43" s="12">
        <f>SUM(F43*L43)</f>
        <v>0</v>
      </c>
      <c r="N43" s="12">
        <f t="shared" si="1"/>
        <v>0</v>
      </c>
    </row>
    <row r="44" spans="1:14" ht="14.25" x14ac:dyDescent="0.45">
      <c r="A44" s="1"/>
      <c r="B44" s="1"/>
      <c r="D44" s="1"/>
      <c r="E44" s="1"/>
      <c r="I44" s="49"/>
      <c r="J44" s="51"/>
      <c r="K44" s="49"/>
    </row>
    <row r="45" spans="1:14" ht="14.25" x14ac:dyDescent="0.45">
      <c r="A45" s="1"/>
      <c r="B45" s="1"/>
      <c r="D45" s="56" t="s">
        <v>90</v>
      </c>
      <c r="E45" s="1"/>
      <c r="I45" s="49"/>
      <c r="J45" s="51"/>
      <c r="K45" s="49"/>
    </row>
    <row r="46" spans="1:14" ht="14.25" x14ac:dyDescent="0.45">
      <c r="A46" s="1" t="s">
        <v>91</v>
      </c>
      <c r="B46" s="1"/>
      <c r="D46" s="1" t="s">
        <v>92</v>
      </c>
      <c r="E46" s="1" t="s">
        <v>93</v>
      </c>
      <c r="F46" s="12">
        <f>SUM(I46/750)</f>
        <v>1.4626666666666668E-2</v>
      </c>
      <c r="I46" s="49">
        <v>10.97</v>
      </c>
      <c r="J46" s="51"/>
      <c r="K46" s="49"/>
      <c r="M46" s="12">
        <f>SUM(F46*L46)</f>
        <v>0</v>
      </c>
      <c r="N46" s="12">
        <f t="shared" si="1"/>
        <v>0</v>
      </c>
    </row>
    <row r="47" spans="1:14" ht="14.25" x14ac:dyDescent="0.45">
      <c r="A47" s="1" t="s">
        <v>94</v>
      </c>
      <c r="B47" s="1" t="s">
        <v>95</v>
      </c>
      <c r="D47" s="1" t="s">
        <v>96</v>
      </c>
      <c r="E47" s="1" t="s">
        <v>97</v>
      </c>
      <c r="F47" s="12">
        <f t="shared" ref="F47:F49" si="10">SUM(I47/750)</f>
        <v>2.8186666666666669E-2</v>
      </c>
      <c r="I47" s="49">
        <v>21.14</v>
      </c>
      <c r="J47" s="51"/>
      <c r="K47" s="49"/>
      <c r="M47" s="12">
        <f>SUM(F47*L47)</f>
        <v>0</v>
      </c>
      <c r="N47" s="12">
        <f t="shared" si="1"/>
        <v>0</v>
      </c>
    </row>
    <row r="48" spans="1:14" ht="14.25" x14ac:dyDescent="0.45">
      <c r="A48" s="1" t="s">
        <v>98</v>
      </c>
      <c r="B48" s="1" t="s">
        <v>99</v>
      </c>
      <c r="D48" s="1" t="s">
        <v>100</v>
      </c>
      <c r="E48" s="1" t="s">
        <v>97</v>
      </c>
      <c r="F48" s="12">
        <f t="shared" si="10"/>
        <v>4.2266666666666668E-2</v>
      </c>
      <c r="I48" s="49">
        <v>31.7</v>
      </c>
      <c r="J48" s="51"/>
      <c r="K48" s="49"/>
      <c r="M48" s="12">
        <f>SUM(F48*L48)</f>
        <v>0</v>
      </c>
      <c r="N48" s="12">
        <f t="shared" si="1"/>
        <v>0</v>
      </c>
    </row>
    <row r="49" spans="1:14" ht="14.25" x14ac:dyDescent="0.45">
      <c r="A49" s="1" t="s">
        <v>101</v>
      </c>
      <c r="B49" s="1"/>
      <c r="D49" s="1" t="s">
        <v>102</v>
      </c>
      <c r="E49" s="1" t="s">
        <v>103</v>
      </c>
      <c r="F49" s="12">
        <f t="shared" si="10"/>
        <v>0.10383999999999999</v>
      </c>
      <c r="I49" s="49">
        <v>77.88</v>
      </c>
      <c r="J49" s="51"/>
      <c r="K49" s="49"/>
      <c r="M49" s="12">
        <f>SUM(F49*L49)</f>
        <v>0</v>
      </c>
      <c r="N49" s="12">
        <f t="shared" si="1"/>
        <v>0</v>
      </c>
    </row>
    <row r="50" spans="1:14" ht="14.25" x14ac:dyDescent="0.45">
      <c r="A50" s="1"/>
      <c r="B50" s="1"/>
      <c r="D50" s="15" t="s">
        <v>104</v>
      </c>
      <c r="E50" s="1"/>
      <c r="I50" s="49"/>
      <c r="J50" s="51"/>
      <c r="K50" s="49"/>
    </row>
    <row r="51" spans="1:14" ht="14.25" x14ac:dyDescent="0.45">
      <c r="A51" s="1" t="s">
        <v>105</v>
      </c>
      <c r="B51" s="1" t="s">
        <v>106</v>
      </c>
      <c r="D51" s="1" t="s">
        <v>107</v>
      </c>
      <c r="E51" s="1" t="s">
        <v>108</v>
      </c>
      <c r="F51" s="12">
        <f>SUM(I51/100)</f>
        <v>1.3212000000000002</v>
      </c>
      <c r="I51" s="49">
        <v>132.12</v>
      </c>
      <c r="J51" s="51"/>
      <c r="K51" s="49"/>
      <c r="M51" s="12">
        <f>SUM(F51*L51)</f>
        <v>0</v>
      </c>
      <c r="N51" s="12">
        <f t="shared" ref="N51" si="11">SUM(M51*0.35)+M51</f>
        <v>0</v>
      </c>
    </row>
    <row r="52" spans="1:14" ht="14.25" x14ac:dyDescent="0.45">
      <c r="A52" s="1"/>
      <c r="B52" s="1"/>
      <c r="D52" s="1"/>
      <c r="E52" s="1"/>
      <c r="I52" s="49"/>
      <c r="J52" s="51"/>
      <c r="K52" s="49"/>
    </row>
    <row r="53" spans="1:14" ht="14.25" x14ac:dyDescent="0.45">
      <c r="A53" s="1" t="s">
        <v>109</v>
      </c>
      <c r="B53" s="1"/>
      <c r="D53" s="1" t="s">
        <v>110</v>
      </c>
      <c r="E53" s="1" t="s">
        <v>111</v>
      </c>
      <c r="F53" s="12">
        <f>SUM(I53/50)</f>
        <v>0.313</v>
      </c>
      <c r="I53" s="49">
        <v>15.65</v>
      </c>
      <c r="J53" s="51"/>
      <c r="K53" s="49"/>
      <c r="M53" s="12">
        <f>SUM(F53*L53)</f>
        <v>0</v>
      </c>
      <c r="N53" s="12">
        <f t="shared" si="1"/>
        <v>0</v>
      </c>
    </row>
    <row r="54" spans="1:14" ht="14.25" x14ac:dyDescent="0.45">
      <c r="A54" s="1" t="s">
        <v>112</v>
      </c>
      <c r="B54" s="1" t="s">
        <v>113</v>
      </c>
      <c r="D54" s="1" t="s">
        <v>114</v>
      </c>
      <c r="E54" s="1" t="s">
        <v>115</v>
      </c>
      <c r="F54" s="12">
        <f>SUM(I54/300)</f>
        <v>9.0666666666666659E-2</v>
      </c>
      <c r="I54" s="49">
        <v>27.2</v>
      </c>
      <c r="J54" s="51"/>
      <c r="K54" s="49"/>
      <c r="M54" s="12">
        <f>SUM(F54*L54)</f>
        <v>0</v>
      </c>
      <c r="N54" s="12">
        <f t="shared" si="1"/>
        <v>0</v>
      </c>
    </row>
    <row r="55" spans="1:14" ht="14.25" x14ac:dyDescent="0.45">
      <c r="A55" s="1" t="s">
        <v>116</v>
      </c>
      <c r="B55" s="1"/>
      <c r="D55" s="1" t="s">
        <v>117</v>
      </c>
      <c r="E55" s="1"/>
      <c r="I55" s="49">
        <v>74.319999999999993</v>
      </c>
      <c r="J55" s="51"/>
      <c r="K55" s="49"/>
      <c r="M55" s="12">
        <f>SUM(F55*L55)</f>
        <v>0</v>
      </c>
      <c r="N55" s="12">
        <f t="shared" si="1"/>
        <v>0</v>
      </c>
    </row>
    <row r="56" spans="1:14" ht="14.25" x14ac:dyDescent="0.45">
      <c r="A56" s="1" t="s">
        <v>118</v>
      </c>
      <c r="B56" s="20">
        <v>15795</v>
      </c>
      <c r="D56" s="1" t="s">
        <v>119</v>
      </c>
      <c r="E56" s="1" t="s">
        <v>120</v>
      </c>
      <c r="F56" s="12">
        <f>SUM(I56/100)</f>
        <v>0.33600000000000002</v>
      </c>
      <c r="I56" s="49">
        <v>33.6</v>
      </c>
      <c r="J56" s="51"/>
      <c r="K56" s="49"/>
      <c r="M56" s="12">
        <f>SUM(F56*L56)</f>
        <v>0</v>
      </c>
      <c r="N56" s="12">
        <f t="shared" si="1"/>
        <v>0</v>
      </c>
    </row>
    <row r="57" spans="1:14" ht="14.25" x14ac:dyDescent="0.45">
      <c r="A57" s="1" t="s">
        <v>121</v>
      </c>
      <c r="B57" s="1"/>
      <c r="D57" s="1" t="s">
        <v>122</v>
      </c>
      <c r="E57" s="1" t="s">
        <v>123</v>
      </c>
      <c r="F57" s="12">
        <f>SUM(I57/6)</f>
        <v>6.6533333333333333</v>
      </c>
      <c r="I57" s="49">
        <v>39.92</v>
      </c>
      <c r="J57" s="51"/>
      <c r="K57" s="49"/>
      <c r="M57" s="12">
        <f>SUM(F57*L57)</f>
        <v>0</v>
      </c>
      <c r="N57" s="12">
        <f t="shared" si="1"/>
        <v>0</v>
      </c>
    </row>
    <row r="58" spans="1:14" ht="14.25" x14ac:dyDescent="0.45">
      <c r="A58" s="1"/>
      <c r="B58" s="1"/>
      <c r="D58" s="1"/>
      <c r="E58" s="1"/>
      <c r="I58" s="49"/>
      <c r="J58" s="51"/>
      <c r="K58" s="49"/>
    </row>
    <row r="59" spans="1:14" ht="14.25" x14ac:dyDescent="0.45">
      <c r="A59" s="1"/>
      <c r="B59" s="1"/>
      <c r="D59" s="56" t="s">
        <v>124</v>
      </c>
      <c r="E59" s="1"/>
      <c r="I59" s="49"/>
      <c r="J59" s="51"/>
      <c r="K59" s="49"/>
    </row>
    <row r="60" spans="1:14" ht="14.25" x14ac:dyDescent="0.45">
      <c r="A60" s="1" t="s">
        <v>125</v>
      </c>
      <c r="B60" s="1" t="s">
        <v>126</v>
      </c>
      <c r="D60" s="1" t="s">
        <v>127</v>
      </c>
      <c r="E60" s="1" t="s">
        <v>128</v>
      </c>
      <c r="F60" s="12">
        <f>SUM(I60/120)</f>
        <v>0.56766666666666665</v>
      </c>
      <c r="I60" s="49">
        <v>68.12</v>
      </c>
      <c r="J60" s="51"/>
      <c r="K60" s="49"/>
      <c r="M60" s="12">
        <f>SUM(F60*L60)</f>
        <v>0</v>
      </c>
      <c r="N60" s="12">
        <f t="shared" si="1"/>
        <v>0</v>
      </c>
    </row>
    <row r="61" spans="1:14" ht="14.25" x14ac:dyDescent="0.45">
      <c r="A61" s="1"/>
      <c r="B61" s="1"/>
      <c r="D61" s="1"/>
      <c r="E61" s="1"/>
      <c r="I61" s="49"/>
      <c r="J61" s="51"/>
      <c r="K61" s="49"/>
    </row>
    <row r="62" spans="1:14" ht="14.25" x14ac:dyDescent="0.45">
      <c r="A62" s="1"/>
      <c r="B62" s="1"/>
      <c r="D62" s="1"/>
      <c r="E62" s="1"/>
      <c r="I62" s="49"/>
      <c r="J62" s="51"/>
      <c r="K62" s="49"/>
    </row>
    <row r="63" spans="1:14" ht="14.25" x14ac:dyDescent="0.45">
      <c r="A63" s="1"/>
      <c r="B63" s="1"/>
      <c r="D63" s="56" t="s">
        <v>129</v>
      </c>
      <c r="E63" s="5"/>
      <c r="I63" s="49"/>
      <c r="J63" s="51"/>
      <c r="K63" s="49"/>
    </row>
    <row r="64" spans="1:14" ht="14.25" x14ac:dyDescent="0.45">
      <c r="A64" s="1" t="s">
        <v>130</v>
      </c>
      <c r="B64" s="1" t="s">
        <v>130</v>
      </c>
      <c r="D64" s="1" t="s">
        <v>131</v>
      </c>
      <c r="E64" s="13" t="s">
        <v>132</v>
      </c>
      <c r="F64" s="12">
        <f>SUM(I64/4)</f>
        <v>41.447499999999998</v>
      </c>
      <c r="I64" s="49">
        <v>165.79</v>
      </c>
      <c r="J64" s="51"/>
      <c r="K64" s="49"/>
      <c r="M64" s="12">
        <f>SUM(F64*L64)</f>
        <v>0</v>
      </c>
      <c r="N64" s="12">
        <f t="shared" si="1"/>
        <v>0</v>
      </c>
    </row>
    <row r="65" spans="1:14" ht="14.25" x14ac:dyDescent="0.45">
      <c r="A65" s="1" t="s">
        <v>133</v>
      </c>
      <c r="B65" s="1" t="s">
        <v>133</v>
      </c>
      <c r="D65" s="1" t="s">
        <v>134</v>
      </c>
      <c r="E65" s="13" t="s">
        <v>132</v>
      </c>
      <c r="F65" s="12">
        <f>SUM(I65/4)</f>
        <v>41.447499999999998</v>
      </c>
      <c r="I65" s="49">
        <v>165.79</v>
      </c>
      <c r="J65" s="51"/>
      <c r="K65" s="49"/>
      <c r="M65" s="12">
        <f>SUM(F65*L65)</f>
        <v>0</v>
      </c>
      <c r="N65" s="12">
        <f t="shared" si="1"/>
        <v>0</v>
      </c>
    </row>
    <row r="66" spans="1:14" ht="14.25" x14ac:dyDescent="0.45">
      <c r="A66" s="1"/>
      <c r="B66" s="1"/>
      <c r="D66" s="1"/>
      <c r="E66" s="1"/>
      <c r="I66" s="49"/>
      <c r="J66" s="51"/>
      <c r="K66" s="49"/>
    </row>
    <row r="67" spans="1:14" ht="14.25" x14ac:dyDescent="0.45">
      <c r="A67" s="1"/>
      <c r="B67" s="1"/>
      <c r="D67" s="17" t="s">
        <v>135</v>
      </c>
      <c r="E67" s="1"/>
      <c r="I67" s="49"/>
      <c r="J67" s="51"/>
      <c r="K67" s="49"/>
    </row>
    <row r="68" spans="1:14" ht="14.25" x14ac:dyDescent="0.45">
      <c r="A68" s="1" t="s">
        <v>136</v>
      </c>
      <c r="B68" s="1"/>
      <c r="D68" s="1" t="s">
        <v>137</v>
      </c>
      <c r="E68" s="1" t="s">
        <v>138</v>
      </c>
      <c r="F68" s="12">
        <f>SUM(I68/12)</f>
        <v>0.63416666666666666</v>
      </c>
      <c r="I68" s="49">
        <v>7.61</v>
      </c>
      <c r="J68" s="51"/>
      <c r="K68" s="49"/>
      <c r="M68" s="12">
        <f>SUM(F68*L68)</f>
        <v>0</v>
      </c>
      <c r="N68" s="12">
        <f t="shared" si="1"/>
        <v>0</v>
      </c>
    </row>
    <row r="69" spans="1:14" ht="14.25" x14ac:dyDescent="0.45">
      <c r="A69" s="1" t="s">
        <v>139</v>
      </c>
      <c r="B69" s="1"/>
      <c r="D69" s="1" t="s">
        <v>140</v>
      </c>
      <c r="E69" s="1" t="s">
        <v>141</v>
      </c>
      <c r="F69" s="12">
        <f>SUM(I69/16)</f>
        <v>0.90375000000000005</v>
      </c>
      <c r="I69" s="49">
        <v>14.46</v>
      </c>
      <c r="J69" s="51"/>
      <c r="K69" s="49"/>
      <c r="M69" s="12">
        <f>SUM(F69*L69)</f>
        <v>0</v>
      </c>
      <c r="N69" s="12">
        <f t="shared" si="1"/>
        <v>0</v>
      </c>
    </row>
    <row r="70" spans="1:14" ht="14.25" x14ac:dyDescent="0.45">
      <c r="A70" s="1"/>
      <c r="B70" s="1"/>
      <c r="D70" s="1"/>
      <c r="E70" s="1"/>
      <c r="I70" s="49"/>
      <c r="J70" s="51"/>
      <c r="K70" s="49"/>
    </row>
    <row r="71" spans="1:14" ht="14.25" x14ac:dyDescent="0.45">
      <c r="A71" s="1"/>
      <c r="B71" s="1"/>
      <c r="D71" s="1"/>
      <c r="E71" s="1"/>
      <c r="I71" s="49"/>
      <c r="J71" s="51"/>
      <c r="K71" s="49"/>
    </row>
    <row r="72" spans="1:14" ht="14.25" x14ac:dyDescent="0.45">
      <c r="A72" s="1"/>
      <c r="B72" s="1"/>
      <c r="D72" s="56" t="s">
        <v>142</v>
      </c>
      <c r="E72" s="1"/>
      <c r="I72" s="49"/>
      <c r="J72" s="51"/>
      <c r="K72" s="49"/>
    </row>
    <row r="73" spans="1:14" ht="14.25" x14ac:dyDescent="0.45">
      <c r="A73" s="1" t="s">
        <v>143</v>
      </c>
      <c r="B73" s="1" t="s">
        <v>143</v>
      </c>
      <c r="D73" s="1" t="s">
        <v>144</v>
      </c>
      <c r="E73" s="1" t="s">
        <v>145</v>
      </c>
      <c r="F73" s="12">
        <f>SUM(I73/32)</f>
        <v>0.56031249999999999</v>
      </c>
      <c r="I73" s="49">
        <v>17.93</v>
      </c>
      <c r="J73" s="51"/>
      <c r="K73" s="49"/>
      <c r="M73" s="12">
        <f>SUM(F73*L73)</f>
        <v>0</v>
      </c>
      <c r="N73" s="12">
        <f t="shared" si="1"/>
        <v>0</v>
      </c>
    </row>
    <row r="74" spans="1:14" ht="14.25" x14ac:dyDescent="0.45">
      <c r="A74" s="1"/>
      <c r="B74" s="1" t="s">
        <v>18</v>
      </c>
      <c r="D74" s="1" t="s">
        <v>146</v>
      </c>
      <c r="E74" s="1" t="s">
        <v>17</v>
      </c>
      <c r="F74" s="12">
        <f>SUM(I74)</f>
        <v>36.61</v>
      </c>
      <c r="I74" s="49">
        <v>36.61</v>
      </c>
      <c r="J74" s="51"/>
      <c r="K74" s="49"/>
      <c r="M74" s="12">
        <f>SUM(F74*L74)</f>
        <v>0</v>
      </c>
      <c r="N74" s="12">
        <f t="shared" si="1"/>
        <v>0</v>
      </c>
    </row>
    <row r="75" spans="1:14" ht="14.25" x14ac:dyDescent="0.45">
      <c r="A75" s="1"/>
      <c r="B75" s="1" t="s">
        <v>20</v>
      </c>
      <c r="D75" s="1" t="s">
        <v>146</v>
      </c>
      <c r="E75" s="1" t="s">
        <v>24</v>
      </c>
      <c r="F75" s="12">
        <f>SUM(I75)</f>
        <v>33.28</v>
      </c>
      <c r="I75" s="49">
        <v>33.28</v>
      </c>
      <c r="J75" s="51"/>
      <c r="K75" s="49"/>
      <c r="M75" s="12">
        <f>SUM(F75*L75)</f>
        <v>0</v>
      </c>
      <c r="N75" s="12">
        <f t="shared" si="1"/>
        <v>0</v>
      </c>
    </row>
    <row r="76" spans="1:14" ht="14.25" x14ac:dyDescent="0.45">
      <c r="A76" s="1" t="s">
        <v>147</v>
      </c>
      <c r="B76" s="1"/>
      <c r="D76" s="1" t="s">
        <v>148</v>
      </c>
      <c r="E76" s="1" t="s">
        <v>149</v>
      </c>
      <c r="F76" s="12">
        <f>SUM(I76/32)</f>
        <v>0.98562499999999997</v>
      </c>
      <c r="I76" s="49">
        <v>31.54</v>
      </c>
      <c r="J76" s="51"/>
      <c r="K76" s="49"/>
      <c r="M76" s="12">
        <f>SUM(F76*L76)</f>
        <v>0</v>
      </c>
      <c r="N76" s="12">
        <f t="shared" si="1"/>
        <v>0</v>
      </c>
    </row>
    <row r="77" spans="1:14" ht="14.25" x14ac:dyDescent="0.45">
      <c r="A77" s="1"/>
      <c r="B77" s="1"/>
      <c r="D77" s="1"/>
      <c r="E77" s="1"/>
      <c r="I77" s="49"/>
      <c r="J77" s="51"/>
      <c r="K77" s="49"/>
    </row>
    <row r="78" spans="1:14" ht="14.25" x14ac:dyDescent="0.45">
      <c r="A78" s="1"/>
      <c r="B78" s="1"/>
      <c r="D78" s="17" t="s">
        <v>150</v>
      </c>
      <c r="E78" s="1"/>
      <c r="I78" s="49"/>
      <c r="J78" s="51"/>
      <c r="K78" s="49"/>
    </row>
    <row r="79" spans="1:14" ht="14.25" x14ac:dyDescent="0.45">
      <c r="A79" s="1"/>
      <c r="B79" s="1"/>
      <c r="D79" s="1" t="s">
        <v>151</v>
      </c>
      <c r="E79" s="1"/>
      <c r="I79" s="49"/>
      <c r="J79" s="51"/>
      <c r="K79" s="49"/>
    </row>
    <row r="80" spans="1:14" ht="14.25" x14ac:dyDescent="0.45">
      <c r="A80" s="1"/>
      <c r="B80" s="1"/>
      <c r="D80" s="1" t="s">
        <v>152</v>
      </c>
      <c r="E80" s="1"/>
      <c r="I80" s="49"/>
      <c r="J80" s="51"/>
      <c r="K80" s="49"/>
    </row>
    <row r="81" spans="1:14" ht="14.25" x14ac:dyDescent="0.45">
      <c r="A81" s="1"/>
      <c r="B81" s="1"/>
      <c r="D81" s="1"/>
      <c r="E81" s="1"/>
      <c r="I81" s="49"/>
      <c r="J81" s="51"/>
      <c r="K81" s="49"/>
    </row>
    <row r="82" spans="1:14" ht="14.25" x14ac:dyDescent="0.45">
      <c r="A82" s="1"/>
      <c r="B82" s="1"/>
      <c r="D82" s="1"/>
      <c r="E82" s="1"/>
      <c r="I82" s="49"/>
      <c r="J82" s="51"/>
      <c r="K82" s="49"/>
    </row>
    <row r="83" spans="1:14" ht="14.25" x14ac:dyDescent="0.45">
      <c r="A83" s="1"/>
      <c r="B83" s="1"/>
      <c r="D83" s="1"/>
      <c r="E83" s="1"/>
      <c r="I83" s="49"/>
      <c r="J83" s="51"/>
      <c r="K83" s="49"/>
    </row>
    <row r="84" spans="1:14" ht="14.25" x14ac:dyDescent="0.45">
      <c r="A84" s="1"/>
      <c r="B84" s="1"/>
      <c r="D84" s="1"/>
      <c r="E84" s="1"/>
      <c r="H84" s="12" t="s">
        <v>153</v>
      </c>
      <c r="I84" s="49"/>
      <c r="J84" s="51">
        <f>SUM(J2:J83)</f>
        <v>0</v>
      </c>
      <c r="K84" s="49" t="e">
        <f>AVERAGE(K2:K83)</f>
        <v>#DIV/0!</v>
      </c>
    </row>
    <row r="85" spans="1:14" ht="38.25" customHeight="1" x14ac:dyDescent="0.45">
      <c r="A85" s="1"/>
      <c r="B85" s="1"/>
      <c r="D85" s="1"/>
      <c r="E85" s="1"/>
      <c r="I85" s="84"/>
      <c r="J85" s="85"/>
      <c r="K85" s="84"/>
      <c r="L85" s="96"/>
      <c r="M85" s="46">
        <f>SUM(M4:M76)</f>
        <v>0</v>
      </c>
      <c r="N85" s="46">
        <f>SUM(N4:N83)</f>
        <v>0</v>
      </c>
    </row>
    <row r="86" spans="1:14" ht="14.25" x14ac:dyDescent="0.45">
      <c r="A86" s="1"/>
      <c r="B86" s="1"/>
      <c r="D86" s="1"/>
      <c r="E86" s="1"/>
      <c r="I86" s="84"/>
      <c r="J86" s="85"/>
      <c r="K86" s="84"/>
    </row>
    <row r="87" spans="1:14" ht="14.25" x14ac:dyDescent="0.45">
      <c r="A87" s="1"/>
      <c r="B87" s="1"/>
      <c r="D87" s="1"/>
      <c r="E87" s="1"/>
      <c r="I87" s="84"/>
      <c r="J87" s="85"/>
      <c r="K87" s="84"/>
    </row>
    <row r="88" spans="1:14" ht="14.25" x14ac:dyDescent="0.45">
      <c r="A88" s="1"/>
      <c r="B88" s="1"/>
      <c r="D88" s="1"/>
      <c r="E88" s="1"/>
      <c r="I88" s="84"/>
      <c r="J88" s="85"/>
      <c r="K88" s="84"/>
    </row>
    <row r="89" spans="1:14" ht="14.25" x14ac:dyDescent="0.45">
      <c r="A89" s="1"/>
      <c r="B89" s="1"/>
      <c r="D89" s="1"/>
      <c r="E89" s="1"/>
      <c r="I89" s="84"/>
      <c r="J89" s="85"/>
      <c r="K89" s="84"/>
    </row>
  </sheetData>
  <hyperlinks>
    <hyperlink ref="A43" r:id="rId1" xr:uid="{8E941269-F532-4AFB-9DD6-B92333AC151F}"/>
    <hyperlink ref="B43" r:id="rId2" xr:uid="{963C7C64-AE84-4D75-8CF8-3E40889E7689}"/>
    <hyperlink ref="B56" r:id="rId3" display="https://i5.walmartimages.com/asr/a00905f5-8449-4c3b-ab53-4de56d7f239e_1.a9473064ffc340560d713799497344cd.jpeg?odnHeight=612&amp;odnWidth=612&amp;odnBg=FFFFFF" xr:uid="{9339BD1D-970B-4D28-9BFF-B3D3F905B752}"/>
  </hyperlinks>
  <pageMargins left="0.7" right="0.7" top="0.75" bottom="0.75" header="0.3" footer="0.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9B38-21A7-4575-AB3D-6A6AF6EF1BFE}">
  <dimension ref="A1:N223"/>
  <sheetViews>
    <sheetView workbookViewId="0"/>
  </sheetViews>
  <sheetFormatPr defaultRowHeight="12.75" x14ac:dyDescent="0.35"/>
  <cols>
    <col min="1" max="1" width="22.3984375" customWidth="1"/>
    <col min="2" max="2" width="17.86328125" customWidth="1"/>
    <col min="3" max="3" width="15.3984375" customWidth="1"/>
    <col min="4" max="4" width="24.265625" customWidth="1"/>
    <col min="5" max="5" width="21.1328125" customWidth="1"/>
    <col min="6" max="6" width="18.265625" style="12" customWidth="1"/>
    <col min="7" max="7" width="16.86328125" style="37" customWidth="1"/>
    <col min="8" max="8" width="13.59765625" style="12" customWidth="1"/>
    <col min="9" max="9" width="13.3984375" style="49" customWidth="1"/>
    <col min="10" max="10" width="14.73046875" style="82" customWidth="1"/>
    <col min="11" max="11" width="15" style="82" customWidth="1"/>
    <col min="13" max="13" width="24" customWidth="1"/>
    <col min="14" max="14" width="31.59765625" customWidth="1"/>
    <col min="15" max="15" width="26.59765625" customWidth="1"/>
  </cols>
  <sheetData>
    <row r="1" spans="1:14" x14ac:dyDescent="0.35">
      <c r="A1" t="s">
        <v>801</v>
      </c>
      <c r="B1" t="s">
        <v>528</v>
      </c>
      <c r="C1" t="s">
        <v>802</v>
      </c>
      <c r="D1" t="s">
        <v>155</v>
      </c>
      <c r="E1" t="s">
        <v>4</v>
      </c>
      <c r="F1" s="12" t="s">
        <v>5</v>
      </c>
      <c r="G1" s="37" t="s">
        <v>803</v>
      </c>
      <c r="H1" s="12" t="s">
        <v>695</v>
      </c>
      <c r="I1" s="49" t="s">
        <v>8</v>
      </c>
      <c r="J1" s="82" t="s">
        <v>9</v>
      </c>
      <c r="K1" s="82" t="s">
        <v>10</v>
      </c>
      <c r="L1" t="s">
        <v>11</v>
      </c>
      <c r="M1" t="s">
        <v>804</v>
      </c>
      <c r="N1" t="s">
        <v>697</v>
      </c>
    </row>
    <row r="4" spans="1:14" x14ac:dyDescent="0.35">
      <c r="M4">
        <f>SUM(F4*L4)</f>
        <v>0</v>
      </c>
      <c r="N4">
        <f>SUM(M4*0.35+M4)</f>
        <v>0</v>
      </c>
    </row>
    <row r="77" spans="9:9" ht="29.25" customHeight="1" x14ac:dyDescent="0.6">
      <c r="I77" s="83"/>
    </row>
    <row r="223" spans="8:9" x14ac:dyDescent="0.35">
      <c r="H223" s="12">
        <f>SUM(H3:H222)</f>
        <v>0</v>
      </c>
      <c r="I223" s="49">
        <f>SUM(I3:I222)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9490-294A-49F0-806F-96380199086D}">
  <dimension ref="A1:N54"/>
  <sheetViews>
    <sheetView workbookViewId="0">
      <selection activeCell="T41" sqref="T41"/>
    </sheetView>
  </sheetViews>
  <sheetFormatPr defaultRowHeight="12.75" x14ac:dyDescent="0.35"/>
  <cols>
    <col min="1" max="1" width="10.3984375" customWidth="1"/>
    <col min="2" max="2" width="13.86328125" customWidth="1"/>
    <col min="3" max="3" width="11.3984375" customWidth="1"/>
    <col min="4" max="4" width="31" customWidth="1"/>
    <col min="5" max="5" width="22" customWidth="1"/>
    <col min="6" max="6" width="13.59765625" customWidth="1"/>
    <col min="7" max="7" width="14.265625" customWidth="1"/>
    <col min="8" max="9" width="16.3984375" style="12" customWidth="1"/>
    <col min="10" max="10" width="16.59765625" customWidth="1"/>
    <col min="11" max="11" width="14.86328125" style="12" customWidth="1"/>
    <col min="13" max="14" width="9.1328125" style="12"/>
  </cols>
  <sheetData>
    <row r="1" spans="1:14" x14ac:dyDescent="0.35">
      <c r="A1" t="s">
        <v>801</v>
      </c>
      <c r="B1" t="s">
        <v>528</v>
      </c>
      <c r="C1" t="s">
        <v>802</v>
      </c>
      <c r="D1" t="s">
        <v>879</v>
      </c>
      <c r="E1" t="s">
        <v>4</v>
      </c>
      <c r="F1" t="s">
        <v>5</v>
      </c>
      <c r="G1" t="s">
        <v>803</v>
      </c>
      <c r="H1" s="12" t="s">
        <v>695</v>
      </c>
      <c r="I1" s="49" t="s">
        <v>8</v>
      </c>
      <c r="J1" s="51" t="s">
        <v>9</v>
      </c>
      <c r="K1" s="49" t="s">
        <v>10</v>
      </c>
      <c r="L1" t="s">
        <v>11</v>
      </c>
      <c r="M1" s="12" t="s">
        <v>804</v>
      </c>
      <c r="N1" s="12" t="s">
        <v>697</v>
      </c>
    </row>
    <row r="2" spans="1:14" x14ac:dyDescent="0.35">
      <c r="I2" s="49"/>
      <c r="J2" s="51"/>
      <c r="K2" s="49"/>
    </row>
    <row r="3" spans="1:14" x14ac:dyDescent="0.35">
      <c r="I3" s="49"/>
      <c r="J3" s="51"/>
      <c r="K3" s="49"/>
    </row>
    <row r="4" spans="1:14" x14ac:dyDescent="0.35">
      <c r="I4" s="49"/>
      <c r="J4" s="51"/>
      <c r="K4" s="49"/>
      <c r="M4" s="12">
        <f>SUM(F4*L4)</f>
        <v>0</v>
      </c>
      <c r="N4" s="12">
        <f>SUM(M4*0.35+M4)</f>
        <v>0</v>
      </c>
    </row>
    <row r="5" spans="1:14" x14ac:dyDescent="0.35">
      <c r="I5" s="49"/>
      <c r="J5" s="51"/>
      <c r="K5" s="49"/>
    </row>
    <row r="6" spans="1:14" x14ac:dyDescent="0.35">
      <c r="I6" s="49"/>
      <c r="J6" s="51"/>
      <c r="K6" s="49"/>
    </row>
    <row r="7" spans="1:14" x14ac:dyDescent="0.35">
      <c r="I7" s="49"/>
      <c r="J7" s="51"/>
      <c r="K7" s="49"/>
    </row>
    <row r="8" spans="1:14" x14ac:dyDescent="0.35">
      <c r="I8" s="49"/>
      <c r="J8" s="51"/>
      <c r="K8" s="49"/>
    </row>
    <row r="9" spans="1:14" x14ac:dyDescent="0.35">
      <c r="I9" s="49"/>
      <c r="J9" s="51"/>
      <c r="K9" s="49"/>
    </row>
    <row r="10" spans="1:14" x14ac:dyDescent="0.35">
      <c r="I10" s="49"/>
      <c r="J10" s="51"/>
      <c r="K10" s="49"/>
    </row>
    <row r="11" spans="1:14" x14ac:dyDescent="0.35">
      <c r="I11" s="49"/>
      <c r="J11" s="51"/>
      <c r="K11" s="49"/>
    </row>
    <row r="12" spans="1:14" x14ac:dyDescent="0.35">
      <c r="I12" s="49"/>
      <c r="J12" s="51"/>
      <c r="K12" s="49"/>
    </row>
    <row r="13" spans="1:14" x14ac:dyDescent="0.35">
      <c r="I13" s="49"/>
      <c r="J13" s="51"/>
      <c r="K13" s="49"/>
    </row>
    <row r="14" spans="1:14" x14ac:dyDescent="0.35">
      <c r="I14" s="49"/>
      <c r="J14" s="51"/>
      <c r="K14" s="49"/>
    </row>
    <row r="15" spans="1:14" x14ac:dyDescent="0.35">
      <c r="I15" s="49"/>
      <c r="J15" s="51"/>
      <c r="K15" s="49"/>
    </row>
    <row r="16" spans="1:14" x14ac:dyDescent="0.35">
      <c r="I16" s="49"/>
      <c r="J16" s="51"/>
      <c r="K16" s="49"/>
    </row>
    <row r="17" spans="9:11" x14ac:dyDescent="0.35">
      <c r="I17" s="49"/>
      <c r="J17" s="51"/>
      <c r="K17" s="49"/>
    </row>
    <row r="18" spans="9:11" x14ac:dyDescent="0.35">
      <c r="I18" s="49"/>
      <c r="J18" s="51"/>
      <c r="K18" s="49"/>
    </row>
    <row r="19" spans="9:11" x14ac:dyDescent="0.35">
      <c r="I19" s="49"/>
      <c r="J19" s="51"/>
      <c r="K19" s="49"/>
    </row>
    <row r="20" spans="9:11" x14ac:dyDescent="0.35">
      <c r="I20" s="49"/>
      <c r="J20" s="51"/>
      <c r="K20" s="49"/>
    </row>
    <row r="21" spans="9:11" x14ac:dyDescent="0.35">
      <c r="I21" s="49"/>
      <c r="J21" s="51"/>
      <c r="K21" s="49"/>
    </row>
    <row r="22" spans="9:11" x14ac:dyDescent="0.35">
      <c r="I22" s="49"/>
      <c r="J22" s="51"/>
      <c r="K22" s="49"/>
    </row>
    <row r="23" spans="9:11" x14ac:dyDescent="0.35">
      <c r="I23" s="49"/>
      <c r="J23" s="51"/>
      <c r="K23" s="49"/>
    </row>
    <row r="24" spans="9:11" x14ac:dyDescent="0.35">
      <c r="I24" s="49"/>
      <c r="J24" s="51"/>
      <c r="K24" s="49"/>
    </row>
    <row r="25" spans="9:11" x14ac:dyDescent="0.35">
      <c r="I25" s="49"/>
      <c r="J25" s="51"/>
      <c r="K25" s="49"/>
    </row>
    <row r="26" spans="9:11" x14ac:dyDescent="0.35">
      <c r="I26" s="49"/>
      <c r="J26" s="51"/>
      <c r="K26" s="49"/>
    </row>
    <row r="27" spans="9:11" x14ac:dyDescent="0.35">
      <c r="I27" s="49"/>
      <c r="J27" s="51"/>
      <c r="K27" s="49"/>
    </row>
    <row r="28" spans="9:11" x14ac:dyDescent="0.35">
      <c r="I28" s="49"/>
      <c r="J28" s="51"/>
      <c r="K28" s="49"/>
    </row>
    <row r="29" spans="9:11" x14ac:dyDescent="0.35">
      <c r="I29" s="49"/>
      <c r="J29" s="51"/>
      <c r="K29" s="49"/>
    </row>
    <row r="30" spans="9:11" x14ac:dyDescent="0.35">
      <c r="I30" s="49"/>
      <c r="J30" s="51"/>
      <c r="K30" s="49"/>
    </row>
    <row r="31" spans="9:11" x14ac:dyDescent="0.35">
      <c r="I31" s="49"/>
      <c r="J31" s="51"/>
      <c r="K31" s="49"/>
    </row>
    <row r="32" spans="9:11" x14ac:dyDescent="0.35">
      <c r="I32" s="49"/>
      <c r="J32" s="51"/>
      <c r="K32" s="49"/>
    </row>
    <row r="33" spans="9:11" x14ac:dyDescent="0.35">
      <c r="I33" s="49"/>
      <c r="J33" s="51"/>
      <c r="K33" s="49"/>
    </row>
    <row r="34" spans="9:11" x14ac:dyDescent="0.35">
      <c r="I34" s="49"/>
      <c r="J34" s="51"/>
      <c r="K34" s="49"/>
    </row>
    <row r="35" spans="9:11" x14ac:dyDescent="0.35">
      <c r="I35" s="49"/>
      <c r="J35" s="51"/>
      <c r="K35" s="49"/>
    </row>
    <row r="36" spans="9:11" x14ac:dyDescent="0.35">
      <c r="I36" s="49"/>
      <c r="J36" s="51"/>
      <c r="K36" s="49"/>
    </row>
    <row r="37" spans="9:11" x14ac:dyDescent="0.35">
      <c r="I37" s="49"/>
      <c r="J37" s="51"/>
      <c r="K37" s="49"/>
    </row>
    <row r="38" spans="9:11" x14ac:dyDescent="0.35">
      <c r="I38" s="49"/>
      <c r="J38" s="51"/>
      <c r="K38" s="49"/>
    </row>
    <row r="39" spans="9:11" x14ac:dyDescent="0.35">
      <c r="I39" s="49"/>
      <c r="J39" s="51"/>
      <c r="K39" s="49"/>
    </row>
    <row r="40" spans="9:11" x14ac:dyDescent="0.35">
      <c r="I40" s="49"/>
      <c r="J40" s="51"/>
      <c r="K40" s="49"/>
    </row>
    <row r="41" spans="9:11" x14ac:dyDescent="0.35">
      <c r="I41" s="49"/>
      <c r="J41" s="51"/>
      <c r="K41" s="49"/>
    </row>
    <row r="42" spans="9:11" x14ac:dyDescent="0.35">
      <c r="I42" s="49"/>
      <c r="J42" s="51"/>
      <c r="K42" s="49"/>
    </row>
    <row r="43" spans="9:11" x14ac:dyDescent="0.35">
      <c r="I43" s="49"/>
      <c r="J43" s="51"/>
      <c r="K43" s="49"/>
    </row>
    <row r="44" spans="9:11" x14ac:dyDescent="0.35">
      <c r="I44" s="49"/>
      <c r="J44" s="51"/>
      <c r="K44" s="49"/>
    </row>
    <row r="45" spans="9:11" x14ac:dyDescent="0.35">
      <c r="I45" s="49"/>
      <c r="J45" s="51"/>
      <c r="K45" s="49"/>
    </row>
    <row r="46" spans="9:11" x14ac:dyDescent="0.35">
      <c r="I46" s="49"/>
      <c r="J46" s="51"/>
      <c r="K46" s="49"/>
    </row>
    <row r="47" spans="9:11" x14ac:dyDescent="0.35">
      <c r="I47" s="49"/>
      <c r="J47" s="51"/>
      <c r="K47" s="49"/>
    </row>
    <row r="48" spans="9:11" x14ac:dyDescent="0.35">
      <c r="I48" s="49"/>
      <c r="J48" s="51"/>
      <c r="K48" s="49"/>
    </row>
    <row r="49" spans="8:14" x14ac:dyDescent="0.35">
      <c r="I49" s="49"/>
      <c r="J49" s="51"/>
      <c r="K49" s="49"/>
    </row>
    <row r="50" spans="8:14" x14ac:dyDescent="0.35">
      <c r="I50" s="49"/>
      <c r="J50" s="51"/>
      <c r="K50" s="49"/>
    </row>
    <row r="51" spans="8:14" x14ac:dyDescent="0.35">
      <c r="H51" s="12" t="s">
        <v>845</v>
      </c>
      <c r="J51" s="64" t="e">
        <f>AVERAGE(J2:J50)</f>
        <v>#DIV/0!</v>
      </c>
      <c r="K51" s="12" t="e">
        <f>AVERAGE(K2:K50)</f>
        <v>#DIV/0!</v>
      </c>
    </row>
    <row r="54" spans="8:14" ht="13.15" x14ac:dyDescent="0.4">
      <c r="M54" s="62">
        <f>SUM(M2:M53)</f>
        <v>0</v>
      </c>
      <c r="N54" s="62">
        <f>SUM(N2:N53)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13"/>
  </sheetPr>
  <dimension ref="A1:A51"/>
  <sheetViews>
    <sheetView zoomScale="120" zoomScaleNormal="120" workbookViewId="0">
      <selection activeCell="A51" sqref="A51"/>
    </sheetView>
  </sheetViews>
  <sheetFormatPr defaultRowHeight="12.75" x14ac:dyDescent="0.35"/>
  <cols>
    <col min="1" max="1" width="60.3984375" customWidth="1"/>
  </cols>
  <sheetData>
    <row r="1" spans="1:1" x14ac:dyDescent="0.35">
      <c r="A1" t="s">
        <v>880</v>
      </c>
    </row>
    <row r="2" spans="1:1" x14ac:dyDescent="0.35">
      <c r="A2" s="16" t="s">
        <v>881</v>
      </c>
    </row>
    <row r="4" spans="1:1" x14ac:dyDescent="0.35">
      <c r="A4" s="16" t="s">
        <v>882</v>
      </c>
    </row>
    <row r="6" spans="1:1" x14ac:dyDescent="0.35">
      <c r="A6" s="16" t="s">
        <v>883</v>
      </c>
    </row>
    <row r="8" spans="1:1" x14ac:dyDescent="0.35">
      <c r="A8" s="16" t="s">
        <v>884</v>
      </c>
    </row>
    <row r="10" spans="1:1" x14ac:dyDescent="0.35">
      <c r="A10" s="20" t="s">
        <v>885</v>
      </c>
    </row>
    <row r="12" spans="1:1" x14ac:dyDescent="0.35">
      <c r="A12" s="16" t="s">
        <v>886</v>
      </c>
    </row>
    <row r="23" spans="1:1" x14ac:dyDescent="0.35">
      <c r="A23" s="16" t="s">
        <v>887</v>
      </c>
    </row>
    <row r="24" spans="1:1" x14ac:dyDescent="0.35">
      <c r="A24" s="16" t="s">
        <v>888</v>
      </c>
    </row>
    <row r="37" spans="1:1" x14ac:dyDescent="0.35">
      <c r="A37" s="16" t="s">
        <v>889</v>
      </c>
    </row>
    <row r="38" spans="1:1" x14ac:dyDescent="0.35">
      <c r="A38" s="16" t="s">
        <v>890</v>
      </c>
    </row>
    <row r="39" spans="1:1" x14ac:dyDescent="0.35">
      <c r="A39" s="16" t="s">
        <v>891</v>
      </c>
    </row>
    <row r="45" spans="1:1" x14ac:dyDescent="0.35">
      <c r="A45" s="16" t="s">
        <v>892</v>
      </c>
    </row>
    <row r="51" spans="1:1" x14ac:dyDescent="0.35">
      <c r="A51" s="20" t="s">
        <v>893</v>
      </c>
    </row>
  </sheetData>
  <hyperlinks>
    <hyperlink ref="A4" r:id="rId1" xr:uid="{00000000-0004-0000-0A00-000000000000}"/>
    <hyperlink ref="A6" r:id="rId2" xr:uid="{00000000-0004-0000-0A00-000001000000}"/>
    <hyperlink ref="A23" r:id="rId3" xr:uid="{00000000-0004-0000-0A00-000002000000}"/>
    <hyperlink ref="A24" r:id="rId4" xr:uid="{00000000-0004-0000-0A00-000003000000}"/>
    <hyperlink ref="A2" r:id="rId5" xr:uid="{00000000-0004-0000-0A00-000004000000}"/>
    <hyperlink ref="A37" r:id="rId6" xr:uid="{00000000-0004-0000-0A00-000005000000}"/>
    <hyperlink ref="A8" r:id="rId7" xr:uid="{00000000-0004-0000-0A00-000006000000}"/>
    <hyperlink ref="A10" r:id="rId8" xr:uid="{00000000-0004-0000-0A00-000007000000}"/>
    <hyperlink ref="A38" r:id="rId9" xr:uid="{00000000-0004-0000-0A00-000008000000}"/>
    <hyperlink ref="A39" r:id="rId10" xr:uid="{00000000-0004-0000-0A00-000009000000}"/>
    <hyperlink ref="A12" r:id="rId11" xr:uid="{00000000-0004-0000-0A00-00000A000000}"/>
    <hyperlink ref="A45" r:id="rId12" xr:uid="{00000000-0004-0000-0A00-00000B000000}"/>
    <hyperlink ref="A51" r:id="rId13" xr:uid="{43822FBE-351D-4403-AE97-1F39CF553F65}"/>
  </hyperlinks>
  <pageMargins left="0.7" right="0.7" top="0.75" bottom="0.75" header="0.3" footer="0.3"/>
  <pageSetup orientation="portrait" r:id="rId1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30BC-4145-4B5E-972A-72ECE6556AE2}">
  <sheetPr>
    <tabColor indexed="13"/>
  </sheetPr>
  <dimension ref="A3:N15"/>
  <sheetViews>
    <sheetView workbookViewId="0">
      <selection activeCell="D22" sqref="D22"/>
    </sheetView>
  </sheetViews>
  <sheetFormatPr defaultRowHeight="12.75" x14ac:dyDescent="0.35"/>
  <cols>
    <col min="1" max="1" width="17.59765625" customWidth="1"/>
    <col min="4" max="4" width="36.59765625" customWidth="1"/>
    <col min="5" max="5" width="14.265625" customWidth="1"/>
    <col min="6" max="6" width="18.86328125" customWidth="1"/>
  </cols>
  <sheetData>
    <row r="3" spans="1:14" x14ac:dyDescent="0.35">
      <c r="D3" t="s">
        <v>894</v>
      </c>
    </row>
    <row r="5" spans="1:14" x14ac:dyDescent="0.35">
      <c r="A5" t="s">
        <v>895</v>
      </c>
      <c r="B5">
        <v>7048</v>
      </c>
      <c r="D5" t="s">
        <v>896</v>
      </c>
      <c r="E5">
        <v>18.39</v>
      </c>
      <c r="F5" t="s">
        <v>897</v>
      </c>
      <c r="H5">
        <f>SUM(E5/20)</f>
        <v>0.91949999999999998</v>
      </c>
      <c r="J5">
        <v>43.79</v>
      </c>
      <c r="K5">
        <f>SUM(I5*H5)</f>
        <v>0</v>
      </c>
      <c r="L5">
        <f>SUM(J5/20*I5)</f>
        <v>0</v>
      </c>
    </row>
    <row r="6" spans="1:14" x14ac:dyDescent="0.35">
      <c r="A6" t="s">
        <v>898</v>
      </c>
      <c r="B6">
        <v>7185</v>
      </c>
      <c r="D6" t="s">
        <v>899</v>
      </c>
      <c r="E6">
        <v>19.54</v>
      </c>
      <c r="F6" t="s">
        <v>897</v>
      </c>
      <c r="H6">
        <f>SUM(E6/20)</f>
        <v>0.97699999999999998</v>
      </c>
      <c r="J6">
        <v>46.54</v>
      </c>
      <c r="K6">
        <f>SUM(I6*H6)</f>
        <v>0</v>
      </c>
      <c r="L6">
        <f>SUM(J6/20*I6)</f>
        <v>0</v>
      </c>
    </row>
    <row r="7" spans="1:14" x14ac:dyDescent="0.35">
      <c r="A7" t="s">
        <v>900</v>
      </c>
      <c r="B7">
        <v>8119</v>
      </c>
      <c r="D7" t="s">
        <v>901</v>
      </c>
      <c r="E7">
        <v>47.95</v>
      </c>
      <c r="F7" t="s">
        <v>897</v>
      </c>
      <c r="G7" t="e">
        <f t="shared" ref="G7" si="0">SUM(F7-E7)/E7</f>
        <v>#VALUE!</v>
      </c>
      <c r="H7">
        <f t="shared" ref="H7" si="1">SUM(E7/6)+2</f>
        <v>9.9916666666666671</v>
      </c>
      <c r="K7">
        <f t="shared" ref="K7" si="2">SUM(I7*H7)</f>
        <v>0</v>
      </c>
      <c r="L7">
        <f t="shared" ref="L7" si="3">SUM(J7/5*I7)</f>
        <v>0</v>
      </c>
    </row>
    <row r="8" spans="1:14" x14ac:dyDescent="0.35">
      <c r="A8" t="s">
        <v>902</v>
      </c>
      <c r="B8">
        <v>4611</v>
      </c>
      <c r="D8" t="s">
        <v>903</v>
      </c>
      <c r="E8">
        <v>35.96</v>
      </c>
      <c r="F8" t="s">
        <v>897</v>
      </c>
      <c r="G8" t="e">
        <v>#VALUE!</v>
      </c>
      <c r="H8">
        <v>0.33296296296296296</v>
      </c>
      <c r="J8">
        <v>85.62</v>
      </c>
      <c r="K8">
        <v>0</v>
      </c>
      <c r="L8">
        <v>0</v>
      </c>
    </row>
    <row r="9" spans="1:14" x14ac:dyDescent="0.35">
      <c r="A9" t="s">
        <v>904</v>
      </c>
      <c r="B9">
        <v>1840</v>
      </c>
      <c r="D9" t="s">
        <v>905</v>
      </c>
      <c r="E9">
        <v>51.24</v>
      </c>
      <c r="F9" t="s">
        <v>906</v>
      </c>
      <c r="G9" t="e">
        <f t="shared" ref="G9" si="4">SUM(F9-E9)/E9</f>
        <v>#VALUE!</v>
      </c>
      <c r="H9">
        <f t="shared" ref="H9" si="5">SUM(E9/25)</f>
        <v>2.0495999999999999</v>
      </c>
      <c r="J9">
        <v>86.24</v>
      </c>
      <c r="K9">
        <f t="shared" ref="K9" si="6">SUM(I9*H9)</f>
        <v>0</v>
      </c>
      <c r="L9">
        <f t="shared" ref="L9" si="7">SUM(J9/25*I9)</f>
        <v>0</v>
      </c>
    </row>
    <row r="10" spans="1:14" x14ac:dyDescent="0.35">
      <c r="A10" t="s">
        <v>907</v>
      </c>
      <c r="B10">
        <v>1820</v>
      </c>
      <c r="D10" t="s">
        <v>908</v>
      </c>
      <c r="E10">
        <v>47.81</v>
      </c>
      <c r="F10" t="s">
        <v>897</v>
      </c>
      <c r="G10" t="e">
        <v>#VALUE!</v>
      </c>
      <c r="H10">
        <v>0.95620000000000005</v>
      </c>
      <c r="J10">
        <v>139.63</v>
      </c>
      <c r="K10">
        <v>0</v>
      </c>
      <c r="L10">
        <v>0</v>
      </c>
    </row>
    <row r="12" spans="1:14" s="1" customFormat="1" ht="14.25" x14ac:dyDescent="0.45">
      <c r="A12" s="1" t="s">
        <v>909</v>
      </c>
      <c r="D12" s="1" t="s">
        <v>910</v>
      </c>
      <c r="F12" s="11"/>
      <c r="G12" s="21" t="s">
        <v>906</v>
      </c>
      <c r="H12" s="36"/>
      <c r="I12" s="11"/>
      <c r="J12" s="12"/>
    </row>
    <row r="15" spans="1:14" ht="14.25" x14ac:dyDescent="0.45">
      <c r="A15" s="1" t="s">
        <v>911</v>
      </c>
      <c r="B15" s="1"/>
      <c r="D15" s="1" t="s">
        <v>912</v>
      </c>
      <c r="E15" s="1"/>
      <c r="F15" s="12"/>
      <c r="G15" s="12"/>
      <c r="H15" s="49" t="s">
        <v>897</v>
      </c>
      <c r="I15" s="49"/>
      <c r="J15" s="49"/>
      <c r="K15" s="12"/>
      <c r="L15" s="12"/>
      <c r="M15" s="12"/>
      <c r="N15" s="1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78"/>
  <sheetViews>
    <sheetView workbookViewId="0">
      <pane ySplit="1" topLeftCell="A2" activePane="bottomLeft" state="frozen"/>
      <selection pane="bottomLeft" activeCell="G8" sqref="G8"/>
    </sheetView>
  </sheetViews>
  <sheetFormatPr defaultRowHeight="12.75" x14ac:dyDescent="0.35"/>
  <cols>
    <col min="1" max="1" width="13.86328125" customWidth="1"/>
    <col min="2" max="2" width="19.3984375" customWidth="1"/>
    <col min="3" max="3" width="16.73046875" customWidth="1"/>
    <col min="4" max="4" width="38.3984375" customWidth="1"/>
    <col min="5" max="5" width="14.265625" style="12" customWidth="1"/>
    <col min="6" max="6" width="14" style="21" customWidth="1"/>
    <col min="7" max="7" width="31.265625" customWidth="1"/>
    <col min="8" max="8" width="13.59765625" style="12" customWidth="1"/>
    <col min="9" max="9" width="9.1328125" style="86"/>
    <col min="10" max="10" width="11.265625" style="12" customWidth="1"/>
    <col min="11" max="11" width="16.265625" style="84" customWidth="1"/>
    <col min="12" max="12" width="13.3984375" style="12" customWidth="1"/>
    <col min="13" max="13" width="16.86328125" customWidth="1"/>
  </cols>
  <sheetData>
    <row r="1" spans="1:15" x14ac:dyDescent="0.35">
      <c r="A1" t="s">
        <v>528</v>
      </c>
      <c r="B1" t="s">
        <v>913</v>
      </c>
      <c r="C1" t="s">
        <v>914</v>
      </c>
      <c r="D1" t="s">
        <v>155</v>
      </c>
      <c r="E1" s="12" t="s">
        <v>915</v>
      </c>
      <c r="F1" s="21" t="s">
        <v>8</v>
      </c>
      <c r="G1" t="s">
        <v>4</v>
      </c>
      <c r="H1" s="12" t="s">
        <v>5</v>
      </c>
      <c r="I1" s="86" t="s">
        <v>11</v>
      </c>
      <c r="J1" s="12" t="s">
        <v>697</v>
      </c>
      <c r="K1" s="84" t="s">
        <v>916</v>
      </c>
      <c r="L1" s="12" t="s">
        <v>917</v>
      </c>
      <c r="M1" t="s">
        <v>918</v>
      </c>
    </row>
    <row r="2" spans="1:15" s="88" customFormat="1" x14ac:dyDescent="0.35">
      <c r="B2" s="88" t="s">
        <v>170</v>
      </c>
      <c r="D2" s="88" t="s">
        <v>171</v>
      </c>
      <c r="E2" s="89">
        <v>3.59</v>
      </c>
      <c r="F2" s="90"/>
      <c r="G2" s="88" t="s">
        <v>919</v>
      </c>
      <c r="H2" s="89">
        <v>3.59</v>
      </c>
      <c r="I2" s="91"/>
      <c r="J2" s="89">
        <f>SUM(H2*0.35)+H2</f>
        <v>4.8464999999999998</v>
      </c>
      <c r="K2" s="92">
        <f t="shared" ref="K2:K4" si="0">SUM(I2*H2)</f>
        <v>0</v>
      </c>
      <c r="L2" s="89">
        <f>SUM(I2*J2)</f>
        <v>0</v>
      </c>
    </row>
    <row r="3" spans="1:15" x14ac:dyDescent="0.35">
      <c r="B3" t="s">
        <v>176</v>
      </c>
      <c r="D3" t="s">
        <v>177</v>
      </c>
      <c r="E3" s="12">
        <v>2.46</v>
      </c>
      <c r="G3" t="s">
        <v>920</v>
      </c>
      <c r="H3" s="12">
        <v>2.46</v>
      </c>
      <c r="J3" s="12">
        <f t="shared" ref="J3:J67" si="1">SUM(H3*0.35)+H3</f>
        <v>3.3209999999999997</v>
      </c>
      <c r="K3" s="84">
        <f t="shared" si="0"/>
        <v>0</v>
      </c>
      <c r="L3" s="12">
        <f t="shared" ref="L3:L70" si="2">SUM(I3*J3)</f>
        <v>0</v>
      </c>
    </row>
    <row r="4" spans="1:15" s="88" customFormat="1" x14ac:dyDescent="0.35">
      <c r="B4" s="88" t="s">
        <v>178</v>
      </c>
      <c r="D4" s="88" t="s">
        <v>179</v>
      </c>
      <c r="E4" s="89">
        <v>25.75</v>
      </c>
      <c r="F4" s="90"/>
      <c r="G4" s="88" t="s">
        <v>921</v>
      </c>
      <c r="H4" s="89">
        <v>25.75</v>
      </c>
      <c r="I4" s="91"/>
      <c r="J4" s="89">
        <f t="shared" si="1"/>
        <v>34.762500000000003</v>
      </c>
      <c r="K4" s="92">
        <f t="shared" si="0"/>
        <v>0</v>
      </c>
      <c r="L4" s="89">
        <f t="shared" si="2"/>
        <v>0</v>
      </c>
    </row>
    <row r="5" spans="1:15" x14ac:dyDescent="0.35">
      <c r="B5" t="s">
        <v>208</v>
      </c>
      <c r="C5" t="s">
        <v>209</v>
      </c>
      <c r="D5" t="s">
        <v>210</v>
      </c>
      <c r="E5" s="12">
        <v>39</v>
      </c>
      <c r="G5" t="s">
        <v>922</v>
      </c>
      <c r="H5" s="12">
        <v>0.39</v>
      </c>
      <c r="I5" s="86">
        <v>1</v>
      </c>
      <c r="J5" s="12">
        <f t="shared" si="1"/>
        <v>0.52649999999999997</v>
      </c>
      <c r="K5" s="84">
        <f>SUM(I5*H5)</f>
        <v>0.39</v>
      </c>
      <c r="L5" s="12">
        <f>SUM(I5*0.65)</f>
        <v>0.65</v>
      </c>
    </row>
    <row r="6" spans="1:15" s="88" customFormat="1" x14ac:dyDescent="0.35">
      <c r="B6" s="88" t="s">
        <v>39</v>
      </c>
      <c r="D6" s="88" t="s">
        <v>40</v>
      </c>
      <c r="E6" s="89">
        <v>105.64</v>
      </c>
      <c r="F6" s="90"/>
      <c r="G6" s="88" t="s">
        <v>923</v>
      </c>
      <c r="H6" s="89">
        <v>3.3</v>
      </c>
      <c r="I6" s="91">
        <v>6</v>
      </c>
      <c r="J6" s="89">
        <f t="shared" si="1"/>
        <v>4.4550000000000001</v>
      </c>
      <c r="K6" s="92">
        <f t="shared" ref="K6:K70" si="3">SUM(I6*H6)</f>
        <v>19.799999999999997</v>
      </c>
      <c r="L6" s="89">
        <f t="shared" si="2"/>
        <v>26.73</v>
      </c>
    </row>
    <row r="7" spans="1:15" x14ac:dyDescent="0.35">
      <c r="B7" t="s">
        <v>41</v>
      </c>
      <c r="D7" t="s">
        <v>42</v>
      </c>
      <c r="E7" s="12">
        <v>96.56</v>
      </c>
      <c r="G7" t="s">
        <v>924</v>
      </c>
      <c r="H7" s="12">
        <v>2.82</v>
      </c>
      <c r="J7" s="12">
        <f t="shared" si="1"/>
        <v>3.8069999999999995</v>
      </c>
      <c r="K7" s="84">
        <f t="shared" si="3"/>
        <v>0</v>
      </c>
      <c r="L7" s="12">
        <f t="shared" si="2"/>
        <v>0</v>
      </c>
    </row>
    <row r="8" spans="1:15" x14ac:dyDescent="0.35">
      <c r="B8" t="s">
        <v>650</v>
      </c>
      <c r="D8" t="s">
        <v>925</v>
      </c>
      <c r="E8" s="12">
        <v>0.96</v>
      </c>
      <c r="G8" t="s">
        <v>926</v>
      </c>
      <c r="H8" s="12">
        <v>84.68</v>
      </c>
      <c r="I8" s="86">
        <v>0</v>
      </c>
      <c r="J8" s="12">
        <f t="shared" si="1"/>
        <v>114.31800000000001</v>
      </c>
      <c r="K8" s="84">
        <v>0</v>
      </c>
      <c r="L8" s="12">
        <v>0</v>
      </c>
    </row>
    <row r="9" spans="1:15" x14ac:dyDescent="0.35">
      <c r="A9" t="s">
        <v>45</v>
      </c>
      <c r="D9" t="s">
        <v>927</v>
      </c>
      <c r="E9" s="12">
        <v>245.03</v>
      </c>
      <c r="F9" s="21">
        <v>245.03</v>
      </c>
      <c r="G9" t="s">
        <v>928</v>
      </c>
      <c r="H9" s="12">
        <v>4.08</v>
      </c>
      <c r="I9" s="86">
        <v>0</v>
      </c>
      <c r="J9" s="12">
        <f t="shared" si="1"/>
        <v>5.508</v>
      </c>
      <c r="K9" s="84">
        <v>0</v>
      </c>
      <c r="L9" s="12">
        <v>0</v>
      </c>
      <c r="M9">
        <f t="shared" ref="M9" si="4">SUM(J9*L9)</f>
        <v>0</v>
      </c>
      <c r="N9">
        <f t="shared" ref="N9" si="5">SUM(M9*0.35)+M9</f>
        <v>0</v>
      </c>
    </row>
    <row r="10" spans="1:15" s="1" customFormat="1" ht="14.25" x14ac:dyDescent="0.45">
      <c r="B10" s="1" t="s">
        <v>664</v>
      </c>
      <c r="D10" s="1" t="s">
        <v>929</v>
      </c>
      <c r="E10" s="1">
        <v>60.5</v>
      </c>
      <c r="F10" s="11"/>
      <c r="G10" s="11" t="s">
        <v>930</v>
      </c>
      <c r="H10" s="11"/>
      <c r="I10" s="94"/>
      <c r="J10" s="95"/>
      <c r="K10" s="94"/>
      <c r="L10" s="54"/>
      <c r="M10" s="41"/>
      <c r="N10" s="11"/>
    </row>
    <row r="11" spans="1:15" s="88" customFormat="1" x14ac:dyDescent="0.35">
      <c r="B11" s="88" t="s">
        <v>52</v>
      </c>
      <c r="D11" s="88" t="s">
        <v>53</v>
      </c>
      <c r="E11" s="89">
        <v>17.13</v>
      </c>
      <c r="F11" s="90"/>
      <c r="G11" s="88" t="s">
        <v>931</v>
      </c>
      <c r="H11" s="89">
        <v>0.39</v>
      </c>
      <c r="I11" s="91">
        <v>50</v>
      </c>
      <c r="J11" s="89">
        <f t="shared" si="1"/>
        <v>0.52649999999999997</v>
      </c>
      <c r="K11" s="92">
        <f t="shared" si="3"/>
        <v>19.5</v>
      </c>
      <c r="L11" s="89">
        <f>SUM(I11*0.6)</f>
        <v>30</v>
      </c>
    </row>
    <row r="12" spans="1:15" x14ac:dyDescent="0.35">
      <c r="C12" t="s">
        <v>55</v>
      </c>
      <c r="D12" t="s">
        <v>56</v>
      </c>
      <c r="E12" s="12">
        <v>15.33</v>
      </c>
      <c r="G12" t="s">
        <v>932</v>
      </c>
      <c r="H12" s="12">
        <v>0.30659999999999998</v>
      </c>
      <c r="J12" s="12">
        <f t="shared" si="1"/>
        <v>0.41391</v>
      </c>
      <c r="K12" s="84">
        <f t="shared" si="3"/>
        <v>0</v>
      </c>
      <c r="L12" s="12">
        <f>SUM(I12*0.51)</f>
        <v>0</v>
      </c>
    </row>
    <row r="13" spans="1:15" ht="14.25" x14ac:dyDescent="0.45">
      <c r="A13" s="1" t="s">
        <v>68</v>
      </c>
      <c r="B13" s="1" t="s">
        <v>69</v>
      </c>
      <c r="D13" s="1" t="s">
        <v>70</v>
      </c>
      <c r="E13" s="1">
        <v>15.33</v>
      </c>
      <c r="F13" s="12"/>
      <c r="G13" s="12" t="s">
        <v>932</v>
      </c>
      <c r="H13" s="12">
        <v>10.18</v>
      </c>
      <c r="I13" s="49"/>
      <c r="J13" s="49">
        <f t="shared" si="1"/>
        <v>13.742999999999999</v>
      </c>
      <c r="K13" s="49">
        <f t="shared" ref="K13" si="6">SUM(I13*H13)</f>
        <v>0</v>
      </c>
      <c r="L13" s="12">
        <f>SUM(I13*0.51)</f>
        <v>0</v>
      </c>
      <c r="M13" s="12"/>
      <c r="N13" s="12"/>
      <c r="O13" s="12"/>
    </row>
    <row r="14" spans="1:15" s="88" customFormat="1" x14ac:dyDescent="0.35">
      <c r="B14" s="88" t="s">
        <v>72</v>
      </c>
      <c r="C14" s="88" t="s">
        <v>73</v>
      </c>
      <c r="D14" s="88" t="s">
        <v>74</v>
      </c>
      <c r="E14" s="89">
        <v>42.8</v>
      </c>
      <c r="F14" s="90"/>
      <c r="G14" s="88" t="s">
        <v>933</v>
      </c>
      <c r="H14" s="89">
        <v>2.14</v>
      </c>
      <c r="I14" s="91">
        <v>4</v>
      </c>
      <c r="J14" s="89">
        <f t="shared" si="1"/>
        <v>2.8890000000000002</v>
      </c>
      <c r="K14" s="92">
        <f t="shared" si="3"/>
        <v>8.56</v>
      </c>
      <c r="L14" s="89">
        <f t="shared" si="2"/>
        <v>11.556000000000001</v>
      </c>
    </row>
    <row r="15" spans="1:15" x14ac:dyDescent="0.35">
      <c r="B15" t="s">
        <v>77</v>
      </c>
      <c r="C15" t="s">
        <v>78</v>
      </c>
      <c r="D15" t="s">
        <v>79</v>
      </c>
      <c r="E15" s="12">
        <v>54.06</v>
      </c>
      <c r="G15" t="s">
        <v>934</v>
      </c>
      <c r="H15" s="12">
        <v>8.1909090909090917E-2</v>
      </c>
      <c r="J15" s="12">
        <f t="shared" si="1"/>
        <v>0.11057727272727273</v>
      </c>
      <c r="K15" s="84">
        <f>SUM(I15*H15)</f>
        <v>0</v>
      </c>
      <c r="L15" s="12">
        <f>SUM(I15*0.11)</f>
        <v>0</v>
      </c>
    </row>
    <row r="16" spans="1:15" s="88" customFormat="1" x14ac:dyDescent="0.35">
      <c r="B16" s="88" t="s">
        <v>82</v>
      </c>
      <c r="D16" s="88" t="s">
        <v>83</v>
      </c>
      <c r="E16" s="89">
        <v>12.83</v>
      </c>
      <c r="F16" s="90"/>
      <c r="G16" s="88" t="s">
        <v>935</v>
      </c>
      <c r="H16" s="89">
        <v>1.0691666666666666</v>
      </c>
      <c r="I16" s="91">
        <v>4</v>
      </c>
      <c r="J16" s="89">
        <f t="shared" si="1"/>
        <v>1.4433749999999999</v>
      </c>
      <c r="K16" s="92">
        <f t="shared" si="3"/>
        <v>4.2766666666666664</v>
      </c>
      <c r="L16" s="89">
        <f t="shared" si="2"/>
        <v>5.7734999999999994</v>
      </c>
    </row>
    <row r="17" spans="1:14" x14ac:dyDescent="0.35">
      <c r="B17" t="s">
        <v>86</v>
      </c>
      <c r="C17" t="s">
        <v>87</v>
      </c>
      <c r="D17" t="s">
        <v>88</v>
      </c>
      <c r="E17" s="12">
        <v>3.9</v>
      </c>
      <c r="G17" t="s">
        <v>936</v>
      </c>
      <c r="H17" s="12">
        <v>0.06</v>
      </c>
      <c r="I17" s="86">
        <v>30</v>
      </c>
      <c r="J17" s="12">
        <f t="shared" si="1"/>
        <v>8.0999999999999989E-2</v>
      </c>
      <c r="K17" s="84">
        <f>SUM(I17*H17)</f>
        <v>1.7999999999999998</v>
      </c>
      <c r="L17" s="12">
        <f>SUM(I17*0.09)</f>
        <v>2.6999999999999997</v>
      </c>
    </row>
    <row r="18" spans="1:14" s="88" customFormat="1" x14ac:dyDescent="0.35">
      <c r="B18" s="88" t="s">
        <v>91</v>
      </c>
      <c r="D18" s="88" t="s">
        <v>92</v>
      </c>
      <c r="E18" s="89">
        <v>8.0500000000000007</v>
      </c>
      <c r="F18" s="90"/>
      <c r="G18" s="88" t="s">
        <v>937</v>
      </c>
      <c r="H18" s="89">
        <v>0.01</v>
      </c>
      <c r="I18" s="91"/>
      <c r="J18" s="89">
        <f t="shared" si="1"/>
        <v>1.35E-2</v>
      </c>
      <c r="K18" s="92">
        <f t="shared" si="3"/>
        <v>0</v>
      </c>
      <c r="L18" s="89">
        <f>SUM(I18*0.02)</f>
        <v>0</v>
      </c>
    </row>
    <row r="19" spans="1:14" x14ac:dyDescent="0.35">
      <c r="B19" t="s">
        <v>94</v>
      </c>
      <c r="C19" t="s">
        <v>95</v>
      </c>
      <c r="D19" t="s">
        <v>96</v>
      </c>
      <c r="E19" s="12">
        <v>15.52</v>
      </c>
      <c r="G19" t="s">
        <v>938</v>
      </c>
      <c r="H19" s="12">
        <v>0.02</v>
      </c>
      <c r="J19" s="12">
        <f t="shared" si="1"/>
        <v>2.7E-2</v>
      </c>
      <c r="K19" s="84">
        <f t="shared" si="3"/>
        <v>0</v>
      </c>
      <c r="L19" s="12">
        <f>SUM(I19*0.05)</f>
        <v>0</v>
      </c>
    </row>
    <row r="20" spans="1:14" s="88" customFormat="1" x14ac:dyDescent="0.35">
      <c r="B20" s="88" t="s">
        <v>98</v>
      </c>
      <c r="C20" s="88" t="s">
        <v>99</v>
      </c>
      <c r="D20" s="88" t="s">
        <v>100</v>
      </c>
      <c r="E20" s="89">
        <v>23.28</v>
      </c>
      <c r="F20" s="90"/>
      <c r="G20" s="88" t="s">
        <v>939</v>
      </c>
      <c r="H20" s="89">
        <v>0.03</v>
      </c>
      <c r="I20" s="91"/>
      <c r="J20" s="89">
        <f t="shared" si="1"/>
        <v>4.0499999999999994E-2</v>
      </c>
      <c r="K20" s="92">
        <f t="shared" si="3"/>
        <v>0</v>
      </c>
      <c r="L20" s="89">
        <f t="shared" si="2"/>
        <v>0</v>
      </c>
    </row>
    <row r="21" spans="1:14" x14ac:dyDescent="0.35">
      <c r="B21" t="s">
        <v>267</v>
      </c>
      <c r="C21" t="s">
        <v>940</v>
      </c>
      <c r="D21" t="s">
        <v>268</v>
      </c>
      <c r="E21" s="12">
        <v>20.2</v>
      </c>
      <c r="G21" t="s">
        <v>941</v>
      </c>
      <c r="H21" s="12">
        <v>2.5249999999999999</v>
      </c>
      <c r="I21" s="86">
        <v>4</v>
      </c>
      <c r="J21" s="12">
        <f t="shared" si="1"/>
        <v>3.4087499999999999</v>
      </c>
      <c r="K21" s="84">
        <f t="shared" si="3"/>
        <v>10.1</v>
      </c>
      <c r="L21" s="12">
        <f>SUM(I21*6.01)</f>
        <v>24.04</v>
      </c>
    </row>
    <row r="22" spans="1:14" s="88" customFormat="1" x14ac:dyDescent="0.35">
      <c r="B22" s="88" t="s">
        <v>270</v>
      </c>
      <c r="D22" s="88" t="s">
        <v>271</v>
      </c>
      <c r="E22" s="89">
        <v>20.2</v>
      </c>
      <c r="F22" s="90"/>
      <c r="G22" s="88" t="s">
        <v>941</v>
      </c>
      <c r="H22" s="89">
        <v>2.5249999999999999</v>
      </c>
      <c r="I22" s="91"/>
      <c r="J22" s="89">
        <f t="shared" si="1"/>
        <v>3.4087499999999999</v>
      </c>
      <c r="K22" s="92">
        <f t="shared" si="3"/>
        <v>0</v>
      </c>
      <c r="L22" s="89">
        <f>SUM(I22*6.01)</f>
        <v>0</v>
      </c>
    </row>
    <row r="23" spans="1:14" x14ac:dyDescent="0.35">
      <c r="B23" t="s">
        <v>278</v>
      </c>
      <c r="D23" t="s">
        <v>279</v>
      </c>
      <c r="E23" s="12">
        <v>40.4</v>
      </c>
      <c r="G23" t="s">
        <v>942</v>
      </c>
      <c r="H23" s="12">
        <v>1.6159999999999999</v>
      </c>
      <c r="J23" s="12">
        <f t="shared" si="1"/>
        <v>2.1815999999999995</v>
      </c>
      <c r="K23" s="84">
        <f t="shared" si="3"/>
        <v>0</v>
      </c>
      <c r="L23" s="12">
        <f t="shared" si="2"/>
        <v>0</v>
      </c>
    </row>
    <row r="24" spans="1:14" s="88" customFormat="1" x14ac:dyDescent="0.35">
      <c r="B24" s="88" t="s">
        <v>943</v>
      </c>
      <c r="C24" s="88" t="s">
        <v>944</v>
      </c>
      <c r="D24" s="88" t="s">
        <v>387</v>
      </c>
      <c r="E24" s="89">
        <v>43.82</v>
      </c>
      <c r="F24" s="90"/>
      <c r="G24" s="88" t="s">
        <v>945</v>
      </c>
      <c r="H24" s="89">
        <v>4.3819999999999997</v>
      </c>
      <c r="I24" s="91"/>
      <c r="J24" s="89">
        <f t="shared" si="1"/>
        <v>5.9156999999999993</v>
      </c>
      <c r="K24" s="92">
        <f t="shared" si="3"/>
        <v>0</v>
      </c>
      <c r="L24" s="89">
        <f t="shared" si="2"/>
        <v>0</v>
      </c>
    </row>
    <row r="25" spans="1:14" x14ac:dyDescent="0.35">
      <c r="B25" t="s">
        <v>397</v>
      </c>
      <c r="C25" t="s">
        <v>397</v>
      </c>
      <c r="D25" t="s">
        <v>398</v>
      </c>
      <c r="E25" s="12">
        <v>19.98</v>
      </c>
      <c r="G25" t="s">
        <v>946</v>
      </c>
      <c r="H25" s="12">
        <v>0.66600000000000004</v>
      </c>
      <c r="J25" s="12">
        <f t="shared" si="1"/>
        <v>0.89910000000000001</v>
      </c>
      <c r="K25" s="84">
        <f t="shared" si="3"/>
        <v>0</v>
      </c>
      <c r="L25" s="12">
        <f>SUM(I25*1.6)</f>
        <v>0</v>
      </c>
    </row>
    <row r="26" spans="1:14" s="88" customFormat="1" x14ac:dyDescent="0.35">
      <c r="B26" s="88" t="s">
        <v>411</v>
      </c>
      <c r="C26" s="88" t="s">
        <v>411</v>
      </c>
      <c r="D26" s="88" t="s">
        <v>412</v>
      </c>
      <c r="E26" s="89">
        <v>4.68</v>
      </c>
      <c r="F26" s="90"/>
      <c r="G26" s="88" t="s">
        <v>947</v>
      </c>
      <c r="H26" s="89">
        <v>4.68</v>
      </c>
      <c r="I26" s="91">
        <v>18</v>
      </c>
      <c r="J26" s="89">
        <f t="shared" si="1"/>
        <v>6.3179999999999996</v>
      </c>
      <c r="K26" s="92">
        <f t="shared" si="3"/>
        <v>84.24</v>
      </c>
      <c r="L26" s="89">
        <f t="shared" si="2"/>
        <v>113.72399999999999</v>
      </c>
    </row>
    <row r="27" spans="1:14" x14ac:dyDescent="0.35">
      <c r="B27" t="s">
        <v>415</v>
      </c>
      <c r="C27" t="s">
        <v>415</v>
      </c>
      <c r="D27" t="s">
        <v>416</v>
      </c>
      <c r="E27" s="12">
        <v>3.65</v>
      </c>
      <c r="G27" t="s">
        <v>948</v>
      </c>
      <c r="H27" s="12">
        <v>3.65</v>
      </c>
      <c r="I27" s="86">
        <v>2</v>
      </c>
      <c r="J27" s="12">
        <f t="shared" si="1"/>
        <v>4.9275000000000002</v>
      </c>
      <c r="K27" s="84">
        <f t="shared" si="3"/>
        <v>7.3</v>
      </c>
      <c r="L27" s="12">
        <f t="shared" si="2"/>
        <v>9.8550000000000004</v>
      </c>
    </row>
    <row r="28" spans="1:14" s="1" customFormat="1" ht="14.1" customHeight="1" x14ac:dyDescent="0.45">
      <c r="A28" s="1" t="s">
        <v>417</v>
      </c>
      <c r="B28" s="1">
        <v>26336</v>
      </c>
      <c r="D28" s="1" t="s">
        <v>418</v>
      </c>
      <c r="E28" s="11">
        <v>5.52</v>
      </c>
      <c r="F28" s="11"/>
      <c r="G28" s="11" t="s">
        <v>948</v>
      </c>
      <c r="H28" s="11">
        <v>5.52</v>
      </c>
      <c r="I28" s="23"/>
      <c r="J28" s="23">
        <f t="shared" ref="J28" si="7">SUM(H28*0.35)+H28</f>
        <v>7.4519999999999991</v>
      </c>
      <c r="K28" s="25">
        <f t="shared" ref="K28" si="8">SUM(I28*H28)</f>
        <v>0</v>
      </c>
      <c r="L28" s="36">
        <f t="shared" ref="L28" si="9">SUM(I28*J28)</f>
        <v>0</v>
      </c>
      <c r="M28" s="11"/>
      <c r="N28" s="11"/>
    </row>
    <row r="29" spans="1:14" s="88" customFormat="1" x14ac:dyDescent="0.35">
      <c r="B29" s="88" t="s">
        <v>419</v>
      </c>
      <c r="C29" s="88" t="s">
        <v>419</v>
      </c>
      <c r="D29" s="88" t="s">
        <v>420</v>
      </c>
      <c r="E29" s="89">
        <v>7.36</v>
      </c>
      <c r="F29" s="90"/>
      <c r="G29" s="88" t="s">
        <v>949</v>
      </c>
      <c r="H29" s="89">
        <v>7.36</v>
      </c>
      <c r="I29" s="91"/>
      <c r="J29" s="89">
        <f t="shared" si="1"/>
        <v>9.9359999999999999</v>
      </c>
      <c r="K29" s="92">
        <f t="shared" si="3"/>
        <v>0</v>
      </c>
      <c r="L29" s="89">
        <f t="shared" si="2"/>
        <v>0</v>
      </c>
    </row>
    <row r="30" spans="1:14" x14ac:dyDescent="0.35">
      <c r="B30" t="s">
        <v>425</v>
      </c>
      <c r="D30" t="s">
        <v>426</v>
      </c>
      <c r="E30" s="12">
        <v>7.63</v>
      </c>
      <c r="G30" t="s">
        <v>950</v>
      </c>
      <c r="H30" s="12">
        <v>7.63</v>
      </c>
      <c r="J30" s="12">
        <f t="shared" si="1"/>
        <v>10.3005</v>
      </c>
      <c r="K30" s="84">
        <f>SUM(I30*H30)</f>
        <v>0</v>
      </c>
      <c r="L30" s="12">
        <f t="shared" si="2"/>
        <v>0</v>
      </c>
    </row>
    <row r="31" spans="1:14" s="88" customFormat="1" x14ac:dyDescent="0.35">
      <c r="B31" s="88" t="s">
        <v>428</v>
      </c>
      <c r="D31" s="88" t="s">
        <v>429</v>
      </c>
      <c r="E31" s="89">
        <v>7.63</v>
      </c>
      <c r="F31" s="90"/>
      <c r="G31" s="88" t="s">
        <v>950</v>
      </c>
      <c r="H31" s="89">
        <v>7.63</v>
      </c>
      <c r="I31" s="91"/>
      <c r="J31" s="89">
        <f t="shared" si="1"/>
        <v>10.3005</v>
      </c>
      <c r="K31" s="92">
        <f>SUM(I31*H31)</f>
        <v>0</v>
      </c>
      <c r="L31" s="89">
        <f t="shared" si="2"/>
        <v>0</v>
      </c>
    </row>
    <row r="32" spans="1:14" s="88" customFormat="1" x14ac:dyDescent="0.35">
      <c r="B32" s="88" t="s">
        <v>425</v>
      </c>
      <c r="D32" t="s">
        <v>951</v>
      </c>
      <c r="E32" s="89">
        <v>11.63</v>
      </c>
      <c r="F32" s="90"/>
      <c r="G32" s="88" t="s">
        <v>950</v>
      </c>
      <c r="H32" s="89">
        <v>11.63</v>
      </c>
      <c r="I32" s="91">
        <v>8</v>
      </c>
      <c r="J32" s="89">
        <f t="shared" si="1"/>
        <v>15.700500000000002</v>
      </c>
      <c r="K32" s="92">
        <f>SUM(H32*I32)</f>
        <v>93.04</v>
      </c>
      <c r="L32" s="89">
        <f>SUM(J32*I32)</f>
        <v>125.60400000000001</v>
      </c>
    </row>
    <row r="33" spans="2:12" x14ac:dyDescent="0.35">
      <c r="B33" t="s">
        <v>450</v>
      </c>
      <c r="D33" t="s">
        <v>451</v>
      </c>
      <c r="E33" s="12">
        <v>101.68</v>
      </c>
      <c r="G33" t="s">
        <v>952</v>
      </c>
      <c r="H33" s="12">
        <v>4.0672000000000006</v>
      </c>
      <c r="I33" s="86">
        <v>6</v>
      </c>
      <c r="J33" s="12">
        <f t="shared" si="1"/>
        <v>5.4907200000000005</v>
      </c>
      <c r="K33" s="84">
        <f t="shared" si="3"/>
        <v>24.403200000000005</v>
      </c>
      <c r="L33" s="12">
        <f>SUM(I33*8.68)</f>
        <v>52.08</v>
      </c>
    </row>
    <row r="34" spans="2:12" s="88" customFormat="1" x14ac:dyDescent="0.35">
      <c r="B34" s="88" t="s">
        <v>452</v>
      </c>
      <c r="D34" s="88" t="s">
        <v>953</v>
      </c>
      <c r="E34" s="89">
        <v>75.11</v>
      </c>
      <c r="F34" s="90"/>
      <c r="G34" s="88" t="s">
        <v>952</v>
      </c>
      <c r="H34" s="89">
        <v>3.0044</v>
      </c>
      <c r="I34" s="91">
        <v>6</v>
      </c>
      <c r="J34" s="89">
        <f t="shared" si="1"/>
        <v>4.0559399999999997</v>
      </c>
      <c r="K34" s="92">
        <f t="shared" si="3"/>
        <v>18.026399999999999</v>
      </c>
      <c r="L34" s="89">
        <f>SUM(I34*7.12)</f>
        <v>42.72</v>
      </c>
    </row>
    <row r="35" spans="2:12" x14ac:dyDescent="0.35">
      <c r="B35" t="s">
        <v>512</v>
      </c>
      <c r="D35" t="s">
        <v>513</v>
      </c>
      <c r="E35" s="12">
        <v>55.83</v>
      </c>
      <c r="G35" t="s">
        <v>954</v>
      </c>
      <c r="H35" s="12">
        <v>0.74439999999999995</v>
      </c>
      <c r="I35" s="86">
        <v>30</v>
      </c>
      <c r="J35" s="12">
        <f t="shared" si="1"/>
        <v>1.0049399999999999</v>
      </c>
      <c r="K35" s="84">
        <f t="shared" si="3"/>
        <v>22.331999999999997</v>
      </c>
      <c r="L35" s="12">
        <f>SUM(I35*1.76)</f>
        <v>52.8</v>
      </c>
    </row>
    <row r="36" spans="2:12" s="88" customFormat="1" x14ac:dyDescent="0.35">
      <c r="B36" s="88" t="s">
        <v>515</v>
      </c>
      <c r="D36" s="88" t="s">
        <v>516</v>
      </c>
      <c r="E36" s="89">
        <v>62.78</v>
      </c>
      <c r="F36" s="90"/>
      <c r="G36" s="88" t="s">
        <v>955</v>
      </c>
      <c r="H36" s="89">
        <v>0.62780000000000002</v>
      </c>
      <c r="I36" s="91">
        <v>30</v>
      </c>
      <c r="J36" s="89">
        <f t="shared" si="1"/>
        <v>0.84753000000000001</v>
      </c>
      <c r="K36" s="92">
        <f t="shared" si="3"/>
        <v>18.834</v>
      </c>
      <c r="L36" s="89">
        <f>SUM(I36*1.49)</f>
        <v>44.7</v>
      </c>
    </row>
    <row r="37" spans="2:12" x14ac:dyDescent="0.35">
      <c r="B37" t="s">
        <v>685</v>
      </c>
      <c r="D37" t="s">
        <v>686</v>
      </c>
      <c r="E37" s="12" t="s">
        <v>956</v>
      </c>
      <c r="G37" t="s">
        <v>957</v>
      </c>
      <c r="H37" s="12">
        <v>5.18</v>
      </c>
      <c r="J37" s="12">
        <f t="shared" si="1"/>
        <v>6.9929999999999994</v>
      </c>
      <c r="K37" s="84">
        <f t="shared" si="3"/>
        <v>0</v>
      </c>
      <c r="L37" s="12">
        <f t="shared" si="2"/>
        <v>0</v>
      </c>
    </row>
    <row r="38" spans="2:12" s="88" customFormat="1" x14ac:dyDescent="0.35">
      <c r="B38" s="88" t="s">
        <v>807</v>
      </c>
      <c r="C38" s="88" t="s">
        <v>808</v>
      </c>
      <c r="D38" s="88" t="s">
        <v>809</v>
      </c>
      <c r="E38" s="89" t="s">
        <v>958</v>
      </c>
      <c r="F38" s="90"/>
      <c r="G38" s="88" t="s">
        <v>959</v>
      </c>
      <c r="H38" s="89">
        <v>0.17</v>
      </c>
      <c r="I38" s="91"/>
      <c r="J38" s="89">
        <f t="shared" si="1"/>
        <v>0.22950000000000001</v>
      </c>
      <c r="K38" s="92">
        <f t="shared" si="3"/>
        <v>0</v>
      </c>
      <c r="L38" s="89">
        <f>SUM(I38*0.22)</f>
        <v>0</v>
      </c>
    </row>
    <row r="39" spans="2:12" x14ac:dyDescent="0.35">
      <c r="B39" t="s">
        <v>837</v>
      </c>
      <c r="D39" t="s">
        <v>838</v>
      </c>
      <c r="E39" s="12">
        <v>31.76</v>
      </c>
      <c r="G39" t="s">
        <v>960</v>
      </c>
      <c r="H39" s="12">
        <v>13.4</v>
      </c>
      <c r="J39" s="12">
        <f t="shared" si="1"/>
        <v>18.09</v>
      </c>
      <c r="K39" s="84">
        <f t="shared" si="3"/>
        <v>0</v>
      </c>
      <c r="L39" s="12">
        <f>SUM(I39*1.62)</f>
        <v>0</v>
      </c>
    </row>
    <row r="40" spans="2:12" s="88" customFormat="1" x14ac:dyDescent="0.35">
      <c r="B40" s="88" t="s">
        <v>961</v>
      </c>
      <c r="C40" s="88" t="s">
        <v>962</v>
      </c>
      <c r="D40" s="88" t="s">
        <v>963</v>
      </c>
      <c r="E40" s="89">
        <v>8.99</v>
      </c>
      <c r="F40" s="90"/>
      <c r="G40" s="88" t="s">
        <v>964</v>
      </c>
      <c r="H40" s="89">
        <f>SUM(E40/8)</f>
        <v>1.12375</v>
      </c>
      <c r="I40" s="91"/>
      <c r="J40" s="89">
        <f t="shared" si="1"/>
        <v>1.5170625</v>
      </c>
      <c r="K40" s="92">
        <f t="shared" si="3"/>
        <v>0</v>
      </c>
      <c r="L40" s="89">
        <f>SUM(I40*1.3)</f>
        <v>0</v>
      </c>
    </row>
    <row r="41" spans="2:12" x14ac:dyDescent="0.35">
      <c r="B41" t="s">
        <v>965</v>
      </c>
      <c r="C41" t="s">
        <v>962</v>
      </c>
      <c r="D41" t="s">
        <v>966</v>
      </c>
      <c r="E41" s="12">
        <v>8.99</v>
      </c>
      <c r="G41" t="s">
        <v>964</v>
      </c>
      <c r="H41" s="12">
        <f>SUM(E41/8)</f>
        <v>1.12375</v>
      </c>
      <c r="J41" s="12">
        <f t="shared" si="1"/>
        <v>1.5170625</v>
      </c>
      <c r="K41" s="84">
        <f t="shared" si="3"/>
        <v>0</v>
      </c>
      <c r="L41" s="12">
        <f>SUM(I41*1.3)</f>
        <v>0</v>
      </c>
    </row>
    <row r="42" spans="2:12" s="88" customFormat="1" x14ac:dyDescent="0.35">
      <c r="B42" s="88" t="s">
        <v>967</v>
      </c>
      <c r="C42" s="88" t="s">
        <v>968</v>
      </c>
      <c r="D42" s="88" t="s">
        <v>969</v>
      </c>
      <c r="E42" s="89">
        <v>8.99</v>
      </c>
      <c r="F42" s="90"/>
      <c r="G42" s="88" t="s">
        <v>964</v>
      </c>
      <c r="H42" s="89">
        <f>SUM(E42/8)</f>
        <v>1.12375</v>
      </c>
      <c r="I42" s="91"/>
      <c r="J42" s="89">
        <f t="shared" si="1"/>
        <v>1.5170625</v>
      </c>
      <c r="K42" s="92">
        <f t="shared" si="3"/>
        <v>0</v>
      </c>
      <c r="L42" s="89">
        <f>SUM(I42*1.3)</f>
        <v>0</v>
      </c>
    </row>
    <row r="43" spans="2:12" x14ac:dyDescent="0.35">
      <c r="C43" t="s">
        <v>970</v>
      </c>
      <c r="D43" t="s">
        <v>971</v>
      </c>
      <c r="E43" s="12">
        <v>30</v>
      </c>
      <c r="G43" t="s">
        <v>972</v>
      </c>
      <c r="H43" s="12">
        <f>SUM(E43/500)</f>
        <v>0.06</v>
      </c>
      <c r="I43" s="86">
        <v>150</v>
      </c>
      <c r="J43" s="12">
        <f t="shared" si="1"/>
        <v>8.0999999999999989E-2</v>
      </c>
      <c r="K43" s="84">
        <f t="shared" si="3"/>
        <v>9</v>
      </c>
      <c r="L43" s="12">
        <f t="shared" si="2"/>
        <v>12.149999999999999</v>
      </c>
    </row>
    <row r="44" spans="2:12" s="88" customFormat="1" x14ac:dyDescent="0.35">
      <c r="C44" s="88" t="s">
        <v>973</v>
      </c>
      <c r="D44" s="88" t="s">
        <v>974</v>
      </c>
      <c r="E44" s="89">
        <v>622</v>
      </c>
      <c r="F44" s="90"/>
      <c r="G44" s="88" t="s">
        <v>975</v>
      </c>
      <c r="H44" s="89">
        <v>622</v>
      </c>
      <c r="I44" s="91"/>
      <c r="J44" s="89">
        <f t="shared" si="1"/>
        <v>839.7</v>
      </c>
      <c r="K44" s="92">
        <f t="shared" si="3"/>
        <v>0</v>
      </c>
      <c r="L44" s="89">
        <f t="shared" si="2"/>
        <v>0</v>
      </c>
    </row>
    <row r="45" spans="2:12" x14ac:dyDescent="0.35">
      <c r="C45" t="s">
        <v>976</v>
      </c>
      <c r="D45" t="s">
        <v>977</v>
      </c>
      <c r="J45" s="12">
        <f t="shared" si="1"/>
        <v>0</v>
      </c>
      <c r="K45" s="84">
        <f t="shared" si="3"/>
        <v>0</v>
      </c>
      <c r="L45" s="12">
        <f t="shared" si="2"/>
        <v>0</v>
      </c>
    </row>
    <row r="46" spans="2:12" s="88" customFormat="1" x14ac:dyDescent="0.35">
      <c r="E46" s="89"/>
      <c r="F46" s="90"/>
      <c r="H46" s="89"/>
      <c r="I46" s="91"/>
      <c r="J46" s="89">
        <f t="shared" si="1"/>
        <v>0</v>
      </c>
      <c r="K46" s="92">
        <f t="shared" si="3"/>
        <v>0</v>
      </c>
      <c r="L46" s="89">
        <f t="shared" si="2"/>
        <v>0</v>
      </c>
    </row>
    <row r="47" spans="2:12" x14ac:dyDescent="0.35">
      <c r="B47" t="s">
        <v>978</v>
      </c>
      <c r="D47" t="s">
        <v>979</v>
      </c>
      <c r="E47" s="12">
        <v>265</v>
      </c>
      <c r="G47" t="s">
        <v>980</v>
      </c>
      <c r="H47" s="12">
        <v>53</v>
      </c>
      <c r="I47" s="86">
        <v>15</v>
      </c>
      <c r="J47" s="12">
        <f t="shared" si="1"/>
        <v>71.55</v>
      </c>
      <c r="K47" s="84">
        <f>SUM(I47*H47)</f>
        <v>795</v>
      </c>
      <c r="L47" s="12">
        <f>SUM(I47*J47)</f>
        <v>1073.25</v>
      </c>
    </row>
    <row r="48" spans="2:12" s="88" customFormat="1" x14ac:dyDescent="0.35">
      <c r="B48" s="88" t="s">
        <v>981</v>
      </c>
      <c r="D48" s="88" t="s">
        <v>982</v>
      </c>
      <c r="E48" s="89">
        <v>69.5</v>
      </c>
      <c r="F48" s="90"/>
      <c r="G48" s="88" t="s">
        <v>983</v>
      </c>
      <c r="H48" s="89">
        <v>69.5</v>
      </c>
      <c r="I48" s="91">
        <v>8</v>
      </c>
      <c r="J48" s="89">
        <f t="shared" si="1"/>
        <v>93.825000000000003</v>
      </c>
      <c r="K48" s="92">
        <f t="shared" ref="K48:K67" si="10">SUM(I48*H48)</f>
        <v>556</v>
      </c>
      <c r="L48" s="89">
        <f t="shared" ref="L48:L67" si="11">SUM(I48*J48)</f>
        <v>750.6</v>
      </c>
    </row>
    <row r="49" spans="1:12" x14ac:dyDescent="0.35">
      <c r="B49" t="s">
        <v>984</v>
      </c>
      <c r="D49" t="s">
        <v>985</v>
      </c>
      <c r="E49" s="12">
        <v>71.5</v>
      </c>
      <c r="G49" t="s">
        <v>986</v>
      </c>
      <c r="H49" s="12">
        <v>71.5</v>
      </c>
      <c r="I49" s="86">
        <v>4</v>
      </c>
      <c r="J49" s="12">
        <f t="shared" si="1"/>
        <v>96.525000000000006</v>
      </c>
      <c r="K49" s="84">
        <f t="shared" si="10"/>
        <v>286</v>
      </c>
      <c r="L49" s="12">
        <f t="shared" si="11"/>
        <v>386.1</v>
      </c>
    </row>
    <row r="50" spans="1:12" s="88" customFormat="1" x14ac:dyDescent="0.35">
      <c r="B50" s="88" t="s">
        <v>987</v>
      </c>
      <c r="D50" s="88" t="s">
        <v>988</v>
      </c>
      <c r="E50" s="89">
        <v>33.700000000000003</v>
      </c>
      <c r="F50" s="90"/>
      <c r="G50" s="88" t="s">
        <v>989</v>
      </c>
      <c r="H50" s="89">
        <v>33.700000000000003</v>
      </c>
      <c r="I50" s="91">
        <v>1</v>
      </c>
      <c r="J50" s="89">
        <f t="shared" si="1"/>
        <v>45.495000000000005</v>
      </c>
      <c r="K50" s="92">
        <f t="shared" si="10"/>
        <v>33.700000000000003</v>
      </c>
      <c r="L50" s="89">
        <f t="shared" si="11"/>
        <v>45.495000000000005</v>
      </c>
    </row>
    <row r="51" spans="1:12" x14ac:dyDescent="0.35">
      <c r="B51" t="s">
        <v>990</v>
      </c>
      <c r="D51" t="s">
        <v>991</v>
      </c>
      <c r="E51" s="12">
        <v>111.72</v>
      </c>
      <c r="G51" t="s">
        <v>992</v>
      </c>
      <c r="H51" s="12">
        <v>111.72</v>
      </c>
      <c r="J51" s="12">
        <f t="shared" si="1"/>
        <v>150.822</v>
      </c>
      <c r="K51" s="84">
        <f t="shared" si="10"/>
        <v>0</v>
      </c>
      <c r="L51" s="12">
        <f t="shared" si="11"/>
        <v>0</v>
      </c>
    </row>
    <row r="52" spans="1:12" s="88" customFormat="1" x14ac:dyDescent="0.35">
      <c r="B52" s="88" t="s">
        <v>993</v>
      </c>
      <c r="D52" s="88" t="s">
        <v>994</v>
      </c>
      <c r="E52" s="89">
        <v>28.47</v>
      </c>
      <c r="F52" s="90"/>
      <c r="G52" s="88" t="s">
        <v>995</v>
      </c>
      <c r="H52" s="89">
        <v>28.47</v>
      </c>
      <c r="I52" s="91"/>
      <c r="J52" s="89">
        <f t="shared" si="1"/>
        <v>38.4345</v>
      </c>
      <c r="K52" s="92">
        <f t="shared" si="10"/>
        <v>0</v>
      </c>
      <c r="L52" s="89">
        <f t="shared" si="11"/>
        <v>0</v>
      </c>
    </row>
    <row r="53" spans="1:12" x14ac:dyDescent="0.35">
      <c r="B53" t="s">
        <v>996</v>
      </c>
      <c r="D53" t="s">
        <v>997</v>
      </c>
      <c r="E53" s="12">
        <v>41.49</v>
      </c>
      <c r="G53" t="s">
        <v>998</v>
      </c>
      <c r="H53" s="12">
        <v>41.49</v>
      </c>
      <c r="J53" s="12">
        <f t="shared" si="1"/>
        <v>56.011499999999998</v>
      </c>
      <c r="K53" s="84">
        <f t="shared" si="10"/>
        <v>0</v>
      </c>
      <c r="L53" s="12">
        <f t="shared" si="11"/>
        <v>0</v>
      </c>
    </row>
    <row r="54" spans="1:12" s="88" customFormat="1" x14ac:dyDescent="0.35">
      <c r="B54" s="93" t="s">
        <v>999</v>
      </c>
      <c r="D54" s="88" t="s">
        <v>1000</v>
      </c>
      <c r="E54" s="89">
        <v>68.91</v>
      </c>
      <c r="F54" s="90"/>
      <c r="G54" s="88" t="s">
        <v>1001</v>
      </c>
      <c r="H54" s="89">
        <v>0.53</v>
      </c>
      <c r="I54" s="91"/>
      <c r="J54" s="89">
        <f t="shared" si="1"/>
        <v>0.71550000000000002</v>
      </c>
      <c r="K54" s="92">
        <f t="shared" si="10"/>
        <v>0</v>
      </c>
      <c r="L54" s="89">
        <f t="shared" si="11"/>
        <v>0</v>
      </c>
    </row>
    <row r="55" spans="1:12" x14ac:dyDescent="0.35">
      <c r="A55" s="16" t="s">
        <v>1002</v>
      </c>
      <c r="B55" s="16" t="s">
        <v>1003</v>
      </c>
      <c r="D55" t="s">
        <v>1004</v>
      </c>
      <c r="E55" s="12">
        <v>117.75</v>
      </c>
      <c r="G55" t="s">
        <v>1005</v>
      </c>
      <c r="H55" s="12">
        <v>117.75</v>
      </c>
      <c r="I55" s="86">
        <v>9</v>
      </c>
      <c r="J55" s="12">
        <f t="shared" si="1"/>
        <v>158.96250000000001</v>
      </c>
      <c r="K55" s="84">
        <f t="shared" si="10"/>
        <v>1059.75</v>
      </c>
      <c r="L55" s="12">
        <f t="shared" si="11"/>
        <v>1430.6625000000001</v>
      </c>
    </row>
    <row r="56" spans="1:12" s="88" customFormat="1" x14ac:dyDescent="0.35">
      <c r="A56" s="93" t="s">
        <v>1006</v>
      </c>
      <c r="B56" s="88" t="s">
        <v>1007</v>
      </c>
      <c r="D56" s="88" t="s">
        <v>1008</v>
      </c>
      <c r="E56" s="89">
        <v>168.35</v>
      </c>
      <c r="F56" s="90"/>
      <c r="G56" s="88" t="s">
        <v>1009</v>
      </c>
      <c r="H56" s="89">
        <v>168.35</v>
      </c>
      <c r="I56" s="91">
        <v>3</v>
      </c>
      <c r="J56" s="89">
        <f t="shared" si="1"/>
        <v>227.27249999999998</v>
      </c>
      <c r="K56" s="92">
        <f t="shared" si="10"/>
        <v>505.04999999999995</v>
      </c>
      <c r="L56" s="89">
        <f t="shared" si="11"/>
        <v>681.81749999999988</v>
      </c>
    </row>
    <row r="57" spans="1:12" x14ac:dyDescent="0.35">
      <c r="B57" t="s">
        <v>1010</v>
      </c>
      <c r="D57" t="s">
        <v>1011</v>
      </c>
      <c r="E57" s="12">
        <v>50.56</v>
      </c>
      <c r="G57" t="s">
        <v>1012</v>
      </c>
      <c r="H57" s="12">
        <v>3.16</v>
      </c>
      <c r="I57" s="86">
        <v>2</v>
      </c>
      <c r="J57" s="12">
        <f t="shared" si="1"/>
        <v>4.266</v>
      </c>
      <c r="K57" s="84">
        <f t="shared" si="10"/>
        <v>6.32</v>
      </c>
      <c r="L57" s="12">
        <f t="shared" si="11"/>
        <v>8.532</v>
      </c>
    </row>
    <row r="58" spans="1:12" s="88" customFormat="1" x14ac:dyDescent="0.35">
      <c r="E58" s="89"/>
      <c r="F58" s="90"/>
      <c r="H58" s="89"/>
      <c r="I58" s="91"/>
      <c r="J58" s="89">
        <f t="shared" si="1"/>
        <v>0</v>
      </c>
      <c r="K58" s="92">
        <f t="shared" si="10"/>
        <v>0</v>
      </c>
      <c r="L58" s="89">
        <f t="shared" si="11"/>
        <v>0</v>
      </c>
    </row>
    <row r="59" spans="1:12" x14ac:dyDescent="0.35">
      <c r="B59" t="s">
        <v>1013</v>
      </c>
      <c r="D59" t="s">
        <v>1014</v>
      </c>
      <c r="E59" s="12">
        <v>104.38</v>
      </c>
      <c r="G59" t="s">
        <v>1015</v>
      </c>
      <c r="H59" s="12">
        <v>104.38</v>
      </c>
      <c r="I59" s="86">
        <v>10</v>
      </c>
      <c r="J59" s="12">
        <f t="shared" si="1"/>
        <v>140.91299999999998</v>
      </c>
      <c r="K59" s="84">
        <f t="shared" si="10"/>
        <v>1043.8</v>
      </c>
      <c r="L59" s="12">
        <f t="shared" si="11"/>
        <v>1409.1299999999999</v>
      </c>
    </row>
    <row r="60" spans="1:12" s="88" customFormat="1" x14ac:dyDescent="0.35">
      <c r="B60" s="88" t="s">
        <v>1016</v>
      </c>
      <c r="D60" s="88" t="s">
        <v>1017</v>
      </c>
      <c r="E60" s="89">
        <v>89.93</v>
      </c>
      <c r="F60" s="90"/>
      <c r="G60" s="88" t="s">
        <v>1018</v>
      </c>
      <c r="H60" s="89">
        <v>89.93</v>
      </c>
      <c r="I60" s="91"/>
      <c r="J60" s="89">
        <f t="shared" si="1"/>
        <v>121.4055</v>
      </c>
      <c r="K60" s="92">
        <f t="shared" si="10"/>
        <v>0</v>
      </c>
      <c r="L60" s="89">
        <f t="shared" si="11"/>
        <v>0</v>
      </c>
    </row>
    <row r="61" spans="1:12" x14ac:dyDescent="0.35">
      <c r="B61" t="s">
        <v>1019</v>
      </c>
      <c r="D61" t="s">
        <v>1020</v>
      </c>
      <c r="E61" s="12">
        <v>135</v>
      </c>
      <c r="G61" t="s">
        <v>1021</v>
      </c>
      <c r="H61" s="12">
        <v>135</v>
      </c>
      <c r="J61" s="12">
        <f t="shared" si="1"/>
        <v>182.25</v>
      </c>
      <c r="K61" s="84">
        <f t="shared" si="10"/>
        <v>0</v>
      </c>
      <c r="L61" s="12">
        <f t="shared" si="11"/>
        <v>0</v>
      </c>
    </row>
    <row r="62" spans="1:12" s="88" customFormat="1" x14ac:dyDescent="0.35">
      <c r="B62" s="88" t="s">
        <v>1022</v>
      </c>
      <c r="D62" s="88" t="s">
        <v>1023</v>
      </c>
      <c r="E62" s="89">
        <v>97.61</v>
      </c>
      <c r="F62" s="90"/>
      <c r="G62" s="88" t="s">
        <v>1024</v>
      </c>
      <c r="H62" s="89">
        <v>97.61</v>
      </c>
      <c r="I62" s="91"/>
      <c r="J62" s="89">
        <f t="shared" si="1"/>
        <v>131.77350000000001</v>
      </c>
      <c r="K62" s="92">
        <f t="shared" si="10"/>
        <v>0</v>
      </c>
      <c r="L62" s="89">
        <f t="shared" si="11"/>
        <v>0</v>
      </c>
    </row>
    <row r="63" spans="1:12" x14ac:dyDescent="0.35">
      <c r="B63" t="s">
        <v>1025</v>
      </c>
      <c r="D63" t="s">
        <v>1026</v>
      </c>
      <c r="J63" s="12">
        <f t="shared" si="1"/>
        <v>0</v>
      </c>
      <c r="K63" s="84">
        <f t="shared" si="10"/>
        <v>0</v>
      </c>
      <c r="L63" s="12">
        <f t="shared" si="11"/>
        <v>0</v>
      </c>
    </row>
    <row r="64" spans="1:12" s="88" customFormat="1" x14ac:dyDescent="0.35">
      <c r="B64" s="88" t="s">
        <v>1027</v>
      </c>
      <c r="D64" s="88" t="s">
        <v>1028</v>
      </c>
      <c r="E64" s="89"/>
      <c r="F64" s="90"/>
      <c r="H64" s="89"/>
      <c r="I64" s="91"/>
      <c r="J64" s="89">
        <f t="shared" si="1"/>
        <v>0</v>
      </c>
      <c r="K64" s="92">
        <f t="shared" si="10"/>
        <v>0</v>
      </c>
      <c r="L64" s="89">
        <f t="shared" si="11"/>
        <v>0</v>
      </c>
    </row>
    <row r="65" spans="3:12" x14ac:dyDescent="0.35">
      <c r="J65" s="12">
        <f t="shared" si="1"/>
        <v>0</v>
      </c>
    </row>
    <row r="66" spans="3:12" s="88" customFormat="1" x14ac:dyDescent="0.35">
      <c r="D66" s="88" t="s">
        <v>1029</v>
      </c>
      <c r="E66" s="89">
        <v>45.25</v>
      </c>
      <c r="F66" s="90"/>
      <c r="H66" s="89"/>
      <c r="I66" s="91">
        <v>2</v>
      </c>
      <c r="J66" s="89">
        <f t="shared" si="1"/>
        <v>0</v>
      </c>
      <c r="K66" s="92">
        <f>SUM(I66*E66)</f>
        <v>90.5</v>
      </c>
      <c r="L66" s="89"/>
    </row>
    <row r="67" spans="3:12" x14ac:dyDescent="0.35">
      <c r="C67" t="s">
        <v>962</v>
      </c>
      <c r="D67" t="s">
        <v>1030</v>
      </c>
      <c r="E67" s="12">
        <v>8.99</v>
      </c>
      <c r="H67" s="12">
        <v>8.99</v>
      </c>
      <c r="I67" s="86">
        <v>1</v>
      </c>
      <c r="J67" s="12">
        <f t="shared" si="1"/>
        <v>12.1365</v>
      </c>
      <c r="K67" s="84">
        <f t="shared" si="10"/>
        <v>8.99</v>
      </c>
      <c r="L67" s="12">
        <f t="shared" si="11"/>
        <v>12.1365</v>
      </c>
    </row>
    <row r="68" spans="3:12" s="88" customFormat="1" x14ac:dyDescent="0.35">
      <c r="E68" s="89"/>
      <c r="F68" s="90"/>
      <c r="H68" s="89"/>
      <c r="I68" s="91"/>
      <c r="J68" s="89"/>
      <c r="K68" s="92"/>
      <c r="L68" s="89"/>
    </row>
    <row r="70" spans="3:12" s="88" customFormat="1" x14ac:dyDescent="0.35">
      <c r="D70" s="88" t="s">
        <v>1031</v>
      </c>
      <c r="E70" s="89"/>
      <c r="F70" s="90"/>
      <c r="H70" s="89"/>
      <c r="I70" s="91"/>
      <c r="J70" s="89"/>
      <c r="K70" s="92">
        <f t="shared" si="3"/>
        <v>0</v>
      </c>
      <c r="L70" s="89">
        <f t="shared" si="2"/>
        <v>0</v>
      </c>
    </row>
    <row r="72" spans="3:12" s="88" customFormat="1" x14ac:dyDescent="0.35">
      <c r="D72" s="88" t="s">
        <v>1032</v>
      </c>
      <c r="E72" s="89"/>
      <c r="F72" s="90"/>
      <c r="H72" s="89"/>
      <c r="I72" s="91"/>
      <c r="J72" s="89"/>
      <c r="K72" s="92">
        <v>1000</v>
      </c>
      <c r="L72" s="89"/>
    </row>
    <row r="73" spans="3:12" x14ac:dyDescent="0.35">
      <c r="D73" t="s">
        <v>1033</v>
      </c>
      <c r="K73" s="84">
        <v>2400</v>
      </c>
    </row>
    <row r="74" spans="3:12" s="88" customFormat="1" x14ac:dyDescent="0.35">
      <c r="D74" s="88" t="s">
        <v>1034</v>
      </c>
      <c r="E74" s="89"/>
      <c r="F74" s="90"/>
      <c r="H74" s="89"/>
      <c r="I74" s="91"/>
      <c r="J74" s="89"/>
      <c r="K74" s="92">
        <v>550</v>
      </c>
      <c r="L74" s="89"/>
    </row>
    <row r="75" spans="3:12" x14ac:dyDescent="0.35">
      <c r="D75" t="s">
        <v>1035</v>
      </c>
      <c r="K75" s="84">
        <v>150</v>
      </c>
    </row>
    <row r="76" spans="3:12" x14ac:dyDescent="0.35">
      <c r="D76" t="s">
        <v>1036</v>
      </c>
      <c r="K76" s="84">
        <v>150</v>
      </c>
    </row>
    <row r="78" spans="3:12" x14ac:dyDescent="0.35">
      <c r="K78" s="84">
        <f>SUM(K2:K77)</f>
        <v>8976.7122666666655</v>
      </c>
      <c r="L78" s="12">
        <f>SUM(L2:L75)</f>
        <v>6352.8059999999996</v>
      </c>
    </row>
  </sheetData>
  <hyperlinks>
    <hyperlink ref="B54" r:id="rId1" xr:uid="{00000000-0004-0000-0100-000000000000}"/>
    <hyperlink ref="B55" r:id="rId2" xr:uid="{00000000-0004-0000-0100-000001000000}"/>
    <hyperlink ref="A55" r:id="rId3" xr:uid="{00000000-0004-0000-0100-000002000000}"/>
    <hyperlink ref="A56" r:id="rId4" xr:uid="{00000000-0004-0000-0100-000003000000}"/>
  </hyperlinks>
  <pageMargins left="0.7" right="0.7" top="0.75" bottom="0.75" header="0.3" footer="0.3"/>
  <pageSetup orientation="landscape" r:id="rId5"/>
  <legacyDrawing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1C35-3661-4320-BD0C-51460C0926EB}">
  <dimension ref="A1:A6"/>
  <sheetViews>
    <sheetView zoomScale="140" zoomScaleNormal="140" workbookViewId="0">
      <selection activeCell="A5" sqref="A5"/>
    </sheetView>
  </sheetViews>
  <sheetFormatPr defaultRowHeight="12.75" x14ac:dyDescent="0.35"/>
  <cols>
    <col min="1" max="1" width="51.86328125" customWidth="1"/>
  </cols>
  <sheetData>
    <row r="1" spans="1:1" ht="51" customHeight="1" x14ac:dyDescent="0.7">
      <c r="A1" s="87" t="s">
        <v>1037</v>
      </c>
    </row>
    <row r="2" spans="1:1" ht="27" customHeight="1" x14ac:dyDescent="0.35"/>
    <row r="3" spans="1:1" ht="39" customHeight="1" x14ac:dyDescent="0.35">
      <c r="A3" t="s">
        <v>1038</v>
      </c>
    </row>
    <row r="4" spans="1:1" ht="33" customHeight="1" x14ac:dyDescent="0.35">
      <c r="A4" t="s">
        <v>1039</v>
      </c>
    </row>
    <row r="5" spans="1:1" ht="36.75" customHeight="1" x14ac:dyDescent="0.35"/>
    <row r="6" spans="1:1" ht="36" customHeight="1" x14ac:dyDescent="0.35"/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8582-2883-4F36-9E25-7ED1F4854357}">
  <dimension ref="A1:O223"/>
  <sheetViews>
    <sheetView tabSelected="1" zoomScale="70" zoomScaleNormal="70" workbookViewId="0">
      <selection activeCell="O6" sqref="O6"/>
    </sheetView>
  </sheetViews>
  <sheetFormatPr defaultRowHeight="14.25" x14ac:dyDescent="0.45"/>
  <cols>
    <col min="1" max="1" width="23" customWidth="1"/>
    <col min="2" max="2" width="25" customWidth="1"/>
    <col min="3" max="3" width="23.1328125" customWidth="1"/>
    <col min="4" max="4" width="37.1328125" style="1" customWidth="1"/>
    <col min="5" max="5" width="30.86328125" style="12" customWidth="1"/>
    <col min="6" max="6" width="24.86328125" style="12" customWidth="1"/>
    <col min="7" max="7" width="23.59765625" style="12" customWidth="1"/>
    <col min="8" max="8" width="15.3984375" style="12" customWidth="1"/>
    <col min="9" max="9" width="16.86328125" style="50" customWidth="1"/>
    <col min="10" max="10" width="23.3984375" style="51" customWidth="1"/>
    <col min="11" max="11" width="36.73046875" style="49" customWidth="1"/>
    <col min="12" max="12" width="15.59765625" customWidth="1"/>
    <col min="13" max="13" width="20" style="12" customWidth="1"/>
    <col min="14" max="14" width="22.1328125" style="12" customWidth="1"/>
    <col min="15" max="15" width="16.86328125" style="12" customWidth="1"/>
  </cols>
  <sheetData>
    <row r="1" spans="1:15" s="1" customFormat="1" ht="42.75" customHeight="1" x14ac:dyDescent="0.45">
      <c r="A1" s="97" t="s">
        <v>154</v>
      </c>
      <c r="B1" s="97" t="s">
        <v>1</v>
      </c>
      <c r="C1" s="97" t="s">
        <v>2</v>
      </c>
      <c r="D1" s="97" t="s">
        <v>155</v>
      </c>
      <c r="E1" s="98" t="s">
        <v>156</v>
      </c>
      <c r="F1" s="98" t="s">
        <v>157</v>
      </c>
      <c r="G1" s="98" t="s">
        <v>158</v>
      </c>
      <c r="H1" s="98" t="s">
        <v>7</v>
      </c>
      <c r="I1" s="105" t="s">
        <v>8</v>
      </c>
      <c r="J1" s="106" t="s">
        <v>159</v>
      </c>
      <c r="K1" s="107" t="s">
        <v>160</v>
      </c>
      <c r="L1" s="99" t="s">
        <v>161</v>
      </c>
      <c r="M1" s="98" t="s">
        <v>162</v>
      </c>
      <c r="N1" s="98" t="s">
        <v>163</v>
      </c>
      <c r="O1" s="98" t="s">
        <v>164</v>
      </c>
    </row>
    <row r="2" spans="1:15" x14ac:dyDescent="0.45">
      <c r="A2" s="122"/>
      <c r="B2" s="123"/>
      <c r="C2" s="103"/>
      <c r="D2" s="124"/>
      <c r="E2" s="100"/>
      <c r="F2" s="100"/>
      <c r="G2" s="84"/>
      <c r="H2" s="67"/>
      <c r="L2" s="111"/>
      <c r="M2" s="113"/>
      <c r="N2" s="118"/>
    </row>
    <row r="3" spans="1:15" x14ac:dyDescent="0.45">
      <c r="A3" s="122"/>
      <c r="B3" s="123"/>
      <c r="C3" s="103"/>
      <c r="D3" s="125" t="s">
        <v>165</v>
      </c>
      <c r="E3" s="100"/>
      <c r="F3" s="100"/>
      <c r="G3" s="84"/>
      <c r="H3" s="67"/>
      <c r="L3" s="111"/>
      <c r="M3" s="113"/>
      <c r="N3" s="118"/>
    </row>
    <row r="4" spans="1:15" x14ac:dyDescent="0.45">
      <c r="A4" s="122" t="s">
        <v>166</v>
      </c>
      <c r="B4" s="123"/>
      <c r="C4" s="103"/>
      <c r="D4" s="124" t="s">
        <v>167</v>
      </c>
      <c r="E4" s="100">
        <v>0</v>
      </c>
      <c r="F4" s="100">
        <f t="shared" ref="F4:F40" si="0">SUM(I4/1)</f>
        <v>112</v>
      </c>
      <c r="G4" s="84"/>
      <c r="H4" s="67">
        <v>109</v>
      </c>
      <c r="I4" s="50">
        <v>112</v>
      </c>
      <c r="J4" s="51">
        <f t="shared" ref="J4:J68" si="1">SUM(I4-H4)/H4</f>
        <v>2.7522935779816515E-2</v>
      </c>
      <c r="K4" s="49">
        <f t="shared" ref="K4:K68" si="2">SUM(H4*J4)</f>
        <v>3</v>
      </c>
      <c r="L4" s="111">
        <v>10</v>
      </c>
      <c r="M4" s="113">
        <f t="shared" ref="M4:M11" si="3">SUM(I4*L4)</f>
        <v>1120</v>
      </c>
      <c r="N4" s="118">
        <f t="shared" ref="N4:N11" si="4">SUM(M4*0.35+M4)</f>
        <v>1512</v>
      </c>
    </row>
    <row r="5" spans="1:15" x14ac:dyDescent="0.45">
      <c r="A5" s="122"/>
      <c r="B5" s="123" t="s">
        <v>168</v>
      </c>
      <c r="C5" s="103"/>
      <c r="D5" s="124" t="s">
        <v>169</v>
      </c>
      <c r="E5" s="100">
        <f t="shared" ref="E5:E10" si="5">SUM(H5)</f>
        <v>42.6</v>
      </c>
      <c r="F5" s="100">
        <f t="shared" si="0"/>
        <v>42.6</v>
      </c>
      <c r="G5" s="84"/>
      <c r="H5" s="67">
        <v>42.6</v>
      </c>
      <c r="I5" s="52">
        <v>42.6</v>
      </c>
      <c r="J5" s="51">
        <f t="shared" si="1"/>
        <v>0</v>
      </c>
      <c r="K5" s="49">
        <f t="shared" si="2"/>
        <v>0</v>
      </c>
      <c r="L5" s="111">
        <v>0</v>
      </c>
      <c r="M5" s="113">
        <f t="shared" si="3"/>
        <v>0</v>
      </c>
      <c r="N5" s="118">
        <f t="shared" si="4"/>
        <v>0</v>
      </c>
    </row>
    <row r="6" spans="1:15" x14ac:dyDescent="0.45">
      <c r="A6" s="122" t="s">
        <v>170</v>
      </c>
      <c r="B6" s="123"/>
      <c r="C6" s="103"/>
      <c r="D6" s="124" t="s">
        <v>171</v>
      </c>
      <c r="E6" s="100">
        <f t="shared" si="5"/>
        <v>3.59</v>
      </c>
      <c r="F6" s="100">
        <f t="shared" si="0"/>
        <v>3.59</v>
      </c>
      <c r="G6" s="84"/>
      <c r="H6" s="67">
        <v>3.59</v>
      </c>
      <c r="I6" s="52">
        <v>3.59</v>
      </c>
      <c r="J6" s="51">
        <f t="shared" si="1"/>
        <v>0</v>
      </c>
      <c r="K6" s="49">
        <f t="shared" si="2"/>
        <v>0</v>
      </c>
      <c r="L6" s="111"/>
      <c r="M6" s="113">
        <f>SUM(I6*L6)</f>
        <v>0</v>
      </c>
      <c r="N6" s="118">
        <f t="shared" si="4"/>
        <v>0</v>
      </c>
    </row>
    <row r="7" spans="1:15" x14ac:dyDescent="0.45">
      <c r="A7" s="122" t="s">
        <v>172</v>
      </c>
      <c r="B7" s="123"/>
      <c r="C7" s="103"/>
      <c r="D7" s="124" t="s">
        <v>173</v>
      </c>
      <c r="E7" s="100">
        <f t="shared" si="5"/>
        <v>7.6</v>
      </c>
      <c r="F7" s="100">
        <f t="shared" si="0"/>
        <v>7.6</v>
      </c>
      <c r="G7" s="84"/>
      <c r="H7" s="67">
        <v>7.6</v>
      </c>
      <c r="I7" s="52">
        <v>7.6</v>
      </c>
      <c r="J7" s="51">
        <f t="shared" si="1"/>
        <v>0</v>
      </c>
      <c r="K7" s="49">
        <f t="shared" si="2"/>
        <v>0</v>
      </c>
      <c r="L7" s="111"/>
      <c r="M7" s="113">
        <f t="shared" si="3"/>
        <v>0</v>
      </c>
      <c r="N7" s="118">
        <f t="shared" si="4"/>
        <v>0</v>
      </c>
    </row>
    <row r="8" spans="1:15" x14ac:dyDescent="0.45">
      <c r="A8" s="122" t="s">
        <v>174</v>
      </c>
      <c r="B8" s="123"/>
      <c r="C8" s="103"/>
      <c r="D8" s="124" t="s">
        <v>175</v>
      </c>
      <c r="E8" s="100">
        <f t="shared" si="5"/>
        <v>0</v>
      </c>
      <c r="F8" s="100">
        <f t="shared" si="0"/>
        <v>0</v>
      </c>
      <c r="G8" s="84"/>
      <c r="H8" s="67"/>
      <c r="I8" s="52"/>
      <c r="L8" s="111"/>
      <c r="M8" s="113">
        <f t="shared" si="3"/>
        <v>0</v>
      </c>
      <c r="N8" s="118">
        <f t="shared" si="4"/>
        <v>0</v>
      </c>
    </row>
    <row r="9" spans="1:15" x14ac:dyDescent="0.45">
      <c r="A9" s="122" t="s">
        <v>176</v>
      </c>
      <c r="B9" s="123"/>
      <c r="C9" s="103"/>
      <c r="D9" s="124" t="s">
        <v>177</v>
      </c>
      <c r="E9" s="100">
        <f t="shared" si="5"/>
        <v>2.46</v>
      </c>
      <c r="F9" s="100">
        <f t="shared" si="0"/>
        <v>2.46</v>
      </c>
      <c r="G9" s="84"/>
      <c r="H9" s="67">
        <v>2.46</v>
      </c>
      <c r="I9" s="52">
        <v>2.46</v>
      </c>
      <c r="J9" s="51">
        <f t="shared" si="1"/>
        <v>0</v>
      </c>
      <c r="K9" s="49">
        <f t="shared" si="2"/>
        <v>0</v>
      </c>
      <c r="L9" s="111"/>
      <c r="M9" s="113">
        <f t="shared" si="3"/>
        <v>0</v>
      </c>
      <c r="N9" s="118">
        <f t="shared" si="4"/>
        <v>0</v>
      </c>
    </row>
    <row r="10" spans="1:15" x14ac:dyDescent="0.45">
      <c r="A10" s="122" t="s">
        <v>178</v>
      </c>
      <c r="B10" s="123"/>
      <c r="C10" s="103"/>
      <c r="D10" s="124" t="s">
        <v>179</v>
      </c>
      <c r="E10" s="100">
        <f t="shared" si="5"/>
        <v>25.75</v>
      </c>
      <c r="F10" s="100">
        <f t="shared" si="0"/>
        <v>25.75</v>
      </c>
      <c r="G10" s="84"/>
      <c r="H10" s="67">
        <v>25.75</v>
      </c>
      <c r="I10" s="52">
        <v>25.75</v>
      </c>
      <c r="J10" s="51">
        <f t="shared" si="1"/>
        <v>0</v>
      </c>
      <c r="K10" s="49">
        <f t="shared" si="2"/>
        <v>0</v>
      </c>
      <c r="L10" s="111"/>
      <c r="M10" s="113">
        <f t="shared" si="3"/>
        <v>0</v>
      </c>
      <c r="N10" s="118">
        <f t="shared" si="4"/>
        <v>0</v>
      </c>
    </row>
    <row r="11" spans="1:15" x14ac:dyDescent="0.45">
      <c r="A11" s="122" t="s">
        <v>180</v>
      </c>
      <c r="B11" s="123" t="s">
        <v>181</v>
      </c>
      <c r="C11" s="103"/>
      <c r="D11" s="124" t="s">
        <v>182</v>
      </c>
      <c r="E11" s="100"/>
      <c r="F11" s="100">
        <f t="shared" si="0"/>
        <v>4.55</v>
      </c>
      <c r="G11" s="84"/>
      <c r="H11" s="67">
        <v>4.55</v>
      </c>
      <c r="I11" s="52">
        <v>4.55</v>
      </c>
      <c r="J11" s="51">
        <f t="shared" si="1"/>
        <v>0</v>
      </c>
      <c r="K11" s="49">
        <f t="shared" si="2"/>
        <v>0</v>
      </c>
      <c r="L11" s="111"/>
      <c r="M11" s="113">
        <f t="shared" si="3"/>
        <v>0</v>
      </c>
      <c r="N11" s="118">
        <f t="shared" si="4"/>
        <v>0</v>
      </c>
    </row>
    <row r="12" spans="1:15" x14ac:dyDescent="0.45">
      <c r="A12" s="122"/>
      <c r="B12" s="123"/>
      <c r="C12" s="103"/>
      <c r="D12" s="124"/>
      <c r="E12" s="100"/>
      <c r="F12" s="100"/>
      <c r="G12" s="84"/>
      <c r="H12" s="67"/>
      <c r="I12" s="52"/>
      <c r="L12" s="111"/>
      <c r="M12" s="113"/>
      <c r="N12" s="118"/>
    </row>
    <row r="13" spans="1:15" x14ac:dyDescent="0.45">
      <c r="A13" s="122"/>
      <c r="B13" s="123"/>
      <c r="C13" s="103"/>
      <c r="D13" s="126" t="s">
        <v>183</v>
      </c>
      <c r="E13" s="100"/>
      <c r="F13" s="100"/>
      <c r="G13" s="84"/>
      <c r="H13" s="67"/>
      <c r="I13" s="52"/>
      <c r="L13" s="111"/>
      <c r="M13" s="113"/>
      <c r="N13" s="118"/>
    </row>
    <row r="14" spans="1:15" x14ac:dyDescent="0.45">
      <c r="A14" s="122" t="s">
        <v>184</v>
      </c>
      <c r="B14" s="123"/>
      <c r="C14" s="103"/>
      <c r="D14" s="124" t="s">
        <v>185</v>
      </c>
      <c r="E14" s="100">
        <f t="shared" ref="E14" si="6">SUM(H14)</f>
        <v>0</v>
      </c>
      <c r="F14" s="100">
        <f t="shared" si="0"/>
        <v>54.38</v>
      </c>
      <c r="G14" s="84"/>
      <c r="H14" s="67"/>
      <c r="I14" s="52">
        <v>54.38</v>
      </c>
      <c r="L14" s="111"/>
      <c r="M14" s="113">
        <f t="shared" ref="M14" si="7">SUM(I14*L14)</f>
        <v>0</v>
      </c>
      <c r="N14" s="118">
        <f t="shared" ref="N14" si="8">SUM(M14*0.35+M14)</f>
        <v>0</v>
      </c>
    </row>
    <row r="15" spans="1:15" x14ac:dyDescent="0.45">
      <c r="A15" s="122"/>
      <c r="B15" s="123"/>
      <c r="C15" s="103"/>
      <c r="D15" s="124"/>
      <c r="E15" s="100"/>
      <c r="F15" s="100"/>
      <c r="G15" s="84"/>
      <c r="H15" s="67"/>
      <c r="I15" s="52"/>
      <c r="L15" s="111"/>
      <c r="M15" s="113"/>
      <c r="N15" s="118"/>
    </row>
    <row r="16" spans="1:15" x14ac:dyDescent="0.45">
      <c r="A16" s="122"/>
      <c r="B16" s="123"/>
      <c r="C16" s="103"/>
      <c r="D16" s="125" t="s">
        <v>186</v>
      </c>
      <c r="E16" s="100"/>
      <c r="F16" s="100"/>
      <c r="G16" s="84"/>
      <c r="H16" s="67"/>
      <c r="I16" s="52"/>
      <c r="L16" s="111"/>
      <c r="M16" s="113"/>
      <c r="N16" s="118"/>
    </row>
    <row r="17" spans="1:14" x14ac:dyDescent="0.45">
      <c r="A17" s="122" t="s">
        <v>187</v>
      </c>
      <c r="B17" s="123"/>
      <c r="C17" s="103"/>
      <c r="D17" s="124" t="s">
        <v>188</v>
      </c>
      <c r="E17" s="100">
        <f>SUM(H17)</f>
        <v>6.6</v>
      </c>
      <c r="F17" s="100">
        <f t="shared" si="0"/>
        <v>6.6</v>
      </c>
      <c r="G17" s="84"/>
      <c r="H17" s="67">
        <v>6.6</v>
      </c>
      <c r="I17" s="52">
        <v>6.6</v>
      </c>
      <c r="J17" s="51">
        <f t="shared" si="1"/>
        <v>0</v>
      </c>
      <c r="K17" s="49">
        <f t="shared" si="2"/>
        <v>0</v>
      </c>
      <c r="L17" s="111"/>
      <c r="M17" s="113">
        <f t="shared" ref="M17:M22" si="9">SUM(I17*L17)</f>
        <v>0</v>
      </c>
      <c r="N17" s="118">
        <f t="shared" ref="N17:N22" si="10">SUM(M17*0.35+M17)</f>
        <v>0</v>
      </c>
    </row>
    <row r="18" spans="1:14" x14ac:dyDescent="0.45">
      <c r="A18" s="122" t="s">
        <v>189</v>
      </c>
      <c r="B18" s="123"/>
      <c r="C18" s="103"/>
      <c r="D18" s="124" t="s">
        <v>190</v>
      </c>
      <c r="E18" s="100">
        <f>SUM(H18)</f>
        <v>2.88</v>
      </c>
      <c r="F18" s="100">
        <f t="shared" si="0"/>
        <v>2.88</v>
      </c>
      <c r="G18" s="84"/>
      <c r="H18" s="67">
        <v>2.88</v>
      </c>
      <c r="I18" s="52">
        <v>2.88</v>
      </c>
      <c r="J18" s="51">
        <f t="shared" si="1"/>
        <v>0</v>
      </c>
      <c r="K18" s="49">
        <f t="shared" si="2"/>
        <v>0</v>
      </c>
      <c r="L18" s="111"/>
      <c r="M18" s="113">
        <f t="shared" si="9"/>
        <v>0</v>
      </c>
      <c r="N18" s="118">
        <f t="shared" si="10"/>
        <v>0</v>
      </c>
    </row>
    <row r="19" spans="1:14" x14ac:dyDescent="0.45">
      <c r="A19" s="122" t="s">
        <v>191</v>
      </c>
      <c r="B19" s="123"/>
      <c r="C19" s="103"/>
      <c r="D19" s="124" t="s">
        <v>192</v>
      </c>
      <c r="E19" s="100">
        <f>SUM(H19)</f>
        <v>2.69</v>
      </c>
      <c r="F19" s="100">
        <f t="shared" si="0"/>
        <v>2.69</v>
      </c>
      <c r="G19" s="84"/>
      <c r="H19" s="67">
        <v>2.69</v>
      </c>
      <c r="I19" s="52">
        <v>2.69</v>
      </c>
      <c r="J19" s="51">
        <f t="shared" si="1"/>
        <v>0</v>
      </c>
      <c r="K19" s="49">
        <f t="shared" si="2"/>
        <v>0</v>
      </c>
      <c r="L19" s="111"/>
      <c r="M19" s="113">
        <f t="shared" si="9"/>
        <v>0</v>
      </c>
      <c r="N19" s="118">
        <f t="shared" si="10"/>
        <v>0</v>
      </c>
    </row>
    <row r="20" spans="1:14" x14ac:dyDescent="0.45">
      <c r="A20" s="122" t="s">
        <v>193</v>
      </c>
      <c r="B20" s="123"/>
      <c r="C20" s="103"/>
      <c r="D20" s="124" t="s">
        <v>194</v>
      </c>
      <c r="E20" s="100">
        <f>SUM(H20)</f>
        <v>5.79</v>
      </c>
      <c r="F20" s="100">
        <f t="shared" si="0"/>
        <v>5.79</v>
      </c>
      <c r="G20" s="84"/>
      <c r="H20" s="67">
        <v>5.79</v>
      </c>
      <c r="I20" s="52">
        <v>5.79</v>
      </c>
      <c r="J20" s="51">
        <f t="shared" si="1"/>
        <v>0</v>
      </c>
      <c r="K20" s="49">
        <f t="shared" si="2"/>
        <v>0</v>
      </c>
      <c r="L20" s="111"/>
      <c r="M20" s="113">
        <f t="shared" si="9"/>
        <v>0</v>
      </c>
      <c r="N20" s="118">
        <f t="shared" si="10"/>
        <v>0</v>
      </c>
    </row>
    <row r="21" spans="1:14" x14ac:dyDescent="0.45">
      <c r="A21" s="127" t="s">
        <v>195</v>
      </c>
      <c r="B21" s="128">
        <v>501</v>
      </c>
      <c r="C21" s="103"/>
      <c r="D21" s="123" t="s">
        <v>196</v>
      </c>
      <c r="E21" s="100">
        <f>SUM(I21)</f>
        <v>40.14</v>
      </c>
      <c r="F21" s="100">
        <f t="shared" si="0"/>
        <v>40.14</v>
      </c>
      <c r="G21" s="84"/>
      <c r="H21" s="67">
        <v>38.619999999999997</v>
      </c>
      <c r="I21" s="52">
        <v>40.14</v>
      </c>
      <c r="J21" s="51">
        <f t="shared" ref="J21" si="11">SUM(I21-H21)/H21</f>
        <v>3.9357845675815725E-2</v>
      </c>
      <c r="K21" s="49">
        <f t="shared" ref="K21" si="12">SUM(H21*J21)</f>
        <v>1.5200000000000031</v>
      </c>
      <c r="L21" s="111"/>
      <c r="M21" s="113">
        <f t="shared" si="9"/>
        <v>0</v>
      </c>
      <c r="N21" s="118">
        <f t="shared" si="10"/>
        <v>0</v>
      </c>
    </row>
    <row r="22" spans="1:14" x14ac:dyDescent="0.45">
      <c r="A22" s="122" t="s">
        <v>197</v>
      </c>
      <c r="B22" s="123"/>
      <c r="C22" s="103"/>
      <c r="D22" s="123" t="s">
        <v>198</v>
      </c>
      <c r="E22" s="100">
        <f>SUM(I22)</f>
        <v>300.49</v>
      </c>
      <c r="F22" s="100">
        <f t="shared" ref="F22" si="13">SUM(I22/1)</f>
        <v>300.49</v>
      </c>
      <c r="G22" s="84"/>
      <c r="H22" s="67">
        <v>288.89</v>
      </c>
      <c r="I22" s="52">
        <v>300.49</v>
      </c>
      <c r="J22" s="51">
        <f>SUM(I22-H22)/H22</f>
        <v>4.0153691716570399E-2</v>
      </c>
      <c r="K22" s="49">
        <f t="shared" ref="K22" si="14">SUM(H22*J22)</f>
        <v>11.600000000000023</v>
      </c>
      <c r="L22" s="111"/>
      <c r="M22" s="113">
        <f t="shared" si="9"/>
        <v>0</v>
      </c>
      <c r="N22" s="118">
        <f t="shared" si="10"/>
        <v>0</v>
      </c>
    </row>
    <row r="23" spans="1:14" x14ac:dyDescent="0.45">
      <c r="A23" s="122"/>
      <c r="B23" s="123"/>
      <c r="C23" s="103"/>
      <c r="D23" s="124"/>
      <c r="E23" s="100"/>
      <c r="F23" s="100"/>
      <c r="G23" s="84"/>
      <c r="H23" s="67"/>
      <c r="I23" s="52"/>
      <c r="L23" s="111"/>
      <c r="M23" s="113"/>
      <c r="N23" s="118"/>
    </row>
    <row r="24" spans="1:14" x14ac:dyDescent="0.45">
      <c r="A24" s="122"/>
      <c r="B24" s="123"/>
      <c r="C24" s="103"/>
      <c r="D24" s="125" t="s">
        <v>199</v>
      </c>
      <c r="E24" s="100"/>
      <c r="F24" s="100"/>
      <c r="G24" s="84"/>
      <c r="H24" s="67"/>
      <c r="I24" s="52"/>
      <c r="L24" s="111"/>
      <c r="M24" s="113"/>
      <c r="N24" s="118"/>
    </row>
    <row r="25" spans="1:14" x14ac:dyDescent="0.45">
      <c r="A25" s="122" t="s">
        <v>200</v>
      </c>
      <c r="B25" s="123"/>
      <c r="C25" s="103"/>
      <c r="D25" s="124" t="s">
        <v>201</v>
      </c>
      <c r="E25" s="100">
        <f>SUM(H25)</f>
        <v>34.89</v>
      </c>
      <c r="F25" s="100">
        <f t="shared" si="0"/>
        <v>34.89</v>
      </c>
      <c r="G25" s="84"/>
      <c r="H25" s="67">
        <v>34.89</v>
      </c>
      <c r="I25" s="52">
        <v>34.89</v>
      </c>
      <c r="J25" s="51">
        <f t="shared" si="1"/>
        <v>0</v>
      </c>
      <c r="K25" s="49">
        <f t="shared" si="2"/>
        <v>0</v>
      </c>
      <c r="L25" s="111"/>
      <c r="M25" s="113">
        <f>SUM(I25*L25)</f>
        <v>0</v>
      </c>
      <c r="N25" s="118">
        <f>SUM(M25*0.35+M25)</f>
        <v>0</v>
      </c>
    </row>
    <row r="26" spans="1:14" x14ac:dyDescent="0.45">
      <c r="A26" s="122"/>
      <c r="B26" s="123" t="s">
        <v>202</v>
      </c>
      <c r="C26" s="103"/>
      <c r="D26" s="124" t="s">
        <v>203</v>
      </c>
      <c r="E26" s="100">
        <f>SUM(H26)</f>
        <v>60.41</v>
      </c>
      <c r="F26" s="100">
        <f t="shared" si="0"/>
        <v>60.41</v>
      </c>
      <c r="G26" s="84"/>
      <c r="H26" s="67">
        <v>60.41</v>
      </c>
      <c r="I26" s="52">
        <v>60.41</v>
      </c>
      <c r="J26" s="51">
        <f t="shared" si="1"/>
        <v>0</v>
      </c>
      <c r="K26" s="49">
        <f t="shared" si="2"/>
        <v>0</v>
      </c>
      <c r="L26" s="111"/>
      <c r="M26" s="113">
        <f>SUM(I26*L26)</f>
        <v>0</v>
      </c>
      <c r="N26" s="118">
        <f>SUM(M26*0.35+M26)</f>
        <v>0</v>
      </c>
    </row>
    <row r="27" spans="1:14" x14ac:dyDescent="0.45">
      <c r="A27" s="122"/>
      <c r="B27" s="123"/>
      <c r="C27" s="103"/>
      <c r="D27" s="124"/>
      <c r="E27" s="100"/>
      <c r="F27" s="100"/>
      <c r="G27" s="84"/>
      <c r="H27" s="67"/>
      <c r="I27" s="52"/>
      <c r="L27" s="111"/>
      <c r="M27" s="113"/>
      <c r="N27" s="118"/>
    </row>
    <row r="28" spans="1:14" x14ac:dyDescent="0.45">
      <c r="A28" s="122"/>
      <c r="B28" s="123"/>
      <c r="C28" s="103"/>
      <c r="D28" s="125" t="s">
        <v>204</v>
      </c>
      <c r="E28" s="100"/>
      <c r="F28" s="100"/>
      <c r="G28" s="84"/>
      <c r="H28" s="67"/>
      <c r="I28" s="52"/>
      <c r="L28" s="111"/>
      <c r="M28" s="113"/>
      <c r="N28" s="118"/>
    </row>
    <row r="29" spans="1:14" x14ac:dyDescent="0.45">
      <c r="A29" s="122" t="s">
        <v>205</v>
      </c>
      <c r="B29" s="123"/>
      <c r="C29" s="103"/>
      <c r="D29" s="124" t="s">
        <v>206</v>
      </c>
      <c r="E29" s="100">
        <f>SUM(H29)</f>
        <v>69.94</v>
      </c>
      <c r="F29" s="100">
        <f t="shared" si="0"/>
        <v>69.94</v>
      </c>
      <c r="G29" s="84"/>
      <c r="H29" s="67">
        <v>69.94</v>
      </c>
      <c r="I29" s="52">
        <v>69.94</v>
      </c>
      <c r="J29" s="51">
        <f t="shared" si="1"/>
        <v>0</v>
      </c>
      <c r="K29" s="49">
        <f t="shared" si="2"/>
        <v>0</v>
      </c>
      <c r="L29" s="111"/>
      <c r="M29" s="113">
        <f>SUM(I29*L29)</f>
        <v>0</v>
      </c>
      <c r="N29" s="118">
        <f>SUM(M29*0.35+M29)</f>
        <v>0</v>
      </c>
    </row>
    <row r="30" spans="1:14" x14ac:dyDescent="0.45">
      <c r="A30" s="122"/>
      <c r="B30" s="123"/>
      <c r="C30" s="103"/>
      <c r="D30" s="129"/>
      <c r="E30" s="100"/>
      <c r="F30" s="100"/>
      <c r="G30" s="84"/>
      <c r="H30" s="67"/>
      <c r="I30" s="52"/>
      <c r="L30" s="111"/>
      <c r="M30" s="113"/>
      <c r="N30" s="118"/>
    </row>
    <row r="31" spans="1:14" x14ac:dyDescent="0.45">
      <c r="A31" s="122"/>
      <c r="B31" s="123"/>
      <c r="C31" s="103"/>
      <c r="D31" s="124"/>
      <c r="E31" s="100"/>
      <c r="F31" s="100"/>
      <c r="G31" s="84"/>
      <c r="H31" s="67"/>
      <c r="I31" s="52"/>
      <c r="L31" s="111"/>
      <c r="M31" s="113"/>
      <c r="N31" s="118"/>
    </row>
    <row r="32" spans="1:14" x14ac:dyDescent="0.45">
      <c r="A32" s="122"/>
      <c r="B32" s="123"/>
      <c r="C32" s="103"/>
      <c r="D32" s="125" t="s">
        <v>207</v>
      </c>
      <c r="E32" s="100"/>
      <c r="F32" s="100"/>
      <c r="G32" s="84"/>
      <c r="H32" s="67"/>
      <c r="I32" s="52"/>
      <c r="L32" s="111"/>
      <c r="M32" s="113"/>
      <c r="N32" s="118"/>
    </row>
    <row r="33" spans="1:14" x14ac:dyDescent="0.45">
      <c r="A33" s="122" t="s">
        <v>208</v>
      </c>
      <c r="B33" s="123" t="s">
        <v>209</v>
      </c>
      <c r="C33" s="103"/>
      <c r="D33" s="124" t="s">
        <v>210</v>
      </c>
      <c r="E33" s="100">
        <f>SUM(H33/100)</f>
        <v>0.39</v>
      </c>
      <c r="F33" s="100">
        <f t="shared" si="0"/>
        <v>39</v>
      </c>
      <c r="G33" s="84"/>
      <c r="H33" s="67">
        <v>39</v>
      </c>
      <c r="I33" s="50">
        <v>39</v>
      </c>
      <c r="J33" s="51">
        <f t="shared" si="1"/>
        <v>0</v>
      </c>
      <c r="K33" s="49">
        <f t="shared" si="2"/>
        <v>0</v>
      </c>
      <c r="L33" s="111"/>
      <c r="M33" s="113">
        <f>SUM(I33*L33)</f>
        <v>0</v>
      </c>
      <c r="N33" s="118">
        <f>SUM(M33*0.35+M33)</f>
        <v>0</v>
      </c>
    </row>
    <row r="34" spans="1:14" x14ac:dyDescent="0.45">
      <c r="A34" s="122" t="s">
        <v>211</v>
      </c>
      <c r="B34" s="123" t="s">
        <v>212</v>
      </c>
      <c r="C34" s="103"/>
      <c r="D34" s="124" t="s">
        <v>213</v>
      </c>
      <c r="E34" s="100">
        <f>SUM(H34/100)</f>
        <v>0.11990000000000001</v>
      </c>
      <c r="F34" s="100">
        <f t="shared" si="0"/>
        <v>26.57</v>
      </c>
      <c r="G34" s="84"/>
      <c r="H34" s="67">
        <v>11.99</v>
      </c>
      <c r="I34" s="50">
        <v>26.57</v>
      </c>
      <c r="J34" s="51">
        <f t="shared" si="1"/>
        <v>1.2160133444537113</v>
      </c>
      <c r="K34" s="49">
        <f t="shared" si="2"/>
        <v>14.58</v>
      </c>
      <c r="L34" s="111"/>
      <c r="M34" s="113">
        <f>SUM(I34*L34)</f>
        <v>0</v>
      </c>
      <c r="N34" s="118">
        <f>SUM(M34*0.35+M34)</f>
        <v>0</v>
      </c>
    </row>
    <row r="35" spans="1:14" x14ac:dyDescent="0.45">
      <c r="A35" s="122" t="s">
        <v>214</v>
      </c>
      <c r="B35" s="123"/>
      <c r="C35" s="103"/>
      <c r="D35" s="124" t="s">
        <v>215</v>
      </c>
      <c r="E35" s="100">
        <f>SUM(H35/100)</f>
        <v>0.1726</v>
      </c>
      <c r="F35" s="100">
        <f t="shared" si="0"/>
        <v>38.619999999999997</v>
      </c>
      <c r="G35" s="84"/>
      <c r="H35" s="67">
        <v>17.260000000000002</v>
      </c>
      <c r="I35" s="50">
        <v>38.619999999999997</v>
      </c>
      <c r="J35" s="51">
        <f t="shared" si="1"/>
        <v>1.2375434530706833</v>
      </c>
      <c r="K35" s="49">
        <f t="shared" si="2"/>
        <v>21.359999999999996</v>
      </c>
      <c r="L35" s="111"/>
      <c r="M35" s="113">
        <f>SUM(I35*L35)</f>
        <v>0</v>
      </c>
      <c r="N35" s="118">
        <f>SUM(M35*0.35+M35)</f>
        <v>0</v>
      </c>
    </row>
    <row r="36" spans="1:14" x14ac:dyDescent="0.45">
      <c r="A36" s="122" t="s">
        <v>216</v>
      </c>
      <c r="B36" s="123" t="s">
        <v>217</v>
      </c>
      <c r="C36" s="103"/>
      <c r="D36" s="124" t="s">
        <v>218</v>
      </c>
      <c r="E36" s="100"/>
      <c r="F36" s="100">
        <f t="shared" si="0"/>
        <v>16.5</v>
      </c>
      <c r="G36" s="84"/>
      <c r="H36" s="67">
        <v>16.5</v>
      </c>
      <c r="I36" s="52">
        <v>16.5</v>
      </c>
      <c r="J36" s="51">
        <f t="shared" si="1"/>
        <v>0</v>
      </c>
      <c r="K36" s="49">
        <f t="shared" si="2"/>
        <v>0</v>
      </c>
      <c r="L36" s="111"/>
      <c r="M36" s="113">
        <f>SUM(I36*L36)</f>
        <v>0</v>
      </c>
      <c r="N36" s="118">
        <f>SUM(M36*0.35+M36)</f>
        <v>0</v>
      </c>
    </row>
    <row r="37" spans="1:14" x14ac:dyDescent="0.45">
      <c r="A37" s="122"/>
      <c r="B37" s="123"/>
      <c r="C37" s="103"/>
      <c r="D37" s="124"/>
      <c r="E37" s="100"/>
      <c r="F37" s="100"/>
      <c r="G37" s="84"/>
      <c r="H37" s="67"/>
      <c r="I37" s="52"/>
      <c r="L37" s="111"/>
      <c r="M37" s="113"/>
      <c r="N37" s="118"/>
    </row>
    <row r="38" spans="1:14" x14ac:dyDescent="0.45">
      <c r="A38" s="122"/>
      <c r="B38" s="123"/>
      <c r="C38" s="103"/>
      <c r="D38" s="125" t="s">
        <v>219</v>
      </c>
      <c r="E38" s="100"/>
      <c r="F38" s="100"/>
      <c r="G38" s="84"/>
      <c r="H38" s="67"/>
      <c r="I38" s="52"/>
      <c r="L38" s="111"/>
      <c r="M38" s="113"/>
      <c r="N38" s="118"/>
    </row>
    <row r="39" spans="1:14" x14ac:dyDescent="0.45">
      <c r="A39" s="122" t="s">
        <v>220</v>
      </c>
      <c r="B39" s="123" t="s">
        <v>221</v>
      </c>
      <c r="C39" s="103"/>
      <c r="D39" s="124" t="s">
        <v>222</v>
      </c>
      <c r="E39" s="100">
        <f>SUM(H39)</f>
        <v>3.49</v>
      </c>
      <c r="F39" s="100">
        <f t="shared" si="0"/>
        <v>3.49</v>
      </c>
      <c r="G39" s="84"/>
      <c r="H39" s="67">
        <v>3.49</v>
      </c>
      <c r="I39" s="52">
        <v>3.49</v>
      </c>
      <c r="J39" s="51">
        <f t="shared" si="1"/>
        <v>0</v>
      </c>
      <c r="K39" s="49">
        <f t="shared" si="2"/>
        <v>0</v>
      </c>
      <c r="L39" s="111"/>
      <c r="M39" s="113">
        <f>SUM(I39*L39)</f>
        <v>0</v>
      </c>
      <c r="N39" s="118">
        <f>SUM(M39*0.35+M39)</f>
        <v>0</v>
      </c>
    </row>
    <row r="40" spans="1:14" x14ac:dyDescent="0.45">
      <c r="A40" s="122" t="s">
        <v>223</v>
      </c>
      <c r="B40" s="123"/>
      <c r="C40" s="103"/>
      <c r="D40" s="124" t="s">
        <v>224</v>
      </c>
      <c r="E40" s="100">
        <f>SUM(H40)</f>
        <v>12.85</v>
      </c>
      <c r="F40" s="100">
        <f t="shared" si="0"/>
        <v>12.85</v>
      </c>
      <c r="G40" s="84"/>
      <c r="H40" s="67">
        <v>12.85</v>
      </c>
      <c r="I40" s="52">
        <v>12.85</v>
      </c>
      <c r="J40" s="51">
        <f t="shared" si="1"/>
        <v>0</v>
      </c>
      <c r="K40" s="49">
        <f t="shared" si="2"/>
        <v>0</v>
      </c>
      <c r="L40" s="111"/>
      <c r="M40" s="113">
        <f>SUM(I40*L40)</f>
        <v>0</v>
      </c>
      <c r="N40" s="118">
        <f>SUM(M40*0.35+M40)</f>
        <v>0</v>
      </c>
    </row>
    <row r="41" spans="1:14" x14ac:dyDescent="0.45">
      <c r="A41" s="122"/>
      <c r="B41" s="123"/>
      <c r="C41" s="103"/>
      <c r="D41" s="124"/>
      <c r="E41" s="100"/>
      <c r="F41" s="100"/>
      <c r="G41" s="84"/>
      <c r="H41" s="67"/>
      <c r="I41" s="52"/>
      <c r="L41" s="111"/>
      <c r="M41" s="113"/>
      <c r="N41" s="118"/>
    </row>
    <row r="42" spans="1:14" x14ac:dyDescent="0.45">
      <c r="A42" s="122"/>
      <c r="B42" s="123"/>
      <c r="C42" s="103"/>
      <c r="D42" s="124"/>
      <c r="E42" s="100"/>
      <c r="F42" s="100"/>
      <c r="G42" s="84"/>
      <c r="H42" s="67"/>
      <c r="I42" s="52"/>
      <c r="L42" s="111"/>
      <c r="M42" s="113"/>
      <c r="N42" s="118"/>
    </row>
    <row r="43" spans="1:14" x14ac:dyDescent="0.45">
      <c r="A43" s="122"/>
      <c r="B43" s="123"/>
      <c r="C43" s="103"/>
      <c r="D43" s="124"/>
      <c r="E43" s="100"/>
      <c r="F43" s="100"/>
      <c r="G43" s="84"/>
      <c r="H43" s="67"/>
      <c r="I43" s="52"/>
      <c r="L43" s="111"/>
      <c r="M43" s="113"/>
      <c r="N43" s="118"/>
    </row>
    <row r="44" spans="1:14" x14ac:dyDescent="0.45">
      <c r="A44" s="122"/>
      <c r="B44" s="123"/>
      <c r="C44" s="103"/>
      <c r="D44" s="130" t="s">
        <v>225</v>
      </c>
      <c r="E44" s="100"/>
      <c r="F44" s="100"/>
      <c r="G44" s="84"/>
      <c r="H44" s="67"/>
      <c r="I44" s="52"/>
      <c r="L44" s="111"/>
      <c r="M44" s="113"/>
      <c r="N44" s="118"/>
    </row>
    <row r="45" spans="1:14" s="1" customFormat="1" ht="14.1" customHeight="1" x14ac:dyDescent="0.45">
      <c r="A45" s="131" t="s">
        <v>226</v>
      </c>
      <c r="B45" s="124">
        <v>5781</v>
      </c>
      <c r="C45" s="104"/>
      <c r="D45" s="123" t="s">
        <v>227</v>
      </c>
      <c r="E45" s="101" t="s">
        <v>228</v>
      </c>
      <c r="F45" s="102">
        <f>SUM(I45/1)</f>
        <v>54.36</v>
      </c>
      <c r="G45" s="104"/>
      <c r="H45" s="67"/>
      <c r="I45" s="47">
        <v>54.36</v>
      </c>
      <c r="J45" s="48"/>
      <c r="K45" s="117"/>
      <c r="L45" s="112"/>
      <c r="M45" s="114">
        <v>0</v>
      </c>
      <c r="N45" s="119">
        <f>SUM(M45*35%)+M45</f>
        <v>0</v>
      </c>
    </row>
    <row r="46" spans="1:14" x14ac:dyDescent="0.45">
      <c r="A46" s="122" t="s">
        <v>229</v>
      </c>
      <c r="B46" s="123"/>
      <c r="C46" s="103"/>
      <c r="D46" s="124" t="s">
        <v>230</v>
      </c>
      <c r="E46" s="100">
        <f t="shared" ref="E46:E51" si="15">SUM(H46)</f>
        <v>63.62</v>
      </c>
      <c r="F46" s="100">
        <f t="shared" ref="F46:F68" si="16">SUM(I46/1)</f>
        <v>63.62</v>
      </c>
      <c r="G46" s="84"/>
      <c r="H46" s="67">
        <v>63.62</v>
      </c>
      <c r="I46" s="52">
        <v>63.62</v>
      </c>
      <c r="J46" s="51">
        <f t="shared" si="1"/>
        <v>0</v>
      </c>
      <c r="K46" s="49">
        <f t="shared" si="2"/>
        <v>0</v>
      </c>
      <c r="L46" s="111"/>
      <c r="M46" s="113">
        <f t="shared" ref="M46:M51" si="17">SUM(I46*L46)</f>
        <v>0</v>
      </c>
      <c r="N46" s="118">
        <f t="shared" ref="N46:N51" si="18">SUM(M46*0.35+M46)</f>
        <v>0</v>
      </c>
    </row>
    <row r="47" spans="1:14" x14ac:dyDescent="0.45">
      <c r="A47" s="122" t="s">
        <v>231</v>
      </c>
      <c r="B47" s="123" t="s">
        <v>231</v>
      </c>
      <c r="C47" s="103"/>
      <c r="D47" s="124" t="s">
        <v>232</v>
      </c>
      <c r="E47" s="100">
        <f t="shared" si="15"/>
        <v>34.89</v>
      </c>
      <c r="F47" s="100">
        <f t="shared" si="16"/>
        <v>34.89</v>
      </c>
      <c r="G47" s="84"/>
      <c r="H47" s="67">
        <v>34.89</v>
      </c>
      <c r="I47" s="52">
        <v>34.89</v>
      </c>
      <c r="J47" s="51">
        <f t="shared" si="1"/>
        <v>0</v>
      </c>
      <c r="K47" s="49">
        <f t="shared" si="2"/>
        <v>0</v>
      </c>
      <c r="L47" s="111"/>
      <c r="M47" s="113">
        <f t="shared" si="17"/>
        <v>0</v>
      </c>
      <c r="N47" s="118">
        <f t="shared" si="18"/>
        <v>0</v>
      </c>
    </row>
    <row r="48" spans="1:14" x14ac:dyDescent="0.45">
      <c r="A48" s="122" t="s">
        <v>233</v>
      </c>
      <c r="B48" s="123"/>
      <c r="C48" s="103"/>
      <c r="D48" s="124" t="s">
        <v>234</v>
      </c>
      <c r="E48" s="100">
        <f t="shared" si="15"/>
        <v>13.16</v>
      </c>
      <c r="F48" s="100">
        <f t="shared" si="16"/>
        <v>15.49</v>
      </c>
      <c r="G48" s="84"/>
      <c r="H48" s="67">
        <v>13.16</v>
      </c>
      <c r="I48" s="52">
        <v>15.49</v>
      </c>
      <c r="J48" s="51">
        <f t="shared" si="1"/>
        <v>0.17705167173252279</v>
      </c>
      <c r="K48" s="49">
        <f t="shared" si="2"/>
        <v>2.33</v>
      </c>
      <c r="L48" s="111"/>
      <c r="M48" s="113">
        <f t="shared" si="17"/>
        <v>0</v>
      </c>
      <c r="N48" s="118">
        <f t="shared" si="18"/>
        <v>0</v>
      </c>
    </row>
    <row r="49" spans="1:14" x14ac:dyDescent="0.45">
      <c r="A49" s="122" t="s">
        <v>235</v>
      </c>
      <c r="B49" s="123"/>
      <c r="C49" s="103"/>
      <c r="D49" s="124" t="s">
        <v>236</v>
      </c>
      <c r="E49" s="100">
        <f t="shared" si="15"/>
        <v>6.24</v>
      </c>
      <c r="F49" s="100">
        <f t="shared" si="16"/>
        <v>6.24</v>
      </c>
      <c r="G49" s="84"/>
      <c r="H49" s="67">
        <v>6.24</v>
      </c>
      <c r="I49" s="52">
        <v>6.24</v>
      </c>
      <c r="J49" s="51">
        <f t="shared" si="1"/>
        <v>0</v>
      </c>
      <c r="K49" s="49">
        <f t="shared" si="2"/>
        <v>0</v>
      </c>
      <c r="L49" s="111"/>
      <c r="M49" s="113">
        <f t="shared" si="17"/>
        <v>0</v>
      </c>
      <c r="N49" s="118">
        <f t="shared" si="18"/>
        <v>0</v>
      </c>
    </row>
    <row r="50" spans="1:14" x14ac:dyDescent="0.45">
      <c r="A50" s="122" t="s">
        <v>237</v>
      </c>
      <c r="B50" s="123" t="s">
        <v>238</v>
      </c>
      <c r="C50" s="103"/>
      <c r="D50" s="124" t="s">
        <v>239</v>
      </c>
      <c r="E50" s="100">
        <f t="shared" si="15"/>
        <v>28.54</v>
      </c>
      <c r="F50" s="100">
        <f t="shared" si="16"/>
        <v>28.54</v>
      </c>
      <c r="G50" s="84"/>
      <c r="H50" s="67">
        <v>28.54</v>
      </c>
      <c r="I50" s="52">
        <v>28.54</v>
      </c>
      <c r="J50" s="51">
        <f t="shared" si="1"/>
        <v>0</v>
      </c>
      <c r="K50" s="49">
        <f t="shared" si="2"/>
        <v>0</v>
      </c>
      <c r="L50" s="111"/>
      <c r="M50" s="113">
        <f t="shared" si="17"/>
        <v>0</v>
      </c>
      <c r="N50" s="118">
        <f t="shared" si="18"/>
        <v>0</v>
      </c>
    </row>
    <row r="51" spans="1:14" x14ac:dyDescent="0.45">
      <c r="A51" s="122" t="s">
        <v>240</v>
      </c>
      <c r="B51" s="123"/>
      <c r="C51" s="103"/>
      <c r="D51" s="124" t="s">
        <v>241</v>
      </c>
      <c r="E51" s="100">
        <f t="shared" si="15"/>
        <v>29.54</v>
      </c>
      <c r="F51" s="100">
        <f t="shared" si="16"/>
        <v>29.54</v>
      </c>
      <c r="G51" s="84"/>
      <c r="H51" s="67">
        <v>29.54</v>
      </c>
      <c r="I51" s="52">
        <v>29.54</v>
      </c>
      <c r="J51" s="51">
        <f t="shared" si="1"/>
        <v>0</v>
      </c>
      <c r="K51" s="49">
        <f t="shared" si="2"/>
        <v>0</v>
      </c>
      <c r="L51" s="111"/>
      <c r="M51" s="113">
        <f t="shared" si="17"/>
        <v>0</v>
      </c>
      <c r="N51" s="118">
        <f t="shared" si="18"/>
        <v>0</v>
      </c>
    </row>
    <row r="52" spans="1:14" x14ac:dyDescent="0.45">
      <c r="A52" s="122"/>
      <c r="B52" s="123"/>
      <c r="C52" s="103"/>
      <c r="D52" s="124"/>
      <c r="E52" s="100"/>
      <c r="F52" s="100"/>
      <c r="G52" s="84"/>
      <c r="H52" s="67"/>
      <c r="I52" s="52"/>
      <c r="L52" s="111"/>
      <c r="M52" s="113"/>
      <c r="N52" s="118"/>
    </row>
    <row r="53" spans="1:14" x14ac:dyDescent="0.45">
      <c r="A53" s="122"/>
      <c r="B53" s="123"/>
      <c r="C53" s="103"/>
      <c r="D53" s="124"/>
      <c r="E53" s="100"/>
      <c r="F53" s="100"/>
      <c r="G53" s="84"/>
      <c r="H53" s="67"/>
      <c r="I53" s="52"/>
      <c r="L53" s="111"/>
      <c r="M53" s="113"/>
      <c r="N53" s="118"/>
    </row>
    <row r="54" spans="1:14" x14ac:dyDescent="0.45">
      <c r="A54" s="122"/>
      <c r="B54" s="123"/>
      <c r="C54" s="103"/>
      <c r="D54" s="124"/>
      <c r="E54" s="100"/>
      <c r="F54" s="100"/>
      <c r="G54" s="84"/>
      <c r="H54" s="67"/>
      <c r="I54" s="52"/>
      <c r="L54" s="111"/>
      <c r="M54" s="113"/>
      <c r="N54" s="118"/>
    </row>
    <row r="55" spans="1:14" x14ac:dyDescent="0.45">
      <c r="A55" s="122"/>
      <c r="B55" s="123"/>
      <c r="C55" s="103"/>
      <c r="D55" s="125" t="s">
        <v>242</v>
      </c>
      <c r="E55" s="100"/>
      <c r="F55" s="100"/>
      <c r="G55" s="84"/>
      <c r="H55" s="67"/>
      <c r="I55" s="52"/>
      <c r="L55" s="111"/>
      <c r="M55" s="113"/>
      <c r="N55" s="118"/>
    </row>
    <row r="56" spans="1:14" x14ac:dyDescent="0.45">
      <c r="A56" s="122" t="s">
        <v>243</v>
      </c>
      <c r="B56" s="123" t="s">
        <v>243</v>
      </c>
      <c r="C56" s="103"/>
      <c r="D56" s="124" t="s">
        <v>244</v>
      </c>
      <c r="E56" s="100">
        <f>SUM(H56)</f>
        <v>6.76</v>
      </c>
      <c r="F56" s="100">
        <f t="shared" si="16"/>
        <v>6.76</v>
      </c>
      <c r="G56" s="84"/>
      <c r="H56" s="67">
        <v>6.76</v>
      </c>
      <c r="I56" s="52">
        <v>6.76</v>
      </c>
      <c r="J56" s="51">
        <f t="shared" si="1"/>
        <v>0</v>
      </c>
      <c r="K56" s="49">
        <f t="shared" si="2"/>
        <v>0</v>
      </c>
      <c r="L56" s="111"/>
      <c r="M56" s="113">
        <f>SUM(I56*L56)</f>
        <v>0</v>
      </c>
      <c r="N56" s="118">
        <f>SUM(M56*0.35+M56)</f>
        <v>0</v>
      </c>
    </row>
    <row r="57" spans="1:14" x14ac:dyDescent="0.45">
      <c r="A57" s="122" t="s">
        <v>245</v>
      </c>
      <c r="B57" s="123"/>
      <c r="C57" s="103"/>
      <c r="D57" s="124" t="s">
        <v>246</v>
      </c>
      <c r="E57" s="100">
        <f>SUM(H57)</f>
        <v>18.71</v>
      </c>
      <c r="F57" s="100">
        <f t="shared" si="16"/>
        <v>18.71</v>
      </c>
      <c r="G57" s="84"/>
      <c r="H57" s="67">
        <v>18.71</v>
      </c>
      <c r="I57" s="52">
        <v>18.71</v>
      </c>
      <c r="J57" s="51">
        <f t="shared" si="1"/>
        <v>0</v>
      </c>
      <c r="K57" s="49">
        <f t="shared" si="2"/>
        <v>0</v>
      </c>
      <c r="L57" s="111"/>
      <c r="M57" s="113">
        <f>SUM(I57*L57)</f>
        <v>0</v>
      </c>
      <c r="N57" s="118">
        <f>SUM(M57*0.35+M57)</f>
        <v>0</v>
      </c>
    </row>
    <row r="58" spans="1:14" x14ac:dyDescent="0.45">
      <c r="A58" s="122" t="s">
        <v>247</v>
      </c>
      <c r="B58" s="123"/>
      <c r="C58" s="103"/>
      <c r="D58" s="124" t="s">
        <v>248</v>
      </c>
      <c r="E58" s="100">
        <f>SUM(H58)</f>
        <v>20.79</v>
      </c>
      <c r="F58" s="100">
        <f t="shared" si="16"/>
        <v>20.79</v>
      </c>
      <c r="G58" s="84"/>
      <c r="H58" s="67">
        <v>20.79</v>
      </c>
      <c r="I58" s="52">
        <v>20.79</v>
      </c>
      <c r="J58" s="51">
        <f t="shared" si="1"/>
        <v>0</v>
      </c>
      <c r="K58" s="49">
        <f t="shared" si="2"/>
        <v>0</v>
      </c>
      <c r="L58" s="111"/>
      <c r="M58" s="113">
        <f>SUM(I58*L58)</f>
        <v>0</v>
      </c>
      <c r="N58" s="118">
        <f>SUM(M58*0.35+M58)</f>
        <v>0</v>
      </c>
    </row>
    <row r="59" spans="1:14" x14ac:dyDescent="0.45">
      <c r="A59" s="122"/>
      <c r="B59" s="123"/>
      <c r="C59" s="103"/>
      <c r="D59" s="124"/>
      <c r="E59" s="100"/>
      <c r="F59" s="100"/>
      <c r="G59" s="84"/>
      <c r="H59" s="67"/>
      <c r="I59" s="52"/>
      <c r="L59" s="111"/>
      <c r="M59" s="113"/>
      <c r="N59" s="118"/>
    </row>
    <row r="60" spans="1:14" x14ac:dyDescent="0.45">
      <c r="A60" s="122" t="s">
        <v>249</v>
      </c>
      <c r="B60" s="123"/>
      <c r="C60" s="103"/>
      <c r="D60" s="124" t="s">
        <v>250</v>
      </c>
      <c r="E60" s="100">
        <f>SUM(H60)</f>
        <v>20.9</v>
      </c>
      <c r="F60" s="100">
        <f t="shared" si="16"/>
        <v>20.9</v>
      </c>
      <c r="G60" s="84"/>
      <c r="H60" s="67">
        <v>20.9</v>
      </c>
      <c r="I60" s="52">
        <v>20.9</v>
      </c>
      <c r="J60" s="51">
        <f t="shared" si="1"/>
        <v>0</v>
      </c>
      <c r="K60" s="49">
        <f t="shared" si="2"/>
        <v>0</v>
      </c>
      <c r="L60" s="111"/>
      <c r="M60" s="113">
        <f>SUM(I60*L60)</f>
        <v>0</v>
      </c>
      <c r="N60" s="118">
        <f>SUM(M60*0.35+M60)</f>
        <v>0</v>
      </c>
    </row>
    <row r="61" spans="1:14" x14ac:dyDescent="0.45">
      <c r="A61" s="122" t="s">
        <v>251</v>
      </c>
      <c r="B61" s="123"/>
      <c r="C61" s="103"/>
      <c r="D61" s="124" t="s">
        <v>252</v>
      </c>
      <c r="E61" s="100">
        <f>SUM(H61)</f>
        <v>21.06</v>
      </c>
      <c r="F61" s="100">
        <f t="shared" si="16"/>
        <v>21.06</v>
      </c>
      <c r="G61" s="84"/>
      <c r="H61" s="67">
        <v>21.06</v>
      </c>
      <c r="I61" s="52">
        <v>21.06</v>
      </c>
      <c r="J61" s="51">
        <f t="shared" si="1"/>
        <v>0</v>
      </c>
      <c r="K61" s="49">
        <f t="shared" si="2"/>
        <v>0</v>
      </c>
      <c r="L61" s="111"/>
      <c r="M61" s="113">
        <f>SUM(I61*L61)</f>
        <v>0</v>
      </c>
      <c r="N61" s="118">
        <f>SUM(M61*0.35+M61)</f>
        <v>0</v>
      </c>
    </row>
    <row r="62" spans="1:14" x14ac:dyDescent="0.45">
      <c r="A62" s="122"/>
      <c r="B62" s="123"/>
      <c r="C62" s="103"/>
      <c r="D62" s="124"/>
      <c r="E62" s="100"/>
      <c r="F62" s="100"/>
      <c r="G62" s="84"/>
      <c r="H62" s="67"/>
      <c r="I62" s="52"/>
      <c r="L62" s="111"/>
      <c r="M62" s="113"/>
      <c r="N62" s="118"/>
    </row>
    <row r="63" spans="1:14" x14ac:dyDescent="0.45">
      <c r="A63" s="122" t="s">
        <v>253</v>
      </c>
      <c r="B63" s="123"/>
      <c r="C63" s="103"/>
      <c r="D63" s="124" t="s">
        <v>254</v>
      </c>
      <c r="E63" s="100">
        <f t="shared" ref="E63:E68" si="19">SUM(H63)</f>
        <v>30.3</v>
      </c>
      <c r="F63" s="100">
        <f t="shared" si="16"/>
        <v>30.3</v>
      </c>
      <c r="G63" s="84"/>
      <c r="H63" s="67">
        <v>30.3</v>
      </c>
      <c r="I63" s="52">
        <v>30.3</v>
      </c>
      <c r="J63" s="51">
        <f t="shared" si="1"/>
        <v>0</v>
      </c>
      <c r="K63" s="49">
        <f t="shared" si="2"/>
        <v>0</v>
      </c>
      <c r="L63" s="111"/>
      <c r="M63" s="113">
        <f t="shared" ref="M63:M68" si="20">SUM(I63*L63)</f>
        <v>0</v>
      </c>
      <c r="N63" s="118">
        <f t="shared" ref="N63:N68" si="21">SUM(M63*0.35+M63)</f>
        <v>0</v>
      </c>
    </row>
    <row r="64" spans="1:14" x14ac:dyDescent="0.45">
      <c r="A64" s="122" t="s">
        <v>245</v>
      </c>
      <c r="B64" s="123"/>
      <c r="C64" s="103"/>
      <c r="D64" s="124" t="s">
        <v>255</v>
      </c>
      <c r="E64" s="100">
        <f t="shared" si="19"/>
        <v>18.71</v>
      </c>
      <c r="F64" s="100">
        <f t="shared" si="16"/>
        <v>18.71</v>
      </c>
      <c r="G64" s="84"/>
      <c r="H64" s="67">
        <v>18.71</v>
      </c>
      <c r="I64" s="52">
        <v>18.71</v>
      </c>
      <c r="J64" s="51">
        <f t="shared" si="1"/>
        <v>0</v>
      </c>
      <c r="K64" s="49">
        <f t="shared" si="2"/>
        <v>0</v>
      </c>
      <c r="L64" s="111"/>
      <c r="M64" s="113">
        <f t="shared" si="20"/>
        <v>0</v>
      </c>
      <c r="N64" s="118">
        <f t="shared" si="21"/>
        <v>0</v>
      </c>
    </row>
    <row r="65" spans="1:14" x14ac:dyDescent="0.45">
      <c r="A65" s="122" t="s">
        <v>256</v>
      </c>
      <c r="B65" s="123"/>
      <c r="C65" s="103"/>
      <c r="D65" s="124" t="s">
        <v>257</v>
      </c>
      <c r="E65" s="100">
        <f t="shared" si="19"/>
        <v>29.04</v>
      </c>
      <c r="F65" s="100">
        <f t="shared" si="16"/>
        <v>29.04</v>
      </c>
      <c r="G65" s="84"/>
      <c r="H65" s="67">
        <v>29.04</v>
      </c>
      <c r="I65" s="52">
        <v>29.04</v>
      </c>
      <c r="J65" s="51">
        <f t="shared" si="1"/>
        <v>0</v>
      </c>
      <c r="K65" s="49">
        <f t="shared" si="2"/>
        <v>0</v>
      </c>
      <c r="L65" s="111"/>
      <c r="M65" s="113">
        <f t="shared" si="20"/>
        <v>0</v>
      </c>
      <c r="N65" s="118">
        <f t="shared" si="21"/>
        <v>0</v>
      </c>
    </row>
    <row r="66" spans="1:14" x14ac:dyDescent="0.45">
      <c r="A66" s="122" t="s">
        <v>258</v>
      </c>
      <c r="B66" s="123">
        <v>30041</v>
      </c>
      <c r="C66" s="103"/>
      <c r="D66" s="124" t="s">
        <v>259</v>
      </c>
      <c r="E66" s="100">
        <f t="shared" si="19"/>
        <v>6.78</v>
      </c>
      <c r="F66" s="100">
        <f t="shared" si="16"/>
        <v>6.78</v>
      </c>
      <c r="G66" s="84"/>
      <c r="H66" s="67">
        <v>6.78</v>
      </c>
      <c r="I66" s="52">
        <v>6.78</v>
      </c>
      <c r="J66" s="51">
        <f t="shared" si="1"/>
        <v>0</v>
      </c>
      <c r="K66" s="49">
        <f t="shared" si="2"/>
        <v>0</v>
      </c>
      <c r="L66" s="111"/>
      <c r="M66" s="113">
        <f t="shared" si="20"/>
        <v>0</v>
      </c>
      <c r="N66" s="118">
        <f t="shared" si="21"/>
        <v>0</v>
      </c>
    </row>
    <row r="67" spans="1:14" x14ac:dyDescent="0.45">
      <c r="A67" s="122" t="s">
        <v>260</v>
      </c>
      <c r="B67" s="123">
        <v>30043</v>
      </c>
      <c r="C67" s="103"/>
      <c r="D67" s="124" t="s">
        <v>261</v>
      </c>
      <c r="E67" s="100">
        <f t="shared" si="19"/>
        <v>6.55</v>
      </c>
      <c r="F67" s="100">
        <f t="shared" si="16"/>
        <v>6.55</v>
      </c>
      <c r="G67" s="84"/>
      <c r="H67" s="67">
        <v>6.55</v>
      </c>
      <c r="I67" s="52">
        <v>6.55</v>
      </c>
      <c r="J67" s="51">
        <f t="shared" si="1"/>
        <v>0</v>
      </c>
      <c r="K67" s="49">
        <f t="shared" si="2"/>
        <v>0</v>
      </c>
      <c r="L67" s="111"/>
      <c r="M67" s="113">
        <f t="shared" si="20"/>
        <v>0</v>
      </c>
      <c r="N67" s="118">
        <f t="shared" si="21"/>
        <v>0</v>
      </c>
    </row>
    <row r="68" spans="1:14" x14ac:dyDescent="0.45">
      <c r="A68" s="122" t="s">
        <v>262</v>
      </c>
      <c r="B68" s="123"/>
      <c r="C68" s="103"/>
      <c r="D68" s="124" t="s">
        <v>263</v>
      </c>
      <c r="E68" s="100">
        <f t="shared" si="19"/>
        <v>4.38</v>
      </c>
      <c r="F68" s="100">
        <f t="shared" si="16"/>
        <v>4.38</v>
      </c>
      <c r="G68" s="84"/>
      <c r="H68" s="67">
        <v>4.38</v>
      </c>
      <c r="I68" s="52">
        <v>4.38</v>
      </c>
      <c r="J68" s="51">
        <f t="shared" si="1"/>
        <v>0</v>
      </c>
      <c r="K68" s="49">
        <f t="shared" si="2"/>
        <v>0</v>
      </c>
      <c r="L68" s="111"/>
      <c r="M68" s="113">
        <f t="shared" si="20"/>
        <v>0</v>
      </c>
      <c r="N68" s="118">
        <f t="shared" si="21"/>
        <v>0</v>
      </c>
    </row>
    <row r="69" spans="1:14" x14ac:dyDescent="0.45">
      <c r="A69" s="103"/>
      <c r="B69" s="103"/>
      <c r="C69" s="103"/>
      <c r="D69" s="104"/>
      <c r="E69" s="84"/>
      <c r="F69" s="84"/>
      <c r="G69" s="84"/>
      <c r="H69" s="67"/>
      <c r="L69" s="111"/>
      <c r="M69" s="113"/>
      <c r="N69" s="118"/>
    </row>
    <row r="70" spans="1:14" x14ac:dyDescent="0.45">
      <c r="A70" s="103"/>
      <c r="B70" s="103"/>
      <c r="C70" s="103"/>
      <c r="D70" s="104"/>
      <c r="E70" s="84"/>
      <c r="F70" s="84"/>
      <c r="G70" s="84"/>
      <c r="H70" s="67"/>
      <c r="L70" s="111"/>
      <c r="M70" s="113"/>
      <c r="N70" s="118"/>
    </row>
    <row r="71" spans="1:14" x14ac:dyDescent="0.45">
      <c r="A71" s="103"/>
      <c r="B71" s="103"/>
      <c r="C71" s="103"/>
      <c r="D71" s="104"/>
      <c r="E71" s="84"/>
      <c r="F71" s="84"/>
      <c r="G71" s="84"/>
      <c r="H71" s="67"/>
      <c r="J71" s="51">
        <f>AVERAGE(J2:J70)</f>
        <v>7.0195972882797941E-2</v>
      </c>
      <c r="K71" s="49">
        <f>AVERAGE(K2:K70)</f>
        <v>1.394615384615385</v>
      </c>
      <c r="L71" s="111"/>
      <c r="M71" s="115"/>
      <c r="N71" s="120"/>
    </row>
    <row r="72" spans="1:14" x14ac:dyDescent="0.45">
      <c r="A72" s="103"/>
      <c r="B72" s="103"/>
      <c r="C72" s="103"/>
      <c r="D72" s="104"/>
      <c r="E72" s="84"/>
      <c r="F72" s="84"/>
      <c r="G72" s="84"/>
      <c r="H72" s="67"/>
      <c r="L72" s="111"/>
      <c r="M72" s="116">
        <f>SUM(M4:M69)</f>
        <v>1120</v>
      </c>
      <c r="N72" s="121">
        <f>SUM(N4:N69)</f>
        <v>1512</v>
      </c>
    </row>
    <row r="73" spans="1:14" x14ac:dyDescent="0.45">
      <c r="H73" s="11"/>
      <c r="I73" s="108"/>
      <c r="J73" s="109"/>
      <c r="K73" s="110"/>
    </row>
    <row r="74" spans="1:14" x14ac:dyDescent="0.45">
      <c r="H74" s="11"/>
    </row>
    <row r="75" spans="1:14" x14ac:dyDescent="0.45">
      <c r="H75" s="11"/>
    </row>
    <row r="76" spans="1:14" x14ac:dyDescent="0.45">
      <c r="H76" s="11"/>
    </row>
    <row r="77" spans="1:14" x14ac:dyDescent="0.45">
      <c r="H77" s="11"/>
    </row>
    <row r="78" spans="1:14" x14ac:dyDescent="0.45">
      <c r="H78" s="11"/>
    </row>
    <row r="194" spans="10:11" x14ac:dyDescent="0.45">
      <c r="J194" s="51" t="e">
        <f>SUM(I194-H194)/H194</f>
        <v>#DIV/0!</v>
      </c>
    </row>
    <row r="204" spans="10:11" x14ac:dyDescent="0.45">
      <c r="J204" s="51" t="e">
        <f>SUM(I204-H204)/H204</f>
        <v>#DIV/0!</v>
      </c>
      <c r="K204" s="49" t="e">
        <f>SUM(H204*J204)</f>
        <v>#DIV/0!</v>
      </c>
    </row>
    <row r="205" spans="10:11" x14ac:dyDescent="0.45">
      <c r="J205" s="51" t="e">
        <f>SUM(I205-H205)/H205</f>
        <v>#DIV/0!</v>
      </c>
      <c r="K205" s="49" t="e">
        <f>SUM(H205*J205)</f>
        <v>#DIV/0!</v>
      </c>
    </row>
    <row r="208" spans="10:11" x14ac:dyDescent="0.45">
      <c r="J208" s="51" t="e">
        <f>SUM(I208-H208)/H208</f>
        <v>#DIV/0!</v>
      </c>
      <c r="K208" s="49" t="e">
        <f>SUM(H208*J208)</f>
        <v>#DIV/0!</v>
      </c>
    </row>
    <row r="209" spans="10:11" x14ac:dyDescent="0.45">
      <c r="J209" s="51" t="e">
        <f>SUM(I209-H209)/H209</f>
        <v>#DIV/0!</v>
      </c>
      <c r="K209" s="49" t="e">
        <f>SUM(H209*J209)</f>
        <v>#DIV/0!</v>
      </c>
    </row>
    <row r="210" spans="10:11" x14ac:dyDescent="0.45">
      <c r="J210" s="51" t="e">
        <f>SUM(I210-H210)/H210</f>
        <v>#DIV/0!</v>
      </c>
      <c r="K210" s="49" t="e">
        <f>SUM(H210*J210)</f>
        <v>#DIV/0!</v>
      </c>
    </row>
    <row r="223" spans="10:11" x14ac:dyDescent="0.45">
      <c r="J223" s="51" t="e">
        <f>AVERAGE(J210,J209,J208,J205,J204,J194,J189,J188,J187,J186,J182,J181,J178,J177,J176,J172,J171,J170,J166,J165,J164,J163,J163,J162,J159,J158,J157,J156,J155,J154,J150,J149,J147,J146,J145,J143,J141,J138,J137,J136,J135,J134,J133,J132,J130,J129,J128,J127,J126,J125,J124,J123,#REF!,J121,J120,J119,J118,J117,J115,J114,J113,J111,J110,J110,J108,J109,J101,J100,J99,J98,J94,J93,J92,J89,J88,J87,J86,J84,J83,J81,J80,J79,J78,J77,J74,J73,J69,J68,J67,J66,J61,J60,J59,J58,J54,J53,J52,J51,J50,J48,J46,J44,J43,J38,J34,J33,J32,J31,J30,J29,J28,J27,J26,J9,J8,J7,J6,J5,J4,J3)</f>
        <v>#REF!</v>
      </c>
    </row>
  </sheetData>
  <hyperlinks>
    <hyperlink ref="B21" r:id="rId1" display="https://www.zoro.com/static/cms/product/large/Z1F6qvfo5oy.JPG" xr:uid="{00769FC5-9D11-406C-89A7-6D5A523224F1}"/>
    <hyperlink ref="A21" r:id="rId2" xr:uid="{FDF43470-150D-4415-8BEC-24F7A27170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3"/>
  </sheetPr>
  <dimension ref="A1:IR239"/>
  <sheetViews>
    <sheetView zoomScaleNormal="100" workbookViewId="0">
      <pane ySplit="1" topLeftCell="A130" activePane="bottomLeft" state="frozen"/>
      <selection pane="bottomLeft" activeCell="L130" sqref="L130"/>
    </sheetView>
  </sheetViews>
  <sheetFormatPr defaultColWidth="9.265625" defaultRowHeight="12" customHeight="1" x14ac:dyDescent="0.45"/>
  <cols>
    <col min="1" max="1" width="19.59765625" style="1" customWidth="1"/>
    <col min="2" max="2" width="14.265625" style="1" customWidth="1"/>
    <col min="3" max="3" width="16.3984375" style="1" customWidth="1"/>
    <col min="4" max="4" width="36" style="1" customWidth="1"/>
    <col min="5" max="5" width="32.59765625" style="1" customWidth="1"/>
    <col min="6" max="6" width="14.73046875" style="1" customWidth="1"/>
    <col min="7" max="7" width="11.86328125" style="1" customWidth="1"/>
    <col min="8" max="8" width="13" style="11" customWidth="1"/>
    <col min="9" max="9" width="9.86328125" style="23" customWidth="1"/>
    <col min="10" max="10" width="16.86328125" style="24" customWidth="1"/>
    <col min="11" max="11" width="19.3984375" style="25" customWidth="1"/>
    <col min="12" max="12" width="13.73046875" style="36" customWidth="1"/>
    <col min="13" max="13" width="24.86328125" style="11" customWidth="1"/>
    <col min="14" max="14" width="27.1328125" style="11" customWidth="1"/>
    <col min="15" max="15" width="18.86328125" style="1" customWidth="1"/>
    <col min="16" max="16384" width="9.265625" style="1"/>
  </cols>
  <sheetData>
    <row r="1" spans="1:15" ht="14.1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264</v>
      </c>
      <c r="H1" s="1" t="s">
        <v>265</v>
      </c>
      <c r="I1" s="23" t="s">
        <v>8</v>
      </c>
      <c r="J1" s="24" t="s">
        <v>9</v>
      </c>
      <c r="K1" s="25" t="s">
        <v>10</v>
      </c>
      <c r="L1" s="36" t="s">
        <v>11</v>
      </c>
      <c r="M1" s="11" t="s">
        <v>12</v>
      </c>
      <c r="N1" s="11" t="s">
        <v>13</v>
      </c>
      <c r="O1" s="11" t="s">
        <v>164</v>
      </c>
    </row>
    <row r="2" spans="1:15" ht="14.1" customHeight="1" x14ac:dyDescent="0.45">
      <c r="D2" s="56" t="s">
        <v>266</v>
      </c>
    </row>
    <row r="3" spans="1:15" ht="14.1" customHeight="1" x14ac:dyDescent="0.45">
      <c r="A3" s="1" t="s">
        <v>267</v>
      </c>
      <c r="B3" s="1">
        <v>7193</v>
      </c>
      <c r="D3" s="1" t="s">
        <v>268</v>
      </c>
      <c r="E3" s="1" t="s">
        <v>269</v>
      </c>
      <c r="F3" s="11">
        <f>SUM(I3/8)</f>
        <v>2.92875</v>
      </c>
      <c r="G3" s="11"/>
      <c r="H3" s="11">
        <v>20.2</v>
      </c>
      <c r="I3" s="23">
        <v>23.43</v>
      </c>
      <c r="J3" s="24">
        <f>SUM(I3-H3)/H3</f>
        <v>0.15990099009900993</v>
      </c>
      <c r="K3" s="25">
        <f>SUM(H3*J3)</f>
        <v>3.2300000000000004</v>
      </c>
      <c r="M3" s="11">
        <f t="shared" ref="M3:M9" si="0">SUM(F3*L3)</f>
        <v>0</v>
      </c>
      <c r="N3" s="11">
        <f t="shared" ref="N3:N9" si="1">SUM(M3*35%)+M3</f>
        <v>0</v>
      </c>
    </row>
    <row r="4" spans="1:15" ht="14.1" customHeight="1" x14ac:dyDescent="0.45">
      <c r="A4" s="1" t="s">
        <v>270</v>
      </c>
      <c r="B4" s="1">
        <v>7192</v>
      </c>
      <c r="D4" s="1" t="s">
        <v>271</v>
      </c>
      <c r="E4" s="1" t="s">
        <v>269</v>
      </c>
      <c r="F4" s="11">
        <f>SUM(I4/8)</f>
        <v>2.92875</v>
      </c>
      <c r="G4" s="11"/>
      <c r="H4" s="11">
        <v>20.2</v>
      </c>
      <c r="I4" s="23">
        <v>23.43</v>
      </c>
      <c r="J4" s="24">
        <f t="shared" ref="J4:J73" si="2">SUM(I4-H4)/H4</f>
        <v>0.15990099009900993</v>
      </c>
      <c r="K4" s="25">
        <f t="shared" ref="K4:K73" si="3">SUM(H4*J4)</f>
        <v>3.2300000000000004</v>
      </c>
      <c r="M4" s="11">
        <f t="shared" si="0"/>
        <v>0</v>
      </c>
      <c r="N4" s="11">
        <f t="shared" si="1"/>
        <v>0</v>
      </c>
    </row>
    <row r="5" spans="1:15" ht="14.1" customHeight="1" x14ac:dyDescent="0.45">
      <c r="A5" s="1" t="s">
        <v>272</v>
      </c>
      <c r="B5" s="1">
        <v>7195</v>
      </c>
      <c r="D5" s="1" t="s">
        <v>273</v>
      </c>
      <c r="E5" s="1" t="s">
        <v>274</v>
      </c>
      <c r="F5" s="11">
        <f>SUM(I5/8)</f>
        <v>2.7774999999999999</v>
      </c>
      <c r="G5" s="11"/>
      <c r="H5" s="11">
        <v>19.16</v>
      </c>
      <c r="I5" s="23">
        <v>22.22</v>
      </c>
      <c r="J5" s="24">
        <f t="shared" si="2"/>
        <v>0.15970772442588721</v>
      </c>
      <c r="K5" s="25">
        <f t="shared" si="3"/>
        <v>3.0599999999999992</v>
      </c>
      <c r="M5" s="11">
        <f t="shared" si="0"/>
        <v>0</v>
      </c>
      <c r="N5" s="11">
        <f t="shared" si="1"/>
        <v>0</v>
      </c>
    </row>
    <row r="6" spans="1:15" ht="14.1" customHeight="1" x14ac:dyDescent="0.45">
      <c r="A6" s="1" t="s">
        <v>275</v>
      </c>
      <c r="B6" s="1">
        <v>7046</v>
      </c>
      <c r="D6" s="1" t="s">
        <v>276</v>
      </c>
      <c r="E6" s="1" t="s">
        <v>277</v>
      </c>
      <c r="F6" s="11">
        <f>SUM(I6/8)</f>
        <v>1.5674999999999999</v>
      </c>
      <c r="G6" s="11"/>
      <c r="H6" s="11">
        <v>10.81</v>
      </c>
      <c r="I6" s="23">
        <v>12.54</v>
      </c>
      <c r="J6" s="24">
        <f t="shared" si="2"/>
        <v>0.16003700277520802</v>
      </c>
      <c r="K6" s="25">
        <f t="shared" si="3"/>
        <v>1.7299999999999989</v>
      </c>
      <c r="M6" s="11">
        <f t="shared" si="0"/>
        <v>0</v>
      </c>
      <c r="N6" s="11">
        <f t="shared" si="1"/>
        <v>0</v>
      </c>
    </row>
    <row r="7" spans="1:15" ht="14.1" customHeight="1" x14ac:dyDescent="0.45">
      <c r="A7" s="1" t="s">
        <v>278</v>
      </c>
      <c r="B7" s="1">
        <v>7142</v>
      </c>
      <c r="D7" s="1" t="s">
        <v>279</v>
      </c>
      <c r="E7" s="1" t="s">
        <v>280</v>
      </c>
      <c r="F7" s="11">
        <f>SUM(I7/25)</f>
        <v>1.8747999999999998</v>
      </c>
      <c r="G7" s="11"/>
      <c r="H7" s="11">
        <v>40.4</v>
      </c>
      <c r="I7" s="23">
        <v>46.87</v>
      </c>
      <c r="J7" s="24">
        <f t="shared" si="2"/>
        <v>0.16014851485148512</v>
      </c>
      <c r="K7" s="25">
        <f t="shared" si="3"/>
        <v>6.4699999999999989</v>
      </c>
      <c r="M7" s="11">
        <f t="shared" si="0"/>
        <v>0</v>
      </c>
      <c r="N7" s="11">
        <f t="shared" si="1"/>
        <v>0</v>
      </c>
    </row>
    <row r="8" spans="1:15" ht="14.1" customHeight="1" x14ac:dyDescent="0.45">
      <c r="A8" s="1" t="s">
        <v>281</v>
      </c>
      <c r="B8" s="1">
        <v>89486</v>
      </c>
      <c r="D8" s="1" t="s">
        <v>282</v>
      </c>
      <c r="E8" s="1" t="s">
        <v>280</v>
      </c>
      <c r="F8" s="11">
        <f>SUM(I8/25)</f>
        <v>1.8796000000000002</v>
      </c>
      <c r="G8" s="11"/>
      <c r="H8" s="11">
        <v>40.51</v>
      </c>
      <c r="I8" s="23">
        <v>46.99</v>
      </c>
      <c r="J8" s="24">
        <f t="shared" si="2"/>
        <v>0.15996050357936323</v>
      </c>
      <c r="K8" s="25">
        <f t="shared" si="3"/>
        <v>6.480000000000004</v>
      </c>
      <c r="M8" s="11">
        <f t="shared" si="0"/>
        <v>0</v>
      </c>
      <c r="N8" s="11">
        <f t="shared" si="1"/>
        <v>0</v>
      </c>
    </row>
    <row r="9" spans="1:15" ht="14.1" customHeight="1" x14ac:dyDescent="0.45">
      <c r="A9" s="1" t="s">
        <v>283</v>
      </c>
      <c r="B9" s="1">
        <v>89487</v>
      </c>
      <c r="D9" s="1" t="s">
        <v>284</v>
      </c>
      <c r="E9" s="1" t="s">
        <v>285</v>
      </c>
      <c r="F9" s="11">
        <f>SUM(I9/5)</f>
        <v>1.702</v>
      </c>
      <c r="G9" s="11"/>
      <c r="H9" s="11">
        <v>7.34</v>
      </c>
      <c r="I9" s="26">
        <v>8.51</v>
      </c>
      <c r="J9" s="27">
        <f t="shared" si="2"/>
        <v>0.15940054495912806</v>
      </c>
      <c r="K9" s="28">
        <f t="shared" si="3"/>
        <v>1.17</v>
      </c>
      <c r="M9" s="11">
        <f t="shared" si="0"/>
        <v>0</v>
      </c>
      <c r="N9" s="11">
        <f t="shared" si="1"/>
        <v>0</v>
      </c>
    </row>
    <row r="10" spans="1:15" ht="14.1" customHeight="1" x14ac:dyDescent="0.45">
      <c r="I10" s="32"/>
      <c r="J10" s="33"/>
      <c r="K10" s="34"/>
    </row>
    <row r="11" spans="1:15" ht="14.1" customHeight="1" x14ac:dyDescent="0.45">
      <c r="D11" s="56" t="s">
        <v>286</v>
      </c>
      <c r="H11" s="1"/>
      <c r="I11" s="35"/>
      <c r="J11" s="33"/>
      <c r="K11" s="35"/>
      <c r="N11" s="1"/>
    </row>
    <row r="12" spans="1:15" ht="14.1" customHeight="1" x14ac:dyDescent="0.45">
      <c r="A12" s="1" t="s">
        <v>287</v>
      </c>
      <c r="D12" s="1" t="s">
        <v>288</v>
      </c>
      <c r="E12" s="1" t="s">
        <v>289</v>
      </c>
      <c r="F12" s="11">
        <f>SUM(I12/10)</f>
        <v>3.2630000000000003</v>
      </c>
      <c r="G12" s="11"/>
      <c r="H12" s="1">
        <v>0</v>
      </c>
      <c r="I12" s="35">
        <v>32.630000000000003</v>
      </c>
      <c r="J12" s="33">
        <v>0</v>
      </c>
      <c r="K12" s="35">
        <f>SUM(H12*J12)</f>
        <v>0</v>
      </c>
      <c r="M12" s="11">
        <f>SUM(F12*L12)</f>
        <v>0</v>
      </c>
      <c r="N12" s="11">
        <f>SUM(M12*35%)+M12</f>
        <v>0</v>
      </c>
    </row>
    <row r="13" spans="1:15" ht="14.1" customHeight="1" x14ac:dyDescent="0.45">
      <c r="A13" s="1" t="s">
        <v>290</v>
      </c>
      <c r="D13" s="1" t="s">
        <v>291</v>
      </c>
      <c r="E13" s="1" t="s">
        <v>292</v>
      </c>
      <c r="F13" s="11">
        <f>SUM(I13/32)</f>
        <v>0.80218750000000005</v>
      </c>
      <c r="G13" s="11"/>
      <c r="H13" s="1">
        <v>23.37</v>
      </c>
      <c r="I13" s="35">
        <v>25.67</v>
      </c>
      <c r="J13" s="33">
        <f t="shared" si="2"/>
        <v>9.8416773641420652E-2</v>
      </c>
      <c r="K13" s="35">
        <f t="shared" si="3"/>
        <v>2.3000000000000007</v>
      </c>
      <c r="M13" s="11">
        <f>SUM(F13*L13)</f>
        <v>0</v>
      </c>
      <c r="N13" s="11">
        <f>SUM(M13*35%)+M13</f>
        <v>0</v>
      </c>
    </row>
    <row r="14" spans="1:15" ht="14.1" customHeight="1" x14ac:dyDescent="0.45">
      <c r="A14" s="1" t="s">
        <v>293</v>
      </c>
      <c r="D14" s="1" t="s">
        <v>294</v>
      </c>
      <c r="E14" s="1" t="s">
        <v>295</v>
      </c>
      <c r="F14" s="11">
        <f>SUM(I14/20)</f>
        <v>1.0914999999999999</v>
      </c>
      <c r="G14" s="11"/>
      <c r="H14" s="1">
        <v>18.38</v>
      </c>
      <c r="I14" s="35">
        <v>21.83</v>
      </c>
      <c r="J14" s="33">
        <f t="shared" si="2"/>
        <v>0.18770402611534273</v>
      </c>
      <c r="K14" s="35">
        <f t="shared" si="3"/>
        <v>3.4499999999999993</v>
      </c>
      <c r="M14" s="11">
        <f>SUM(F14*L14)</f>
        <v>0</v>
      </c>
      <c r="N14" s="11">
        <f>SUM(M14*35%)+M14</f>
        <v>0</v>
      </c>
    </row>
    <row r="15" spans="1:15" ht="14.1" customHeight="1" x14ac:dyDescent="0.45">
      <c r="I15" s="29"/>
      <c r="J15" s="30"/>
      <c r="K15" s="31"/>
      <c r="M15" s="11">
        <v>0</v>
      </c>
    </row>
    <row r="16" spans="1:15" ht="14.1" customHeight="1" x14ac:dyDescent="0.45">
      <c r="D16" s="17" t="s">
        <v>296</v>
      </c>
      <c r="M16" s="11">
        <v>0</v>
      </c>
    </row>
    <row r="17" spans="1:14" ht="14.1" customHeight="1" x14ac:dyDescent="0.45">
      <c r="A17" s="1" t="s">
        <v>297</v>
      </c>
      <c r="B17" s="1">
        <v>26028</v>
      </c>
      <c r="D17" s="1" t="s">
        <v>298</v>
      </c>
      <c r="E17" s="1" t="s">
        <v>299</v>
      </c>
      <c r="F17" s="11">
        <f>SUM(I17/50)</f>
        <v>1.5426</v>
      </c>
      <c r="G17" s="11"/>
      <c r="H17" s="11">
        <v>0</v>
      </c>
      <c r="I17" s="23">
        <v>77.13</v>
      </c>
      <c r="J17" s="24">
        <v>0</v>
      </c>
      <c r="K17" s="25">
        <f t="shared" si="3"/>
        <v>0</v>
      </c>
      <c r="M17" s="11">
        <f>SUM(F17*L17)</f>
        <v>0</v>
      </c>
      <c r="N17" s="11">
        <f>SUM(M17*35%)+M17</f>
        <v>0</v>
      </c>
    </row>
    <row r="18" spans="1:14" ht="14.1" customHeight="1" x14ac:dyDescent="0.45">
      <c r="A18" s="1" t="s">
        <v>300</v>
      </c>
      <c r="B18" s="1">
        <v>26114</v>
      </c>
      <c r="D18" s="1" t="s">
        <v>301</v>
      </c>
      <c r="E18" s="1" t="s">
        <v>299</v>
      </c>
      <c r="F18" s="11">
        <f>SUM(I18/50)</f>
        <v>1.8381999999999998</v>
      </c>
      <c r="G18" s="11"/>
      <c r="H18" s="11">
        <v>0</v>
      </c>
      <c r="I18" s="23">
        <v>91.91</v>
      </c>
      <c r="J18" s="24">
        <v>0</v>
      </c>
      <c r="K18" s="25">
        <f t="shared" si="3"/>
        <v>0</v>
      </c>
      <c r="M18" s="11">
        <f>SUM(F18*L18)</f>
        <v>0</v>
      </c>
      <c r="N18" s="11">
        <f>SUM(M18*35%)+M18</f>
        <v>0</v>
      </c>
    </row>
    <row r="19" spans="1:14" ht="14.1" customHeight="1" x14ac:dyDescent="0.45">
      <c r="A19" s="1" t="s">
        <v>302</v>
      </c>
      <c r="B19" s="1">
        <v>26112</v>
      </c>
      <c r="D19" s="1" t="s">
        <v>303</v>
      </c>
      <c r="E19" s="1" t="s">
        <v>299</v>
      </c>
      <c r="F19" s="11">
        <f>SUM(I19/50)</f>
        <v>2.0859999999999999</v>
      </c>
      <c r="G19" s="11"/>
      <c r="H19" s="11">
        <v>0</v>
      </c>
      <c r="I19" s="23">
        <v>104.3</v>
      </c>
      <c r="J19" s="24">
        <v>0</v>
      </c>
      <c r="K19" s="25">
        <f t="shared" si="3"/>
        <v>0</v>
      </c>
      <c r="M19" s="11">
        <f>SUM(F19*L19)</f>
        <v>0</v>
      </c>
      <c r="N19" s="11">
        <f>SUM(M19*35%)+M19</f>
        <v>0</v>
      </c>
    </row>
    <row r="20" spans="1:14" ht="14.1" customHeight="1" x14ac:dyDescent="0.45">
      <c r="A20" s="1" t="s">
        <v>304</v>
      </c>
      <c r="B20" s="1">
        <v>26000</v>
      </c>
      <c r="D20" s="1" t="s">
        <v>305</v>
      </c>
      <c r="E20" s="1" t="s">
        <v>299</v>
      </c>
      <c r="F20" s="11">
        <f>SUM(I20/50)</f>
        <v>2.3588</v>
      </c>
      <c r="G20" s="11"/>
      <c r="H20" s="11">
        <v>0</v>
      </c>
      <c r="I20" s="23">
        <v>117.94</v>
      </c>
      <c r="J20" s="24">
        <v>0</v>
      </c>
      <c r="K20" s="25">
        <f t="shared" si="3"/>
        <v>0</v>
      </c>
      <c r="M20" s="11">
        <f>SUM(F20*L20)</f>
        <v>0</v>
      </c>
      <c r="N20" s="11">
        <f>SUM(M20*35%)+M20</f>
        <v>0</v>
      </c>
    </row>
    <row r="21" spans="1:14" ht="14.1" customHeight="1" x14ac:dyDescent="0.45">
      <c r="A21" s="1" t="s">
        <v>306</v>
      </c>
      <c r="B21" s="1">
        <v>26024</v>
      </c>
      <c r="D21" s="1" t="s">
        <v>307</v>
      </c>
      <c r="E21" s="1" t="s">
        <v>299</v>
      </c>
      <c r="F21" s="11">
        <f>SUM(I21/50)</f>
        <v>2.8207999999999998</v>
      </c>
      <c r="G21" s="11"/>
      <c r="H21" s="11">
        <v>0</v>
      </c>
      <c r="I21" s="23">
        <v>141.04</v>
      </c>
      <c r="J21" s="24">
        <v>0</v>
      </c>
      <c r="K21" s="25">
        <f t="shared" si="3"/>
        <v>0</v>
      </c>
      <c r="M21" s="11">
        <f>SUM(F21*L21)</f>
        <v>0</v>
      </c>
      <c r="N21" s="11">
        <f>SUM(M21*35%)+M21</f>
        <v>0</v>
      </c>
    </row>
    <row r="22" spans="1:14" ht="14.1" customHeight="1" x14ac:dyDescent="0.45"/>
    <row r="23" spans="1:14" ht="14.1" customHeight="1" x14ac:dyDescent="0.45">
      <c r="D23" s="56" t="s">
        <v>308</v>
      </c>
    </row>
    <row r="24" spans="1:14" ht="14.1" customHeight="1" x14ac:dyDescent="0.45">
      <c r="A24" s="1" t="s">
        <v>309</v>
      </c>
      <c r="B24" s="1">
        <v>8193</v>
      </c>
      <c r="D24" s="1" t="s">
        <v>310</v>
      </c>
      <c r="E24" s="1" t="s">
        <v>311</v>
      </c>
      <c r="F24" s="22">
        <f>SUM(I24/6)</f>
        <v>2.3983333333333334</v>
      </c>
      <c r="G24" s="22"/>
      <c r="H24" s="11">
        <v>13.01</v>
      </c>
      <c r="I24" s="23">
        <v>14.39</v>
      </c>
      <c r="J24" s="24">
        <f t="shared" si="2"/>
        <v>0.1060722521137587</v>
      </c>
      <c r="K24" s="25">
        <f t="shared" si="3"/>
        <v>1.3800000000000008</v>
      </c>
      <c r="M24" s="11">
        <f t="shared" ref="M24:M38" si="4">SUM(F24*L24)</f>
        <v>0</v>
      </c>
      <c r="N24" s="11">
        <f t="shared" ref="N24:N39" si="5">SUM(M24*35%)+M24</f>
        <v>0</v>
      </c>
    </row>
    <row r="25" spans="1:14" ht="14.1" customHeight="1" x14ac:dyDescent="0.45">
      <c r="A25" s="1" t="s">
        <v>312</v>
      </c>
      <c r="B25" s="1">
        <v>8194</v>
      </c>
      <c r="D25" s="1" t="s">
        <v>313</v>
      </c>
      <c r="E25" s="1" t="s">
        <v>314</v>
      </c>
      <c r="F25" s="22">
        <v>2.0099999999999998</v>
      </c>
      <c r="G25" s="22"/>
      <c r="I25" s="23">
        <v>100.4</v>
      </c>
      <c r="M25" s="11">
        <f t="shared" si="4"/>
        <v>0</v>
      </c>
      <c r="N25" s="11">
        <f t="shared" si="5"/>
        <v>0</v>
      </c>
    </row>
    <row r="26" spans="1:14" ht="14.1" customHeight="1" x14ac:dyDescent="0.45">
      <c r="A26" s="1" t="s">
        <v>315</v>
      </c>
      <c r="B26" s="1">
        <v>8308</v>
      </c>
      <c r="D26" s="1" t="s">
        <v>316</v>
      </c>
      <c r="H26" s="11">
        <v>34.549999999999997</v>
      </c>
      <c r="I26" s="23">
        <v>38.4</v>
      </c>
      <c r="J26" s="24">
        <f t="shared" si="2"/>
        <v>0.11143270622286547</v>
      </c>
      <c r="K26" s="25">
        <f t="shared" si="3"/>
        <v>3.8500000000000014</v>
      </c>
      <c r="M26" s="11">
        <f t="shared" si="4"/>
        <v>0</v>
      </c>
      <c r="N26" s="11">
        <f t="shared" si="5"/>
        <v>0</v>
      </c>
    </row>
    <row r="27" spans="1:14" ht="14.1" customHeight="1" x14ac:dyDescent="0.45">
      <c r="A27" s="1" t="s">
        <v>317</v>
      </c>
      <c r="B27" s="1">
        <v>8115</v>
      </c>
      <c r="D27" s="10" t="s">
        <v>318</v>
      </c>
      <c r="E27" s="1" t="s">
        <v>319</v>
      </c>
      <c r="F27" s="11">
        <f t="shared" ref="F27:F34" si="6">SUM(I27/6.75)</f>
        <v>7.0533333333333337</v>
      </c>
      <c r="G27" s="11"/>
      <c r="H27" s="11">
        <v>40.98</v>
      </c>
      <c r="I27" s="23">
        <v>47.61</v>
      </c>
      <c r="J27" s="24">
        <f t="shared" si="2"/>
        <v>0.16178623718887269</v>
      </c>
      <c r="K27" s="25">
        <f t="shared" si="3"/>
        <v>6.6300000000000026</v>
      </c>
      <c r="M27" s="11">
        <f t="shared" si="4"/>
        <v>0</v>
      </c>
      <c r="N27" s="11">
        <f t="shared" si="5"/>
        <v>0</v>
      </c>
    </row>
    <row r="28" spans="1:14" ht="14.1" customHeight="1" x14ac:dyDescent="0.45">
      <c r="A28" s="1" t="s">
        <v>320</v>
      </c>
      <c r="B28" s="1">
        <v>8116</v>
      </c>
      <c r="D28" s="1" t="s">
        <v>321</v>
      </c>
      <c r="E28" s="1" t="s">
        <v>319</v>
      </c>
      <c r="F28" s="11">
        <f t="shared" si="6"/>
        <v>7.7837037037037033</v>
      </c>
      <c r="G28" s="11"/>
      <c r="H28" s="11">
        <v>47.49</v>
      </c>
      <c r="I28" s="23">
        <v>52.54</v>
      </c>
      <c r="J28" s="24">
        <f t="shared" si="2"/>
        <v>0.10633817645820166</v>
      </c>
      <c r="K28" s="25">
        <f t="shared" si="3"/>
        <v>5.0499999999999972</v>
      </c>
      <c r="M28" s="11">
        <f t="shared" si="4"/>
        <v>0</v>
      </c>
      <c r="N28" s="11">
        <f t="shared" si="5"/>
        <v>0</v>
      </c>
    </row>
    <row r="29" spans="1:14" ht="14.1" customHeight="1" x14ac:dyDescent="0.45">
      <c r="A29" s="1" t="s">
        <v>322</v>
      </c>
      <c r="B29" s="1">
        <v>8463</v>
      </c>
      <c r="D29" s="1" t="s">
        <v>323</v>
      </c>
      <c r="E29" s="1" t="s">
        <v>319</v>
      </c>
      <c r="F29" s="11">
        <f t="shared" si="6"/>
        <v>7.2740740740740746</v>
      </c>
      <c r="G29" s="11"/>
      <c r="H29" s="11">
        <v>44.37</v>
      </c>
      <c r="I29" s="23">
        <v>49.1</v>
      </c>
      <c r="J29" s="24">
        <f t="shared" si="2"/>
        <v>0.10660356096461583</v>
      </c>
      <c r="K29" s="25">
        <f t="shared" si="3"/>
        <v>4.730000000000004</v>
      </c>
      <c r="M29" s="11">
        <f t="shared" si="4"/>
        <v>0</v>
      </c>
      <c r="N29" s="11">
        <f t="shared" si="5"/>
        <v>0</v>
      </c>
    </row>
    <row r="30" spans="1:14" ht="14.1" customHeight="1" x14ac:dyDescent="0.45">
      <c r="A30" s="1" t="s">
        <v>324</v>
      </c>
      <c r="B30" s="1">
        <v>4247</v>
      </c>
      <c r="D30" s="1" t="s">
        <v>325</v>
      </c>
      <c r="E30" s="1" t="s">
        <v>319</v>
      </c>
      <c r="F30" s="11">
        <f t="shared" si="6"/>
        <v>7.177777777777778</v>
      </c>
      <c r="G30" s="11"/>
      <c r="H30" s="11">
        <v>43.8</v>
      </c>
      <c r="I30" s="23">
        <v>48.45</v>
      </c>
      <c r="J30" s="24">
        <f t="shared" si="2"/>
        <v>0.10616438356164397</v>
      </c>
      <c r="K30" s="25">
        <f t="shared" si="3"/>
        <v>4.6500000000000057</v>
      </c>
      <c r="M30" s="11">
        <f t="shared" si="4"/>
        <v>0</v>
      </c>
      <c r="N30" s="11">
        <f t="shared" si="5"/>
        <v>0</v>
      </c>
    </row>
    <row r="31" spans="1:14" ht="14.1" customHeight="1" x14ac:dyDescent="0.45">
      <c r="A31" s="1" t="s">
        <v>326</v>
      </c>
      <c r="B31" s="1">
        <v>8223</v>
      </c>
      <c r="C31"/>
      <c r="D31" s="1" t="s">
        <v>327</v>
      </c>
      <c r="E31" s="1" t="s">
        <v>319</v>
      </c>
      <c r="F31" s="11">
        <f t="shared" si="6"/>
        <v>7.6385185185185192</v>
      </c>
      <c r="G31" s="11"/>
      <c r="H31" s="11">
        <v>46.59</v>
      </c>
      <c r="I31" s="23">
        <v>51.56</v>
      </c>
      <c r="J31" s="24">
        <f t="shared" si="2"/>
        <v>0.1066752522000429</v>
      </c>
      <c r="K31" s="25">
        <f t="shared" si="3"/>
        <v>4.9699999999999989</v>
      </c>
      <c r="M31" s="11">
        <f t="shared" si="4"/>
        <v>0</v>
      </c>
      <c r="N31" s="11">
        <f t="shared" si="5"/>
        <v>0</v>
      </c>
    </row>
    <row r="32" spans="1:14" ht="14.1" customHeight="1" x14ac:dyDescent="0.45">
      <c r="A32" s="1" t="s">
        <v>328</v>
      </c>
      <c r="B32" s="1">
        <v>4274</v>
      </c>
      <c r="D32" s="1" t="s">
        <v>329</v>
      </c>
      <c r="E32" s="1" t="s">
        <v>319</v>
      </c>
      <c r="F32" s="11">
        <f t="shared" si="6"/>
        <v>7.3481481481481481</v>
      </c>
      <c r="G32" s="11"/>
      <c r="H32" s="11">
        <v>44.83</v>
      </c>
      <c r="I32" s="23">
        <v>49.6</v>
      </c>
      <c r="J32" s="24">
        <f t="shared" si="2"/>
        <v>0.1064019629712247</v>
      </c>
      <c r="K32" s="25">
        <f t="shared" si="3"/>
        <v>4.7700000000000031</v>
      </c>
      <c r="M32" s="11">
        <f t="shared" si="4"/>
        <v>0</v>
      </c>
      <c r="N32" s="11">
        <f t="shared" si="5"/>
        <v>0</v>
      </c>
    </row>
    <row r="33" spans="1:14" ht="14.1" customHeight="1" x14ac:dyDescent="0.45">
      <c r="A33" s="1" t="s">
        <v>330</v>
      </c>
      <c r="B33" s="1">
        <v>8307</v>
      </c>
      <c r="D33" s="1" t="s">
        <v>331</v>
      </c>
      <c r="E33" s="1" t="s">
        <v>319</v>
      </c>
      <c r="F33" s="11">
        <f t="shared" ref="F33" si="7">SUM(I33/6.75)</f>
        <v>6.0518518518518523</v>
      </c>
      <c r="G33" s="11"/>
      <c r="H33" s="11">
        <v>36.19</v>
      </c>
      <c r="I33" s="23">
        <v>40.85</v>
      </c>
      <c r="J33" s="24">
        <f t="shared" ref="J33" si="8">SUM(I33-H33)/H33</f>
        <v>0.1287648521691076</v>
      </c>
      <c r="K33" s="25">
        <f t="shared" ref="K33" si="9">SUM(H33*J33)</f>
        <v>4.6600000000000037</v>
      </c>
      <c r="M33" s="11">
        <f t="shared" ref="M33" si="10">SUM(F33*L33)</f>
        <v>0</v>
      </c>
      <c r="N33" s="11">
        <f t="shared" ref="N33" si="11">SUM(M33*35%)+M33</f>
        <v>0</v>
      </c>
    </row>
    <row r="34" spans="1:14" ht="14.1" customHeight="1" x14ac:dyDescent="0.45">
      <c r="A34" s="1" t="s">
        <v>332</v>
      </c>
      <c r="B34" s="1">
        <v>8310</v>
      </c>
      <c r="D34" s="1" t="s">
        <v>333</v>
      </c>
      <c r="E34" s="1" t="s">
        <v>319</v>
      </c>
      <c r="F34" s="11">
        <f t="shared" si="6"/>
        <v>6.1407407407407408</v>
      </c>
      <c r="G34" s="11"/>
      <c r="H34" s="11">
        <v>36.19</v>
      </c>
      <c r="I34" s="23">
        <v>41.45</v>
      </c>
      <c r="J34" s="24">
        <f t="shared" si="2"/>
        <v>0.14534401768444336</v>
      </c>
      <c r="K34" s="25">
        <f t="shared" si="3"/>
        <v>5.2600000000000051</v>
      </c>
      <c r="M34" s="11">
        <f t="shared" si="4"/>
        <v>0</v>
      </c>
      <c r="N34" s="11">
        <f t="shared" si="5"/>
        <v>0</v>
      </c>
    </row>
    <row r="35" spans="1:14" ht="14.1" customHeight="1" x14ac:dyDescent="0.45">
      <c r="A35" s="16" t="s">
        <v>334</v>
      </c>
      <c r="B35" s="20">
        <v>8360</v>
      </c>
      <c r="C35" s="20">
        <v>8360</v>
      </c>
      <c r="D35" t="s">
        <v>335</v>
      </c>
      <c r="E35" s="1" t="s">
        <v>336</v>
      </c>
      <c r="F35" s="11">
        <f>SUM(I35/10.4)</f>
        <v>2.0826923076923078</v>
      </c>
      <c r="G35" s="11"/>
      <c r="I35" s="23">
        <v>21.66</v>
      </c>
      <c r="M35" s="11">
        <f t="shared" si="4"/>
        <v>0</v>
      </c>
      <c r="N35" s="11">
        <f t="shared" si="5"/>
        <v>0</v>
      </c>
    </row>
    <row r="36" spans="1:14" ht="14.1" customHeight="1" x14ac:dyDescent="0.45">
      <c r="A36" s="16" t="s">
        <v>337</v>
      </c>
      <c r="B36" s="20">
        <v>8361</v>
      </c>
      <c r="C36" s="20">
        <v>8361</v>
      </c>
      <c r="D36" t="s">
        <v>338</v>
      </c>
      <c r="E36" s="1" t="s">
        <v>336</v>
      </c>
      <c r="F36" s="11">
        <f>SUM(I36/10.4)</f>
        <v>2.0826923076923078</v>
      </c>
      <c r="G36" s="11"/>
      <c r="I36" s="23">
        <v>21.66</v>
      </c>
      <c r="M36" s="11">
        <f t="shared" si="4"/>
        <v>0</v>
      </c>
      <c r="N36" s="11">
        <f t="shared" si="5"/>
        <v>0</v>
      </c>
    </row>
    <row r="37" spans="1:14" ht="14.1" customHeight="1" x14ac:dyDescent="0.45">
      <c r="A37" s="16" t="s">
        <v>339</v>
      </c>
      <c r="B37" s="20">
        <v>8364</v>
      </c>
      <c r="C37" s="20">
        <v>8364</v>
      </c>
      <c r="D37" t="s">
        <v>340</v>
      </c>
      <c r="E37" s="1" t="s">
        <v>336</v>
      </c>
      <c r="F37" s="11">
        <f>SUM(I37/10.4)</f>
        <v>2.0826923076923078</v>
      </c>
      <c r="G37" s="11"/>
      <c r="I37" s="23">
        <v>21.66</v>
      </c>
      <c r="M37" s="11">
        <f t="shared" si="4"/>
        <v>0</v>
      </c>
      <c r="N37" s="11">
        <f t="shared" si="5"/>
        <v>0</v>
      </c>
    </row>
    <row r="38" spans="1:14" ht="14.1" customHeight="1" x14ac:dyDescent="0.45">
      <c r="A38" s="16" t="s">
        <v>341</v>
      </c>
      <c r="B38" s="16">
        <v>8609</v>
      </c>
      <c r="D38" s="1" t="s">
        <v>342</v>
      </c>
      <c r="E38" s="1" t="s">
        <v>343</v>
      </c>
      <c r="F38" s="11">
        <f>SUM(I38/10.5)</f>
        <v>2.0542857142857143</v>
      </c>
      <c r="G38" s="11"/>
      <c r="H38" s="11">
        <v>19.5</v>
      </c>
      <c r="I38" s="23">
        <v>21.57</v>
      </c>
      <c r="J38" s="24">
        <f t="shared" si="2"/>
        <v>0.10615384615384617</v>
      </c>
      <c r="K38" s="25">
        <f t="shared" si="3"/>
        <v>2.0700000000000003</v>
      </c>
      <c r="M38" s="11">
        <f t="shared" si="4"/>
        <v>0</v>
      </c>
      <c r="N38" s="11">
        <f t="shared" si="5"/>
        <v>0</v>
      </c>
    </row>
    <row r="39" spans="1:14" ht="14.1" customHeight="1" x14ac:dyDescent="0.45">
      <c r="A39" s="16" t="s">
        <v>344</v>
      </c>
      <c r="B39" s="16">
        <v>8374</v>
      </c>
      <c r="C39" s="16">
        <v>8374</v>
      </c>
      <c r="D39" s="1" t="s">
        <v>345</v>
      </c>
      <c r="E39" s="1" t="s">
        <v>346</v>
      </c>
      <c r="F39" s="11">
        <f>SUM(I39/10.5)</f>
        <v>2.0647619047619048</v>
      </c>
      <c r="G39" s="11"/>
      <c r="I39" s="23">
        <v>21.68</v>
      </c>
      <c r="M39" s="11">
        <v>0</v>
      </c>
      <c r="N39" s="11">
        <f t="shared" si="5"/>
        <v>0</v>
      </c>
    </row>
    <row r="40" spans="1:14" ht="14.1" customHeight="1" x14ac:dyDescent="0.45">
      <c r="A40" s="16"/>
      <c r="B40" s="16"/>
    </row>
    <row r="41" spans="1:14" ht="14.1" customHeight="1" x14ac:dyDescent="0.45"/>
    <row r="42" spans="1:14" ht="14.1" customHeight="1" x14ac:dyDescent="0.45">
      <c r="A42" s="16" t="s">
        <v>347</v>
      </c>
      <c r="C42" s="16" t="s">
        <v>348</v>
      </c>
      <c r="D42" s="57" t="s">
        <v>349</v>
      </c>
    </row>
    <row r="43" spans="1:14" ht="14.1" customHeight="1" x14ac:dyDescent="0.45">
      <c r="A43" s="1" t="s">
        <v>350</v>
      </c>
      <c r="B43" s="1">
        <v>7453</v>
      </c>
      <c r="D43" s="1" t="s">
        <v>351</v>
      </c>
      <c r="E43" s="1" t="s">
        <v>352</v>
      </c>
      <c r="F43" s="11">
        <f>SUM(I43/25)</f>
        <v>1.0844</v>
      </c>
      <c r="G43" s="11"/>
      <c r="H43" s="11">
        <v>24.13</v>
      </c>
      <c r="I43" s="23">
        <v>27.11</v>
      </c>
      <c r="J43" s="24">
        <f t="shared" si="2"/>
        <v>0.12349772067965191</v>
      </c>
      <c r="K43" s="25">
        <f t="shared" si="3"/>
        <v>2.9800000000000004</v>
      </c>
      <c r="M43" s="11">
        <f t="shared" ref="M43:M54" si="12">SUM(F43*L43)</f>
        <v>0</v>
      </c>
      <c r="N43" s="11">
        <f t="shared" ref="N43:N54" si="13">SUM(M43*35%)+M43</f>
        <v>0</v>
      </c>
    </row>
    <row r="44" spans="1:14" ht="14.1" customHeight="1" x14ac:dyDescent="0.45">
      <c r="A44" s="1" t="s">
        <v>353</v>
      </c>
      <c r="B44" s="1">
        <v>7486</v>
      </c>
      <c r="D44" s="1" t="s">
        <v>354</v>
      </c>
      <c r="E44" s="1" t="s">
        <v>352</v>
      </c>
      <c r="F44" s="11">
        <f>SUM(I44/25)</f>
        <v>2.4683999999999999</v>
      </c>
      <c r="G44" s="11"/>
      <c r="H44" s="11">
        <v>54.93</v>
      </c>
      <c r="I44" s="23">
        <v>61.71</v>
      </c>
      <c r="J44" s="24">
        <f t="shared" si="2"/>
        <v>0.12342981977061718</v>
      </c>
      <c r="K44" s="25">
        <f t="shared" si="3"/>
        <v>6.7800000000000011</v>
      </c>
      <c r="M44" s="11">
        <f t="shared" si="12"/>
        <v>0</v>
      </c>
      <c r="N44" s="11">
        <f t="shared" si="13"/>
        <v>0</v>
      </c>
    </row>
    <row r="45" spans="1:14" ht="14.1" customHeight="1" x14ac:dyDescent="0.45">
      <c r="A45" s="1" t="s">
        <v>355</v>
      </c>
      <c r="B45" s="1">
        <v>7485</v>
      </c>
      <c r="D45" s="1" t="s">
        <v>356</v>
      </c>
      <c r="E45" s="1" t="s">
        <v>352</v>
      </c>
      <c r="F45" s="11">
        <f>SUM(I45/25)</f>
        <v>2.4683999999999999</v>
      </c>
      <c r="G45" s="11"/>
      <c r="H45" s="11">
        <v>54.93</v>
      </c>
      <c r="I45" s="23">
        <v>61.71</v>
      </c>
      <c r="J45" s="24">
        <f t="shared" si="2"/>
        <v>0.12342981977061718</v>
      </c>
      <c r="K45" s="25">
        <f t="shared" si="3"/>
        <v>6.7800000000000011</v>
      </c>
      <c r="M45" s="11">
        <f t="shared" si="12"/>
        <v>0</v>
      </c>
      <c r="N45" s="11">
        <f t="shared" si="13"/>
        <v>0</v>
      </c>
    </row>
    <row r="46" spans="1:14" ht="14.1" customHeight="1" x14ac:dyDescent="0.45">
      <c r="A46" s="16" t="s">
        <v>357</v>
      </c>
      <c r="B46" s="1">
        <v>7536</v>
      </c>
      <c r="D46" s="1" t="s">
        <v>358</v>
      </c>
      <c r="E46" s="1" t="s">
        <v>359</v>
      </c>
      <c r="F46" s="11">
        <f>SUM(I46/4)</f>
        <v>2.125</v>
      </c>
      <c r="G46" s="11"/>
      <c r="I46" s="23">
        <v>8.5</v>
      </c>
      <c r="M46" s="11">
        <f t="shared" si="12"/>
        <v>0</v>
      </c>
      <c r="N46" s="11">
        <f t="shared" si="13"/>
        <v>0</v>
      </c>
    </row>
    <row r="47" spans="1:14" ht="14.1" customHeight="1" x14ac:dyDescent="0.45">
      <c r="A47" s="1" t="s">
        <v>360</v>
      </c>
      <c r="B47" s="1">
        <v>36535</v>
      </c>
      <c r="D47" s="1" t="s">
        <v>361</v>
      </c>
      <c r="E47" s="1" t="s">
        <v>352</v>
      </c>
      <c r="F47" s="11">
        <f>SUM(I47/25)</f>
        <v>1.8803999999999998</v>
      </c>
      <c r="G47" s="11"/>
      <c r="H47" s="11">
        <v>41.96</v>
      </c>
      <c r="I47" s="23">
        <v>47.01</v>
      </c>
      <c r="J47" s="24">
        <f t="shared" si="2"/>
        <v>0.12035271687321251</v>
      </c>
      <c r="K47" s="25">
        <f t="shared" si="3"/>
        <v>5.0499999999999972</v>
      </c>
      <c r="M47" s="11">
        <f t="shared" si="12"/>
        <v>0</v>
      </c>
      <c r="N47" s="11">
        <f t="shared" si="13"/>
        <v>0</v>
      </c>
    </row>
    <row r="48" spans="1:14" ht="14.1" customHeight="1" x14ac:dyDescent="0.45">
      <c r="A48" s="1" t="s">
        <v>362</v>
      </c>
      <c r="B48" s="1">
        <v>36536</v>
      </c>
      <c r="D48" s="1" t="s">
        <v>363</v>
      </c>
      <c r="E48" s="1" t="s">
        <v>352</v>
      </c>
      <c r="F48" s="11">
        <f>SUM(I48/25)</f>
        <v>1.8803999999999998</v>
      </c>
      <c r="G48" s="11"/>
      <c r="I48" s="23">
        <v>47.01</v>
      </c>
      <c r="M48" s="11">
        <f t="shared" si="12"/>
        <v>0</v>
      </c>
      <c r="N48" s="11">
        <f t="shared" si="13"/>
        <v>0</v>
      </c>
    </row>
    <row r="49" spans="1:14" ht="14.1" customHeight="1" x14ac:dyDescent="0.45">
      <c r="A49" s="1" t="s">
        <v>364</v>
      </c>
      <c r="B49" s="1">
        <v>36527</v>
      </c>
      <c r="D49" s="1" t="s">
        <v>365</v>
      </c>
      <c r="E49" s="1" t="s">
        <v>352</v>
      </c>
      <c r="F49" s="11">
        <f>SUM(I49/25)</f>
        <v>1.5452000000000001</v>
      </c>
      <c r="G49" s="11"/>
      <c r="H49" s="11">
        <v>34.450000000000003</v>
      </c>
      <c r="I49" s="23">
        <v>38.630000000000003</v>
      </c>
      <c r="J49" s="24">
        <f t="shared" si="2"/>
        <v>0.12133526850507981</v>
      </c>
      <c r="K49" s="25">
        <f t="shared" si="3"/>
        <v>4.18</v>
      </c>
      <c r="M49" s="11">
        <f t="shared" si="12"/>
        <v>0</v>
      </c>
      <c r="N49" s="11">
        <f t="shared" si="13"/>
        <v>0</v>
      </c>
    </row>
    <row r="50" spans="1:14" ht="14.1" customHeight="1" x14ac:dyDescent="0.45">
      <c r="A50" s="16" t="s">
        <v>364</v>
      </c>
      <c r="B50" s="16">
        <v>36527</v>
      </c>
      <c r="D50" s="1" t="s">
        <v>366</v>
      </c>
      <c r="E50" s="1" t="s">
        <v>352</v>
      </c>
      <c r="F50" s="11">
        <f>SUM(I50/25)</f>
        <v>1.5452000000000001</v>
      </c>
      <c r="G50" s="11"/>
      <c r="I50" s="23">
        <v>38.630000000000003</v>
      </c>
      <c r="J50" s="24">
        <v>0</v>
      </c>
      <c r="K50" s="25">
        <f t="shared" si="3"/>
        <v>0</v>
      </c>
      <c r="M50" s="11">
        <f t="shared" si="12"/>
        <v>0</v>
      </c>
      <c r="N50" s="11">
        <f t="shared" si="13"/>
        <v>0</v>
      </c>
    </row>
    <row r="51" spans="1:14" ht="14.1" customHeight="1" x14ac:dyDescent="0.45">
      <c r="A51" s="1" t="s">
        <v>367</v>
      </c>
      <c r="B51" s="1">
        <v>7466</v>
      </c>
      <c r="D51" s="1" t="s">
        <v>368</v>
      </c>
      <c r="E51" s="1" t="s">
        <v>369</v>
      </c>
      <c r="F51" s="11">
        <f>SUM(I51)</f>
        <v>11.73</v>
      </c>
      <c r="G51" s="11"/>
      <c r="H51" s="11">
        <v>10.44</v>
      </c>
      <c r="I51" s="23">
        <v>11.73</v>
      </c>
      <c r="J51" s="24">
        <f t="shared" si="2"/>
        <v>0.1235632183908047</v>
      </c>
      <c r="K51" s="25">
        <f t="shared" si="3"/>
        <v>1.2900000000000009</v>
      </c>
      <c r="M51" s="11">
        <f t="shared" si="12"/>
        <v>0</v>
      </c>
      <c r="N51" s="11">
        <f t="shared" si="13"/>
        <v>0</v>
      </c>
    </row>
    <row r="52" spans="1:14" ht="14.1" customHeight="1" x14ac:dyDescent="0.45">
      <c r="A52" s="1" t="s">
        <v>370</v>
      </c>
      <c r="B52" s="1">
        <v>7470</v>
      </c>
      <c r="D52" s="1" t="s">
        <v>371</v>
      </c>
      <c r="E52" s="1" t="s">
        <v>369</v>
      </c>
      <c r="F52" s="11">
        <f>SUM(I52)</f>
        <v>11.12</v>
      </c>
      <c r="G52" s="11"/>
      <c r="H52" s="11">
        <v>9.9</v>
      </c>
      <c r="I52" s="23">
        <v>11.12</v>
      </c>
      <c r="J52" s="24">
        <f t="shared" si="2"/>
        <v>0.12323232323232311</v>
      </c>
      <c r="K52" s="25">
        <f t="shared" si="3"/>
        <v>1.2199999999999989</v>
      </c>
      <c r="M52" s="11">
        <f t="shared" si="12"/>
        <v>0</v>
      </c>
      <c r="N52" s="11">
        <f t="shared" si="13"/>
        <v>0</v>
      </c>
    </row>
    <row r="53" spans="1:14" ht="14.1" customHeight="1" x14ac:dyDescent="0.45">
      <c r="A53" s="1" t="s">
        <v>372</v>
      </c>
      <c r="B53" s="1">
        <v>7480</v>
      </c>
      <c r="D53" s="1" t="s">
        <v>351</v>
      </c>
      <c r="E53" s="1" t="s">
        <v>352</v>
      </c>
      <c r="F53" s="11">
        <f>SUM(I53/25)</f>
        <v>1.3052000000000001</v>
      </c>
      <c r="G53" s="11"/>
      <c r="H53" s="11">
        <v>29.05</v>
      </c>
      <c r="I53" s="23">
        <v>32.630000000000003</v>
      </c>
      <c r="J53" s="24">
        <f t="shared" si="2"/>
        <v>0.12323580034423413</v>
      </c>
      <c r="K53" s="25">
        <f t="shared" si="3"/>
        <v>3.5800000000000018</v>
      </c>
      <c r="M53" s="11">
        <f t="shared" si="12"/>
        <v>0</v>
      </c>
      <c r="N53" s="11">
        <f t="shared" si="13"/>
        <v>0</v>
      </c>
    </row>
    <row r="54" spans="1:14" ht="14.1" customHeight="1" x14ac:dyDescent="0.45">
      <c r="A54" s="16" t="s">
        <v>373</v>
      </c>
      <c r="B54" s="16">
        <v>67430</v>
      </c>
      <c r="C54" s="16" t="s">
        <v>374</v>
      </c>
      <c r="D54" s="1" t="s">
        <v>375</v>
      </c>
      <c r="E54" s="1" t="s">
        <v>376</v>
      </c>
      <c r="F54" s="11">
        <f>SUM(I54)</f>
        <v>18.100000000000001</v>
      </c>
      <c r="G54" s="11"/>
      <c r="I54" s="23">
        <v>18.100000000000001</v>
      </c>
      <c r="M54" s="11">
        <f t="shared" si="12"/>
        <v>0</v>
      </c>
      <c r="N54" s="11">
        <f t="shared" si="13"/>
        <v>0</v>
      </c>
    </row>
    <row r="55" spans="1:14" ht="14.1" customHeight="1" x14ac:dyDescent="0.45"/>
    <row r="56" spans="1:14" ht="14.1" customHeight="1" x14ac:dyDescent="0.45">
      <c r="A56" s="16" t="s">
        <v>377</v>
      </c>
      <c r="D56" s="56" t="s">
        <v>378</v>
      </c>
    </row>
    <row r="57" spans="1:14" ht="14.1" customHeight="1" x14ac:dyDescent="0.45">
      <c r="A57" s="1" t="s">
        <v>379</v>
      </c>
      <c r="B57" s="1">
        <v>1944</v>
      </c>
      <c r="D57" s="1" t="s">
        <v>380</v>
      </c>
      <c r="E57" s="1" t="s">
        <v>381</v>
      </c>
      <c r="F57" s="11">
        <f>SUM(I57/5)</f>
        <v>4.8780000000000001</v>
      </c>
      <c r="G57" s="11"/>
      <c r="H57" s="11">
        <v>21.74</v>
      </c>
      <c r="I57" s="23">
        <v>24.39</v>
      </c>
      <c r="J57" s="24">
        <f t="shared" si="2"/>
        <v>0.1218951241950323</v>
      </c>
      <c r="K57" s="25">
        <f t="shared" si="3"/>
        <v>2.6500000000000021</v>
      </c>
      <c r="M57" s="11">
        <f>SUM(F57*L57)</f>
        <v>0</v>
      </c>
      <c r="N57" s="11">
        <f>SUM(M57*35%)+M57</f>
        <v>0</v>
      </c>
    </row>
    <row r="58" spans="1:14" ht="14.1" customHeight="1" x14ac:dyDescent="0.45">
      <c r="A58" s="1" t="s">
        <v>382</v>
      </c>
      <c r="B58" s="1">
        <v>1914</v>
      </c>
      <c r="D58" s="1" t="s">
        <v>383</v>
      </c>
      <c r="E58" s="1" t="s">
        <v>384</v>
      </c>
      <c r="F58" s="11">
        <f>SUM(I58/20)</f>
        <v>4.782</v>
      </c>
      <c r="G58" s="11"/>
      <c r="H58" s="11">
        <v>85.3</v>
      </c>
      <c r="I58" s="23">
        <v>95.64</v>
      </c>
      <c r="J58" s="24">
        <f t="shared" si="2"/>
        <v>0.12121922626025795</v>
      </c>
      <c r="K58" s="25">
        <f t="shared" si="3"/>
        <v>10.340000000000003</v>
      </c>
      <c r="M58" s="11">
        <f>SUM(F58*L58)</f>
        <v>0</v>
      </c>
      <c r="N58" s="11">
        <f>SUM(M58*35%)+M58</f>
        <v>0</v>
      </c>
    </row>
    <row r="59" spans="1:14" ht="14.1" customHeight="1" x14ac:dyDescent="0.45">
      <c r="A59" s="1" t="s">
        <v>382</v>
      </c>
      <c r="B59" s="1">
        <v>1915</v>
      </c>
      <c r="D59" s="1" t="s">
        <v>385</v>
      </c>
      <c r="E59" s="1" t="s">
        <v>384</v>
      </c>
      <c r="F59" s="11">
        <f>SUM(I59/20)</f>
        <v>4.782</v>
      </c>
      <c r="G59" s="11"/>
      <c r="H59" s="11">
        <v>88.3</v>
      </c>
      <c r="I59" s="23">
        <v>95.64</v>
      </c>
      <c r="J59" s="24">
        <f t="shared" si="2"/>
        <v>8.3125707814269575E-2</v>
      </c>
      <c r="K59" s="25">
        <f t="shared" si="3"/>
        <v>7.3400000000000034</v>
      </c>
      <c r="M59" s="11">
        <f>SUM(F59*L59)</f>
        <v>0</v>
      </c>
      <c r="N59" s="11">
        <f>SUM(M59*35%)+M59</f>
        <v>0</v>
      </c>
    </row>
    <row r="60" spans="1:14" ht="14.1" customHeight="1" x14ac:dyDescent="0.45">
      <c r="A60" s="1" t="s">
        <v>386</v>
      </c>
      <c r="B60" s="1">
        <v>1943</v>
      </c>
      <c r="D60" s="1" t="s">
        <v>387</v>
      </c>
      <c r="E60" s="1" t="s">
        <v>388</v>
      </c>
      <c r="F60" s="11">
        <f>SUM(I60/10)</f>
        <v>2.375</v>
      </c>
      <c r="G60" s="11"/>
      <c r="H60" s="11">
        <v>43.82</v>
      </c>
      <c r="I60" s="23">
        <v>23.75</v>
      </c>
      <c r="J60" s="24">
        <f t="shared" si="2"/>
        <v>-0.45801004107713372</v>
      </c>
      <c r="K60" s="25">
        <v>0</v>
      </c>
      <c r="M60" s="11">
        <f>SUM(F60*L60)</f>
        <v>0</v>
      </c>
      <c r="N60" s="11">
        <f>SUM(M60*35%)+M60</f>
        <v>0</v>
      </c>
    </row>
    <row r="61" spans="1:14" ht="14.1" customHeight="1" x14ac:dyDescent="0.45">
      <c r="A61" s="16" t="s">
        <v>386</v>
      </c>
      <c r="B61" s="16">
        <v>33415</v>
      </c>
      <c r="D61" s="1" t="s">
        <v>389</v>
      </c>
      <c r="E61" s="1" t="s">
        <v>390</v>
      </c>
      <c r="F61" s="11">
        <f>SUM(I61/5)</f>
        <v>4.75</v>
      </c>
      <c r="G61" s="11"/>
      <c r="I61" s="23">
        <v>23.75</v>
      </c>
      <c r="M61" s="11">
        <f>SUM(F61*L61)</f>
        <v>0</v>
      </c>
      <c r="N61" s="11">
        <f>SUM(M61*35%)+M61</f>
        <v>0</v>
      </c>
    </row>
    <row r="62" spans="1:14" ht="14.1" customHeight="1" x14ac:dyDescent="0.45"/>
    <row r="63" spans="1:14" ht="14.1" customHeight="1" x14ac:dyDescent="0.45"/>
    <row r="64" spans="1:14" ht="14.1" customHeight="1" x14ac:dyDescent="0.45">
      <c r="D64" s="56" t="s">
        <v>391</v>
      </c>
    </row>
    <row r="65" spans="1:252" ht="14.1" customHeight="1" x14ac:dyDescent="0.45">
      <c r="A65" s="1" t="s">
        <v>392</v>
      </c>
      <c r="B65" s="1">
        <v>7748</v>
      </c>
      <c r="D65" s="1" t="s">
        <v>393</v>
      </c>
      <c r="E65" s="1" t="s">
        <v>394</v>
      </c>
      <c r="F65" s="11">
        <f>SUM(I65/30)</f>
        <v>0.748</v>
      </c>
      <c r="G65" s="11"/>
      <c r="H65" s="11">
        <v>19.98</v>
      </c>
      <c r="I65" s="23">
        <v>22.44</v>
      </c>
      <c r="J65" s="24">
        <f t="shared" si="2"/>
        <v>0.12312312312312317</v>
      </c>
      <c r="K65" s="25">
        <f t="shared" si="3"/>
        <v>2.4600000000000009</v>
      </c>
      <c r="M65" s="11">
        <f>SUM(F65*L65)</f>
        <v>0</v>
      </c>
      <c r="N65" s="11">
        <f>SUM(M65*35%)+M65</f>
        <v>0</v>
      </c>
    </row>
    <row r="66" spans="1:252" ht="14.1" customHeight="1" x14ac:dyDescent="0.45">
      <c r="A66" s="1" t="s">
        <v>395</v>
      </c>
      <c r="B66" s="1">
        <v>7521</v>
      </c>
      <c r="D66" s="1" t="s">
        <v>396</v>
      </c>
      <c r="E66" s="1" t="s">
        <v>394</v>
      </c>
      <c r="F66" s="11">
        <f>SUM(I66/30)</f>
        <v>1.59</v>
      </c>
      <c r="G66" s="11"/>
      <c r="H66" s="11">
        <v>40.44</v>
      </c>
      <c r="I66" s="23">
        <v>47.7</v>
      </c>
      <c r="J66" s="24">
        <f t="shared" si="2"/>
        <v>0.17952522255192893</v>
      </c>
      <c r="K66" s="25">
        <f t="shared" si="3"/>
        <v>7.260000000000006</v>
      </c>
      <c r="M66" s="11">
        <f>SUM(F66*L66)</f>
        <v>0</v>
      </c>
      <c r="N66" s="11">
        <f>SUM(M66*35%)+M66</f>
        <v>0</v>
      </c>
    </row>
    <row r="67" spans="1:252" ht="14.1" customHeight="1" x14ac:dyDescent="0.45">
      <c r="A67" s="1" t="s">
        <v>397</v>
      </c>
      <c r="B67" s="1">
        <v>7747</v>
      </c>
      <c r="D67" s="1" t="s">
        <v>398</v>
      </c>
      <c r="E67" s="1" t="s">
        <v>394</v>
      </c>
      <c r="F67" s="11">
        <f>SUM(I67/30)</f>
        <v>0.748</v>
      </c>
      <c r="G67" s="11"/>
      <c r="H67" s="11">
        <v>19.98</v>
      </c>
      <c r="I67" s="23">
        <v>22.44</v>
      </c>
      <c r="J67" s="24">
        <f t="shared" si="2"/>
        <v>0.12312312312312317</v>
      </c>
      <c r="K67" s="25">
        <f t="shared" si="3"/>
        <v>2.4600000000000009</v>
      </c>
      <c r="M67" s="11">
        <f>SUM(F67*L67)</f>
        <v>0</v>
      </c>
      <c r="N67" s="11">
        <f>SUM(M67*35%)+M67</f>
        <v>0</v>
      </c>
    </row>
    <row r="68" spans="1:252" ht="14.1" customHeight="1" x14ac:dyDescent="0.45">
      <c r="B68" s="1">
        <v>7448</v>
      </c>
      <c r="D68" s="1" t="s">
        <v>399</v>
      </c>
      <c r="E68" s="1" t="s">
        <v>400</v>
      </c>
      <c r="F68" s="11">
        <f>SUM(I68/20)</f>
        <v>1.1644999999999999</v>
      </c>
      <c r="G68" s="11"/>
      <c r="H68" s="11">
        <v>20.73</v>
      </c>
      <c r="I68" s="23">
        <v>23.29</v>
      </c>
      <c r="J68" s="24">
        <f t="shared" si="2"/>
        <v>0.12349252291365165</v>
      </c>
      <c r="K68" s="25">
        <f t="shared" si="3"/>
        <v>2.5599999999999987</v>
      </c>
      <c r="M68" s="11">
        <f>SUM(F68*L68)</f>
        <v>0</v>
      </c>
      <c r="N68" s="11">
        <f>SUM(M68*35%)+M68</f>
        <v>0</v>
      </c>
    </row>
    <row r="69" spans="1:252" ht="14.1" customHeight="1" x14ac:dyDescent="0.45"/>
    <row r="70" spans="1:252" ht="14.1" customHeight="1" x14ac:dyDescent="0.45"/>
    <row r="71" spans="1:252" ht="14.1" customHeight="1" x14ac:dyDescent="0.45">
      <c r="A71"/>
      <c r="B71"/>
      <c r="C71"/>
      <c r="D71" s="58" t="s">
        <v>401</v>
      </c>
      <c r="E71"/>
      <c r="F71"/>
      <c r="G71"/>
      <c r="H71" s="12"/>
      <c r="L71" s="37"/>
      <c r="M71" s="12"/>
      <c r="N71" s="12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</row>
    <row r="72" spans="1:252" ht="14.1" customHeight="1" x14ac:dyDescent="0.45">
      <c r="A72" s="1" t="s">
        <v>402</v>
      </c>
      <c r="B72" s="1">
        <v>6724</v>
      </c>
      <c r="D72" s="1" t="s">
        <v>403</v>
      </c>
      <c r="E72" s="1" t="s">
        <v>404</v>
      </c>
      <c r="F72" s="11">
        <f>SUM(I72/350)</f>
        <v>0.11151428571428572</v>
      </c>
      <c r="G72" s="11"/>
      <c r="H72" s="11">
        <v>35.29</v>
      </c>
      <c r="I72" s="23">
        <v>39.03</v>
      </c>
      <c r="J72" s="24">
        <f t="shared" si="2"/>
        <v>0.10597903088693687</v>
      </c>
      <c r="K72" s="25">
        <f t="shared" si="3"/>
        <v>3.740000000000002</v>
      </c>
      <c r="M72" s="11">
        <f>SUM(F72*L72)</f>
        <v>0</v>
      </c>
      <c r="N72" s="11">
        <f>SUM(M72*35%)+M72</f>
        <v>0</v>
      </c>
    </row>
    <row r="73" spans="1:252" ht="14.1" customHeight="1" x14ac:dyDescent="0.45">
      <c r="A73" s="1" t="s">
        <v>405</v>
      </c>
      <c r="B73" s="1">
        <v>6728</v>
      </c>
      <c r="D73" s="1" t="s">
        <v>406</v>
      </c>
      <c r="E73" s="1" t="s">
        <v>404</v>
      </c>
      <c r="F73" s="11">
        <f>SUM(I73/350)</f>
        <v>0.18494285714285716</v>
      </c>
      <c r="G73" s="11"/>
      <c r="H73" s="11">
        <v>58.51</v>
      </c>
      <c r="I73" s="23">
        <v>64.73</v>
      </c>
      <c r="J73" s="24">
        <f t="shared" si="2"/>
        <v>0.10630661425397378</v>
      </c>
      <c r="K73" s="25">
        <f t="shared" si="3"/>
        <v>6.220000000000006</v>
      </c>
      <c r="M73" s="11">
        <f>SUM(F73*L73)</f>
        <v>0</v>
      </c>
      <c r="N73" s="11">
        <f>SUM(M73*35%)+M73</f>
        <v>0</v>
      </c>
    </row>
    <row r="74" spans="1:252" ht="14.1" customHeight="1" x14ac:dyDescent="0.45"/>
    <row r="75" spans="1:252" ht="14.1" customHeight="1" x14ac:dyDescent="0.45">
      <c r="D75" s="56" t="s">
        <v>407</v>
      </c>
    </row>
    <row r="76" spans="1:252" ht="14.1" customHeight="1" x14ac:dyDescent="0.45">
      <c r="A76" s="1" t="s">
        <v>408</v>
      </c>
      <c r="B76" s="1">
        <v>6652</v>
      </c>
      <c r="D76" s="1" t="s">
        <v>409</v>
      </c>
      <c r="E76" s="1" t="s">
        <v>410</v>
      </c>
      <c r="F76" s="11">
        <f t="shared" ref="F76:F81" si="14">SUM(I76/180)</f>
        <v>1.5222222222222224E-2</v>
      </c>
      <c r="G76" s="11"/>
      <c r="H76" s="11">
        <v>2.36</v>
      </c>
      <c r="I76" s="23">
        <v>2.74</v>
      </c>
      <c r="J76" s="24">
        <f t="shared" ref="J76:J142" si="15">SUM(I76-H76)/H76</f>
        <v>0.16101694915254253</v>
      </c>
      <c r="K76" s="25">
        <f t="shared" ref="K76:K142" si="16">SUM(H76*J76)</f>
        <v>0.38000000000000034</v>
      </c>
      <c r="M76" s="11">
        <f t="shared" ref="M76:M84" si="17">SUM(F76*L76)</f>
        <v>0</v>
      </c>
      <c r="N76" s="11">
        <f t="shared" ref="N76:N84" si="18">SUM(M76*35%)+M76</f>
        <v>0</v>
      </c>
    </row>
    <row r="77" spans="1:252" ht="14.1" customHeight="1" x14ac:dyDescent="0.45">
      <c r="A77" s="1" t="s">
        <v>411</v>
      </c>
      <c r="B77" s="1">
        <v>6654</v>
      </c>
      <c r="D77" s="1" t="s">
        <v>412</v>
      </c>
      <c r="E77" s="1" t="s">
        <v>410</v>
      </c>
      <c r="F77" s="11">
        <f t="shared" si="14"/>
        <v>3.0222222222222223E-2</v>
      </c>
      <c r="G77" s="11"/>
      <c r="H77" s="11">
        <v>4.68</v>
      </c>
      <c r="I77" s="23">
        <v>5.44</v>
      </c>
      <c r="J77" s="24">
        <f t="shared" si="15"/>
        <v>0.16239316239316254</v>
      </c>
      <c r="K77" s="25">
        <f t="shared" si="16"/>
        <v>0.76000000000000068</v>
      </c>
      <c r="M77" s="11">
        <f t="shared" si="17"/>
        <v>0</v>
      </c>
      <c r="N77" s="11">
        <f t="shared" si="18"/>
        <v>0</v>
      </c>
    </row>
    <row r="78" spans="1:252" ht="14.1" customHeight="1" x14ac:dyDescent="0.45">
      <c r="A78" s="1" t="s">
        <v>413</v>
      </c>
      <c r="B78" s="1">
        <v>26332</v>
      </c>
      <c r="D78" s="1" t="s">
        <v>414</v>
      </c>
      <c r="E78" s="1" t="s">
        <v>410</v>
      </c>
      <c r="F78" s="11">
        <f t="shared" si="14"/>
        <v>1.6888888888888891E-2</v>
      </c>
      <c r="G78" s="11"/>
      <c r="H78" s="11">
        <v>2.84</v>
      </c>
      <c r="I78" s="23">
        <v>3.04</v>
      </c>
      <c r="J78" s="24">
        <f t="shared" si="15"/>
        <v>7.0422535211267678E-2</v>
      </c>
      <c r="K78" s="25">
        <f t="shared" si="16"/>
        <v>0.20000000000000021</v>
      </c>
      <c r="M78" s="11">
        <f t="shared" si="17"/>
        <v>0</v>
      </c>
      <c r="N78" s="11">
        <f t="shared" si="18"/>
        <v>0</v>
      </c>
    </row>
    <row r="79" spans="1:252" ht="14.1" customHeight="1" x14ac:dyDescent="0.45">
      <c r="A79" s="1" t="s">
        <v>415</v>
      </c>
      <c r="B79" s="1">
        <v>26334</v>
      </c>
      <c r="D79" s="1" t="s">
        <v>416</v>
      </c>
      <c r="E79" s="1" t="s">
        <v>410</v>
      </c>
      <c r="F79" s="11">
        <f t="shared" si="14"/>
        <v>2.1722222222222223E-2</v>
      </c>
      <c r="G79" s="11"/>
      <c r="H79" s="11">
        <v>3.65</v>
      </c>
      <c r="I79" s="23">
        <v>3.91</v>
      </c>
      <c r="J79" s="24">
        <f t="shared" si="15"/>
        <v>7.1232876712328835E-2</v>
      </c>
      <c r="K79" s="25">
        <f t="shared" si="16"/>
        <v>0.26000000000000023</v>
      </c>
      <c r="M79" s="11">
        <f t="shared" si="17"/>
        <v>0</v>
      </c>
      <c r="N79" s="11">
        <f t="shared" si="18"/>
        <v>0</v>
      </c>
    </row>
    <row r="80" spans="1:252" ht="14.1" customHeight="1" x14ac:dyDescent="0.45">
      <c r="A80" s="1" t="s">
        <v>417</v>
      </c>
      <c r="B80" s="1">
        <v>26336</v>
      </c>
      <c r="D80" s="1" t="s">
        <v>418</v>
      </c>
      <c r="E80" s="1" t="s">
        <v>410</v>
      </c>
      <c r="F80" s="11">
        <f t="shared" si="14"/>
        <v>3.0666666666666665E-2</v>
      </c>
      <c r="G80" s="11"/>
      <c r="H80" s="11">
        <v>4.92</v>
      </c>
      <c r="I80" s="23">
        <v>5.52</v>
      </c>
      <c r="J80" s="24">
        <f t="shared" ref="J80" si="19">SUM(I80-H80)/H80</f>
        <v>0.12195121951219505</v>
      </c>
      <c r="K80" s="25">
        <f t="shared" ref="K80" si="20">SUM(H80*J80)</f>
        <v>0.59999999999999964</v>
      </c>
      <c r="M80" s="11">
        <f t="shared" ref="M80" si="21">SUM(F80*L80)</f>
        <v>0</v>
      </c>
      <c r="N80" s="11">
        <f t="shared" ref="N80" si="22">SUM(M80*35%)+M80</f>
        <v>0</v>
      </c>
    </row>
    <row r="81" spans="1:14" ht="14.1" customHeight="1" x14ac:dyDescent="0.45">
      <c r="A81" s="1" t="s">
        <v>419</v>
      </c>
      <c r="B81" s="1">
        <v>26338</v>
      </c>
      <c r="D81" s="1" t="s">
        <v>420</v>
      </c>
      <c r="E81" s="1" t="s">
        <v>410</v>
      </c>
      <c r="F81" s="11">
        <f t="shared" si="14"/>
        <v>4.3666666666666666E-2</v>
      </c>
      <c r="G81" s="11"/>
      <c r="H81" s="11">
        <v>7.36</v>
      </c>
      <c r="I81" s="23">
        <v>7.86</v>
      </c>
      <c r="J81" s="24">
        <f t="shared" si="15"/>
        <v>6.7934782608695649E-2</v>
      </c>
      <c r="K81" s="25">
        <f t="shared" si="16"/>
        <v>0.5</v>
      </c>
      <c r="M81" s="11">
        <f t="shared" si="17"/>
        <v>0</v>
      </c>
      <c r="N81" s="11">
        <f t="shared" si="18"/>
        <v>0</v>
      </c>
    </row>
    <row r="82" spans="1:14" ht="14.1" customHeight="1" x14ac:dyDescent="0.45">
      <c r="F82" s="11"/>
      <c r="G82" s="11"/>
      <c r="J82" s="24">
        <v>0</v>
      </c>
      <c r="K82" s="25">
        <f t="shared" si="16"/>
        <v>0</v>
      </c>
      <c r="M82" s="11">
        <f t="shared" si="17"/>
        <v>0</v>
      </c>
      <c r="N82" s="11">
        <f t="shared" si="18"/>
        <v>0</v>
      </c>
    </row>
    <row r="83" spans="1:14" ht="14.1" customHeight="1" x14ac:dyDescent="0.45">
      <c r="A83" s="1" t="s">
        <v>421</v>
      </c>
      <c r="B83" s="1">
        <v>6525</v>
      </c>
      <c r="D83" s="1" t="s">
        <v>422</v>
      </c>
      <c r="E83" s="1" t="s">
        <v>410</v>
      </c>
      <c r="F83" s="11">
        <f>SUM(I83/180)</f>
        <v>3.6000000000000004E-2</v>
      </c>
      <c r="G83" s="11"/>
      <c r="H83" s="11">
        <v>6.06</v>
      </c>
      <c r="I83" s="23">
        <v>6.48</v>
      </c>
      <c r="J83" s="24">
        <f t="shared" si="15"/>
        <v>6.9306930693069452E-2</v>
      </c>
      <c r="K83" s="25">
        <f t="shared" si="16"/>
        <v>0.42000000000000087</v>
      </c>
      <c r="M83" s="11">
        <f t="shared" si="17"/>
        <v>0</v>
      </c>
      <c r="N83" s="11">
        <f t="shared" si="18"/>
        <v>0</v>
      </c>
    </row>
    <row r="84" spans="1:14" ht="14.1" customHeight="1" x14ac:dyDescent="0.45">
      <c r="A84" s="1" t="s">
        <v>423</v>
      </c>
      <c r="B84" s="1">
        <v>6529</v>
      </c>
      <c r="D84" s="1" t="s">
        <v>424</v>
      </c>
      <c r="E84" s="1" t="s">
        <v>410</v>
      </c>
      <c r="F84" s="11">
        <f>SUM(I84/180)</f>
        <v>3.6000000000000004E-2</v>
      </c>
      <c r="G84" s="11"/>
      <c r="H84" s="11">
        <v>6.06</v>
      </c>
      <c r="I84" s="23">
        <v>6.48</v>
      </c>
      <c r="J84" s="24">
        <f t="shared" si="15"/>
        <v>6.9306930693069452E-2</v>
      </c>
      <c r="K84" s="25">
        <f t="shared" si="16"/>
        <v>0.42000000000000087</v>
      </c>
      <c r="M84" s="11">
        <f t="shared" si="17"/>
        <v>0</v>
      </c>
      <c r="N84" s="11">
        <f t="shared" si="18"/>
        <v>0</v>
      </c>
    </row>
    <row r="85" spans="1:14" ht="14.1" customHeight="1" x14ac:dyDescent="0.45"/>
    <row r="86" spans="1:14" ht="14.1" customHeight="1" x14ac:dyDescent="0.45">
      <c r="A86" s="1" t="s">
        <v>425</v>
      </c>
      <c r="B86" s="1">
        <v>6404</v>
      </c>
      <c r="D86" s="1" t="s">
        <v>426</v>
      </c>
      <c r="E86" s="1" t="s">
        <v>427</v>
      </c>
      <c r="F86" s="11">
        <f>SUM(I86/108)</f>
        <v>8.2314814814814827E-2</v>
      </c>
      <c r="G86" s="11"/>
      <c r="H86" s="11">
        <v>7.63</v>
      </c>
      <c r="I86" s="23">
        <v>8.89</v>
      </c>
      <c r="J86" s="24">
        <f t="shared" si="15"/>
        <v>0.16513761467889918</v>
      </c>
      <c r="K86" s="25">
        <f t="shared" si="16"/>
        <v>1.2600000000000007</v>
      </c>
      <c r="M86" s="11">
        <f>SUM(F86*L86)</f>
        <v>0</v>
      </c>
      <c r="N86" s="11">
        <f>SUM(M86*35%)+M86</f>
        <v>0</v>
      </c>
    </row>
    <row r="87" spans="1:14" ht="14.1" customHeight="1" x14ac:dyDescent="0.45">
      <c r="A87" s="1" t="s">
        <v>428</v>
      </c>
      <c r="B87" s="1">
        <v>6405</v>
      </c>
      <c r="D87" s="1" t="s">
        <v>429</v>
      </c>
      <c r="E87" s="1" t="s">
        <v>427</v>
      </c>
      <c r="F87" s="11">
        <f>SUM(I87/108)</f>
        <v>8.2314814814814827E-2</v>
      </c>
      <c r="G87" s="11"/>
      <c r="H87" s="11">
        <v>7.63</v>
      </c>
      <c r="I87" s="23">
        <v>8.89</v>
      </c>
      <c r="J87" s="24">
        <f t="shared" si="15"/>
        <v>0.16513761467889918</v>
      </c>
      <c r="K87" s="25">
        <f t="shared" si="16"/>
        <v>1.2600000000000007</v>
      </c>
      <c r="M87" s="11">
        <f>SUM(F87*L87)</f>
        <v>0</v>
      </c>
      <c r="N87" s="11">
        <f>SUM(M87*35%)+M87</f>
        <v>0</v>
      </c>
    </row>
    <row r="88" spans="1:14" ht="14.1" customHeight="1" x14ac:dyDescent="0.45">
      <c r="A88" s="1" t="s">
        <v>430</v>
      </c>
      <c r="B88" s="1">
        <v>6408</v>
      </c>
      <c r="D88" s="1" t="s">
        <v>431</v>
      </c>
      <c r="E88" s="1" t="s">
        <v>427</v>
      </c>
      <c r="F88" s="11">
        <f>SUM(I88/108)</f>
        <v>0.10703703703703704</v>
      </c>
      <c r="G88" s="11"/>
      <c r="H88" s="11">
        <v>9.91</v>
      </c>
      <c r="I88" s="23">
        <v>11.56</v>
      </c>
      <c r="J88" s="24">
        <f t="shared" si="15"/>
        <v>0.16649848637739662</v>
      </c>
      <c r="K88" s="25">
        <f t="shared" si="16"/>
        <v>1.6500000000000006</v>
      </c>
      <c r="M88" s="11">
        <f>SUM(F88*L88)</f>
        <v>0</v>
      </c>
      <c r="N88" s="11">
        <f>SUM(M88*35%)+M88</f>
        <v>0</v>
      </c>
    </row>
    <row r="89" spans="1:14" ht="14.1" customHeight="1" x14ac:dyDescent="0.45">
      <c r="A89" s="1" t="s">
        <v>432</v>
      </c>
      <c r="B89" s="1">
        <v>6293</v>
      </c>
      <c r="D89" s="1" t="s">
        <v>433</v>
      </c>
      <c r="E89" s="1" t="s">
        <v>434</v>
      </c>
      <c r="F89" s="11">
        <f>SUM(I89/160)</f>
        <v>0.38150000000000001</v>
      </c>
      <c r="G89" s="11"/>
      <c r="H89" s="11">
        <v>57.11</v>
      </c>
      <c r="I89" s="23">
        <v>61.04</v>
      </c>
      <c r="J89" s="24">
        <f t="shared" si="15"/>
        <v>6.8814568376816668E-2</v>
      </c>
      <c r="K89" s="25">
        <f t="shared" si="16"/>
        <v>3.9299999999999997</v>
      </c>
      <c r="M89" s="11">
        <f>SUM(F89*L89)</f>
        <v>0</v>
      </c>
      <c r="N89" s="11">
        <f>SUM(M89*35%)+M89</f>
        <v>0</v>
      </c>
    </row>
    <row r="90" spans="1:14" ht="14.1" customHeight="1" x14ac:dyDescent="0.45"/>
    <row r="91" spans="1:14" ht="14.1" customHeight="1" x14ac:dyDescent="0.45">
      <c r="D91" s="56" t="s">
        <v>435</v>
      </c>
    </row>
    <row r="92" spans="1:14" ht="14.1" customHeight="1" x14ac:dyDescent="0.45">
      <c r="A92" s="1" t="s">
        <v>436</v>
      </c>
      <c r="B92" s="1">
        <v>6386</v>
      </c>
      <c r="D92" s="1" t="s">
        <v>437</v>
      </c>
      <c r="E92" s="1" t="s">
        <v>438</v>
      </c>
      <c r="F92" s="11">
        <f>SUM(I92/60)</f>
        <v>0.38033333333333336</v>
      </c>
      <c r="G92" s="11"/>
      <c r="H92" s="11">
        <v>20.6</v>
      </c>
      <c r="I92" s="23">
        <v>22.82</v>
      </c>
      <c r="J92" s="24">
        <f t="shared" si="15"/>
        <v>0.10776699029126208</v>
      </c>
      <c r="K92" s="25">
        <f t="shared" si="16"/>
        <v>2.2199999999999989</v>
      </c>
      <c r="M92" s="11">
        <f>SUM(F92*L92)</f>
        <v>0</v>
      </c>
      <c r="N92" s="11">
        <f>SUM(M92*35%)+M92</f>
        <v>0</v>
      </c>
    </row>
    <row r="93" spans="1:14" ht="14.1" customHeight="1" x14ac:dyDescent="0.45">
      <c r="A93" s="1" t="s">
        <v>439</v>
      </c>
      <c r="B93" s="1">
        <v>6382</v>
      </c>
      <c r="D93" s="1" t="s">
        <v>440</v>
      </c>
      <c r="E93" s="1" t="s">
        <v>438</v>
      </c>
      <c r="F93" s="11">
        <f>SUM(I93/60)</f>
        <v>0.66433333333333333</v>
      </c>
      <c r="G93" s="11"/>
      <c r="H93" s="11">
        <v>35.96</v>
      </c>
      <c r="I93" s="23">
        <v>39.86</v>
      </c>
      <c r="J93" s="24">
        <f t="shared" si="15"/>
        <v>0.10845383759733032</v>
      </c>
      <c r="K93" s="25">
        <f t="shared" si="16"/>
        <v>3.8999999999999986</v>
      </c>
      <c r="M93" s="11">
        <f>SUM(F93*L93)</f>
        <v>0</v>
      </c>
      <c r="N93" s="11">
        <f>SUM(M93*35%)+M93</f>
        <v>0</v>
      </c>
    </row>
    <row r="94" spans="1:14" ht="14.1" customHeight="1" x14ac:dyDescent="0.45">
      <c r="A94" s="1" t="s">
        <v>441</v>
      </c>
      <c r="B94" s="1">
        <v>6383</v>
      </c>
      <c r="D94" s="1" t="s">
        <v>442</v>
      </c>
      <c r="E94" s="1" t="s">
        <v>438</v>
      </c>
      <c r="F94" s="11">
        <f>SUM(I94/60)</f>
        <v>1.0091666666666665</v>
      </c>
      <c r="G94" s="11"/>
      <c r="H94" s="11">
        <v>54.63</v>
      </c>
      <c r="I94" s="23">
        <v>60.55</v>
      </c>
      <c r="J94" s="24">
        <f t="shared" si="15"/>
        <v>0.10836536701446081</v>
      </c>
      <c r="K94" s="25">
        <f t="shared" si="16"/>
        <v>5.9199999999999946</v>
      </c>
      <c r="M94" s="11">
        <f>SUM(F94*L94)</f>
        <v>0</v>
      </c>
      <c r="N94" s="11">
        <f>SUM(M94*35%)+M94</f>
        <v>0</v>
      </c>
    </row>
    <row r="95" spans="1:14" ht="14.1" customHeight="1" x14ac:dyDescent="0.45">
      <c r="A95" s="1" t="s">
        <v>443</v>
      </c>
      <c r="B95" s="1">
        <v>6396</v>
      </c>
      <c r="D95" s="18" t="s">
        <v>444</v>
      </c>
      <c r="E95" s="1" t="s">
        <v>445</v>
      </c>
      <c r="F95" s="11">
        <f>SUM(I95/100)</f>
        <v>0.48229999999999995</v>
      </c>
      <c r="G95" s="11"/>
      <c r="I95" s="23">
        <v>48.23</v>
      </c>
      <c r="M95" s="11">
        <f>SUM(F95*L95)</f>
        <v>0</v>
      </c>
      <c r="N95" s="11">
        <f>SUM(M95*35%)+M95</f>
        <v>0</v>
      </c>
    </row>
    <row r="96" spans="1:14" ht="14.1" customHeight="1" x14ac:dyDescent="0.45"/>
    <row r="97" spans="1:14" ht="14.1" customHeight="1" x14ac:dyDescent="0.45">
      <c r="D97" s="56" t="s">
        <v>446</v>
      </c>
    </row>
    <row r="98" spans="1:14" ht="14.1" customHeight="1" x14ac:dyDescent="0.45">
      <c r="A98" s="1" t="s">
        <v>226</v>
      </c>
      <c r="B98" s="1">
        <v>5781</v>
      </c>
      <c r="D98" t="s">
        <v>227</v>
      </c>
      <c r="E98" s="1" t="s">
        <v>228</v>
      </c>
      <c r="F98" s="11">
        <f>SUM(I98/1)</f>
        <v>54.36</v>
      </c>
      <c r="I98" s="23">
        <v>54.36</v>
      </c>
      <c r="M98" s="11">
        <v>0</v>
      </c>
      <c r="N98" s="11">
        <f>SUM(M98*35%)+M98</f>
        <v>0</v>
      </c>
    </row>
    <row r="99" spans="1:14" ht="14.1" customHeight="1" x14ac:dyDescent="0.45">
      <c r="A99" s="1" t="s">
        <v>447</v>
      </c>
      <c r="B99" s="1">
        <v>524</v>
      </c>
      <c r="D99" s="1" t="s">
        <v>448</v>
      </c>
      <c r="E99" s="1" t="s">
        <v>449</v>
      </c>
      <c r="F99" s="11">
        <f>SUM(I99/25)</f>
        <v>4.2332000000000001</v>
      </c>
      <c r="G99" s="11"/>
      <c r="H99" s="11">
        <v>93.45</v>
      </c>
      <c r="I99" s="23">
        <v>105.83</v>
      </c>
      <c r="J99" s="24">
        <f t="shared" si="15"/>
        <v>0.13247726056714815</v>
      </c>
      <c r="K99" s="25">
        <f t="shared" si="16"/>
        <v>12.379999999999995</v>
      </c>
      <c r="M99" s="11">
        <v>0</v>
      </c>
      <c r="N99" s="11">
        <f>SUM(M99*35%)+M99</f>
        <v>0</v>
      </c>
    </row>
    <row r="100" spans="1:14" ht="14.1" customHeight="1" x14ac:dyDescent="0.45">
      <c r="A100" s="1" t="s">
        <v>450</v>
      </c>
      <c r="B100" s="1">
        <v>525</v>
      </c>
      <c r="D100" s="1" t="s">
        <v>451</v>
      </c>
      <c r="E100" s="1" t="s">
        <v>449</v>
      </c>
      <c r="F100" s="11">
        <f>SUM(I100/25)</f>
        <v>4.5604000000000005</v>
      </c>
      <c r="G100" s="11"/>
      <c r="H100" s="11">
        <v>101.68</v>
      </c>
      <c r="I100" s="23">
        <v>114.01</v>
      </c>
      <c r="J100" s="24">
        <f t="shared" si="15"/>
        <v>0.12126278520849722</v>
      </c>
      <c r="K100" s="25">
        <f t="shared" si="16"/>
        <v>12.329999999999998</v>
      </c>
      <c r="M100" s="11">
        <f>SUM(F100*L100)</f>
        <v>0</v>
      </c>
      <c r="N100" s="11">
        <f>SUM(M100*35%)+M100</f>
        <v>0</v>
      </c>
    </row>
    <row r="101" spans="1:14" ht="14.1" customHeight="1" x14ac:dyDescent="0.45">
      <c r="A101" s="1" t="s">
        <v>452</v>
      </c>
      <c r="B101" s="1">
        <v>521</v>
      </c>
      <c r="D101" s="1" t="s">
        <v>453</v>
      </c>
      <c r="E101" s="1" t="s">
        <v>454</v>
      </c>
      <c r="F101" s="11">
        <f>SUM(I101/50)</f>
        <v>2.5482</v>
      </c>
      <c r="G101" s="11"/>
      <c r="H101" s="11">
        <v>75.11</v>
      </c>
      <c r="I101" s="23">
        <v>127.41</v>
      </c>
      <c r="J101" s="24">
        <f t="shared" si="15"/>
        <v>0.69631207562242037</v>
      </c>
      <c r="K101" s="25">
        <f t="shared" si="16"/>
        <v>52.29999999999999</v>
      </c>
      <c r="M101" s="11">
        <f>SUM(F101*L101)</f>
        <v>0</v>
      </c>
      <c r="N101" s="11">
        <f>SUM(M101*35%)+M101</f>
        <v>0</v>
      </c>
    </row>
    <row r="102" spans="1:14" ht="14.1" customHeight="1" x14ac:dyDescent="0.45">
      <c r="A102" s="1" t="s">
        <v>455</v>
      </c>
      <c r="B102" s="1">
        <v>522</v>
      </c>
      <c r="D102" s="1" t="s">
        <v>456</v>
      </c>
      <c r="E102" s="1" t="s">
        <v>449</v>
      </c>
      <c r="F102" s="11">
        <f>SUM(I102/25)</f>
        <v>3.8560000000000003</v>
      </c>
      <c r="G102" s="11"/>
      <c r="H102" s="11">
        <v>85.98</v>
      </c>
      <c r="I102" s="23">
        <v>96.4</v>
      </c>
      <c r="J102" s="24">
        <f t="shared" si="15"/>
        <v>0.12119097464526636</v>
      </c>
      <c r="K102" s="25">
        <f t="shared" si="16"/>
        <v>10.420000000000002</v>
      </c>
      <c r="M102" s="11">
        <f>SUM(F102*L102)</f>
        <v>0</v>
      </c>
      <c r="N102" s="11">
        <f>SUM(M102*35%)+M102</f>
        <v>0</v>
      </c>
    </row>
    <row r="103" spans="1:14" ht="14.1" customHeight="1" x14ac:dyDescent="0.45">
      <c r="A103" s="1" t="s">
        <v>457</v>
      </c>
      <c r="B103" s="1">
        <v>1549</v>
      </c>
      <c r="D103" s="1" t="s">
        <v>458</v>
      </c>
      <c r="F103" s="11"/>
      <c r="G103" s="11"/>
    </row>
    <row r="104" spans="1:14" ht="14.1" customHeight="1" x14ac:dyDescent="0.45">
      <c r="A104" s="1" t="s">
        <v>459</v>
      </c>
      <c r="B104" s="1">
        <v>1845</v>
      </c>
      <c r="D104" s="1" t="s">
        <v>460</v>
      </c>
      <c r="E104" s="1" t="s">
        <v>449</v>
      </c>
      <c r="F104" s="11">
        <f>SUM(I104/25)</f>
        <v>1.786</v>
      </c>
      <c r="G104" s="11"/>
      <c r="H104" s="11">
        <v>44.65</v>
      </c>
      <c r="I104" s="23">
        <v>44.65</v>
      </c>
      <c r="M104" s="11">
        <f>SUM(F104*L104)</f>
        <v>0</v>
      </c>
      <c r="N104" s="11">
        <f>SUM(M104*35%)+M104</f>
        <v>0</v>
      </c>
    </row>
    <row r="105" spans="1:14" ht="14.1" customHeight="1" x14ac:dyDescent="0.45"/>
    <row r="106" spans="1:14" ht="14.1" customHeight="1" x14ac:dyDescent="0.45">
      <c r="D106" s="56" t="s">
        <v>461</v>
      </c>
    </row>
    <row r="107" spans="1:14" ht="14.1" customHeight="1" x14ac:dyDescent="0.45">
      <c r="A107" s="2" t="s">
        <v>231</v>
      </c>
      <c r="B107" s="1">
        <v>5776</v>
      </c>
      <c r="D107" s="1" t="s">
        <v>232</v>
      </c>
      <c r="E107" s="1" t="s">
        <v>462</v>
      </c>
      <c r="F107" s="11">
        <f>SUM(I107)</f>
        <v>31.61</v>
      </c>
      <c r="G107" s="11"/>
      <c r="I107" s="23">
        <v>31.61</v>
      </c>
      <c r="M107" s="11">
        <f t="shared" ref="M107:M113" si="23">SUM(F107*L107)</f>
        <v>0</v>
      </c>
      <c r="N107" s="11">
        <f t="shared" ref="N107:N113" si="24">SUM(M107*35%)+M107</f>
        <v>0</v>
      </c>
    </row>
    <row r="108" spans="1:14" ht="14.1" customHeight="1" x14ac:dyDescent="0.45">
      <c r="A108" s="2" t="s">
        <v>233</v>
      </c>
      <c r="B108" s="1">
        <v>5777</v>
      </c>
      <c r="D108" s="1" t="s">
        <v>234</v>
      </c>
      <c r="E108" s="1" t="s">
        <v>463</v>
      </c>
      <c r="F108" s="11">
        <f>SUM(I108)</f>
        <v>15.49</v>
      </c>
      <c r="G108" s="11"/>
      <c r="I108" s="23">
        <v>15.49</v>
      </c>
      <c r="M108" s="11">
        <f t="shared" si="23"/>
        <v>0</v>
      </c>
      <c r="N108" s="11">
        <f t="shared" si="24"/>
        <v>0</v>
      </c>
    </row>
    <row r="109" spans="1:14" ht="14.1" customHeight="1" x14ac:dyDescent="0.45">
      <c r="A109" s="1" t="s">
        <v>235</v>
      </c>
      <c r="B109" s="1">
        <v>5771</v>
      </c>
      <c r="D109" s="1" t="s">
        <v>236</v>
      </c>
      <c r="E109" s="1" t="s">
        <v>464</v>
      </c>
      <c r="F109" s="11">
        <f>SUM(I109)</f>
        <v>5.7</v>
      </c>
      <c r="G109" s="11"/>
      <c r="I109" s="23">
        <v>5.7</v>
      </c>
      <c r="M109" s="11">
        <f t="shared" si="23"/>
        <v>0</v>
      </c>
      <c r="N109" s="11">
        <f t="shared" si="24"/>
        <v>0</v>
      </c>
    </row>
    <row r="110" spans="1:14" ht="14.1" customHeight="1" x14ac:dyDescent="0.45">
      <c r="A110" s="1" t="s">
        <v>465</v>
      </c>
      <c r="B110" s="1">
        <v>2090</v>
      </c>
      <c r="D110" s="1" t="s">
        <v>466</v>
      </c>
      <c r="E110" s="1" t="s">
        <v>467</v>
      </c>
      <c r="F110" s="11">
        <f>SUM(I110/15)</f>
        <v>6.4053333333333331</v>
      </c>
      <c r="G110" s="11"/>
      <c r="H110" s="11">
        <v>60.12</v>
      </c>
      <c r="I110" s="23">
        <v>96.08</v>
      </c>
      <c r="J110" s="24">
        <f t="shared" si="15"/>
        <v>0.59813705921490357</v>
      </c>
      <c r="K110" s="25">
        <f t="shared" si="16"/>
        <v>35.96</v>
      </c>
      <c r="M110" s="11">
        <f t="shared" si="23"/>
        <v>0</v>
      </c>
      <c r="N110" s="11">
        <f t="shared" si="24"/>
        <v>0</v>
      </c>
    </row>
    <row r="111" spans="1:14" ht="14.1" customHeight="1" x14ac:dyDescent="0.45">
      <c r="A111" s="1" t="s">
        <v>468</v>
      </c>
      <c r="B111" s="1">
        <v>2088</v>
      </c>
      <c r="D111" s="1" t="s">
        <v>469</v>
      </c>
      <c r="E111" s="1" t="s">
        <v>470</v>
      </c>
      <c r="F111" s="11">
        <f>SUM(I111/25)</f>
        <v>2.6727999999999996</v>
      </c>
      <c r="G111" s="11"/>
      <c r="H111" s="11">
        <v>62.52</v>
      </c>
      <c r="I111" s="23">
        <v>66.819999999999993</v>
      </c>
      <c r="J111" s="24">
        <f t="shared" si="15"/>
        <v>6.8777991042866124E-2</v>
      </c>
      <c r="K111" s="25">
        <f t="shared" si="16"/>
        <v>4.2999999999999901</v>
      </c>
      <c r="M111" s="11">
        <f t="shared" si="23"/>
        <v>0</v>
      </c>
      <c r="N111" s="11">
        <f t="shared" si="24"/>
        <v>0</v>
      </c>
    </row>
    <row r="112" spans="1:14" ht="14.1" customHeight="1" x14ac:dyDescent="0.45">
      <c r="A112" s="1" t="s">
        <v>471</v>
      </c>
      <c r="B112" s="1">
        <v>2085</v>
      </c>
      <c r="D112" s="1" t="s">
        <v>472</v>
      </c>
      <c r="E112" s="1" t="s">
        <v>467</v>
      </c>
      <c r="F112" s="11">
        <f>SUM(I112/15)</f>
        <v>6.4053333333333331</v>
      </c>
      <c r="G112" s="11"/>
      <c r="H112" s="11">
        <v>89.22</v>
      </c>
      <c r="I112" s="23">
        <v>96.08</v>
      </c>
      <c r="J112" s="24">
        <f t="shared" si="15"/>
        <v>7.6888590002241644E-2</v>
      </c>
      <c r="K112" s="25">
        <f t="shared" si="16"/>
        <v>6.8599999999999994</v>
      </c>
      <c r="M112" s="11">
        <f t="shared" si="23"/>
        <v>0</v>
      </c>
      <c r="N112" s="11">
        <f t="shared" si="24"/>
        <v>0</v>
      </c>
    </row>
    <row r="113" spans="1:14" ht="14.1" customHeight="1" x14ac:dyDescent="0.45">
      <c r="A113" s="1" t="s">
        <v>473</v>
      </c>
      <c r="B113" s="1">
        <v>30662</v>
      </c>
      <c r="C113" s="9"/>
      <c r="D113" s="1" t="s">
        <v>474</v>
      </c>
      <c r="E113" s="1" t="s">
        <v>467</v>
      </c>
      <c r="F113" s="11">
        <f>SUM(I113/15)</f>
        <v>6.7953333333333337</v>
      </c>
      <c r="G113" s="11"/>
      <c r="H113" s="11">
        <v>92.13</v>
      </c>
      <c r="I113" s="23">
        <v>101.93</v>
      </c>
      <c r="J113" s="24">
        <f t="shared" si="15"/>
        <v>0.10637143167263662</v>
      </c>
      <c r="K113" s="25">
        <f t="shared" si="16"/>
        <v>9.8000000000000114</v>
      </c>
      <c r="M113" s="11">
        <f t="shared" si="23"/>
        <v>0</v>
      </c>
      <c r="N113" s="11">
        <f t="shared" si="24"/>
        <v>0</v>
      </c>
    </row>
    <row r="114" spans="1:14" ht="14.1" customHeight="1" x14ac:dyDescent="0.45">
      <c r="A114" s="1" t="s">
        <v>475</v>
      </c>
      <c r="B114" s="1">
        <v>30667</v>
      </c>
      <c r="C114" s="9"/>
      <c r="D114" s="1" t="s">
        <v>476</v>
      </c>
      <c r="E114" s="1" t="s">
        <v>467</v>
      </c>
      <c r="F114" s="11">
        <f>SUM(I114/15)</f>
        <v>6.9666666666666668</v>
      </c>
      <c r="G114" s="11"/>
      <c r="H114" s="11">
        <v>92.13</v>
      </c>
      <c r="I114" s="23">
        <v>104.5</v>
      </c>
      <c r="J114" s="24">
        <f t="shared" ref="J114" si="25">SUM(I114-H114)/H114</f>
        <v>0.13426679691739937</v>
      </c>
      <c r="K114" s="25">
        <f t="shared" ref="K114" si="26">SUM(H114*J114)</f>
        <v>12.370000000000003</v>
      </c>
      <c r="M114" s="11">
        <f t="shared" ref="M114" si="27">SUM(F114*L114)</f>
        <v>0</v>
      </c>
      <c r="N114" s="11">
        <f t="shared" ref="N114" si="28">SUM(M114*35%)+M114</f>
        <v>0</v>
      </c>
    </row>
    <row r="115" spans="1:14" ht="14.1" customHeight="1" x14ac:dyDescent="0.45"/>
    <row r="116" spans="1:14" ht="14.1" customHeight="1" x14ac:dyDescent="0.45">
      <c r="A116" s="1" t="s">
        <v>477</v>
      </c>
      <c r="B116" s="1">
        <v>513</v>
      </c>
      <c r="D116" s="1" t="s">
        <v>478</v>
      </c>
      <c r="E116" s="1" t="s">
        <v>470</v>
      </c>
      <c r="F116" s="11">
        <f>SUM(I116/25)</f>
        <v>1.9716</v>
      </c>
      <c r="G116" s="11"/>
      <c r="H116" s="11">
        <v>43.96</v>
      </c>
      <c r="I116" s="23">
        <v>49.29</v>
      </c>
      <c r="J116" s="24">
        <f t="shared" si="15"/>
        <v>0.12124658780709732</v>
      </c>
      <c r="K116" s="25">
        <f t="shared" si="16"/>
        <v>5.3299999999999983</v>
      </c>
      <c r="M116" s="11">
        <f>SUM(F116*L116)</f>
        <v>0</v>
      </c>
      <c r="N116" s="11">
        <f>SUM(M116*35%)+M116</f>
        <v>0</v>
      </c>
    </row>
    <row r="117" spans="1:14" ht="14.1" customHeight="1" x14ac:dyDescent="0.45">
      <c r="A117" s="1" t="s">
        <v>479</v>
      </c>
      <c r="B117" s="1">
        <v>512</v>
      </c>
      <c r="D117" s="1" t="s">
        <v>480</v>
      </c>
      <c r="E117" s="1" t="s">
        <v>470</v>
      </c>
      <c r="F117" s="11">
        <f>SUM(I117/25)</f>
        <v>1.7504</v>
      </c>
      <c r="G117" s="11"/>
      <c r="H117" s="11">
        <v>39.020000000000003</v>
      </c>
      <c r="I117" s="23">
        <v>43.76</v>
      </c>
      <c r="J117" s="24">
        <f t="shared" si="15"/>
        <v>0.12147616606868258</v>
      </c>
      <c r="K117" s="25">
        <f t="shared" si="16"/>
        <v>4.7399999999999949</v>
      </c>
      <c r="M117" s="11">
        <f>SUM(F117*L117)</f>
        <v>0</v>
      </c>
      <c r="N117" s="11">
        <f>SUM(M117*35%)+M117</f>
        <v>0</v>
      </c>
    </row>
    <row r="118" spans="1:14" ht="14.1" customHeight="1" x14ac:dyDescent="0.45">
      <c r="A118" s="1" t="s">
        <v>481</v>
      </c>
      <c r="B118" s="1">
        <v>1547</v>
      </c>
      <c r="D118" s="1" t="s">
        <v>482</v>
      </c>
      <c r="E118" s="1" t="s">
        <v>483</v>
      </c>
      <c r="F118" s="11">
        <f>SUM(I118/100)</f>
        <v>1.7184999999999999</v>
      </c>
      <c r="G118" s="11"/>
      <c r="H118" s="11">
        <v>153.27000000000001</v>
      </c>
      <c r="I118" s="23">
        <v>171.85</v>
      </c>
      <c r="J118" s="24">
        <f t="shared" si="15"/>
        <v>0.12122398381940355</v>
      </c>
      <c r="K118" s="25">
        <f t="shared" si="16"/>
        <v>18.579999999999984</v>
      </c>
      <c r="M118" s="11">
        <f>SUM(F118*L118)</f>
        <v>0</v>
      </c>
      <c r="N118" s="11">
        <f>SUM(M118*35%)+M118</f>
        <v>0</v>
      </c>
    </row>
    <row r="119" spans="1:14" ht="14.1" customHeight="1" x14ac:dyDescent="0.45"/>
    <row r="120" spans="1:14" ht="14.1" customHeight="1" x14ac:dyDescent="0.45">
      <c r="A120" s="1" t="s">
        <v>484</v>
      </c>
      <c r="B120" s="1">
        <v>30687</v>
      </c>
      <c r="D120" s="1" t="s">
        <v>485</v>
      </c>
      <c r="E120" s="1" t="s">
        <v>470</v>
      </c>
      <c r="F120" s="11">
        <f>SUM(I120/25)</f>
        <v>2.5584000000000002</v>
      </c>
      <c r="I120" s="23">
        <v>63.96</v>
      </c>
      <c r="M120" s="11">
        <f t="shared" ref="M120:M125" si="29">SUM(F120*L120)</f>
        <v>0</v>
      </c>
      <c r="N120" s="11">
        <f t="shared" ref="N120:N125" si="30">SUM(M120*35%)+M120</f>
        <v>0</v>
      </c>
    </row>
    <row r="121" spans="1:14" ht="14.1" customHeight="1" x14ac:dyDescent="0.45">
      <c r="A121" s="1" t="s">
        <v>486</v>
      </c>
      <c r="B121" s="1">
        <v>30671</v>
      </c>
      <c r="D121" s="1" t="s">
        <v>487</v>
      </c>
      <c r="E121" s="1" t="s">
        <v>488</v>
      </c>
      <c r="F121" s="11">
        <f>SUM(H121/50)</f>
        <v>1.2023999999999999</v>
      </c>
      <c r="G121" s="11"/>
      <c r="H121" s="11">
        <v>60.12</v>
      </c>
      <c r="I121" s="23">
        <v>66.37</v>
      </c>
      <c r="J121" s="24">
        <f t="shared" si="15"/>
        <v>0.10395874916833013</v>
      </c>
      <c r="K121" s="25">
        <f t="shared" si="16"/>
        <v>6.2500000000000071</v>
      </c>
      <c r="M121" s="11">
        <f t="shared" si="29"/>
        <v>0</v>
      </c>
      <c r="N121" s="11">
        <f t="shared" si="30"/>
        <v>0</v>
      </c>
    </row>
    <row r="122" spans="1:14" ht="14.1" customHeight="1" x14ac:dyDescent="0.45">
      <c r="A122" s="1" t="s">
        <v>489</v>
      </c>
      <c r="B122" s="1">
        <v>30670</v>
      </c>
      <c r="D122" s="1" t="s">
        <v>490</v>
      </c>
      <c r="E122" s="1" t="s">
        <v>488</v>
      </c>
      <c r="F122" s="11">
        <f t="shared" ref="F122:F134" si="31">SUM(H122/50)</f>
        <v>1.2023999999999999</v>
      </c>
      <c r="G122" s="11"/>
      <c r="H122" s="11">
        <v>60.12</v>
      </c>
      <c r="I122" s="23">
        <v>66.37</v>
      </c>
      <c r="J122" s="24">
        <f t="shared" si="15"/>
        <v>0.10395874916833013</v>
      </c>
      <c r="K122" s="25">
        <f t="shared" si="16"/>
        <v>6.2500000000000071</v>
      </c>
      <c r="M122" s="11">
        <f t="shared" si="29"/>
        <v>0</v>
      </c>
      <c r="N122" s="11">
        <f t="shared" si="30"/>
        <v>0</v>
      </c>
    </row>
    <row r="123" spans="1:14" ht="14.1" customHeight="1" x14ac:dyDescent="0.45">
      <c r="A123" s="1" t="s">
        <v>491</v>
      </c>
      <c r="B123" s="1">
        <v>30669</v>
      </c>
      <c r="D123" s="1" t="s">
        <v>492</v>
      </c>
      <c r="E123" s="1" t="s">
        <v>488</v>
      </c>
      <c r="F123" s="11">
        <f t="shared" si="31"/>
        <v>1.2023999999999999</v>
      </c>
      <c r="G123" s="11"/>
      <c r="H123" s="11">
        <v>60.12</v>
      </c>
      <c r="I123" s="23">
        <v>66.37</v>
      </c>
      <c r="J123" s="24">
        <f>SUM(I123-H123)/H123</f>
        <v>0.10395874916833013</v>
      </c>
      <c r="K123" s="25">
        <f t="shared" si="16"/>
        <v>6.2500000000000071</v>
      </c>
      <c r="M123" s="11">
        <f t="shared" si="29"/>
        <v>0</v>
      </c>
      <c r="N123" s="11">
        <f t="shared" si="30"/>
        <v>0</v>
      </c>
    </row>
    <row r="124" spans="1:14" ht="14.1" customHeight="1" x14ac:dyDescent="0.45">
      <c r="A124" s="1" t="s">
        <v>493</v>
      </c>
      <c r="B124" s="1">
        <v>30668</v>
      </c>
      <c r="D124" s="1" t="s">
        <v>494</v>
      </c>
      <c r="E124" s="1" t="s">
        <v>488</v>
      </c>
      <c r="F124" s="11">
        <f t="shared" si="31"/>
        <v>1.2023999999999999</v>
      </c>
      <c r="G124" s="11"/>
      <c r="H124" s="11">
        <v>60.12</v>
      </c>
      <c r="I124" s="23">
        <v>66.37</v>
      </c>
      <c r="J124" s="24">
        <f>SUM(I124-H124)/H124</f>
        <v>0.10395874916833013</v>
      </c>
      <c r="K124" s="25">
        <f t="shared" si="16"/>
        <v>6.2500000000000071</v>
      </c>
      <c r="M124" s="11">
        <f t="shared" si="29"/>
        <v>0</v>
      </c>
      <c r="N124" s="11">
        <f t="shared" si="30"/>
        <v>0</v>
      </c>
    </row>
    <row r="125" spans="1:14" ht="14.1" customHeight="1" x14ac:dyDescent="0.45">
      <c r="A125" s="1" t="s">
        <v>475</v>
      </c>
      <c r="B125" s="1">
        <v>30667</v>
      </c>
      <c r="D125" s="1" t="s">
        <v>495</v>
      </c>
      <c r="E125" s="1" t="s">
        <v>488</v>
      </c>
      <c r="F125" s="11">
        <f t="shared" si="31"/>
        <v>1.2023999999999999</v>
      </c>
      <c r="G125" s="11"/>
      <c r="H125" s="11">
        <v>60.12</v>
      </c>
      <c r="I125" s="23">
        <v>66.37</v>
      </c>
      <c r="J125" s="24">
        <f t="shared" si="15"/>
        <v>0.10395874916833013</v>
      </c>
      <c r="K125" s="25">
        <f t="shared" si="16"/>
        <v>6.2500000000000071</v>
      </c>
      <c r="M125" s="11">
        <f t="shared" si="29"/>
        <v>0</v>
      </c>
      <c r="N125" s="11">
        <f t="shared" si="30"/>
        <v>0</v>
      </c>
    </row>
    <row r="126" spans="1:14" ht="14.1" customHeight="1" x14ac:dyDescent="0.45">
      <c r="F126" s="11"/>
      <c r="G126" s="11"/>
      <c r="J126" s="24">
        <v>0</v>
      </c>
      <c r="K126" s="25">
        <f t="shared" si="16"/>
        <v>0</v>
      </c>
      <c r="M126" s="11">
        <v>0</v>
      </c>
    </row>
    <row r="127" spans="1:14" ht="14.1" customHeight="1" x14ac:dyDescent="0.45">
      <c r="A127" s="1" t="s">
        <v>496</v>
      </c>
      <c r="B127" s="1">
        <v>1261</v>
      </c>
      <c r="D127" s="1" t="s">
        <v>497</v>
      </c>
      <c r="E127" s="1" t="s">
        <v>488</v>
      </c>
      <c r="F127" s="11">
        <f>SUM(H127/50)</f>
        <v>0.44259999999999999</v>
      </c>
      <c r="G127" s="11"/>
      <c r="H127" s="11">
        <v>22.13</v>
      </c>
      <c r="I127" s="23">
        <v>25.68</v>
      </c>
      <c r="J127" s="24">
        <f t="shared" si="15"/>
        <v>0.16041572525982833</v>
      </c>
      <c r="K127" s="25">
        <f t="shared" si="16"/>
        <v>3.5500000000000007</v>
      </c>
      <c r="M127" s="11">
        <f t="shared" ref="M127:M134" si="32">SUM(F127*L127)</f>
        <v>0</v>
      </c>
      <c r="N127" s="11">
        <f t="shared" ref="N127:N134" si="33">SUM(M127*35%)+M127</f>
        <v>0</v>
      </c>
    </row>
    <row r="128" spans="1:14" ht="14.1" customHeight="1" x14ac:dyDescent="0.45">
      <c r="A128" s="1" t="s">
        <v>498</v>
      </c>
      <c r="B128" s="1">
        <v>1224</v>
      </c>
      <c r="D128" s="1" t="s">
        <v>499</v>
      </c>
      <c r="E128" s="1" t="s">
        <v>488</v>
      </c>
      <c r="F128" s="11">
        <f t="shared" si="31"/>
        <v>0.36259999999999998</v>
      </c>
      <c r="G128" s="11"/>
      <c r="H128" s="11">
        <v>18.13</v>
      </c>
      <c r="I128" s="23">
        <v>21.04</v>
      </c>
      <c r="J128" s="24">
        <f t="shared" si="15"/>
        <v>0.16050744622173196</v>
      </c>
      <c r="K128" s="25">
        <f t="shared" si="16"/>
        <v>2.91</v>
      </c>
      <c r="M128" s="11">
        <f t="shared" si="32"/>
        <v>0</v>
      </c>
      <c r="N128" s="11">
        <f t="shared" si="33"/>
        <v>0</v>
      </c>
    </row>
    <row r="129" spans="1:14" ht="14.1" customHeight="1" x14ac:dyDescent="0.45">
      <c r="A129" s="1" t="s">
        <v>500</v>
      </c>
      <c r="B129" s="1">
        <v>1223</v>
      </c>
      <c r="D129" s="1" t="s">
        <v>501</v>
      </c>
      <c r="E129" s="1" t="s">
        <v>488</v>
      </c>
      <c r="F129" s="11">
        <f t="shared" si="31"/>
        <v>0.36259999999999998</v>
      </c>
      <c r="G129" s="11"/>
      <c r="H129" s="11">
        <v>18.13</v>
      </c>
      <c r="I129" s="23">
        <v>21.04</v>
      </c>
      <c r="J129" s="24">
        <f t="shared" si="15"/>
        <v>0.16050744622173196</v>
      </c>
      <c r="K129" s="25">
        <f t="shared" si="16"/>
        <v>2.91</v>
      </c>
      <c r="M129" s="11">
        <f t="shared" si="32"/>
        <v>0</v>
      </c>
      <c r="N129" s="11">
        <f t="shared" si="33"/>
        <v>0</v>
      </c>
    </row>
    <row r="130" spans="1:14" ht="14.25" x14ac:dyDescent="0.45">
      <c r="A130" s="1" t="s">
        <v>502</v>
      </c>
      <c r="B130" s="1">
        <v>1222</v>
      </c>
      <c r="D130" s="1" t="s">
        <v>503</v>
      </c>
      <c r="E130" s="1" t="s">
        <v>488</v>
      </c>
      <c r="F130" s="11">
        <f t="shared" si="31"/>
        <v>0.36259999999999998</v>
      </c>
      <c r="G130" s="11"/>
      <c r="H130" s="11">
        <v>18.13</v>
      </c>
      <c r="I130" s="23">
        <v>21.04</v>
      </c>
      <c r="J130" s="24">
        <f t="shared" si="15"/>
        <v>0.16050744622173196</v>
      </c>
      <c r="K130" s="25">
        <f t="shared" si="16"/>
        <v>2.91</v>
      </c>
      <c r="M130" s="11">
        <f t="shared" si="32"/>
        <v>0</v>
      </c>
      <c r="N130" s="11">
        <f t="shared" si="33"/>
        <v>0</v>
      </c>
    </row>
    <row r="131" spans="1:14" ht="14.1" customHeight="1" x14ac:dyDescent="0.45">
      <c r="A131" s="1" t="s">
        <v>504</v>
      </c>
      <c r="B131" s="1">
        <v>1221</v>
      </c>
      <c r="D131" s="1" t="s">
        <v>505</v>
      </c>
      <c r="E131" s="1" t="s">
        <v>488</v>
      </c>
      <c r="F131" s="11">
        <f t="shared" si="31"/>
        <v>0.36259999999999998</v>
      </c>
      <c r="G131" s="11"/>
      <c r="H131" s="11">
        <v>18.13</v>
      </c>
      <c r="I131" s="23">
        <v>21.04</v>
      </c>
      <c r="J131" s="24">
        <f t="shared" si="15"/>
        <v>0.16050744622173196</v>
      </c>
      <c r="K131" s="25">
        <f t="shared" si="16"/>
        <v>2.91</v>
      </c>
      <c r="M131" s="11">
        <f t="shared" si="32"/>
        <v>0</v>
      </c>
      <c r="N131" s="11">
        <f t="shared" si="33"/>
        <v>0</v>
      </c>
    </row>
    <row r="132" spans="1:14" ht="14.1" customHeight="1" x14ac:dyDescent="0.45">
      <c r="A132" s="1" t="s">
        <v>506</v>
      </c>
      <c r="B132" s="1">
        <v>1220</v>
      </c>
      <c r="D132" s="1" t="s">
        <v>507</v>
      </c>
      <c r="E132" s="1" t="s">
        <v>488</v>
      </c>
      <c r="F132" s="11">
        <f t="shared" si="31"/>
        <v>0.36259999999999998</v>
      </c>
      <c r="G132" s="11"/>
      <c r="H132" s="11">
        <v>18.13</v>
      </c>
      <c r="I132" s="23">
        <v>21.04</v>
      </c>
      <c r="J132" s="24">
        <f t="shared" si="15"/>
        <v>0.16050744622173196</v>
      </c>
      <c r="K132" s="25">
        <f t="shared" si="16"/>
        <v>2.91</v>
      </c>
      <c r="M132" s="11">
        <f t="shared" si="32"/>
        <v>0</v>
      </c>
      <c r="N132" s="11">
        <f t="shared" si="33"/>
        <v>0</v>
      </c>
    </row>
    <row r="133" spans="1:14" ht="14.1" customHeight="1" x14ac:dyDescent="0.45">
      <c r="A133" s="1" t="s">
        <v>508</v>
      </c>
      <c r="B133" s="1">
        <v>1219</v>
      </c>
      <c r="D133" s="1" t="s">
        <v>509</v>
      </c>
      <c r="E133" s="1" t="s">
        <v>488</v>
      </c>
      <c r="F133" s="11">
        <f t="shared" si="31"/>
        <v>0.36259999999999998</v>
      </c>
      <c r="G133" s="11"/>
      <c r="H133" s="11">
        <v>18.13</v>
      </c>
      <c r="I133" s="23">
        <v>21.04</v>
      </c>
      <c r="J133" s="24">
        <f t="shared" si="15"/>
        <v>0.16050744622173196</v>
      </c>
      <c r="K133" s="25">
        <f t="shared" si="16"/>
        <v>2.91</v>
      </c>
      <c r="M133" s="11">
        <f t="shared" si="32"/>
        <v>0</v>
      </c>
      <c r="N133" s="11">
        <f t="shared" si="33"/>
        <v>0</v>
      </c>
    </row>
    <row r="134" spans="1:14" ht="14.1" customHeight="1" x14ac:dyDescent="0.45">
      <c r="A134" s="1" t="s">
        <v>510</v>
      </c>
      <c r="B134" s="1">
        <v>1218</v>
      </c>
      <c r="D134" s="1" t="s">
        <v>511</v>
      </c>
      <c r="E134" s="1" t="s">
        <v>488</v>
      </c>
      <c r="F134" s="11">
        <f t="shared" si="31"/>
        <v>0.36259999999999998</v>
      </c>
      <c r="G134" s="11"/>
      <c r="H134" s="11">
        <v>18.13</v>
      </c>
      <c r="I134" s="23">
        <v>21.04</v>
      </c>
      <c r="J134" s="24">
        <f t="shared" si="15"/>
        <v>0.16050744622173196</v>
      </c>
      <c r="K134" s="25">
        <f t="shared" si="16"/>
        <v>2.91</v>
      </c>
      <c r="M134" s="11">
        <f t="shared" si="32"/>
        <v>0</v>
      </c>
      <c r="N134" s="11">
        <f t="shared" si="33"/>
        <v>0</v>
      </c>
    </row>
    <row r="135" spans="1:14" ht="14.1" customHeight="1" x14ac:dyDescent="0.45">
      <c r="F135" s="11"/>
      <c r="G135" s="11"/>
    </row>
    <row r="136" spans="1:14" ht="14.1" customHeight="1" x14ac:dyDescent="0.45">
      <c r="A136" s="1" t="s">
        <v>512</v>
      </c>
      <c r="B136" s="1">
        <v>983</v>
      </c>
      <c r="D136" s="1" t="s">
        <v>513</v>
      </c>
      <c r="E136" s="1" t="s">
        <v>514</v>
      </c>
      <c r="F136" s="11">
        <f>SUM(H136/75)</f>
        <v>0.74439999999999995</v>
      </c>
      <c r="G136" s="11"/>
      <c r="H136" s="11">
        <v>55.83</v>
      </c>
      <c r="I136" s="23">
        <v>59.68</v>
      </c>
      <c r="J136" s="24">
        <f t="shared" si="15"/>
        <v>6.8959340856170545E-2</v>
      </c>
      <c r="K136" s="25">
        <f t="shared" si="16"/>
        <v>3.8500000000000014</v>
      </c>
      <c r="M136" s="11">
        <f t="shared" ref="M136:M142" si="34">SUM(F136*L136)</f>
        <v>0</v>
      </c>
      <c r="N136" s="11">
        <f t="shared" ref="N136:N142" si="35">SUM(M136*35%)+M136</f>
        <v>0</v>
      </c>
    </row>
    <row r="137" spans="1:14" ht="14.1" customHeight="1" x14ac:dyDescent="0.45">
      <c r="A137" s="1" t="s">
        <v>515</v>
      </c>
      <c r="B137" s="1">
        <v>979</v>
      </c>
      <c r="D137" s="1" t="s">
        <v>516</v>
      </c>
      <c r="E137" s="1" t="s">
        <v>483</v>
      </c>
      <c r="F137" s="11">
        <f>SUM(H137/100)</f>
        <v>0.62780000000000002</v>
      </c>
      <c r="G137" s="11"/>
      <c r="H137" s="11">
        <v>62.78</v>
      </c>
      <c r="I137" s="23">
        <v>67.11</v>
      </c>
      <c r="J137" s="24">
        <f t="shared" si="15"/>
        <v>6.8971009875756578E-2</v>
      </c>
      <c r="K137" s="25">
        <f t="shared" si="16"/>
        <v>4.3299999999999983</v>
      </c>
      <c r="M137" s="11">
        <f t="shared" si="34"/>
        <v>0</v>
      </c>
      <c r="N137" s="11">
        <f t="shared" si="35"/>
        <v>0</v>
      </c>
    </row>
    <row r="138" spans="1:14" ht="14.1" customHeight="1" x14ac:dyDescent="0.45">
      <c r="A138" s="1" t="s">
        <v>517</v>
      </c>
      <c r="B138" s="1">
        <v>978</v>
      </c>
      <c r="D138" s="1" t="s">
        <v>518</v>
      </c>
      <c r="E138" s="1" t="s">
        <v>483</v>
      </c>
      <c r="F138" s="11">
        <f>SUM(H138/100)</f>
        <v>0.63029999999999997</v>
      </c>
      <c r="G138" s="11"/>
      <c r="H138" s="11">
        <v>63.03</v>
      </c>
      <c r="I138" s="23">
        <v>67.37</v>
      </c>
      <c r="J138" s="24">
        <f t="shared" si="15"/>
        <v>6.8856100269712894E-2</v>
      </c>
      <c r="K138" s="25">
        <f t="shared" si="16"/>
        <v>4.3400000000000034</v>
      </c>
      <c r="M138" s="11">
        <f t="shared" si="34"/>
        <v>0</v>
      </c>
      <c r="N138" s="11">
        <f t="shared" si="35"/>
        <v>0</v>
      </c>
    </row>
    <row r="139" spans="1:14" ht="14.1" customHeight="1" x14ac:dyDescent="0.45">
      <c r="A139" s="1" t="s">
        <v>519</v>
      </c>
      <c r="B139" s="1">
        <v>975</v>
      </c>
      <c r="D139" s="1" t="s">
        <v>520</v>
      </c>
      <c r="E139" s="1" t="s">
        <v>483</v>
      </c>
      <c r="F139" s="11">
        <f>SUM(H139/100)</f>
        <v>0.63029999999999997</v>
      </c>
      <c r="G139" s="11"/>
      <c r="H139" s="11">
        <v>63.03</v>
      </c>
      <c r="I139" s="23">
        <v>67.37</v>
      </c>
      <c r="J139" s="24">
        <f t="shared" si="15"/>
        <v>6.8856100269712894E-2</v>
      </c>
      <c r="K139" s="25">
        <f t="shared" si="16"/>
        <v>4.3400000000000034</v>
      </c>
      <c r="M139" s="11">
        <f t="shared" si="34"/>
        <v>0</v>
      </c>
      <c r="N139" s="11">
        <f t="shared" si="35"/>
        <v>0</v>
      </c>
    </row>
    <row r="140" spans="1:14" ht="14.1" customHeight="1" x14ac:dyDescent="0.45">
      <c r="A140" s="1" t="s">
        <v>521</v>
      </c>
      <c r="B140" s="1">
        <v>973</v>
      </c>
      <c r="D140" s="1" t="s">
        <v>522</v>
      </c>
      <c r="E140" s="1" t="s">
        <v>483</v>
      </c>
      <c r="F140" s="11">
        <f>SUM(H140/100)</f>
        <v>0.63029999999999997</v>
      </c>
      <c r="G140" s="11"/>
      <c r="H140" s="11">
        <v>63.03</v>
      </c>
      <c r="I140" s="23">
        <v>67.37</v>
      </c>
      <c r="J140" s="24">
        <f t="shared" si="15"/>
        <v>6.8856100269712894E-2</v>
      </c>
      <c r="K140" s="25">
        <f t="shared" si="16"/>
        <v>4.3400000000000034</v>
      </c>
      <c r="M140" s="11">
        <f t="shared" si="34"/>
        <v>0</v>
      </c>
      <c r="N140" s="11">
        <f t="shared" si="35"/>
        <v>0</v>
      </c>
    </row>
    <row r="141" spans="1:14" ht="14.1" customHeight="1" x14ac:dyDescent="0.45">
      <c r="A141" s="1" t="s">
        <v>523</v>
      </c>
      <c r="B141" s="1">
        <v>970</v>
      </c>
      <c r="D141" s="1" t="s">
        <v>524</v>
      </c>
      <c r="E141" s="1" t="s">
        <v>483</v>
      </c>
      <c r="F141" s="11">
        <f>SUM(I141/100)</f>
        <v>1.2335</v>
      </c>
      <c r="G141" s="11"/>
      <c r="H141" s="11">
        <v>112.85</v>
      </c>
      <c r="I141" s="23">
        <v>123.35</v>
      </c>
      <c r="J141" s="24">
        <f t="shared" si="15"/>
        <v>9.3043863535666821E-2</v>
      </c>
      <c r="K141" s="25">
        <f t="shared" si="16"/>
        <v>10.5</v>
      </c>
      <c r="M141" s="11">
        <f t="shared" si="34"/>
        <v>0</v>
      </c>
      <c r="N141" s="11">
        <f t="shared" si="35"/>
        <v>0</v>
      </c>
    </row>
    <row r="142" spans="1:14" ht="14.1" customHeight="1" x14ac:dyDescent="0.45">
      <c r="A142" s="1" t="s">
        <v>525</v>
      </c>
      <c r="B142" s="1">
        <v>972</v>
      </c>
      <c r="D142" s="1" t="s">
        <v>526</v>
      </c>
      <c r="E142" s="1" t="s">
        <v>483</v>
      </c>
      <c r="F142" s="11">
        <f>SUM(H142/100)</f>
        <v>0.63290000000000002</v>
      </c>
      <c r="G142" s="11"/>
      <c r="H142" s="11">
        <v>63.29</v>
      </c>
      <c r="I142" s="23">
        <v>67.650000000000006</v>
      </c>
      <c r="J142" s="24">
        <f t="shared" si="15"/>
        <v>6.8889240006320213E-2</v>
      </c>
      <c r="K142" s="25">
        <f t="shared" si="16"/>
        <v>4.3600000000000065</v>
      </c>
      <c r="M142" s="11">
        <f t="shared" si="34"/>
        <v>0</v>
      </c>
      <c r="N142" s="11">
        <f t="shared" si="35"/>
        <v>0</v>
      </c>
    </row>
    <row r="143" spans="1:14" ht="14.1" customHeight="1" x14ac:dyDescent="0.45"/>
    <row r="144" spans="1:14" ht="14.1" customHeight="1" x14ac:dyDescent="0.45">
      <c r="A144" s="16" t="s">
        <v>527</v>
      </c>
      <c r="B144" s="16" t="s">
        <v>528</v>
      </c>
      <c r="D144" s="17" t="s">
        <v>529</v>
      </c>
    </row>
    <row r="145" spans="1:14" ht="14.1" customHeight="1" x14ac:dyDescent="0.45">
      <c r="A145" s="1" t="s">
        <v>530</v>
      </c>
      <c r="B145" s="1">
        <v>1816</v>
      </c>
      <c r="C145" s="1">
        <v>31374</v>
      </c>
      <c r="D145" s="1" t="s">
        <v>531</v>
      </c>
      <c r="E145" s="1" t="s">
        <v>488</v>
      </c>
      <c r="F145" s="11">
        <f>SUM(I145/50)</f>
        <v>0.95779999999999998</v>
      </c>
      <c r="G145" s="11"/>
      <c r="H145" s="11">
        <v>43.81</v>
      </c>
      <c r="I145" s="23">
        <v>47.89</v>
      </c>
      <c r="J145" s="24">
        <f t="shared" ref="J145:J178" si="36">SUM(I145-H145)/H145</f>
        <v>9.3129422506277065E-2</v>
      </c>
      <c r="K145" s="25">
        <f t="shared" ref="K145:K178" si="37">SUM(H145*J145)</f>
        <v>4.0799999999999983</v>
      </c>
      <c r="M145" s="11">
        <f>SUM(F145*L145)</f>
        <v>0</v>
      </c>
      <c r="N145" s="11">
        <f>SUM(M145*35%)+M145</f>
        <v>0</v>
      </c>
    </row>
    <row r="146" spans="1:14" ht="14.1" customHeight="1" x14ac:dyDescent="0.45"/>
    <row r="147" spans="1:14" ht="14.1" customHeight="1" x14ac:dyDescent="0.45">
      <c r="A147" s="1" t="s">
        <v>532</v>
      </c>
      <c r="B147" s="1">
        <v>30761</v>
      </c>
      <c r="D147" s="1" t="s">
        <v>533</v>
      </c>
      <c r="E147" s="1" t="s">
        <v>488</v>
      </c>
      <c r="F147" s="11">
        <f>SUM(I147/50)</f>
        <v>1.0309999999999999</v>
      </c>
      <c r="G147" s="11"/>
      <c r="H147" s="11">
        <v>47.16</v>
      </c>
      <c r="I147" s="23">
        <v>51.55</v>
      </c>
      <c r="J147" s="24">
        <f t="shared" si="36"/>
        <v>9.308736217133165E-2</v>
      </c>
      <c r="K147" s="25">
        <f t="shared" si="37"/>
        <v>4.3900000000000006</v>
      </c>
      <c r="M147" s="11">
        <f>SUM(F147*L147)</f>
        <v>0</v>
      </c>
      <c r="N147" s="11">
        <f>SUM(M147*35%)+M147</f>
        <v>0</v>
      </c>
    </row>
    <row r="148" spans="1:14" ht="14.1" customHeight="1" x14ac:dyDescent="0.45"/>
    <row r="149" spans="1:14" ht="14.1" customHeight="1" x14ac:dyDescent="0.45">
      <c r="A149" s="1" t="s">
        <v>534</v>
      </c>
      <c r="B149" s="1">
        <v>1443</v>
      </c>
      <c r="D149" s="1" t="s">
        <v>535</v>
      </c>
      <c r="E149" s="1" t="s">
        <v>536</v>
      </c>
      <c r="F149" s="11">
        <f>SUM(I149/125)</f>
        <v>0.60248000000000002</v>
      </c>
      <c r="G149" s="11"/>
      <c r="H149" s="11">
        <v>70.459999999999994</v>
      </c>
      <c r="I149" s="23">
        <v>75.31</v>
      </c>
      <c r="J149" s="24">
        <f t="shared" si="36"/>
        <v>6.8833380641498854E-2</v>
      </c>
      <c r="K149" s="25">
        <f t="shared" si="37"/>
        <v>4.8500000000000085</v>
      </c>
      <c r="M149" s="11">
        <f>SUM(F149*L149)</f>
        <v>0</v>
      </c>
      <c r="N149" s="11">
        <f>SUM(M149*35%)+M149</f>
        <v>0</v>
      </c>
    </row>
    <row r="150" spans="1:14" ht="14.1" customHeight="1" x14ac:dyDescent="0.45">
      <c r="A150" s="1" t="s">
        <v>537</v>
      </c>
      <c r="B150" s="1">
        <v>1441</v>
      </c>
      <c r="D150" s="1" t="s">
        <v>538</v>
      </c>
      <c r="E150" s="1" t="s">
        <v>536</v>
      </c>
      <c r="F150" s="11">
        <f>SUM(I150/125)</f>
        <v>0.55679999999999996</v>
      </c>
      <c r="G150" s="11"/>
      <c r="H150" s="11">
        <v>65.11</v>
      </c>
      <c r="I150" s="23">
        <v>69.599999999999994</v>
      </c>
      <c r="J150" s="24">
        <f t="shared" si="36"/>
        <v>6.8960221164183613E-2</v>
      </c>
      <c r="K150" s="25">
        <f t="shared" si="37"/>
        <v>4.4899999999999949</v>
      </c>
      <c r="M150" s="11">
        <f>SUM(F150*L150)</f>
        <v>0</v>
      </c>
      <c r="N150" s="11">
        <f>SUM(M150*35%)+M150</f>
        <v>0</v>
      </c>
    </row>
    <row r="151" spans="1:14" ht="14.1" customHeight="1" x14ac:dyDescent="0.45">
      <c r="A151" s="1" t="s">
        <v>539</v>
      </c>
      <c r="B151" s="1">
        <v>1204</v>
      </c>
      <c r="D151" s="1" t="s">
        <v>540</v>
      </c>
      <c r="E151" s="1" t="s">
        <v>536</v>
      </c>
      <c r="F151" s="11">
        <f>SUM(I151/125)</f>
        <v>0.38503999999999999</v>
      </c>
      <c r="G151" s="11"/>
      <c r="H151" s="11">
        <v>41.4</v>
      </c>
      <c r="I151" s="23">
        <v>48.13</v>
      </c>
      <c r="J151" s="24">
        <f t="shared" si="36"/>
        <v>0.16256038647343005</v>
      </c>
      <c r="K151" s="25">
        <f t="shared" si="37"/>
        <v>6.730000000000004</v>
      </c>
      <c r="M151" s="11">
        <f>SUM(F151*L151)</f>
        <v>0</v>
      </c>
      <c r="N151" s="11">
        <f>SUM(M151*35%)+M151</f>
        <v>0</v>
      </c>
    </row>
    <row r="152" spans="1:14" ht="14.1" customHeight="1" x14ac:dyDescent="0.45"/>
    <row r="153" spans="1:14" ht="14.1" customHeight="1" x14ac:dyDescent="0.45">
      <c r="A153" s="1" t="s">
        <v>541</v>
      </c>
      <c r="B153" s="1">
        <v>969</v>
      </c>
      <c r="D153" s="1" t="s">
        <v>542</v>
      </c>
      <c r="E153" s="1" t="s">
        <v>483</v>
      </c>
      <c r="F153" s="11">
        <f>SUM(I153/100)</f>
        <v>1.2335</v>
      </c>
      <c r="G153" s="11"/>
      <c r="H153" s="11">
        <v>112.85</v>
      </c>
      <c r="I153" s="23">
        <v>123.35</v>
      </c>
      <c r="J153" s="24">
        <f t="shared" si="36"/>
        <v>9.3043863535666821E-2</v>
      </c>
      <c r="K153" s="25">
        <f t="shared" si="37"/>
        <v>10.5</v>
      </c>
      <c r="M153" s="11">
        <f>SUM(F153*L153)</f>
        <v>0</v>
      </c>
      <c r="N153" s="11">
        <f>SUM(M153*35%)+M153</f>
        <v>0</v>
      </c>
    </row>
    <row r="154" spans="1:14" ht="14.1" customHeight="1" x14ac:dyDescent="0.45">
      <c r="A154" s="1" t="s">
        <v>523</v>
      </c>
      <c r="B154" s="1">
        <v>970</v>
      </c>
      <c r="D154" s="1" t="s">
        <v>543</v>
      </c>
      <c r="E154" s="1" t="s">
        <v>483</v>
      </c>
      <c r="F154" s="11">
        <f>SUM(I154/100)</f>
        <v>1.2335</v>
      </c>
      <c r="G154" s="11"/>
      <c r="H154" s="11">
        <v>112.85</v>
      </c>
      <c r="I154" s="23">
        <v>123.35</v>
      </c>
      <c r="J154" s="24">
        <f t="shared" si="36"/>
        <v>9.3043863535666821E-2</v>
      </c>
      <c r="K154" s="25">
        <f t="shared" si="37"/>
        <v>10.5</v>
      </c>
      <c r="M154" s="11">
        <f>SUM(F154*L154)</f>
        <v>0</v>
      </c>
      <c r="N154" s="11">
        <f>SUM(M154*35%)+M154</f>
        <v>0</v>
      </c>
    </row>
    <row r="155" spans="1:14" ht="14.1" customHeight="1" x14ac:dyDescent="0.45"/>
    <row r="156" spans="1:14" ht="14.1" customHeight="1" x14ac:dyDescent="0.45">
      <c r="D156" s="56" t="s">
        <v>544</v>
      </c>
    </row>
    <row r="157" spans="1:14" ht="14.1" customHeight="1" x14ac:dyDescent="0.45">
      <c r="A157" s="1" t="s">
        <v>545</v>
      </c>
      <c r="B157" s="1">
        <v>30260</v>
      </c>
      <c r="D157" s="1" t="s">
        <v>546</v>
      </c>
      <c r="E157" s="1" t="s">
        <v>488</v>
      </c>
      <c r="F157" s="11">
        <f t="shared" ref="F157:F165" si="38">SUM(I157/50)</f>
        <v>0.66879999999999995</v>
      </c>
      <c r="G157" s="11"/>
      <c r="H157" s="11">
        <v>30.59</v>
      </c>
      <c r="I157" s="23">
        <v>33.44</v>
      </c>
      <c r="J157" s="24">
        <f t="shared" ref="J157:J158" si="39">SUM(I157-H157)/H157</f>
        <v>9.3167701863353963E-2</v>
      </c>
      <c r="K157" s="25">
        <f t="shared" ref="K157:K158" si="40">SUM(H157*J157)</f>
        <v>2.8499999999999979</v>
      </c>
      <c r="M157" s="11">
        <f t="shared" ref="M157:M165" si="41">SUM(F157*L157)</f>
        <v>0</v>
      </c>
      <c r="N157" s="11">
        <f t="shared" ref="N157:N165" si="42">SUM(M157*35%)+M157</f>
        <v>0</v>
      </c>
    </row>
    <row r="158" spans="1:14" ht="14.1" customHeight="1" x14ac:dyDescent="0.45">
      <c r="A158" s="1" t="s">
        <v>547</v>
      </c>
      <c r="B158" s="1">
        <v>30362</v>
      </c>
      <c r="C158" s="9"/>
      <c r="D158" s="1" t="s">
        <v>548</v>
      </c>
      <c r="E158" s="1" t="s">
        <v>467</v>
      </c>
      <c r="F158" s="11">
        <f>SUM(I158/15)</f>
        <v>3.2753333333333337</v>
      </c>
      <c r="G158" s="11"/>
      <c r="H158" s="11">
        <v>48.62</v>
      </c>
      <c r="I158" s="23">
        <v>49.13</v>
      </c>
      <c r="J158" s="24">
        <f t="shared" si="39"/>
        <v>1.0489510489510596E-2</v>
      </c>
      <c r="K158" s="25">
        <f t="shared" si="40"/>
        <v>0.51000000000000512</v>
      </c>
      <c r="M158" s="11">
        <f t="shared" ref="M158" si="43">SUM(F158*L158)</f>
        <v>0</v>
      </c>
      <c r="N158" s="11">
        <f t="shared" si="42"/>
        <v>0</v>
      </c>
    </row>
    <row r="159" spans="1:14" ht="14.1" customHeight="1" x14ac:dyDescent="0.45">
      <c r="A159" s="1" t="s">
        <v>549</v>
      </c>
      <c r="B159" s="1">
        <v>30369</v>
      </c>
      <c r="D159" s="1" t="s">
        <v>550</v>
      </c>
      <c r="E159" s="1" t="s">
        <v>488</v>
      </c>
      <c r="F159" s="11">
        <f t="shared" si="38"/>
        <v>0.81920000000000004</v>
      </c>
      <c r="G159" s="11"/>
      <c r="H159" s="11">
        <v>37.479999999999997</v>
      </c>
      <c r="I159" s="23">
        <v>40.96</v>
      </c>
      <c r="J159" s="24">
        <f t="shared" si="36"/>
        <v>9.2849519743863504E-2</v>
      </c>
      <c r="K159" s="25">
        <f t="shared" si="37"/>
        <v>3.480000000000004</v>
      </c>
      <c r="M159" s="11">
        <f t="shared" si="41"/>
        <v>0</v>
      </c>
      <c r="N159" s="11">
        <f t="shared" si="42"/>
        <v>0</v>
      </c>
    </row>
    <row r="160" spans="1:14" ht="14.1" customHeight="1" x14ac:dyDescent="0.45">
      <c r="A160" s="1" t="s">
        <v>551</v>
      </c>
      <c r="B160" s="1">
        <v>30367</v>
      </c>
      <c r="D160" s="1" t="s">
        <v>552</v>
      </c>
      <c r="E160" s="1" t="s">
        <v>488</v>
      </c>
      <c r="F160" s="11">
        <f t="shared" si="38"/>
        <v>0.81920000000000004</v>
      </c>
      <c r="G160" s="11"/>
      <c r="H160" s="11">
        <v>37.479999999999997</v>
      </c>
      <c r="I160" s="23">
        <v>40.96</v>
      </c>
      <c r="J160" s="24">
        <f t="shared" si="36"/>
        <v>9.2849519743863504E-2</v>
      </c>
      <c r="K160" s="25">
        <f t="shared" si="37"/>
        <v>3.480000000000004</v>
      </c>
      <c r="M160" s="11">
        <f t="shared" si="41"/>
        <v>0</v>
      </c>
      <c r="N160" s="11">
        <f t="shared" si="42"/>
        <v>0</v>
      </c>
    </row>
    <row r="161" spans="1:14" ht="14.1" customHeight="1" x14ac:dyDescent="0.45">
      <c r="A161" s="16" t="s">
        <v>553</v>
      </c>
      <c r="B161" s="1">
        <v>907</v>
      </c>
      <c r="D161" s="1" t="s">
        <v>552</v>
      </c>
      <c r="E161" s="1" t="s">
        <v>488</v>
      </c>
      <c r="F161" s="11">
        <f t="shared" ref="F161" si="44">SUM(I161/50)</f>
        <v>0.79500000000000004</v>
      </c>
      <c r="G161" s="11"/>
      <c r="H161" s="11">
        <v>37.479999999999997</v>
      </c>
      <c r="I161" s="23">
        <v>39.75</v>
      </c>
      <c r="J161" s="24">
        <f t="shared" ref="J161" si="45">SUM(I161-H161)/H161</f>
        <v>6.0565635005336266E-2</v>
      </c>
      <c r="K161" s="25">
        <f t="shared" ref="K161" si="46">SUM(H161*J161)</f>
        <v>2.2700000000000031</v>
      </c>
      <c r="M161" s="11">
        <f t="shared" ref="M161" si="47">SUM(F161*L161)</f>
        <v>0</v>
      </c>
      <c r="N161" s="11">
        <f t="shared" ref="N161" si="48">SUM(M161*35%)+M161</f>
        <v>0</v>
      </c>
    </row>
    <row r="162" spans="1:14" ht="14.1" customHeight="1" x14ac:dyDescent="0.45">
      <c r="A162" s="1" t="s">
        <v>554</v>
      </c>
      <c r="B162" s="1">
        <v>921</v>
      </c>
      <c r="D162" s="1" t="s">
        <v>555</v>
      </c>
      <c r="E162" s="1" t="s">
        <v>488</v>
      </c>
      <c r="F162" s="11">
        <f t="shared" si="38"/>
        <v>0.46679999999999999</v>
      </c>
      <c r="G162" s="11"/>
      <c r="H162" s="11">
        <v>21.83</v>
      </c>
      <c r="I162" s="23">
        <v>23.34</v>
      </c>
      <c r="J162" s="24">
        <f t="shared" si="36"/>
        <v>6.9170865781035346E-2</v>
      </c>
      <c r="K162" s="25">
        <f t="shared" si="37"/>
        <v>1.5100000000000016</v>
      </c>
      <c r="M162" s="11">
        <f t="shared" si="41"/>
        <v>0</v>
      </c>
      <c r="N162" s="11">
        <f t="shared" si="42"/>
        <v>0</v>
      </c>
    </row>
    <row r="163" spans="1:14" ht="14.1" customHeight="1" x14ac:dyDescent="0.45">
      <c r="A163" s="1" t="s">
        <v>556</v>
      </c>
      <c r="B163" s="1">
        <v>917</v>
      </c>
      <c r="D163" s="1" t="s">
        <v>557</v>
      </c>
      <c r="E163" s="1" t="s">
        <v>488</v>
      </c>
      <c r="F163" s="11">
        <f t="shared" si="38"/>
        <v>0.46679999999999999</v>
      </c>
      <c r="G163" s="11"/>
      <c r="H163" s="11">
        <v>21.83</v>
      </c>
      <c r="I163" s="23">
        <v>23.34</v>
      </c>
      <c r="J163" s="24">
        <f t="shared" si="36"/>
        <v>6.9170865781035346E-2</v>
      </c>
      <c r="K163" s="25">
        <f t="shared" si="37"/>
        <v>1.5100000000000016</v>
      </c>
      <c r="M163" s="11">
        <f t="shared" si="41"/>
        <v>0</v>
      </c>
      <c r="N163" s="11">
        <f t="shared" si="42"/>
        <v>0</v>
      </c>
    </row>
    <row r="164" spans="1:14" ht="14.1" customHeight="1" x14ac:dyDescent="0.45">
      <c r="A164" s="1" t="s">
        <v>558</v>
      </c>
      <c r="B164" s="1">
        <v>916</v>
      </c>
      <c r="D164" s="1" t="s">
        <v>559</v>
      </c>
      <c r="E164" s="1" t="s">
        <v>488</v>
      </c>
      <c r="F164" s="11">
        <f t="shared" si="38"/>
        <v>0.46679999999999999</v>
      </c>
      <c r="G164" s="11"/>
      <c r="H164" s="11">
        <v>21.95</v>
      </c>
      <c r="I164" s="23">
        <v>23.34</v>
      </c>
      <c r="J164" s="24">
        <f t="shared" si="36"/>
        <v>6.3325740318906629E-2</v>
      </c>
      <c r="K164" s="25">
        <f t="shared" si="37"/>
        <v>1.3900000000000003</v>
      </c>
      <c r="M164" s="11">
        <f t="shared" si="41"/>
        <v>0</v>
      </c>
      <c r="N164" s="11">
        <f t="shared" si="42"/>
        <v>0</v>
      </c>
    </row>
    <row r="165" spans="1:14" ht="14.1" customHeight="1" x14ac:dyDescent="0.45">
      <c r="A165" s="1" t="s">
        <v>560</v>
      </c>
      <c r="B165" s="1">
        <v>914</v>
      </c>
      <c r="D165" s="1" t="s">
        <v>561</v>
      </c>
      <c r="E165" s="1" t="s">
        <v>488</v>
      </c>
      <c r="F165" s="11">
        <f t="shared" si="38"/>
        <v>0.46679999999999999</v>
      </c>
      <c r="G165" s="11"/>
      <c r="H165" s="11">
        <v>21.95</v>
      </c>
      <c r="I165" s="23">
        <v>23.34</v>
      </c>
      <c r="J165" s="24">
        <f t="shared" si="36"/>
        <v>6.3325740318906629E-2</v>
      </c>
      <c r="K165" s="25">
        <f t="shared" si="37"/>
        <v>1.3900000000000003</v>
      </c>
      <c r="M165" s="11">
        <f t="shared" si="41"/>
        <v>0</v>
      </c>
      <c r="N165" s="11">
        <f t="shared" si="42"/>
        <v>0</v>
      </c>
    </row>
    <row r="166" spans="1:14" ht="14.1" customHeight="1" x14ac:dyDescent="0.45"/>
    <row r="167" spans="1:14" ht="14.1" customHeight="1" x14ac:dyDescent="0.45">
      <c r="D167" s="56" t="s">
        <v>562</v>
      </c>
    </row>
    <row r="168" spans="1:14" ht="14.1" customHeight="1" x14ac:dyDescent="0.45">
      <c r="A168" s="1" t="s">
        <v>563</v>
      </c>
      <c r="B168" s="1">
        <v>2599</v>
      </c>
      <c r="D168" s="1" t="s">
        <v>564</v>
      </c>
      <c r="E168" s="1" t="s">
        <v>565</v>
      </c>
      <c r="F168" s="11">
        <f>SUM(I168/75)</f>
        <v>0.68120000000000003</v>
      </c>
      <c r="G168" s="11"/>
      <c r="H168" s="11">
        <v>47.8</v>
      </c>
      <c r="I168" s="23">
        <v>51.09</v>
      </c>
      <c r="J168" s="24">
        <f t="shared" si="36"/>
        <v>6.8828451882845323E-2</v>
      </c>
      <c r="K168" s="25">
        <f t="shared" si="37"/>
        <v>3.2900000000000063</v>
      </c>
      <c r="M168" s="11">
        <f>SUM(F168*L168)</f>
        <v>0</v>
      </c>
      <c r="N168" s="11">
        <f>SUM(M168*35%)+M168</f>
        <v>0</v>
      </c>
    </row>
    <row r="169" spans="1:14" ht="14.1" customHeight="1" x14ac:dyDescent="0.45">
      <c r="A169" s="1" t="s">
        <v>566</v>
      </c>
      <c r="B169" s="1">
        <v>2597</v>
      </c>
      <c r="D169" s="1" t="s">
        <v>567</v>
      </c>
      <c r="E169" s="1" t="s">
        <v>565</v>
      </c>
      <c r="F169" s="11">
        <f t="shared" ref="F169:F172" si="49">SUM(I169/75)</f>
        <v>0.68120000000000003</v>
      </c>
      <c r="G169" s="11"/>
      <c r="H169" s="11">
        <v>47.8</v>
      </c>
      <c r="I169" s="23">
        <v>51.09</v>
      </c>
      <c r="J169" s="24">
        <f t="shared" si="36"/>
        <v>6.8828451882845323E-2</v>
      </c>
      <c r="K169" s="25">
        <f t="shared" si="37"/>
        <v>3.2900000000000063</v>
      </c>
      <c r="M169" s="11">
        <f>SUM(F169*L169)</f>
        <v>0</v>
      </c>
      <c r="N169" s="11">
        <f>SUM(M169*35%)+M169</f>
        <v>0</v>
      </c>
    </row>
    <row r="170" spans="1:14" ht="14.1" customHeight="1" x14ac:dyDescent="0.45">
      <c r="A170" s="1" t="s">
        <v>568</v>
      </c>
      <c r="B170" s="1">
        <v>2595</v>
      </c>
      <c r="D170" s="1" t="s">
        <v>569</v>
      </c>
      <c r="E170" s="1" t="s">
        <v>565</v>
      </c>
      <c r="F170" s="11">
        <f t="shared" si="49"/>
        <v>0.68120000000000003</v>
      </c>
      <c r="G170" s="11"/>
      <c r="H170" s="11">
        <v>47.8</v>
      </c>
      <c r="I170" s="23">
        <v>51.09</v>
      </c>
      <c r="J170" s="24">
        <f t="shared" si="36"/>
        <v>6.8828451882845323E-2</v>
      </c>
      <c r="K170" s="25">
        <f t="shared" si="37"/>
        <v>3.2900000000000063</v>
      </c>
      <c r="M170" s="11">
        <f>SUM(F170*L170)</f>
        <v>0</v>
      </c>
      <c r="N170" s="11">
        <f>SUM(M170*35%)+M170</f>
        <v>0</v>
      </c>
    </row>
    <row r="171" spans="1:14" ht="14.1" customHeight="1" x14ac:dyDescent="0.45">
      <c r="A171" s="1" t="s">
        <v>570</v>
      </c>
      <c r="B171" s="1">
        <v>2594</v>
      </c>
      <c r="D171" s="1" t="s">
        <v>571</v>
      </c>
      <c r="E171" s="1" t="s">
        <v>565</v>
      </c>
      <c r="F171" s="11">
        <f t="shared" si="49"/>
        <v>0.68120000000000003</v>
      </c>
      <c r="G171" s="11"/>
      <c r="H171" s="11">
        <v>47.8</v>
      </c>
      <c r="I171" s="23">
        <v>51.09</v>
      </c>
      <c r="J171" s="24">
        <f t="shared" si="36"/>
        <v>6.8828451882845323E-2</v>
      </c>
      <c r="K171" s="25">
        <f t="shared" si="37"/>
        <v>3.2900000000000063</v>
      </c>
      <c r="M171" s="11">
        <f>SUM(F171*L171)</f>
        <v>0</v>
      </c>
      <c r="N171" s="11">
        <f>SUM(M171*35%)+M171</f>
        <v>0</v>
      </c>
    </row>
    <row r="172" spans="1:14" ht="14.1" customHeight="1" x14ac:dyDescent="0.45">
      <c r="A172" s="1" t="s">
        <v>572</v>
      </c>
      <c r="B172" s="1">
        <v>2590</v>
      </c>
      <c r="D172" s="1" t="s">
        <v>573</v>
      </c>
      <c r="E172" s="1" t="s">
        <v>565</v>
      </c>
      <c r="F172" s="11">
        <f t="shared" si="49"/>
        <v>0.68120000000000003</v>
      </c>
      <c r="G172" s="11"/>
      <c r="H172" s="11">
        <v>47.8</v>
      </c>
      <c r="I172" s="23">
        <v>51.09</v>
      </c>
      <c r="J172" s="24">
        <f t="shared" si="36"/>
        <v>6.8828451882845323E-2</v>
      </c>
      <c r="K172" s="25">
        <f t="shared" si="37"/>
        <v>3.2900000000000063</v>
      </c>
      <c r="M172" s="11">
        <f>SUM(F172*L172)</f>
        <v>0</v>
      </c>
      <c r="N172" s="11">
        <f>SUM(M172*35%)+M172</f>
        <v>0</v>
      </c>
    </row>
    <row r="173" spans="1:14" ht="14.1" customHeight="1" x14ac:dyDescent="0.45"/>
    <row r="174" spans="1:14" ht="14.1" customHeight="1" x14ac:dyDescent="0.45"/>
    <row r="175" spans="1:14" ht="14.1" customHeight="1" x14ac:dyDescent="0.45">
      <c r="D175" s="17" t="s">
        <v>574</v>
      </c>
    </row>
    <row r="176" spans="1:14" ht="14.1" customHeight="1" x14ac:dyDescent="0.45">
      <c r="A176" s="1" t="s">
        <v>575</v>
      </c>
      <c r="B176" s="1">
        <v>1793</v>
      </c>
      <c r="D176" s="1" t="s">
        <v>576</v>
      </c>
      <c r="E176" s="1" t="s">
        <v>470</v>
      </c>
      <c r="F176" s="11">
        <f>SUM(I176/25)</f>
        <v>1.8024</v>
      </c>
      <c r="G176" s="11"/>
      <c r="H176" s="11">
        <v>41.22</v>
      </c>
      <c r="I176" s="23">
        <v>45.06</v>
      </c>
      <c r="J176" s="24">
        <f t="shared" si="36"/>
        <v>9.3158660844250452E-2</v>
      </c>
      <c r="K176" s="25">
        <f t="shared" si="37"/>
        <v>3.8400000000000034</v>
      </c>
      <c r="M176" s="11">
        <f>SUM(F176*L176)</f>
        <v>0</v>
      </c>
      <c r="N176" s="11">
        <f>SUM(M176*35%)+M176</f>
        <v>0</v>
      </c>
    </row>
    <row r="177" spans="1:14" ht="14.1" customHeight="1" x14ac:dyDescent="0.45">
      <c r="A177" s="1" t="s">
        <v>577</v>
      </c>
      <c r="B177" s="1">
        <v>2230</v>
      </c>
      <c r="D177" s="1" t="s">
        <v>578</v>
      </c>
      <c r="E177" s="1" t="s">
        <v>483</v>
      </c>
      <c r="F177" s="11">
        <f>SUM(I177/100)</f>
        <v>0.93650000000000011</v>
      </c>
      <c r="G177" s="11"/>
      <c r="H177" s="11">
        <v>83.52</v>
      </c>
      <c r="I177" s="23">
        <v>93.65</v>
      </c>
      <c r="J177" s="24">
        <f t="shared" si="36"/>
        <v>0.12128831417624533</v>
      </c>
      <c r="K177" s="25">
        <f t="shared" si="37"/>
        <v>10.13000000000001</v>
      </c>
      <c r="M177" s="11">
        <f>SUM(F177*L177)</f>
        <v>0</v>
      </c>
      <c r="N177" s="11">
        <f>SUM(M177*35%)+M177</f>
        <v>0</v>
      </c>
    </row>
    <row r="178" spans="1:14" ht="14.1" customHeight="1" x14ac:dyDescent="0.45">
      <c r="A178" s="1" t="s">
        <v>579</v>
      </c>
      <c r="B178" s="1">
        <v>1794</v>
      </c>
      <c r="D178" s="1" t="s">
        <v>580</v>
      </c>
      <c r="E178" s="1" t="s">
        <v>470</v>
      </c>
      <c r="F178" s="11">
        <f>SUM(I178/25)</f>
        <v>2.1752000000000002</v>
      </c>
      <c r="G178" s="11"/>
      <c r="H178" s="11">
        <v>49.75</v>
      </c>
      <c r="I178" s="23">
        <v>54.38</v>
      </c>
      <c r="J178" s="24">
        <f t="shared" si="36"/>
        <v>9.3065326633165885E-2</v>
      </c>
      <c r="K178" s="25">
        <f t="shared" si="37"/>
        <v>4.6300000000000026</v>
      </c>
      <c r="M178" s="11">
        <f>SUM(F178*L178)</f>
        <v>0</v>
      </c>
      <c r="N178" s="11">
        <f>SUM(M178*35%)+M178</f>
        <v>0</v>
      </c>
    </row>
    <row r="179" spans="1:14" ht="14.1" customHeight="1" x14ac:dyDescent="0.45"/>
    <row r="180" spans="1:14" ht="14.1" customHeight="1" x14ac:dyDescent="0.45"/>
    <row r="181" spans="1:14" ht="14.1" customHeight="1" x14ac:dyDescent="0.45">
      <c r="D181" s="56" t="s">
        <v>581</v>
      </c>
    </row>
    <row r="182" spans="1:14" ht="14.1" customHeight="1" x14ac:dyDescent="0.45">
      <c r="A182" s="1" t="s">
        <v>582</v>
      </c>
      <c r="B182" s="1">
        <v>2021</v>
      </c>
      <c r="D182" s="1" t="s">
        <v>583</v>
      </c>
      <c r="E182" s="1" t="s">
        <v>584</v>
      </c>
      <c r="F182" s="11">
        <f>SUM(I182/50)</f>
        <v>0.81640000000000001</v>
      </c>
      <c r="G182" s="11"/>
      <c r="H182" s="11">
        <v>37.08</v>
      </c>
      <c r="I182" s="23">
        <v>40.82</v>
      </c>
      <c r="J182" s="24">
        <f>SUM(I182-H182)/H182</f>
        <v>0.1008629989212514</v>
      </c>
      <c r="K182" s="25">
        <f>SUM(H182*J182)</f>
        <v>3.740000000000002</v>
      </c>
      <c r="M182" s="11">
        <f>SUM(F182*L182)</f>
        <v>0</v>
      </c>
      <c r="N182" s="11">
        <f>SUM(M182*35%)+M182</f>
        <v>0</v>
      </c>
    </row>
    <row r="183" spans="1:14" ht="14.1" customHeight="1" x14ac:dyDescent="0.45">
      <c r="A183" s="1" t="s">
        <v>585</v>
      </c>
      <c r="B183" s="1">
        <v>2022</v>
      </c>
      <c r="D183" s="1" t="s">
        <v>586</v>
      </c>
      <c r="E183" s="1" t="s">
        <v>584</v>
      </c>
      <c r="F183" s="11">
        <f>SUM(I183/50)</f>
        <v>0.81640000000000001</v>
      </c>
      <c r="G183" s="11"/>
      <c r="H183" s="11">
        <v>37.08</v>
      </c>
      <c r="I183" s="23">
        <v>40.82</v>
      </c>
      <c r="J183" s="24">
        <f>SUM(I183-H183)/H183</f>
        <v>0.1008629989212514</v>
      </c>
      <c r="K183" s="25">
        <f>SUM(H183*J183)</f>
        <v>3.740000000000002</v>
      </c>
      <c r="M183" s="11">
        <f>SUM(F183*L183)</f>
        <v>0</v>
      </c>
      <c r="N183" s="11">
        <f>SUM(M183*35%)+M183</f>
        <v>0</v>
      </c>
    </row>
    <row r="184" spans="1:14" ht="14.1" customHeight="1" x14ac:dyDescent="0.45">
      <c r="A184" s="1" t="s">
        <v>587</v>
      </c>
      <c r="B184" s="1">
        <v>2023</v>
      </c>
      <c r="D184" s="1" t="s">
        <v>588</v>
      </c>
      <c r="E184" s="1" t="s">
        <v>584</v>
      </c>
      <c r="F184" s="11">
        <f>SUM(I184/50)</f>
        <v>0.81640000000000001</v>
      </c>
      <c r="G184" s="11"/>
      <c r="H184" s="11">
        <v>37.08</v>
      </c>
      <c r="I184" s="23">
        <v>40.82</v>
      </c>
      <c r="J184" s="24">
        <f>SUM(I184-H184)/H184</f>
        <v>0.1008629989212514</v>
      </c>
      <c r="K184" s="25">
        <f>SUM(H184*J184)</f>
        <v>3.740000000000002</v>
      </c>
      <c r="M184" s="11">
        <f>SUM(F184*L184)</f>
        <v>0</v>
      </c>
      <c r="N184" s="11">
        <f>SUM(M184*35%)+M184</f>
        <v>0</v>
      </c>
    </row>
    <row r="185" spans="1:14" ht="14.1" customHeight="1" x14ac:dyDescent="0.45"/>
    <row r="186" spans="1:14" ht="14.1" customHeight="1" x14ac:dyDescent="0.45">
      <c r="D186" s="56" t="s">
        <v>589</v>
      </c>
    </row>
    <row r="187" spans="1:14" ht="14.1" customHeight="1" x14ac:dyDescent="0.45">
      <c r="A187" s="1" t="s">
        <v>590</v>
      </c>
      <c r="B187" s="1">
        <v>2036</v>
      </c>
      <c r="D187" s="1" t="s">
        <v>591</v>
      </c>
      <c r="E187" s="1" t="s">
        <v>584</v>
      </c>
      <c r="F187" s="11">
        <f>SUM(I187/50)</f>
        <v>1.0615999999999999</v>
      </c>
      <c r="G187" s="11"/>
      <c r="H187" s="11">
        <v>49.66</v>
      </c>
      <c r="I187" s="23">
        <v>53.08</v>
      </c>
      <c r="J187" s="24">
        <f>SUM(I187-H187)/H187</f>
        <v>6.8868304470398753E-2</v>
      </c>
      <c r="K187" s="25">
        <f>SUM(H187*J187)</f>
        <v>3.4200000000000017</v>
      </c>
      <c r="M187" s="11">
        <f>SUM(F187*L187)</f>
        <v>0</v>
      </c>
      <c r="N187" s="11">
        <f>SUM(M187*35%)+M187</f>
        <v>0</v>
      </c>
    </row>
    <row r="188" spans="1:14" ht="14.1" customHeight="1" x14ac:dyDescent="0.45">
      <c r="A188" s="1" t="s">
        <v>592</v>
      </c>
      <c r="D188" s="1" t="s">
        <v>593</v>
      </c>
      <c r="E188" s="1" t="s">
        <v>584</v>
      </c>
      <c r="F188" s="11">
        <f>SUM(I188/50)</f>
        <v>1.0615999999999999</v>
      </c>
      <c r="G188" s="11"/>
      <c r="H188" s="11">
        <v>49.66</v>
      </c>
      <c r="I188" s="23">
        <v>53.08</v>
      </c>
      <c r="J188" s="24">
        <f>SUM(I188-H188)/H188</f>
        <v>6.8868304470398753E-2</v>
      </c>
      <c r="K188" s="25">
        <f>SUM(H188*J188)</f>
        <v>3.4200000000000017</v>
      </c>
      <c r="M188" s="11">
        <f>SUM(F188*L188)</f>
        <v>0</v>
      </c>
      <c r="N188" s="11">
        <f>SUM(M188*35%)+M188</f>
        <v>0</v>
      </c>
    </row>
    <row r="189" spans="1:14" ht="14.1" customHeight="1" x14ac:dyDescent="0.45"/>
    <row r="190" spans="1:14" ht="14.1" customHeight="1" x14ac:dyDescent="0.45"/>
    <row r="191" spans="1:14" ht="14.1" customHeight="1" x14ac:dyDescent="0.45">
      <c r="D191" s="56" t="s">
        <v>594</v>
      </c>
    </row>
    <row r="192" spans="1:14" ht="14.1" customHeight="1" x14ac:dyDescent="0.45">
      <c r="A192" s="1" t="s">
        <v>595</v>
      </c>
      <c r="B192" s="1">
        <v>6061</v>
      </c>
      <c r="D192" s="1" t="s">
        <v>596</v>
      </c>
      <c r="E192" s="1" t="s">
        <v>597</v>
      </c>
      <c r="F192" s="11">
        <f>SUM(I192/128)</f>
        <v>1.3753124999999999</v>
      </c>
      <c r="G192" s="11"/>
      <c r="H192" s="11">
        <v>159.12</v>
      </c>
      <c r="I192" s="23">
        <v>176.04</v>
      </c>
      <c r="J192" s="24">
        <f>SUM(I192-H192)/H192</f>
        <v>0.10633484162895919</v>
      </c>
      <c r="K192" s="25">
        <f>SUM(H192*J192)</f>
        <v>16.919999999999987</v>
      </c>
      <c r="M192" s="11">
        <f>SUM(F192*L192)</f>
        <v>0</v>
      </c>
      <c r="N192" s="11">
        <f>SUM(M192*35%)+M192</f>
        <v>0</v>
      </c>
    </row>
    <row r="193" spans="1:14" ht="14.1" customHeight="1" x14ac:dyDescent="0.45">
      <c r="A193" s="1" t="s">
        <v>598</v>
      </c>
      <c r="B193" s="1">
        <v>5955</v>
      </c>
      <c r="D193" s="1" t="s">
        <v>599</v>
      </c>
      <c r="E193" s="1" t="s">
        <v>597</v>
      </c>
      <c r="F193" s="11">
        <f>SUM(I193/128)</f>
        <v>0.62468749999999995</v>
      </c>
      <c r="G193" s="11"/>
      <c r="H193" s="11">
        <v>72.78</v>
      </c>
      <c r="I193" s="23">
        <v>79.959999999999994</v>
      </c>
      <c r="J193" s="24">
        <f>SUM(I193-H193)/H193</f>
        <v>9.8653476229733333E-2</v>
      </c>
      <c r="K193" s="25">
        <f>SUM(H193*J193)</f>
        <v>7.1799999999999917</v>
      </c>
      <c r="M193" s="11">
        <f>SUM(F193*L193)</f>
        <v>0</v>
      </c>
      <c r="N193" s="11">
        <f>SUM(M193*35%)+M193</f>
        <v>0</v>
      </c>
    </row>
    <row r="194" spans="1:14" ht="14.1" customHeight="1" x14ac:dyDescent="0.45">
      <c r="A194" s="1" t="s">
        <v>600</v>
      </c>
      <c r="B194" s="1">
        <v>6095</v>
      </c>
      <c r="D194" s="1" t="s">
        <v>601</v>
      </c>
      <c r="E194" s="1" t="s">
        <v>597</v>
      </c>
      <c r="F194" s="11">
        <f>SUM(I194/128)</f>
        <v>1.0486718749999999</v>
      </c>
      <c r="G194" s="11"/>
      <c r="H194" s="11">
        <v>121.32</v>
      </c>
      <c r="I194" s="23">
        <v>134.22999999999999</v>
      </c>
      <c r="J194" s="24">
        <f>SUM(I194-H194)/H194</f>
        <v>0.10641279261457301</v>
      </c>
      <c r="K194" s="25">
        <f>SUM(H194*J194)</f>
        <v>12.909999999999997</v>
      </c>
      <c r="M194" s="11">
        <f>SUM(F194*L194)</f>
        <v>0</v>
      </c>
      <c r="N194" s="11">
        <f>SUM(M194*35%)+M194</f>
        <v>0</v>
      </c>
    </row>
    <row r="195" spans="1:14" ht="14.1" customHeight="1" x14ac:dyDescent="0.45">
      <c r="A195" s="1" t="s">
        <v>602</v>
      </c>
      <c r="B195" s="1">
        <v>6086</v>
      </c>
      <c r="D195" s="1" t="s">
        <v>603</v>
      </c>
      <c r="E195" s="1" t="s">
        <v>597</v>
      </c>
      <c r="F195" s="11">
        <f>SUM(I195/128)</f>
        <v>1.056875</v>
      </c>
      <c r="G195" s="11"/>
      <c r="H195" s="11">
        <v>122.28</v>
      </c>
      <c r="I195" s="23">
        <v>135.28</v>
      </c>
      <c r="J195" s="24">
        <f>SUM(I195-H195)/H195</f>
        <v>0.10631337912986588</v>
      </c>
      <c r="K195" s="25">
        <f>SUM(H195*J195)</f>
        <v>13</v>
      </c>
      <c r="M195" s="11">
        <f>SUM(F195*L195)</f>
        <v>0</v>
      </c>
      <c r="N195" s="11">
        <f>SUM(M195*35%)+M195</f>
        <v>0</v>
      </c>
    </row>
    <row r="196" spans="1:14" ht="14.1" customHeight="1" x14ac:dyDescent="0.45">
      <c r="A196" s="1" t="s">
        <v>604</v>
      </c>
      <c r="B196" s="1">
        <v>6097</v>
      </c>
      <c r="D196" s="1" t="s">
        <v>605</v>
      </c>
      <c r="E196" s="1" t="s">
        <v>606</v>
      </c>
      <c r="F196" s="11">
        <f>SUM(I196/16)</f>
        <v>1.625</v>
      </c>
      <c r="G196" s="11"/>
      <c r="H196" s="11">
        <v>22.62</v>
      </c>
      <c r="I196" s="23">
        <v>26</v>
      </c>
      <c r="J196" s="24">
        <f>SUM(I196-H196)/H196</f>
        <v>0.1494252873563218</v>
      </c>
      <c r="K196" s="25">
        <f>SUM(H196*J196)</f>
        <v>3.379999999999999</v>
      </c>
      <c r="M196" s="11">
        <f>SUM(F196*L196)</f>
        <v>0</v>
      </c>
      <c r="N196" s="11">
        <f>SUM(M196*35%)+M196</f>
        <v>0</v>
      </c>
    </row>
    <row r="197" spans="1:14" ht="14.1" customHeight="1" x14ac:dyDescent="0.45"/>
    <row r="198" spans="1:14" ht="14.1" customHeight="1" x14ac:dyDescent="0.45"/>
    <row r="199" spans="1:14" ht="14.1" customHeight="1" x14ac:dyDescent="0.45">
      <c r="D199" s="56" t="s">
        <v>607</v>
      </c>
    </row>
    <row r="200" spans="1:14" ht="14.1" customHeight="1" x14ac:dyDescent="0.45">
      <c r="A200" s="1" t="s">
        <v>608</v>
      </c>
      <c r="B200" s="16">
        <v>33445</v>
      </c>
      <c r="D200" s="1" t="s">
        <v>609</v>
      </c>
      <c r="E200" s="1" t="s">
        <v>610</v>
      </c>
      <c r="F200" s="11">
        <f>SUM(I200/5)</f>
        <v>4.9119999999999999</v>
      </c>
      <c r="G200" s="11"/>
      <c r="H200" s="11">
        <v>29.25</v>
      </c>
      <c r="I200" s="23">
        <v>24.56</v>
      </c>
      <c r="J200" s="24">
        <f>SUM(I200-H200)/H200</f>
        <v>-0.16034188034188038</v>
      </c>
      <c r="M200" s="11">
        <f>SUM(F200*L200)</f>
        <v>0</v>
      </c>
      <c r="N200" s="11">
        <f>SUM(M200*35%)+M200</f>
        <v>0</v>
      </c>
    </row>
    <row r="201" spans="1:14" ht="14.1" customHeight="1" x14ac:dyDescent="0.45">
      <c r="A201" s="1" t="s">
        <v>611</v>
      </c>
      <c r="B201" s="16">
        <v>33446</v>
      </c>
      <c r="D201" s="1" t="s">
        <v>612</v>
      </c>
      <c r="E201" s="1" t="s">
        <v>610</v>
      </c>
      <c r="F201" s="11">
        <f>SUM(I201/5)</f>
        <v>4.9119999999999999</v>
      </c>
      <c r="G201" s="11"/>
      <c r="I201" s="23">
        <v>24.56</v>
      </c>
      <c r="M201" s="11">
        <f>SUM(F201*L201)</f>
        <v>0</v>
      </c>
      <c r="N201" s="11">
        <f>SUM(M201*35%)+M201</f>
        <v>0</v>
      </c>
    </row>
    <row r="202" spans="1:14" ht="14.1" customHeight="1" x14ac:dyDescent="0.45">
      <c r="B202" s="16"/>
    </row>
    <row r="203" spans="1:14" ht="14.1" customHeight="1" x14ac:dyDescent="0.45">
      <c r="B203" s="16"/>
      <c r="D203" s="17" t="s">
        <v>613</v>
      </c>
    </row>
    <row r="204" spans="1:14" ht="14.1" customHeight="1" x14ac:dyDescent="0.45">
      <c r="A204" s="16" t="s">
        <v>608</v>
      </c>
      <c r="B204" s="16">
        <v>33445</v>
      </c>
      <c r="D204" s="1" t="s">
        <v>614</v>
      </c>
      <c r="E204" s="1" t="s">
        <v>615</v>
      </c>
      <c r="F204" s="11">
        <f>SUM(I204/10)</f>
        <v>2.456</v>
      </c>
      <c r="G204" s="11"/>
      <c r="I204" s="23">
        <v>24.56</v>
      </c>
      <c r="M204" s="11">
        <f>SUM(F204*L204)</f>
        <v>0</v>
      </c>
      <c r="N204" s="11">
        <f>SUM(M204*35%)+M204</f>
        <v>0</v>
      </c>
    </row>
    <row r="205" spans="1:14" ht="14.1" customHeight="1" x14ac:dyDescent="0.45">
      <c r="A205" s="16" t="s">
        <v>611</v>
      </c>
      <c r="B205" s="16">
        <v>33446</v>
      </c>
      <c r="D205" s="1" t="s">
        <v>616</v>
      </c>
      <c r="E205" s="1" t="s">
        <v>615</v>
      </c>
      <c r="F205" s="11">
        <f>SUM(I205/10)</f>
        <v>2.456</v>
      </c>
      <c r="G205" s="11"/>
      <c r="I205" s="23">
        <v>24.56</v>
      </c>
      <c r="M205" s="11">
        <f>SUM(F205*L205)</f>
        <v>0</v>
      </c>
      <c r="N205" s="11">
        <f>SUM(M205*35%)+M205</f>
        <v>0</v>
      </c>
    </row>
    <row r="206" spans="1:14" ht="14.1" customHeight="1" x14ac:dyDescent="0.45">
      <c r="A206" s="16" t="s">
        <v>617</v>
      </c>
      <c r="B206" s="16">
        <v>33447</v>
      </c>
      <c r="D206" s="1" t="s">
        <v>618</v>
      </c>
      <c r="E206" s="1" t="s">
        <v>615</v>
      </c>
      <c r="F206" s="11">
        <f>SUM(I206/10)</f>
        <v>2.456</v>
      </c>
      <c r="G206" s="11"/>
      <c r="I206" s="23">
        <v>24.56</v>
      </c>
      <c r="M206" s="11">
        <f>SUM(F206*L206)</f>
        <v>0</v>
      </c>
      <c r="N206" s="11">
        <f>SUM(M206*35%)+M206</f>
        <v>0</v>
      </c>
    </row>
    <row r="207" spans="1:14" ht="14.1" customHeight="1" x14ac:dyDescent="0.45">
      <c r="B207" s="16"/>
    </row>
    <row r="208" spans="1:14" ht="14.1" customHeight="1" x14ac:dyDescent="0.45"/>
    <row r="209" spans="1:14" ht="14.1" customHeight="1" x14ac:dyDescent="0.45">
      <c r="D209" s="17" t="s">
        <v>619</v>
      </c>
    </row>
    <row r="210" spans="1:14" ht="14.1" customHeight="1" x14ac:dyDescent="0.45">
      <c r="A210" s="1" t="s">
        <v>620</v>
      </c>
      <c r="B210" s="1">
        <v>8088</v>
      </c>
      <c r="D210" s="1" t="s">
        <v>621</v>
      </c>
      <c r="E210" s="1" t="s">
        <v>622</v>
      </c>
      <c r="F210" s="11">
        <f>SUM(I210/15)</f>
        <v>1.3026666666666666</v>
      </c>
      <c r="G210" s="11"/>
      <c r="H210" s="11">
        <v>17.66</v>
      </c>
      <c r="I210" s="23">
        <v>19.54</v>
      </c>
      <c r="J210" s="24">
        <f>SUM(I210-H210)/H210</f>
        <v>0.10645526613816529</v>
      </c>
      <c r="K210" s="25">
        <f>SUM(H210*J210)</f>
        <v>1.879999999999999</v>
      </c>
      <c r="M210" s="11">
        <f>SUM(F210*L210)</f>
        <v>0</v>
      </c>
      <c r="N210" s="11">
        <f>SUM(M210*35%)+M210</f>
        <v>0</v>
      </c>
    </row>
    <row r="211" spans="1:14" ht="14.1" customHeight="1" x14ac:dyDescent="0.45">
      <c r="A211" s="1" t="s">
        <v>623</v>
      </c>
      <c r="B211" s="1">
        <v>8090</v>
      </c>
      <c r="D211" s="1" t="s">
        <v>624</v>
      </c>
      <c r="E211" s="1" t="s">
        <v>625</v>
      </c>
      <c r="F211" s="11">
        <f>SUM(I211/16)</f>
        <v>1.485625</v>
      </c>
      <c r="G211" s="11"/>
      <c r="H211" s="11">
        <v>21.48</v>
      </c>
      <c r="I211" s="23">
        <v>23.77</v>
      </c>
      <c r="J211" s="24">
        <f>SUM(I211-H211)/H211</f>
        <v>0.10661080074487891</v>
      </c>
      <c r="K211" s="25">
        <f>SUM(H211*J211)</f>
        <v>2.2899999999999991</v>
      </c>
      <c r="M211" s="11">
        <f>SUM(F211*L211)</f>
        <v>0</v>
      </c>
      <c r="N211" s="11">
        <f>SUM(M211*35%)+M211</f>
        <v>0</v>
      </c>
    </row>
    <row r="212" spans="1:14" ht="14.1" customHeight="1" x14ac:dyDescent="0.45"/>
    <row r="213" spans="1:14" ht="14.1" customHeight="1" x14ac:dyDescent="0.45">
      <c r="A213" s="16" t="s">
        <v>527</v>
      </c>
      <c r="D213" s="56" t="s">
        <v>142</v>
      </c>
    </row>
    <row r="214" spans="1:14" ht="14.1" customHeight="1" x14ac:dyDescent="0.45">
      <c r="A214" s="1" t="s">
        <v>143</v>
      </c>
      <c r="B214" s="1">
        <v>8984</v>
      </c>
      <c r="D214" s="1" t="s">
        <v>144</v>
      </c>
      <c r="E214" s="1" t="s">
        <v>606</v>
      </c>
      <c r="F214" s="11">
        <f>SUM(I214/12)</f>
        <v>1.4941666666666666</v>
      </c>
      <c r="G214" s="11"/>
      <c r="H214" s="11">
        <v>16.21</v>
      </c>
      <c r="I214" s="23">
        <v>17.93</v>
      </c>
      <c r="J214" s="24">
        <f>SUM(I214-H214)/H214</f>
        <v>0.10610734114743978</v>
      </c>
      <c r="K214" s="25">
        <f>SUM(H214*J214)</f>
        <v>1.7199999999999989</v>
      </c>
      <c r="M214" s="11">
        <f>SUM(F214*L214)</f>
        <v>0</v>
      </c>
      <c r="N214" s="11">
        <f>SUM(M214*35%)+M214</f>
        <v>0</v>
      </c>
    </row>
    <row r="215" spans="1:14" ht="14.1" customHeight="1" x14ac:dyDescent="0.45">
      <c r="A215" s="1" t="s">
        <v>18</v>
      </c>
      <c r="B215" s="1">
        <v>7498</v>
      </c>
      <c r="D215" s="1" t="s">
        <v>146</v>
      </c>
      <c r="E215" s="1" t="s">
        <v>626</v>
      </c>
      <c r="F215" s="11">
        <f>SUM(I215)</f>
        <v>36.61</v>
      </c>
      <c r="G215" s="11"/>
      <c r="H215" s="11">
        <v>35.29</v>
      </c>
      <c r="I215" s="23">
        <v>36.61</v>
      </c>
      <c r="J215" s="24">
        <f>SUM(I215-H215)/H215</f>
        <v>3.7404363842448295E-2</v>
      </c>
      <c r="K215" s="25">
        <f>SUM(H215*J215)</f>
        <v>1.3200000000000003</v>
      </c>
      <c r="L215" s="37"/>
      <c r="M215" s="11">
        <f>SUM(F215*L215)</f>
        <v>0</v>
      </c>
      <c r="N215" s="11">
        <f>SUM(M215*35%)+M215</f>
        <v>0</v>
      </c>
    </row>
    <row r="216" spans="1:14" ht="14.1" customHeight="1" x14ac:dyDescent="0.45">
      <c r="A216" s="16" t="s">
        <v>20</v>
      </c>
      <c r="B216" s="16">
        <v>7499</v>
      </c>
      <c r="D216" s="1" t="s">
        <v>146</v>
      </c>
      <c r="E216" s="1" t="s">
        <v>626</v>
      </c>
      <c r="F216" s="11">
        <f>SUM(I216)</f>
        <v>33.28</v>
      </c>
      <c r="G216" s="11"/>
      <c r="H216" s="11">
        <v>29.63</v>
      </c>
      <c r="I216" s="23">
        <v>33.28</v>
      </c>
      <c r="J216" s="24">
        <f>SUM(I216-H216)/H216</f>
        <v>0.12318596017549788</v>
      </c>
      <c r="K216" s="25">
        <f>SUM(H216*J216)</f>
        <v>3.6500000000000021</v>
      </c>
      <c r="L216" s="37"/>
      <c r="M216" s="11">
        <f>SUM(F216*L216)</f>
        <v>0</v>
      </c>
      <c r="N216" s="11">
        <f>SUM(M216*35%)+M216</f>
        <v>0</v>
      </c>
    </row>
    <row r="217" spans="1:14" ht="14.1" customHeight="1" x14ac:dyDescent="0.45"/>
    <row r="218" spans="1:14" ht="14.1" customHeight="1" x14ac:dyDescent="0.45"/>
    <row r="219" spans="1:14" ht="14.1" customHeight="1" x14ac:dyDescent="0.45">
      <c r="D219" s="17" t="s">
        <v>627</v>
      </c>
    </row>
    <row r="220" spans="1:14" ht="14.1" customHeight="1" x14ac:dyDescent="0.45">
      <c r="A220" s="16" t="s">
        <v>628</v>
      </c>
      <c r="B220" s="1">
        <v>5860</v>
      </c>
      <c r="C220" s="16" t="s">
        <v>629</v>
      </c>
      <c r="D220" s="1" t="s">
        <v>630</v>
      </c>
      <c r="E220" s="1" t="s">
        <v>631</v>
      </c>
      <c r="F220" s="11">
        <f>SUM(I220/50)</f>
        <v>0.68680000000000008</v>
      </c>
      <c r="G220" s="11"/>
      <c r="I220" s="23">
        <v>34.340000000000003</v>
      </c>
      <c r="M220" s="11">
        <f>SUM(F220*L220)</f>
        <v>0</v>
      </c>
      <c r="N220" s="11">
        <f>SUM(M220*35%)+M220</f>
        <v>0</v>
      </c>
    </row>
    <row r="221" spans="1:14" ht="14.1" customHeight="1" x14ac:dyDescent="0.45"/>
    <row r="222" spans="1:14" ht="14.1" customHeight="1" x14ac:dyDescent="0.45"/>
    <row r="223" spans="1:14" ht="14.1" customHeight="1" x14ac:dyDescent="0.45"/>
    <row r="224" spans="1:14" ht="14.1" customHeight="1" x14ac:dyDescent="0.45"/>
    <row r="225" spans="1:14" ht="14.1" customHeight="1" x14ac:dyDescent="0.45">
      <c r="D225" s="17" t="s">
        <v>632</v>
      </c>
    </row>
    <row r="226" spans="1:14" ht="14.1" customHeight="1" x14ac:dyDescent="0.45">
      <c r="A226" s="16" t="s">
        <v>633</v>
      </c>
      <c r="B226" s="16" t="s">
        <v>634</v>
      </c>
      <c r="D226" s="1" t="s">
        <v>635</v>
      </c>
      <c r="E226" s="1" t="s">
        <v>636</v>
      </c>
      <c r="F226" s="11">
        <f>SUM(I226/200)</f>
        <v>0.30599999999999999</v>
      </c>
      <c r="G226" s="11"/>
      <c r="I226" s="23">
        <v>61.2</v>
      </c>
      <c r="M226" s="11">
        <f>SUM(F226*L226)</f>
        <v>0</v>
      </c>
      <c r="N226" s="11">
        <f>SUM(M226*35%)+M226</f>
        <v>0</v>
      </c>
    </row>
    <row r="227" spans="1:14" ht="14.1" customHeight="1" x14ac:dyDescent="0.45"/>
    <row r="228" spans="1:14" ht="14.1" customHeight="1" x14ac:dyDescent="0.45">
      <c r="D228" s="15" t="s">
        <v>637</v>
      </c>
    </row>
    <row r="229" spans="1:14" ht="14.1" customHeight="1" x14ac:dyDescent="0.45">
      <c r="A229" s="1" t="s">
        <v>638</v>
      </c>
      <c r="B229" s="1">
        <v>5684</v>
      </c>
      <c r="D229" s="1" t="s">
        <v>639</v>
      </c>
      <c r="F229" s="11">
        <f>SUM(I229/1)</f>
        <v>146.84</v>
      </c>
      <c r="I229" s="23">
        <v>146.84</v>
      </c>
      <c r="M229" s="11">
        <f>SUM(F229*L229)</f>
        <v>0</v>
      </c>
      <c r="N229" s="11">
        <f>SUM(M229*35%)+M229</f>
        <v>0</v>
      </c>
    </row>
    <row r="230" spans="1:14" ht="14.1" customHeight="1" x14ac:dyDescent="0.45"/>
    <row r="231" spans="1:14" ht="14.1" customHeight="1" x14ac:dyDescent="0.45"/>
    <row r="232" spans="1:14" ht="14.1" customHeight="1" x14ac:dyDescent="0.45">
      <c r="H232" s="22" t="s">
        <v>153</v>
      </c>
      <c r="J232" s="24">
        <f>AVERAGE(J2:J231)</f>
        <v>0.10439142516921726</v>
      </c>
      <c r="K232" s="25">
        <f>AVERAGE(K2:K231)</f>
        <v>4.7939849624060145</v>
      </c>
    </row>
    <row r="239" spans="1:14" ht="37.5" customHeight="1" x14ac:dyDescent="0.65">
      <c r="M239" s="22">
        <f>SUM(M3:M238)</f>
        <v>0</v>
      </c>
      <c r="N239" s="38">
        <f>SUM(N3:N238)</f>
        <v>0</v>
      </c>
    </row>
  </sheetData>
  <sheetProtection selectLockedCells="1" selectUnlockedCells="1"/>
  <hyperlinks>
    <hyperlink ref="A46" r:id="rId1" xr:uid="{00000000-0004-0000-0300-000000000000}"/>
    <hyperlink ref="D42" r:id="rId2" xr:uid="{00000000-0004-0000-0300-000001000000}"/>
    <hyperlink ref="A42" r:id="rId3" xr:uid="{00000000-0004-0000-0300-000002000000}"/>
    <hyperlink ref="C42" r:id="rId4" xr:uid="{00000000-0004-0000-0300-000003000000}"/>
    <hyperlink ref="B54" r:id="rId5" display="https://www.3m.com/3M/en_US/p/d/b40071664/" xr:uid="{00000000-0004-0000-0300-000004000000}"/>
    <hyperlink ref="A54" r:id="rId6" xr:uid="{00000000-0004-0000-0300-000005000000}"/>
    <hyperlink ref="C54" r:id="rId7" xr:uid="{00000000-0004-0000-0300-000006000000}"/>
    <hyperlink ref="A216" r:id="rId8" xr:uid="{00000000-0004-0000-0300-000007000000}"/>
    <hyperlink ref="B216" r:id="rId9" display="https://multimedia.3m.com/mws/media/1023487O/3m-stripe-off-wheel-eu-safety-insert-34-8513-2468-0.pdf" xr:uid="{00000000-0004-0000-0300-000008000000}"/>
    <hyperlink ref="A213" r:id="rId10" xr:uid="{00000000-0004-0000-0300-000009000000}"/>
    <hyperlink ref="A220" r:id="rId11" xr:uid="{00000000-0004-0000-0300-00000A000000}"/>
    <hyperlink ref="C220" r:id="rId12" xr:uid="{00000000-0004-0000-0300-00000B000000}"/>
    <hyperlink ref="A144" r:id="rId13" xr:uid="{00000000-0004-0000-0300-00000C000000}"/>
    <hyperlink ref="B144" r:id="rId14" xr:uid="{00000000-0004-0000-0300-00000D000000}"/>
    <hyperlink ref="A61" r:id="rId15" xr:uid="{00000000-0004-0000-0300-00000E000000}"/>
    <hyperlink ref="A56" r:id="rId16" xr:uid="{00000000-0004-0000-0300-00000F000000}"/>
    <hyperlink ref="B61" r:id="rId17" display="https://multimedia.3m.com/mws/mediawebserver?mwsId=SSSSSu9n_zu8l00xmxmU58teMv70k17zHvu9lxtD7xtBevSSSSSS-" xr:uid="{00000000-0004-0000-0300-000010000000}"/>
    <hyperlink ref="A50" r:id="rId18" xr:uid="{00000000-0004-0000-0300-000011000000}"/>
    <hyperlink ref="B50" r:id="rId19" display="http://multimedia.3m.com/mws/media/1058439P/3m-green-corps-roloc-disc-01407-3-in-36yf.jpg" xr:uid="{00000000-0004-0000-0300-000012000000}"/>
    <hyperlink ref="B200" r:id="rId20" display="https://multimedia.3m.com/mws/mediawebserver?mwsId=SSSSSuUn_zu8l00xm8_Z4Yt94v70k17zHvu9lxtD7SSSSSS--" xr:uid="{00000000-0004-0000-0300-000013000000}"/>
    <hyperlink ref="B201" r:id="rId21" display="https://multimedia.3m.com/mws/mediawebserver?mwsId=SSSSSu9n_zu8l00xmxmUoxtSnv70k17zHvu9lxtD7xtBevSSSSSS-" xr:uid="{00000000-0004-0000-0300-000014000000}"/>
    <hyperlink ref="A38" r:id="rId22" xr:uid="{00000000-0004-0000-0300-000015000000}"/>
    <hyperlink ref="B38" r:id="rId23" display="https://multimedia.3m.com/mws/mediawebserver?mwsId=SSSSSu9n_zu8l00xlY_9lxtxlv70k17zHvu9lxtD7xt1evSSSSSS-" xr:uid="{00000000-0004-0000-0300-000016000000}"/>
    <hyperlink ref="A39" r:id="rId24" xr:uid="{00000000-0004-0000-0300-000017000000}"/>
    <hyperlink ref="B39" r:id="rId25" display="https://multimedia.3m.com/mws/mediawebserver?mwsId=SSSSSuUn_zu8l00xl82ZoY_BOv70k17zHvu9lxtD7SSSSSS--" xr:uid="{00000000-0004-0000-0300-000018000000}"/>
    <hyperlink ref="C39" r:id="rId26" display="https://multimedia.3m.com/mws/media/277553O/3mtm-ultraprotm-msp-sprayable-seam-sealer-pn-08374.pdf" xr:uid="{00000000-0004-0000-0300-000019000000}"/>
    <hyperlink ref="C35:C37" r:id="rId27" display="https://multimedia.3m.com/mws/media/761546O/3m-urethane-seam-sealer-tds-08360-08361-08364.pdf" xr:uid="{00000000-0004-0000-0300-00001A000000}"/>
    <hyperlink ref="A35:A37" r:id="rId28" display="MMM8360" xr:uid="{00000000-0004-0000-0300-00001B000000}"/>
    <hyperlink ref="B35" r:id="rId29" display="https://multimedia.3m.com/mws/mediawebserver?mwsId=SSSSSuUn_zu8l00xlYt9lx_1Mv70k17zHvu9lxtD7SSSSSS--" xr:uid="{00000000-0004-0000-0300-00001C000000}"/>
    <hyperlink ref="B36" r:id="rId30" display="https://multimedia.3m.com/mws/mediawebserver?mwsId=SSSSSuUn_zu8l00xlYt9lx_elv70k17zHvu9lxtD7SSSSSS--" xr:uid="{00000000-0004-0000-0300-00001D000000}"/>
    <hyperlink ref="B37" r:id="rId31" display="https://multimedia.3m.com/mws/mediawebserver?mwsId=SSSSSuUn_zu8l00xMx2xnY_vov70k17zHvu9lxtD7SSSSSS--" xr:uid="{00000000-0004-0000-0300-00001E000000}"/>
    <hyperlink ref="A204:A206" r:id="rId32" display="MMM33445" xr:uid="{00000000-0004-0000-0300-00001F000000}"/>
    <hyperlink ref="B204:B206" r:id="rId33" display="https://multimedia.3m.com/mws/media/755373O/3m-coated-abrasive-belts-and-scotch-brite-surface-conditioning-belts.pdf" xr:uid="{00000000-0004-0000-0300-000020000000}"/>
    <hyperlink ref="B226" r:id="rId34" xr:uid="{00000000-0004-0000-0300-000021000000}"/>
    <hyperlink ref="A226" r:id="rId35" xr:uid="{00000000-0004-0000-0300-000022000000}"/>
    <hyperlink ref="A161" r:id="rId36" xr:uid="{F43BC105-AA18-48A8-B022-F8ED3BCBF2B4}"/>
  </hyperlinks>
  <pageMargins left="0.7" right="0.7" top="0.75" bottom="0.75" header="0.51180555555555551" footer="0.51180555555555551"/>
  <pageSetup firstPageNumber="0" orientation="portrait" r:id="rId37"/>
  <headerFooter alignWithMargins="0"/>
  <ignoredErrors>
    <ignoredError sqref="F46 F51 F53 F141 F177" formula="1"/>
  </ignoredErrors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3"/>
  </sheetPr>
  <dimension ref="A1:N31"/>
  <sheetViews>
    <sheetView workbookViewId="0">
      <pane ySplit="1" topLeftCell="A7" activePane="bottomLeft" state="frozen"/>
      <selection pane="bottomLeft" activeCell="C5" sqref="C5"/>
    </sheetView>
  </sheetViews>
  <sheetFormatPr defaultColWidth="9.265625" defaultRowHeight="14.25" x14ac:dyDescent="0.45"/>
  <cols>
    <col min="1" max="1" width="14.73046875" style="1" customWidth="1"/>
    <col min="2" max="3" width="16.59765625" style="1" customWidth="1"/>
    <col min="4" max="4" width="34.1328125" style="1" customWidth="1"/>
    <col min="5" max="5" width="30.73046875" style="1" customWidth="1"/>
    <col min="6" max="7" width="12.73046875" style="11" customWidth="1"/>
    <col min="8" max="8" width="11.73046875" style="11" customWidth="1"/>
    <col min="9" max="9" width="16.3984375" style="50" customWidth="1"/>
    <col min="10" max="10" width="19" style="53" customWidth="1"/>
    <col min="11" max="11" width="18.1328125" style="50" customWidth="1"/>
    <col min="12" max="12" width="14" style="54" customWidth="1"/>
    <col min="13" max="13" width="14" style="41" customWidth="1"/>
    <col min="14" max="14" width="14.59765625" style="11" customWidth="1"/>
    <col min="15" max="16384" width="9.265625" style="1"/>
  </cols>
  <sheetData>
    <row r="1" spans="1:14" x14ac:dyDescent="0.45">
      <c r="A1" s="1" t="s">
        <v>640</v>
      </c>
      <c r="B1" s="1" t="s">
        <v>1</v>
      </c>
      <c r="C1" s="1" t="s">
        <v>2</v>
      </c>
      <c r="D1" s="1" t="s">
        <v>155</v>
      </c>
      <c r="E1" s="1" t="s">
        <v>4</v>
      </c>
      <c r="F1" s="11" t="s">
        <v>5</v>
      </c>
      <c r="G1" s="11" t="s">
        <v>641</v>
      </c>
      <c r="H1" s="11" t="s">
        <v>7</v>
      </c>
      <c r="I1" s="50" t="s">
        <v>8</v>
      </c>
      <c r="J1" s="53" t="s">
        <v>9</v>
      </c>
      <c r="K1" s="50" t="s">
        <v>10</v>
      </c>
      <c r="L1" s="54" t="s">
        <v>161</v>
      </c>
      <c r="M1" s="41" t="s">
        <v>642</v>
      </c>
      <c r="N1" s="11" t="s">
        <v>643</v>
      </c>
    </row>
    <row r="2" spans="1:14" x14ac:dyDescent="0.45">
      <c r="D2" s="59" t="s">
        <v>644</v>
      </c>
      <c r="J2" s="55"/>
    </row>
    <row r="3" spans="1:14" x14ac:dyDescent="0.45">
      <c r="A3" s="1" t="s">
        <v>645</v>
      </c>
      <c r="D3" t="s">
        <v>646</v>
      </c>
      <c r="E3" s="1" t="s">
        <v>647</v>
      </c>
      <c r="F3" s="11">
        <f>SUM(I3/120)</f>
        <v>1.2756666666666667</v>
      </c>
      <c r="I3" s="50">
        <v>153.08000000000001</v>
      </c>
      <c r="J3" s="55"/>
      <c r="M3" s="41">
        <f>SUM(F3*L3)</f>
        <v>0</v>
      </c>
      <c r="N3" s="11">
        <f>SUM(M3*0.35+M3)</f>
        <v>0</v>
      </c>
    </row>
    <row r="4" spans="1:14" x14ac:dyDescent="0.45">
      <c r="A4" s="1" t="s">
        <v>648</v>
      </c>
      <c r="D4" t="s">
        <v>649</v>
      </c>
      <c r="E4" s="1" t="s">
        <v>647</v>
      </c>
      <c r="F4" s="11">
        <f>SUM(I4/120)</f>
        <v>2.6154166666666669</v>
      </c>
      <c r="I4" s="50">
        <v>313.85000000000002</v>
      </c>
      <c r="J4" s="55"/>
      <c r="M4" s="41">
        <f>SUM(F4*L4)</f>
        <v>0</v>
      </c>
      <c r="N4" s="11">
        <f>SUM(M4*0.35+M4)</f>
        <v>0</v>
      </c>
    </row>
    <row r="5" spans="1:14" x14ac:dyDescent="0.45">
      <c r="A5" s="1" t="s">
        <v>650</v>
      </c>
      <c r="B5" s="1">
        <v>622</v>
      </c>
      <c r="C5" s="1">
        <v>622</v>
      </c>
      <c r="D5" s="1" t="s">
        <v>651</v>
      </c>
      <c r="E5" s="1" t="s">
        <v>647</v>
      </c>
      <c r="F5" s="11">
        <f>SUM(I5/120)</f>
        <v>0.96116666666666672</v>
      </c>
      <c r="H5" s="11">
        <v>84.68</v>
      </c>
      <c r="I5" s="50">
        <v>115.34</v>
      </c>
      <c r="J5" s="55">
        <f>SUM(I5-H5)/H5</f>
        <v>0.36206896551724133</v>
      </c>
      <c r="K5" s="50">
        <f>SUM(H5*J5)</f>
        <v>30.659999999999997</v>
      </c>
      <c r="L5" s="54">
        <v>0</v>
      </c>
      <c r="M5" s="41">
        <f>SUM(F5*L5)</f>
        <v>0</v>
      </c>
      <c r="N5" s="11">
        <f>SUM(M5*0.35+M5)</f>
        <v>0</v>
      </c>
    </row>
    <row r="6" spans="1:14" x14ac:dyDescent="0.45">
      <c r="A6" s="1" t="s">
        <v>652</v>
      </c>
      <c r="D6" s="1" t="s">
        <v>653</v>
      </c>
      <c r="E6" s="1" t="s">
        <v>647</v>
      </c>
      <c r="F6" s="11">
        <f>SUM(I6/120)</f>
        <v>1.1646666666666665</v>
      </c>
      <c r="H6" s="11">
        <v>103.47</v>
      </c>
      <c r="I6" s="50">
        <v>139.76</v>
      </c>
      <c r="J6" s="55">
        <f t="shared" ref="J6:J28" si="0">SUM(I6-H6)/H6</f>
        <v>0.35072968010051214</v>
      </c>
      <c r="K6" s="50">
        <f t="shared" ref="K6:K28" si="1">SUM(H6*J6)</f>
        <v>36.289999999999992</v>
      </c>
      <c r="M6" s="41">
        <f>SUM(F6*L6)</f>
        <v>0</v>
      </c>
      <c r="N6" s="11">
        <f>SUM(M6*0.35+M6)</f>
        <v>0</v>
      </c>
    </row>
    <row r="7" spans="1:14" x14ac:dyDescent="0.45">
      <c r="A7" s="1" t="s">
        <v>654</v>
      </c>
      <c r="D7" s="1" t="s">
        <v>655</v>
      </c>
      <c r="E7" s="1" t="s">
        <v>656</v>
      </c>
      <c r="F7" s="11">
        <f>SUM(I7/1.35)</f>
        <v>6.2962962962962958</v>
      </c>
      <c r="H7" s="11">
        <v>5.42</v>
      </c>
      <c r="I7" s="50">
        <v>8.5</v>
      </c>
      <c r="J7" s="55">
        <f t="shared" si="0"/>
        <v>0.56826568265682664</v>
      </c>
      <c r="K7" s="50">
        <f t="shared" si="1"/>
        <v>3.0800000000000005</v>
      </c>
      <c r="M7" s="41">
        <f>SUM(F7*L7)</f>
        <v>0</v>
      </c>
      <c r="N7" s="11">
        <f>SUM(M7*0.35+M7)</f>
        <v>0</v>
      </c>
    </row>
    <row r="8" spans="1:14" x14ac:dyDescent="0.45">
      <c r="J8" s="55"/>
    </row>
    <row r="9" spans="1:14" x14ac:dyDescent="0.45">
      <c r="D9" s="17" t="s">
        <v>657</v>
      </c>
      <c r="J9" s="55"/>
    </row>
    <row r="10" spans="1:14" x14ac:dyDescent="0.45">
      <c r="A10" s="1" t="s">
        <v>658</v>
      </c>
      <c r="D10" s="40" t="s">
        <v>659</v>
      </c>
      <c r="E10" s="1" t="s">
        <v>660</v>
      </c>
      <c r="F10" s="11">
        <f>SUM(I10/28)</f>
        <v>2.9485714285714288</v>
      </c>
      <c r="H10" s="11">
        <v>61.7</v>
      </c>
      <c r="I10" s="50">
        <v>82.56</v>
      </c>
      <c r="J10" s="55">
        <f t="shared" si="0"/>
        <v>0.33808752025931926</v>
      </c>
      <c r="K10" s="50">
        <f t="shared" si="1"/>
        <v>20.86</v>
      </c>
      <c r="M10" s="41">
        <f>SUM(F10*L10)</f>
        <v>0</v>
      </c>
      <c r="N10" s="11">
        <f>SUM(M10*0.35+M10)</f>
        <v>0</v>
      </c>
    </row>
    <row r="11" spans="1:14" x14ac:dyDescent="0.45">
      <c r="A11" s="1" t="s">
        <v>661</v>
      </c>
      <c r="D11" s="1" t="s">
        <v>662</v>
      </c>
      <c r="E11" s="1" t="s">
        <v>663</v>
      </c>
      <c r="F11" s="11">
        <f>SUM(I11/15)</f>
        <v>1.3433333333333333</v>
      </c>
      <c r="H11" s="11">
        <v>48.34</v>
      </c>
      <c r="I11" s="50">
        <v>20.149999999999999</v>
      </c>
      <c r="J11" s="55">
        <f t="shared" si="0"/>
        <v>-0.58316094331816304</v>
      </c>
      <c r="K11" s="50">
        <f t="shared" si="1"/>
        <v>-28.190000000000005</v>
      </c>
      <c r="M11" s="41">
        <f>SUM(F11*L11)</f>
        <v>0</v>
      </c>
      <c r="N11" s="11">
        <f>SUM(M11*0.35+M11)</f>
        <v>0</v>
      </c>
    </row>
    <row r="12" spans="1:14" x14ac:dyDescent="0.45">
      <c r="A12" s="1" t="s">
        <v>664</v>
      </c>
      <c r="D12" s="1" t="s">
        <v>665</v>
      </c>
      <c r="E12" s="1" t="s">
        <v>660</v>
      </c>
      <c r="F12" s="11">
        <f>SUM(I12/28)</f>
        <v>2.31</v>
      </c>
      <c r="I12" s="50">
        <v>64.680000000000007</v>
      </c>
      <c r="J12" s="55"/>
      <c r="M12" s="41">
        <f>SUM(F12*L12)</f>
        <v>0</v>
      </c>
      <c r="N12" s="11">
        <f>SUM(M12*0.35+M12)</f>
        <v>0</v>
      </c>
    </row>
    <row r="13" spans="1:14" x14ac:dyDescent="0.45">
      <c r="J13" s="55"/>
    </row>
    <row r="14" spans="1:14" x14ac:dyDescent="0.45">
      <c r="A14" s="1" t="s">
        <v>666</v>
      </c>
      <c r="D14" s="1" t="s">
        <v>667</v>
      </c>
      <c r="E14" s="1" t="s">
        <v>668</v>
      </c>
      <c r="F14" s="11">
        <f>SUM(I14/6)</f>
        <v>11.253333333333332</v>
      </c>
      <c r="H14" s="11">
        <v>64.7</v>
      </c>
      <c r="I14" s="50">
        <v>67.52</v>
      </c>
      <c r="J14" s="55">
        <f>SUM(I14-H14)/H14</f>
        <v>4.3585780525502209E-2</v>
      </c>
      <c r="K14" s="50">
        <f t="shared" si="1"/>
        <v>2.8199999999999932</v>
      </c>
      <c r="M14" s="41">
        <f>SUM(F14*L14)</f>
        <v>0</v>
      </c>
      <c r="N14" s="11">
        <f>SUM(M14*0.35+M14)</f>
        <v>0</v>
      </c>
    </row>
    <row r="15" spans="1:14" x14ac:dyDescent="0.45">
      <c r="A15" s="1" t="s">
        <v>669</v>
      </c>
      <c r="B15" s="1" t="s">
        <v>670</v>
      </c>
      <c r="D15" s="1" t="s">
        <v>671</v>
      </c>
      <c r="E15" s="1" t="s">
        <v>668</v>
      </c>
      <c r="F15" s="11">
        <f>SUM(I15/6)</f>
        <v>11.366666666666667</v>
      </c>
      <c r="H15" s="11">
        <v>64.7</v>
      </c>
      <c r="I15" s="50">
        <v>68.2</v>
      </c>
      <c r="J15" s="55">
        <f>SUM(I15-H15)/H15</f>
        <v>5.4095826893353939E-2</v>
      </c>
      <c r="K15" s="50">
        <f t="shared" si="1"/>
        <v>3.5</v>
      </c>
      <c r="M15" s="41">
        <f>SUM(F15*L15)</f>
        <v>0</v>
      </c>
      <c r="N15" s="11">
        <f>SUM(M15*0.35+M15)</f>
        <v>0</v>
      </c>
    </row>
    <row r="16" spans="1:14" x14ac:dyDescent="0.45">
      <c r="J16" s="55"/>
    </row>
    <row r="17" spans="1:14" x14ac:dyDescent="0.45">
      <c r="D17" s="56" t="s">
        <v>672</v>
      </c>
      <c r="J17" s="55"/>
    </row>
    <row r="18" spans="1:14" x14ac:dyDescent="0.45">
      <c r="A18" s="1" t="s">
        <v>673</v>
      </c>
      <c r="B18" s="1" t="s">
        <v>673</v>
      </c>
      <c r="D18" s="1" t="s">
        <v>674</v>
      </c>
      <c r="E18" s="1" t="s">
        <v>647</v>
      </c>
      <c r="F18" s="11">
        <f>SUM(I18/120)</f>
        <v>1.2128333333333332</v>
      </c>
      <c r="H18" s="11">
        <v>98.86</v>
      </c>
      <c r="I18" s="50">
        <v>145.54</v>
      </c>
      <c r="J18" s="55">
        <f>SUM(I18-H18)/H18</f>
        <v>0.47218288488771992</v>
      </c>
      <c r="K18" s="50">
        <f t="shared" si="1"/>
        <v>46.679999999999993</v>
      </c>
      <c r="M18" s="41">
        <f>SUM(F18*L18)</f>
        <v>0</v>
      </c>
      <c r="N18" s="11">
        <f>SUM(M18*0.35+M18)</f>
        <v>0</v>
      </c>
    </row>
    <row r="19" spans="1:14" x14ac:dyDescent="0.45">
      <c r="A19" s="1" t="s">
        <v>675</v>
      </c>
      <c r="D19" s="1" t="s">
        <v>676</v>
      </c>
      <c r="E19" s="1" t="s">
        <v>647</v>
      </c>
      <c r="F19" s="11">
        <f>SUM(I19/120)</f>
        <v>0.40325</v>
      </c>
      <c r="H19" s="11">
        <v>35.53</v>
      </c>
      <c r="I19" s="50">
        <v>48.39</v>
      </c>
      <c r="J19" s="55">
        <f>SUM(I19-H19)/H19</f>
        <v>0.36194764987334643</v>
      </c>
      <c r="K19" s="50">
        <f t="shared" si="1"/>
        <v>12.86</v>
      </c>
      <c r="M19" s="41">
        <f>SUM(F19*L19)</f>
        <v>0</v>
      </c>
      <c r="N19" s="11">
        <f>SUM(M19*0.35+M19)</f>
        <v>0</v>
      </c>
    </row>
    <row r="20" spans="1:14" x14ac:dyDescent="0.45">
      <c r="A20" s="1" t="s">
        <v>677</v>
      </c>
      <c r="D20" s="1" t="s">
        <v>678</v>
      </c>
      <c r="E20" s="1" t="s">
        <v>647</v>
      </c>
      <c r="F20" s="11">
        <f>SUM(I20/120)</f>
        <v>0.96116666666666672</v>
      </c>
      <c r="H20" s="11">
        <v>84.69</v>
      </c>
      <c r="I20" s="50">
        <v>115.34</v>
      </c>
      <c r="J20" s="55">
        <f>SUM(I20-H20)/H20</f>
        <v>0.36190813555319407</v>
      </c>
      <c r="K20" s="50">
        <f t="shared" si="1"/>
        <v>30.650000000000006</v>
      </c>
      <c r="M20" s="41">
        <f>SUM(F20*L20)</f>
        <v>0</v>
      </c>
      <c r="N20" s="11">
        <f>SUM(M20*0.35+M20)</f>
        <v>0</v>
      </c>
    </row>
    <row r="21" spans="1:14" x14ac:dyDescent="0.45">
      <c r="A21" s="16" t="s">
        <v>679</v>
      </c>
      <c r="D21" s="1" t="s">
        <v>680</v>
      </c>
      <c r="E21" s="1" t="s">
        <v>647</v>
      </c>
      <c r="F21" s="11">
        <f>SUM(I21/120)</f>
        <v>0.72416666666666674</v>
      </c>
      <c r="H21" s="11">
        <v>58.98</v>
      </c>
      <c r="I21" s="50">
        <v>86.9</v>
      </c>
      <c r="J21" s="55">
        <f>SUM(I21-H21)/H21</f>
        <v>0.47338080705323854</v>
      </c>
      <c r="K21" s="50">
        <f t="shared" si="1"/>
        <v>27.920000000000009</v>
      </c>
      <c r="M21" s="41">
        <f>SUM(F21*L21)</f>
        <v>0</v>
      </c>
      <c r="N21" s="11">
        <f>SUM(M21*0.35+M21)</f>
        <v>0</v>
      </c>
    </row>
    <row r="22" spans="1:14" x14ac:dyDescent="0.45">
      <c r="A22" s="16"/>
      <c r="J22" s="55"/>
    </row>
    <row r="23" spans="1:14" x14ac:dyDescent="0.45">
      <c r="B23" s="1" t="s">
        <v>681</v>
      </c>
      <c r="D23" s="1" t="s">
        <v>682</v>
      </c>
      <c r="E23" s="1" t="s">
        <v>683</v>
      </c>
      <c r="F23" s="11" t="s">
        <v>684</v>
      </c>
      <c r="I23" s="50" t="s">
        <v>684</v>
      </c>
      <c r="J23" s="55" t="s">
        <v>684</v>
      </c>
      <c r="K23" s="50" t="s">
        <v>684</v>
      </c>
      <c r="M23" s="41" t="s">
        <v>684</v>
      </c>
      <c r="N23" s="11" t="s">
        <v>684</v>
      </c>
    </row>
    <row r="24" spans="1:14" x14ac:dyDescent="0.45">
      <c r="J24" s="55"/>
    </row>
    <row r="25" spans="1:14" x14ac:dyDescent="0.45">
      <c r="A25" s="1" t="s">
        <v>685</v>
      </c>
      <c r="D25" s="1" t="s">
        <v>686</v>
      </c>
      <c r="E25" s="1" t="s">
        <v>687</v>
      </c>
      <c r="F25" s="11">
        <f>SUM(I25/4)</f>
        <v>1.9824999999999999</v>
      </c>
      <c r="H25" s="11">
        <v>5.18</v>
      </c>
      <c r="I25" s="50">
        <v>7.93</v>
      </c>
      <c r="J25" s="55">
        <f>SUM(I25-H25)/H25</f>
        <v>0.53088803088803094</v>
      </c>
      <c r="K25" s="50">
        <f t="shared" si="1"/>
        <v>2.75</v>
      </c>
      <c r="M25" s="41">
        <f>SUM(F25*L25)</f>
        <v>0</v>
      </c>
      <c r="N25" s="11">
        <f>SUM(M25*0.35+M25)</f>
        <v>0</v>
      </c>
    </row>
    <row r="26" spans="1:14" x14ac:dyDescent="0.45">
      <c r="J26" s="55"/>
    </row>
    <row r="27" spans="1:14" x14ac:dyDescent="0.45">
      <c r="D27" s="56" t="s">
        <v>688</v>
      </c>
      <c r="J27" s="55"/>
    </row>
    <row r="28" spans="1:14" x14ac:dyDescent="0.45">
      <c r="A28" s="1" t="s">
        <v>689</v>
      </c>
      <c r="B28" s="1" t="s">
        <v>690</v>
      </c>
      <c r="D28" s="1" t="s">
        <v>691</v>
      </c>
      <c r="E28" s="1" t="s">
        <v>692</v>
      </c>
      <c r="F28" s="11">
        <f>SUM(I28/6)</f>
        <v>12.976666666666667</v>
      </c>
      <c r="H28" s="11">
        <v>51.44</v>
      </c>
      <c r="I28" s="50">
        <v>77.86</v>
      </c>
      <c r="J28" s="55">
        <f t="shared" si="0"/>
        <v>0.51360808709175743</v>
      </c>
      <c r="K28" s="50">
        <f t="shared" si="1"/>
        <v>26.42</v>
      </c>
      <c r="M28" s="41">
        <f>SUM(F28*L28)</f>
        <v>0</v>
      </c>
      <c r="N28" s="11">
        <f>SUM(M28*0.35+M28)</f>
        <v>0</v>
      </c>
    </row>
    <row r="29" spans="1:14" x14ac:dyDescent="0.45">
      <c r="J29" s="55"/>
    </row>
    <row r="30" spans="1:14" x14ac:dyDescent="0.45">
      <c r="H30" s="22" t="s">
        <v>153</v>
      </c>
      <c r="J30" s="55">
        <f>AVERAGE(J2:J29)</f>
        <v>0.29596831599860612</v>
      </c>
      <c r="K30" s="50">
        <f>AVERAGE(K2:K29)</f>
        <v>16.638461538461538</v>
      </c>
    </row>
    <row r="31" spans="1:14" ht="35.25" customHeight="1" x14ac:dyDescent="0.65">
      <c r="J31" s="55"/>
      <c r="M31" s="41">
        <f>SUM(M5:M28)</f>
        <v>0</v>
      </c>
      <c r="N31" s="42">
        <f>SUM(N5:N28)</f>
        <v>0</v>
      </c>
    </row>
  </sheetData>
  <sheetProtection selectLockedCells="1" selectUnlockedCells="1"/>
  <hyperlinks>
    <hyperlink ref="A21" r:id="rId1" xr:uid="{00000000-0004-0000-0400-000000000000}"/>
  </hyperlinks>
  <pageMargins left="0.7" right="0.7" top="0.75" bottom="0.75" header="0.51180555555555551" footer="0.51180555555555551"/>
  <pageSetup firstPageNumber="0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13"/>
  </sheetPr>
  <dimension ref="A1:O68"/>
  <sheetViews>
    <sheetView workbookViewId="0">
      <pane ySplit="1" topLeftCell="A3" activePane="bottomLeft" state="frozen"/>
      <selection pane="bottomLeft" activeCell="L3" sqref="L3"/>
    </sheetView>
  </sheetViews>
  <sheetFormatPr defaultColWidth="11" defaultRowHeight="14.25" x14ac:dyDescent="0.45"/>
  <cols>
    <col min="1" max="1" width="20.59765625" style="1" customWidth="1"/>
    <col min="2" max="2" width="14.73046875" style="1" customWidth="1"/>
    <col min="3" max="3" width="16.1328125" style="1" customWidth="1"/>
    <col min="4" max="4" width="58.73046875" customWidth="1"/>
    <col min="5" max="5" width="38.86328125" customWidth="1"/>
    <col min="6" max="6" width="13.1328125" style="12" customWidth="1"/>
    <col min="7" max="7" width="20.59765625" style="46" customWidth="1"/>
    <col min="8" max="8" width="11" customWidth="1"/>
    <col min="9" max="9" width="14" style="60" customWidth="1"/>
    <col min="10" max="10" width="18.1328125" style="61" customWidth="1"/>
    <col min="11" max="11" width="20.1328125" style="60" customWidth="1"/>
    <col min="12" max="12" width="11" customWidth="1"/>
    <col min="13" max="13" width="20" style="12" customWidth="1"/>
    <col min="14" max="14" width="20.73046875" style="12" customWidth="1"/>
  </cols>
  <sheetData>
    <row r="1" spans="1:14" s="1" customFormat="1" x14ac:dyDescent="0.45">
      <c r="A1" s="1" t="s">
        <v>640</v>
      </c>
      <c r="B1" s="1" t="s">
        <v>1</v>
      </c>
      <c r="C1" s="1" t="s">
        <v>2</v>
      </c>
      <c r="D1" s="1" t="s">
        <v>693</v>
      </c>
      <c r="E1" s="1" t="s">
        <v>4</v>
      </c>
      <c r="F1" s="11" t="s">
        <v>5</v>
      </c>
      <c r="G1" s="39" t="s">
        <v>694</v>
      </c>
      <c r="H1" s="1" t="s">
        <v>695</v>
      </c>
      <c r="I1" s="60" t="s">
        <v>8</v>
      </c>
      <c r="J1" s="61" t="s">
        <v>9</v>
      </c>
      <c r="K1" s="60" t="s">
        <v>10</v>
      </c>
      <c r="L1" s="1" t="s">
        <v>11</v>
      </c>
      <c r="M1" s="11" t="s">
        <v>696</v>
      </c>
      <c r="N1" s="11" t="s">
        <v>697</v>
      </c>
    </row>
    <row r="2" spans="1:14" x14ac:dyDescent="0.45">
      <c r="A2"/>
      <c r="D2" s="58" t="s">
        <v>698</v>
      </c>
      <c r="F2" s="45" t="s">
        <v>699</v>
      </c>
    </row>
    <row r="3" spans="1:14" x14ac:dyDescent="0.45">
      <c r="A3" t="s">
        <v>700</v>
      </c>
      <c r="D3" t="s">
        <v>701</v>
      </c>
      <c r="E3" t="s">
        <v>702</v>
      </c>
      <c r="F3" s="12">
        <f>SUM(I3/102)</f>
        <v>0.76882352941176468</v>
      </c>
      <c r="G3" s="46">
        <f>SUM((F3*4)+F44+(F46/4))/5</f>
        <v>1.5187222850678732</v>
      </c>
      <c r="H3">
        <v>69.8</v>
      </c>
      <c r="I3" s="60">
        <v>78.42</v>
      </c>
      <c r="J3" s="61">
        <f>SUM(I3-H3)/H3</f>
        <v>0.12349570200573073</v>
      </c>
      <c r="K3" s="60">
        <f>SUM(H3*J3)</f>
        <v>8.6200000000000045</v>
      </c>
      <c r="M3" s="12">
        <f t="shared" ref="M3:M8" si="0">SUM(G3*L3)</f>
        <v>0</v>
      </c>
      <c r="N3" s="12">
        <f t="shared" ref="N3:N8" si="1">SUM(M3*0.35+M3)</f>
        <v>0</v>
      </c>
    </row>
    <row r="4" spans="1:14" x14ac:dyDescent="0.45">
      <c r="A4" t="s">
        <v>703</v>
      </c>
      <c r="D4" t="s">
        <v>704</v>
      </c>
      <c r="E4" t="s">
        <v>702</v>
      </c>
      <c r="F4" s="12">
        <f t="shared" ref="F4:F8" si="2">SUM(I4/102)</f>
        <v>0.76882352941176468</v>
      </c>
      <c r="G4" s="46">
        <f>SUM((F4*4)+F44+(F46/4))/5</f>
        <v>1.5187222850678732</v>
      </c>
      <c r="H4">
        <v>69.8</v>
      </c>
      <c r="I4" s="60">
        <v>78.42</v>
      </c>
      <c r="J4" s="61">
        <f t="shared" ref="J4:J8" si="3">SUM(I4-H4)/H4</f>
        <v>0.12349570200573073</v>
      </c>
      <c r="K4" s="60">
        <f t="shared" ref="K4:K18" si="4">SUM(H4*J4)</f>
        <v>8.6200000000000045</v>
      </c>
      <c r="M4" s="12">
        <f t="shared" si="0"/>
        <v>0</v>
      </c>
      <c r="N4" s="12">
        <f t="shared" si="1"/>
        <v>0</v>
      </c>
    </row>
    <row r="5" spans="1:14" x14ac:dyDescent="0.45">
      <c r="A5" t="s">
        <v>705</v>
      </c>
      <c r="D5" t="s">
        <v>706</v>
      </c>
      <c r="E5" t="s">
        <v>702</v>
      </c>
      <c r="F5" s="12">
        <f t="shared" si="2"/>
        <v>1.6734313725490195</v>
      </c>
      <c r="G5" s="46">
        <f>SUM((F5*4)+F44+(F46/4))/5</f>
        <v>2.2424085595776773</v>
      </c>
      <c r="H5">
        <v>151.91999999999999</v>
      </c>
      <c r="I5" s="60">
        <v>170.69</v>
      </c>
      <c r="J5" s="61">
        <f t="shared" si="3"/>
        <v>0.12355186940495005</v>
      </c>
      <c r="K5" s="60">
        <f t="shared" si="4"/>
        <v>18.77000000000001</v>
      </c>
      <c r="M5" s="12">
        <f t="shared" si="0"/>
        <v>0</v>
      </c>
      <c r="N5" s="12">
        <f t="shared" si="1"/>
        <v>0</v>
      </c>
    </row>
    <row r="6" spans="1:14" x14ac:dyDescent="0.45">
      <c r="A6" t="s">
        <v>707</v>
      </c>
      <c r="D6" t="s">
        <v>708</v>
      </c>
      <c r="E6" t="s">
        <v>702</v>
      </c>
      <c r="F6" s="12">
        <f t="shared" si="2"/>
        <v>1.0252941176470589</v>
      </c>
      <c r="G6" s="46">
        <f>SUM((F6*4)+F44+(F46/4))/5</f>
        <v>1.7238987556561089</v>
      </c>
      <c r="H6">
        <v>93.08</v>
      </c>
      <c r="I6" s="60">
        <v>104.58</v>
      </c>
      <c r="J6" s="61">
        <f>SUM(I6-H6)/H6</f>
        <v>0.12354963472281909</v>
      </c>
      <c r="K6" s="60">
        <f>SUM(H6*J6)</f>
        <v>11.5</v>
      </c>
      <c r="M6" s="12">
        <f t="shared" si="0"/>
        <v>0</v>
      </c>
      <c r="N6" s="12">
        <f t="shared" si="1"/>
        <v>0</v>
      </c>
    </row>
    <row r="7" spans="1:14" x14ac:dyDescent="0.45">
      <c r="A7" t="s">
        <v>709</v>
      </c>
      <c r="D7" t="s">
        <v>710</v>
      </c>
      <c r="E7" t="s">
        <v>702</v>
      </c>
      <c r="F7" s="12">
        <f t="shared" si="2"/>
        <v>0.89215686274509809</v>
      </c>
      <c r="G7" s="46">
        <f>SUM((F7*4)+F44+(F46/4))/5</f>
        <v>1.6173889517345401</v>
      </c>
      <c r="H7">
        <v>81</v>
      </c>
      <c r="I7" s="60">
        <v>91</v>
      </c>
      <c r="J7" s="61">
        <f>SUM(I7-H7)/H7</f>
        <v>0.12345679012345678</v>
      </c>
      <c r="K7" s="60">
        <f>SUM(H7*J7)</f>
        <v>10</v>
      </c>
      <c r="M7" s="12">
        <f t="shared" si="0"/>
        <v>0</v>
      </c>
      <c r="N7" s="12">
        <f t="shared" si="1"/>
        <v>0</v>
      </c>
    </row>
    <row r="8" spans="1:14" x14ac:dyDescent="0.45">
      <c r="A8" t="s">
        <v>705</v>
      </c>
      <c r="D8" t="s">
        <v>711</v>
      </c>
      <c r="E8" t="s">
        <v>702</v>
      </c>
      <c r="F8" s="12">
        <f t="shared" si="2"/>
        <v>1.6734313725490195</v>
      </c>
      <c r="G8" s="46">
        <f>SUM((F8*4)+F44+(F46/4))/5</f>
        <v>2.2424085595776773</v>
      </c>
      <c r="H8">
        <v>151.91999999999999</v>
      </c>
      <c r="I8" s="60">
        <v>170.69</v>
      </c>
      <c r="J8" s="61">
        <f t="shared" si="3"/>
        <v>0.12355186940495005</v>
      </c>
      <c r="K8" s="60">
        <f t="shared" si="4"/>
        <v>18.77000000000001</v>
      </c>
      <c r="M8" s="12">
        <f t="shared" si="0"/>
        <v>0</v>
      </c>
      <c r="N8" s="12">
        <f t="shared" si="1"/>
        <v>0</v>
      </c>
    </row>
    <row r="11" spans="1:14" x14ac:dyDescent="0.45">
      <c r="D11" s="58" t="s">
        <v>712</v>
      </c>
    </row>
    <row r="12" spans="1:14" x14ac:dyDescent="0.45">
      <c r="E12" t="s">
        <v>713</v>
      </c>
      <c r="F12" s="12" t="s">
        <v>684</v>
      </c>
      <c r="H12" t="s">
        <v>684</v>
      </c>
      <c r="I12" s="60" t="s">
        <v>684</v>
      </c>
    </row>
    <row r="13" spans="1:14" x14ac:dyDescent="0.45">
      <c r="A13" s="1">
        <v>8340</v>
      </c>
      <c r="D13">
        <v>8340</v>
      </c>
      <c r="I13" s="60" t="s">
        <v>684</v>
      </c>
      <c r="J13" s="61">
        <v>0</v>
      </c>
      <c r="K13" s="60">
        <f>SUM(H13*J13)</f>
        <v>0</v>
      </c>
      <c r="M13" s="12">
        <f>SUM(G13*L13)</f>
        <v>0</v>
      </c>
      <c r="N13" s="12">
        <f>SUM(M13*0.35+M13)</f>
        <v>0</v>
      </c>
    </row>
    <row r="14" spans="1:14" x14ac:dyDescent="0.45">
      <c r="A14" s="1">
        <v>8221</v>
      </c>
      <c r="D14">
        <v>8221</v>
      </c>
      <c r="E14" t="s">
        <v>714</v>
      </c>
      <c r="F14" s="12">
        <f>SUM(I14/124)</f>
        <v>2.9738709677419353</v>
      </c>
      <c r="G14" s="46">
        <f>SUM(((F14*3)+F18)/4)</f>
        <v>2.5698185483870968</v>
      </c>
      <c r="I14" s="60">
        <v>368.76</v>
      </c>
      <c r="J14" s="61">
        <v>0</v>
      </c>
      <c r="K14" s="60">
        <f>SUM(H14*J14)</f>
        <v>0</v>
      </c>
      <c r="M14" s="12">
        <f>SUM(G14*L14)</f>
        <v>0</v>
      </c>
      <c r="N14" s="12">
        <f>SUM(M14*0.35+M14)</f>
        <v>0</v>
      </c>
    </row>
    <row r="15" spans="1:14" x14ac:dyDescent="0.45">
      <c r="A15" s="1">
        <v>8440</v>
      </c>
      <c r="D15">
        <v>8440</v>
      </c>
      <c r="J15" s="61">
        <v>0</v>
      </c>
      <c r="K15" s="60">
        <f>SUM(H15*J15)</f>
        <v>0</v>
      </c>
      <c r="M15" s="12">
        <f>SUM(G15*L15)</f>
        <v>0</v>
      </c>
      <c r="N15" s="12">
        <f>SUM(M15*0.35+M15)</f>
        <v>0</v>
      </c>
    </row>
    <row r="16" spans="1:14" x14ac:dyDescent="0.45">
      <c r="A16" s="1">
        <v>7900</v>
      </c>
      <c r="D16">
        <v>7900</v>
      </c>
      <c r="J16" s="61">
        <v>0</v>
      </c>
      <c r="K16" s="60">
        <v>0</v>
      </c>
      <c r="M16" s="12">
        <f>SUM(G16*L16)</f>
        <v>0</v>
      </c>
      <c r="N16" s="12">
        <f>SUM(M16*0.35+M16)</f>
        <v>0</v>
      </c>
    </row>
    <row r="18" spans="1:14" x14ac:dyDescent="0.45">
      <c r="A18" s="1">
        <v>15309</v>
      </c>
      <c r="D18">
        <v>15309</v>
      </c>
      <c r="E18" t="s">
        <v>714</v>
      </c>
      <c r="F18" s="12">
        <f>SUM(I18/124)</f>
        <v>1.3576612903225806</v>
      </c>
      <c r="H18">
        <v>143.21</v>
      </c>
      <c r="I18" s="60">
        <v>168.35</v>
      </c>
      <c r="J18" s="61">
        <f>SUM(I18-H18)/H18</f>
        <v>0.17554640039103403</v>
      </c>
      <c r="K18" s="60">
        <f t="shared" si="4"/>
        <v>25.139999999999986</v>
      </c>
      <c r="M18" s="12">
        <f>SUM(G18*L18)</f>
        <v>0</v>
      </c>
      <c r="N18" s="12">
        <f>SUM(M18*0.35+M18)</f>
        <v>0</v>
      </c>
    </row>
    <row r="19" spans="1:14" x14ac:dyDescent="0.45">
      <c r="M19" s="12">
        <f>SUM(G19*L19)</f>
        <v>0</v>
      </c>
      <c r="N19" s="12">
        <f>SUM(M19*0.35+M19)</f>
        <v>0</v>
      </c>
    </row>
    <row r="20" spans="1:14" x14ac:dyDescent="0.45">
      <c r="D20" s="58" t="s">
        <v>715</v>
      </c>
      <c r="J20" s="61" t="s">
        <v>684</v>
      </c>
      <c r="K20" s="60" t="s">
        <v>684</v>
      </c>
      <c r="M20" s="12">
        <f>SUM(G20*L20)</f>
        <v>0</v>
      </c>
      <c r="N20" s="12">
        <f>SUM(M20*0.35+M20)</f>
        <v>0</v>
      </c>
    </row>
    <row r="21" spans="1:14" x14ac:dyDescent="0.45">
      <c r="A21" s="1">
        <v>210</v>
      </c>
      <c r="D21" s="7">
        <v>210</v>
      </c>
      <c r="E21" t="s">
        <v>714</v>
      </c>
      <c r="F21" s="12">
        <f>SUM(I21/128)</f>
        <v>0.3671875</v>
      </c>
      <c r="H21">
        <v>89.48</v>
      </c>
      <c r="I21" s="60">
        <v>47</v>
      </c>
      <c r="J21" s="61">
        <f>SUM(I21-H21)/H21</f>
        <v>-0.47474295932051858</v>
      </c>
      <c r="K21" s="60">
        <f>SUM(H21*J21)</f>
        <v>-42.480000000000004</v>
      </c>
      <c r="M21" s="12">
        <f>SUM(G21*L21)</f>
        <v>0</v>
      </c>
      <c r="N21" s="12">
        <f>SUM(M21*0.35+M21)</f>
        <v>0</v>
      </c>
    </row>
    <row r="26" spans="1:14" x14ac:dyDescent="0.45">
      <c r="D26" s="58" t="s">
        <v>716</v>
      </c>
    </row>
    <row r="27" spans="1:14" x14ac:dyDescent="0.45">
      <c r="A27" s="1" t="s">
        <v>717</v>
      </c>
      <c r="D27" t="s">
        <v>718</v>
      </c>
      <c r="E27" t="s">
        <v>719</v>
      </c>
      <c r="F27" s="12">
        <f>SUM(I27/10)</f>
        <v>3.6520000000000001</v>
      </c>
      <c r="H27">
        <v>28.24</v>
      </c>
      <c r="I27" s="60">
        <v>36.520000000000003</v>
      </c>
      <c r="J27" s="61">
        <f>SUM(I27-H27)/H27</f>
        <v>0.2932011331444761</v>
      </c>
      <c r="K27" s="60">
        <f>SUM(H27*J27)</f>
        <v>8.2800000000000047</v>
      </c>
      <c r="M27" s="12">
        <f t="shared" ref="M27:M47" si="5">SUM(G27*L27)</f>
        <v>0</v>
      </c>
      <c r="N27" s="12">
        <f t="shared" ref="N27:N47" si="6">SUM(M27*0.35+M27)</f>
        <v>0</v>
      </c>
    </row>
    <row r="28" spans="1:14" x14ac:dyDescent="0.45">
      <c r="A28" s="1" t="s">
        <v>720</v>
      </c>
      <c r="B28" s="1">
        <v>790</v>
      </c>
      <c r="C28" s="1">
        <v>790</v>
      </c>
      <c r="D28" t="s">
        <v>721</v>
      </c>
      <c r="E28" t="s">
        <v>722</v>
      </c>
      <c r="F28" s="12">
        <f>SUM(I28/12)</f>
        <v>2.3533333333333331</v>
      </c>
      <c r="H28">
        <v>28.24</v>
      </c>
      <c r="I28" s="60">
        <v>28.24</v>
      </c>
      <c r="J28" s="61">
        <f>SUM(I28-H28)/H28</f>
        <v>0</v>
      </c>
      <c r="K28" s="60">
        <f>SUM(H28*J28)</f>
        <v>0</v>
      </c>
      <c r="M28" s="12">
        <f t="shared" ref="M28" si="7">SUM(G28*L28)</f>
        <v>0</v>
      </c>
      <c r="N28" s="12">
        <f t="shared" ref="N28" si="8">SUM(M28*0.35+M28)</f>
        <v>0</v>
      </c>
    </row>
    <row r="29" spans="1:14" x14ac:dyDescent="0.45">
      <c r="M29" s="12">
        <f t="shared" si="5"/>
        <v>0</v>
      </c>
      <c r="N29" s="12">
        <f t="shared" si="6"/>
        <v>0</v>
      </c>
    </row>
    <row r="30" spans="1:14" x14ac:dyDescent="0.45">
      <c r="D30" s="63" t="s">
        <v>723</v>
      </c>
      <c r="M30" s="12">
        <f t="shared" si="5"/>
        <v>0</v>
      </c>
      <c r="N30" s="12">
        <f t="shared" si="6"/>
        <v>0</v>
      </c>
    </row>
    <row r="31" spans="1:14" x14ac:dyDescent="0.45">
      <c r="A31" s="1" t="s">
        <v>724</v>
      </c>
      <c r="D31" t="s">
        <v>725</v>
      </c>
      <c r="E31" t="s">
        <v>726</v>
      </c>
      <c r="F31" s="12">
        <f>SUM(I31/124)</f>
        <v>2.3996774193548389</v>
      </c>
      <c r="G31" s="46">
        <f>SUM((F31*2)+F32)/3</f>
        <v>2.3504301075268819</v>
      </c>
      <c r="H31">
        <v>280.16000000000003</v>
      </c>
      <c r="I31" s="60">
        <v>297.56</v>
      </c>
      <c r="J31" s="61">
        <f>SUM(I31-H31)/H31</f>
        <v>6.2107367218732064E-2</v>
      </c>
      <c r="K31" s="60">
        <f>SUM(H31*J31)</f>
        <v>17.399999999999977</v>
      </c>
      <c r="M31" s="12">
        <f t="shared" si="5"/>
        <v>0</v>
      </c>
      <c r="N31" s="12">
        <f t="shared" si="6"/>
        <v>0</v>
      </c>
    </row>
    <row r="32" spans="1:14" x14ac:dyDescent="0.45">
      <c r="A32" s="1" t="s">
        <v>727</v>
      </c>
      <c r="D32" t="s">
        <v>728</v>
      </c>
      <c r="E32" t="s">
        <v>726</v>
      </c>
      <c r="F32" s="12">
        <f>SUM(I32/124)</f>
        <v>2.2519354838709678</v>
      </c>
      <c r="H32">
        <v>70.959999999999994</v>
      </c>
      <c r="I32" s="60">
        <v>279.24</v>
      </c>
      <c r="J32" s="61">
        <f>SUM(I32-H32)/H32</f>
        <v>2.9351747463359645</v>
      </c>
      <c r="K32" s="60">
        <f>SUM(H32*J32)</f>
        <v>208.28000000000003</v>
      </c>
      <c r="M32" s="12">
        <f t="shared" si="5"/>
        <v>0</v>
      </c>
      <c r="N32" s="12">
        <f t="shared" si="6"/>
        <v>0</v>
      </c>
    </row>
    <row r="33" spans="1:14" x14ac:dyDescent="0.45">
      <c r="A33" s="1" t="s">
        <v>729</v>
      </c>
      <c r="C33" s="16" t="s">
        <v>730</v>
      </c>
      <c r="D33" t="s">
        <v>731</v>
      </c>
      <c r="E33" t="s">
        <v>726</v>
      </c>
      <c r="F33" s="12">
        <f>SUM(I33/124)</f>
        <v>2.0635483870967741</v>
      </c>
      <c r="G33" s="46">
        <f>SUM((F33*2)+F35)/3</f>
        <v>1.3756989247311828</v>
      </c>
      <c r="H33">
        <v>235.64</v>
      </c>
      <c r="I33" s="60">
        <v>255.88</v>
      </c>
      <c r="J33" s="61">
        <f>SUM(I33-H33)/H33</f>
        <v>8.5893736207774615E-2</v>
      </c>
      <c r="K33" s="60">
        <f>SUM(H33*J33)</f>
        <v>20.240000000000009</v>
      </c>
      <c r="M33" s="12">
        <f t="shared" ref="M33" si="9">SUM(G33*L33)</f>
        <v>0</v>
      </c>
      <c r="N33" s="12">
        <f t="shared" ref="N33" si="10">SUM(M33*0.35+M33)</f>
        <v>0</v>
      </c>
    </row>
    <row r="34" spans="1:14" x14ac:dyDescent="0.45">
      <c r="A34" s="1" t="s">
        <v>732</v>
      </c>
      <c r="C34" s="16" t="s">
        <v>730</v>
      </c>
      <c r="D34" t="s">
        <v>733</v>
      </c>
      <c r="E34" t="s">
        <v>726</v>
      </c>
      <c r="F34" s="12">
        <f>SUM(I34/124)</f>
        <v>2.2390322580645159</v>
      </c>
      <c r="G34" s="46">
        <f>SUM((F34*2)+F36)/3</f>
        <v>1.4926881720430105</v>
      </c>
      <c r="H34">
        <v>265.38</v>
      </c>
      <c r="I34" s="60">
        <v>277.64</v>
      </c>
      <c r="J34" s="61">
        <f>SUM(I34-H34)/H34</f>
        <v>4.6197904891099519E-2</v>
      </c>
      <c r="K34" s="60">
        <f>SUM(H34*J34)</f>
        <v>12.259999999999991</v>
      </c>
      <c r="M34" s="12">
        <f t="shared" ref="M34" si="11">SUM(G34*L34)</f>
        <v>0</v>
      </c>
      <c r="N34" s="12">
        <f t="shared" ref="N34" si="12">SUM(M34*0.35+M34)</f>
        <v>0</v>
      </c>
    </row>
    <row r="35" spans="1:14" x14ac:dyDescent="0.45">
      <c r="M35" s="12">
        <f t="shared" si="5"/>
        <v>0</v>
      </c>
      <c r="N35" s="12">
        <f t="shared" si="6"/>
        <v>0</v>
      </c>
    </row>
    <row r="36" spans="1:14" x14ac:dyDescent="0.45">
      <c r="M36" s="12">
        <f t="shared" si="5"/>
        <v>0</v>
      </c>
      <c r="N36" s="12">
        <f t="shared" si="6"/>
        <v>0</v>
      </c>
    </row>
    <row r="37" spans="1:14" x14ac:dyDescent="0.45">
      <c r="D37" s="63" t="s">
        <v>734</v>
      </c>
      <c r="E37" t="s">
        <v>735</v>
      </c>
      <c r="G37" s="46">
        <f>SUM(((F38*4)+F39+F40)/6)</f>
        <v>2.9847043010752685</v>
      </c>
      <c r="M37" s="12">
        <f t="shared" si="5"/>
        <v>0</v>
      </c>
      <c r="N37" s="12">
        <f t="shared" si="6"/>
        <v>0</v>
      </c>
    </row>
    <row r="38" spans="1:14" x14ac:dyDescent="0.45">
      <c r="A38" s="1">
        <v>42410</v>
      </c>
      <c r="D38" t="s">
        <v>736</v>
      </c>
      <c r="E38" t="s">
        <v>737</v>
      </c>
      <c r="F38" s="12">
        <f>SUM(I38/124)</f>
        <v>2.6658064516129034</v>
      </c>
      <c r="H38">
        <v>291.12</v>
      </c>
      <c r="I38" s="60">
        <v>330.56</v>
      </c>
      <c r="J38" s="61">
        <f>SUM(I38-H38)/H38</f>
        <v>0.13547677933498212</v>
      </c>
      <c r="K38" s="60">
        <f>SUM(H38*J38)</f>
        <v>39.44</v>
      </c>
      <c r="M38" s="12">
        <f t="shared" si="5"/>
        <v>0</v>
      </c>
      <c r="N38" s="12">
        <f t="shared" si="6"/>
        <v>0</v>
      </c>
    </row>
    <row r="39" spans="1:14" x14ac:dyDescent="0.45">
      <c r="A39" s="1">
        <v>12305</v>
      </c>
      <c r="D39" t="s">
        <v>738</v>
      </c>
      <c r="E39" t="s">
        <v>739</v>
      </c>
      <c r="F39" s="12">
        <f>SUM(I39/32)</f>
        <v>4.9424999999999999</v>
      </c>
      <c r="H39">
        <v>136.63999999999999</v>
      </c>
      <c r="I39" s="60">
        <v>158.16</v>
      </c>
      <c r="J39" s="61">
        <f>SUM(I39-H39)/H39</f>
        <v>0.15749414519906332</v>
      </c>
      <c r="K39" s="60">
        <f>SUM(H39*J39)</f>
        <v>21.52000000000001</v>
      </c>
      <c r="M39" s="12">
        <f t="shared" si="5"/>
        <v>0</v>
      </c>
      <c r="N39" s="12">
        <f t="shared" si="6"/>
        <v>0</v>
      </c>
    </row>
    <row r="40" spans="1:14" x14ac:dyDescent="0.45">
      <c r="A40" s="1">
        <v>42475</v>
      </c>
      <c r="D40" t="s">
        <v>740</v>
      </c>
      <c r="E40" t="s">
        <v>739</v>
      </c>
      <c r="F40" s="12">
        <f>SUM(I40/32)</f>
        <v>2.3025000000000002</v>
      </c>
      <c r="H40">
        <v>63.88</v>
      </c>
      <c r="I40" s="60">
        <v>73.680000000000007</v>
      </c>
      <c r="J40" s="61">
        <f>SUM(I40-H40)/H40</f>
        <v>0.15341264871634319</v>
      </c>
      <c r="K40" s="60">
        <f>SUM(H40*J40)</f>
        <v>9.8000000000000043</v>
      </c>
      <c r="M40" s="12">
        <f t="shared" si="5"/>
        <v>0</v>
      </c>
      <c r="N40" s="12">
        <f t="shared" si="6"/>
        <v>0</v>
      </c>
    </row>
    <row r="41" spans="1:14" x14ac:dyDescent="0.45">
      <c r="M41" s="12">
        <f t="shared" si="5"/>
        <v>0</v>
      </c>
      <c r="N41" s="12">
        <f t="shared" si="6"/>
        <v>0</v>
      </c>
    </row>
    <row r="42" spans="1:14" x14ac:dyDescent="0.45">
      <c r="D42" t="s">
        <v>741</v>
      </c>
      <c r="E42" t="s">
        <v>684</v>
      </c>
      <c r="M42" s="12">
        <f t="shared" si="5"/>
        <v>0</v>
      </c>
      <c r="N42" s="12">
        <f t="shared" si="6"/>
        <v>0</v>
      </c>
    </row>
    <row r="43" spans="1:14" x14ac:dyDescent="0.45">
      <c r="A43" s="1" t="s">
        <v>742</v>
      </c>
      <c r="D43" t="s">
        <v>743</v>
      </c>
      <c r="E43" t="s">
        <v>744</v>
      </c>
      <c r="F43" s="12">
        <f>SUM(I43/32)</f>
        <v>6.415</v>
      </c>
      <c r="I43" s="60">
        <v>205.28</v>
      </c>
      <c r="M43" s="12">
        <f t="shared" si="5"/>
        <v>0</v>
      </c>
      <c r="N43" s="12">
        <f t="shared" si="6"/>
        <v>0</v>
      </c>
    </row>
    <row r="44" spans="1:14" x14ac:dyDescent="0.45">
      <c r="A44" s="1" t="s">
        <v>745</v>
      </c>
      <c r="D44" t="s">
        <v>746</v>
      </c>
      <c r="E44" t="s">
        <v>747</v>
      </c>
      <c r="F44" s="12">
        <f>SUM(I44/26)</f>
        <v>2.3626923076923076</v>
      </c>
      <c r="H44">
        <v>54.68</v>
      </c>
      <c r="I44" s="60">
        <v>61.43</v>
      </c>
      <c r="J44" s="61">
        <f>SUM(I44-H44)/H44</f>
        <v>0.12344550109729334</v>
      </c>
      <c r="K44" s="60">
        <f>SUM(H44*J44)</f>
        <v>6.75</v>
      </c>
      <c r="M44" s="12">
        <f t="shared" si="5"/>
        <v>0</v>
      </c>
      <c r="N44" s="12">
        <f t="shared" si="6"/>
        <v>0</v>
      </c>
    </row>
    <row r="45" spans="1:14" x14ac:dyDescent="0.45">
      <c r="M45" s="12">
        <f t="shared" si="5"/>
        <v>0</v>
      </c>
      <c r="N45" s="12">
        <f t="shared" si="6"/>
        <v>0</v>
      </c>
    </row>
    <row r="46" spans="1:14" x14ac:dyDescent="0.45">
      <c r="A46" s="1">
        <v>389</v>
      </c>
      <c r="D46" t="s">
        <v>748</v>
      </c>
      <c r="E46" t="s">
        <v>744</v>
      </c>
      <c r="F46" s="12">
        <f>SUM(I46/32)</f>
        <v>8.6225000000000005</v>
      </c>
      <c r="H46">
        <v>205.32</v>
      </c>
      <c r="I46" s="60">
        <v>275.92</v>
      </c>
      <c r="J46" s="61">
        <f>SUM(I46-H46)/H46</f>
        <v>0.34385349698032353</v>
      </c>
      <c r="K46" s="60">
        <f>SUM(H46*J46)</f>
        <v>70.600000000000023</v>
      </c>
      <c r="M46" s="12">
        <f>SUM(F46*L46)</f>
        <v>0</v>
      </c>
      <c r="N46" s="12">
        <f t="shared" si="6"/>
        <v>0</v>
      </c>
    </row>
    <row r="47" spans="1:14" x14ac:dyDescent="0.45">
      <c r="A47" s="1">
        <v>8989</v>
      </c>
      <c r="D47" t="s">
        <v>749</v>
      </c>
      <c r="E47" t="s">
        <v>744</v>
      </c>
      <c r="M47" s="12">
        <f t="shared" si="5"/>
        <v>0</v>
      </c>
      <c r="N47" s="12">
        <f t="shared" si="6"/>
        <v>0</v>
      </c>
    </row>
    <row r="48" spans="1:14" x14ac:dyDescent="0.45">
      <c r="A48" s="1" t="s">
        <v>750</v>
      </c>
      <c r="D48" t="s">
        <v>751</v>
      </c>
    </row>
    <row r="49" spans="1:14" x14ac:dyDescent="0.45">
      <c r="D49" s="96" t="s">
        <v>752</v>
      </c>
    </row>
    <row r="50" spans="1:14" x14ac:dyDescent="0.45">
      <c r="A50" s="1" t="s">
        <v>753</v>
      </c>
      <c r="D50" t="s">
        <v>754</v>
      </c>
      <c r="E50" t="s">
        <v>737</v>
      </c>
      <c r="F50" s="12">
        <f>SUM(I50/124)</f>
        <v>0.50088709677419352</v>
      </c>
      <c r="I50" s="60">
        <v>62.11</v>
      </c>
      <c r="M50" s="12">
        <f>SUM(F50*L50)</f>
        <v>0</v>
      </c>
      <c r="N50" s="12">
        <f t="shared" ref="N50" si="13">SUM(M50*0.35+M50)</f>
        <v>0</v>
      </c>
    </row>
    <row r="53" spans="1:14" x14ac:dyDescent="0.45">
      <c r="D53" s="96" t="s">
        <v>755</v>
      </c>
    </row>
    <row r="54" spans="1:14" x14ac:dyDescent="0.45">
      <c r="A54" t="s">
        <v>756</v>
      </c>
      <c r="D54" t="s">
        <v>757</v>
      </c>
      <c r="E54" t="s">
        <v>719</v>
      </c>
      <c r="F54" s="12">
        <f>SUM(I54/10)</f>
        <v>1.04</v>
      </c>
      <c r="I54" s="60">
        <v>10.4</v>
      </c>
      <c r="M54" s="12">
        <f t="shared" ref="M54" si="14">SUM(G54*L54)</f>
        <v>0</v>
      </c>
      <c r="N54" s="12">
        <f t="shared" ref="N54" si="15">SUM(M54*0.35+M54)</f>
        <v>0</v>
      </c>
    </row>
    <row r="56" spans="1:14" x14ac:dyDescent="0.45">
      <c r="D56" s="96" t="s">
        <v>758</v>
      </c>
    </row>
    <row r="57" spans="1:14" x14ac:dyDescent="0.45">
      <c r="A57" s="1" t="s">
        <v>759</v>
      </c>
      <c r="D57" t="s">
        <v>760</v>
      </c>
      <c r="E57" t="s">
        <v>737</v>
      </c>
      <c r="F57" s="12">
        <f>SUM(I57/124)</f>
        <v>0.65782258064516119</v>
      </c>
      <c r="H57" t="s">
        <v>684</v>
      </c>
      <c r="I57" s="60">
        <v>81.569999999999993</v>
      </c>
      <c r="J57" s="61" t="s">
        <v>684</v>
      </c>
      <c r="K57" s="60" t="s">
        <v>684</v>
      </c>
      <c r="M57" s="12">
        <f t="shared" ref="M57" si="16">SUM(G57*L57)</f>
        <v>0</v>
      </c>
      <c r="N57" s="12">
        <f t="shared" ref="N57" si="17">SUM(M57*0.35+M57)</f>
        <v>0</v>
      </c>
    </row>
    <row r="58" spans="1:14" x14ac:dyDescent="0.45">
      <c r="A58" s="1" t="s">
        <v>761</v>
      </c>
      <c r="D58" t="s">
        <v>762</v>
      </c>
      <c r="E58" t="s">
        <v>737</v>
      </c>
      <c r="F58" s="12">
        <f>SUM(I58/124)</f>
        <v>3.0900000000000003</v>
      </c>
      <c r="H58" t="s">
        <v>684</v>
      </c>
      <c r="I58" s="60">
        <v>383.16</v>
      </c>
      <c r="J58" s="61" t="s">
        <v>684</v>
      </c>
      <c r="K58" s="60" t="s">
        <v>684</v>
      </c>
      <c r="M58" s="12">
        <f t="shared" ref="M58" si="18">SUM(G58*L58)</f>
        <v>0</v>
      </c>
      <c r="N58" s="12">
        <f t="shared" ref="N58" si="19">SUM(M58*0.35+M58)</f>
        <v>0</v>
      </c>
    </row>
    <row r="59" spans="1:14" x14ac:dyDescent="0.45">
      <c r="D59" s="96" t="s">
        <v>763</v>
      </c>
    </row>
    <row r="60" spans="1:14" x14ac:dyDescent="0.45">
      <c r="A60" s="1" t="s">
        <v>764</v>
      </c>
      <c r="D60" t="s">
        <v>765</v>
      </c>
      <c r="E60" t="s">
        <v>766</v>
      </c>
      <c r="F60" s="12">
        <f>SUM(I60/15)</f>
        <v>20.338666666666665</v>
      </c>
      <c r="H60" t="s">
        <v>684</v>
      </c>
      <c r="I60" s="60">
        <v>305.08</v>
      </c>
      <c r="J60" s="61" t="s">
        <v>684</v>
      </c>
      <c r="K60" s="60" t="s">
        <v>684</v>
      </c>
      <c r="M60" s="12">
        <f t="shared" ref="M60" si="20">SUM(G60*L60)</f>
        <v>0</v>
      </c>
      <c r="N60" s="12">
        <f t="shared" ref="N60" si="21">SUM(M60*0.35+M60)</f>
        <v>0</v>
      </c>
    </row>
    <row r="62" spans="1:14" x14ac:dyDescent="0.45">
      <c r="D62" s="96" t="s">
        <v>110</v>
      </c>
    </row>
    <row r="63" spans="1:14" s="1" customFormat="1" ht="14.1" customHeight="1" x14ac:dyDescent="0.45">
      <c r="A63" s="1" t="s">
        <v>767</v>
      </c>
      <c r="B63" s="1">
        <v>6410</v>
      </c>
      <c r="D63" s="1" t="s">
        <v>768</v>
      </c>
      <c r="E63" s="1" t="s">
        <v>454</v>
      </c>
      <c r="F63" s="11">
        <f>SUM(I63/50)</f>
        <v>0.313</v>
      </c>
      <c r="G63" s="11"/>
      <c r="H63" s="11">
        <v>15.01</v>
      </c>
      <c r="I63" s="23">
        <v>15.65</v>
      </c>
      <c r="J63" s="24">
        <f t="shared" ref="J63" si="22">SUM(I63-H63)/H63</f>
        <v>4.2638241172551668E-2</v>
      </c>
      <c r="K63" s="25">
        <f t="shared" ref="K63" si="23">SUM(H63*J63)</f>
        <v>0.64000000000000057</v>
      </c>
      <c r="L63" s="36"/>
      <c r="M63" s="11">
        <f>SUM(F63*L63)</f>
        <v>0</v>
      </c>
      <c r="N63" s="11">
        <f>SUM(M63*35%)+M63</f>
        <v>0</v>
      </c>
    </row>
    <row r="65" spans="1:15" x14ac:dyDescent="0.45">
      <c r="C65"/>
      <c r="D65" s="56" t="s">
        <v>64</v>
      </c>
      <c r="E65" s="1"/>
      <c r="G65" s="12"/>
      <c r="H65" s="12"/>
      <c r="I65" s="49"/>
      <c r="J65" s="51"/>
      <c r="K65" s="49"/>
      <c r="L65" s="12"/>
      <c r="O65" s="12"/>
    </row>
    <row r="66" spans="1:15" x14ac:dyDescent="0.45">
      <c r="A66" s="1" t="s">
        <v>65</v>
      </c>
      <c r="B66" s="1">
        <v>5903</v>
      </c>
      <c r="C66"/>
      <c r="D66" s="1" t="s">
        <v>66</v>
      </c>
      <c r="E66" s="1" t="s">
        <v>769</v>
      </c>
      <c r="F66" s="12">
        <f>SUM(I66/1)</f>
        <v>9.9499999999999993</v>
      </c>
      <c r="G66" s="12"/>
      <c r="H66" s="12"/>
      <c r="I66" s="49">
        <v>9.9499999999999993</v>
      </c>
      <c r="J66" s="51"/>
      <c r="K66" s="49"/>
      <c r="L66" s="12"/>
      <c r="M66" s="12">
        <f t="shared" ref="M66" si="24">SUM(J66*L66)</f>
        <v>0</v>
      </c>
      <c r="N66" s="12">
        <f t="shared" ref="N66" si="25">SUM(M66*0.35)+M66</f>
        <v>0</v>
      </c>
      <c r="O66" s="12"/>
    </row>
    <row r="68" spans="1:15" ht="22.5" customHeight="1" x14ac:dyDescent="0.45">
      <c r="J68" s="61">
        <f>AVERAGE(J2:J67)</f>
        <v>0.20086669620986489</v>
      </c>
      <c r="K68" s="60">
        <f>AVERAGE(K2:K67)</f>
        <v>19.756250000000001</v>
      </c>
      <c r="M68" s="62">
        <f>SUM(M3:M67)</f>
        <v>0</v>
      </c>
      <c r="N68" s="62">
        <f>SUM(N3:N67)</f>
        <v>0</v>
      </c>
    </row>
  </sheetData>
  <sheetProtection selectLockedCells="1" selectUnlockedCells="1"/>
  <hyperlinks>
    <hyperlink ref="C33" r:id="rId1" xr:uid="{C2194042-3A9F-44F1-B793-0D9FEBC1CB90}"/>
    <hyperlink ref="C34" r:id="rId2" xr:uid="{712D5976-6189-4A52-B1FD-AA339FAA53E1}"/>
  </hyperlinks>
  <pageMargins left="0.78749999999999998" right="0.78749999999999998" top="1.0527777777777778" bottom="1.0527777777777778" header="0.78749999999999998" footer="0.78749999999999998"/>
  <pageSetup firstPageNumber="0" orientation="portrait" r:id="rId3"/>
  <headerFooter alignWithMargins="0">
    <oddHeader>&amp;C&amp;"Times New Roman,Regular"&amp;12&amp;A</oddHeader>
    <oddFooter>&amp;C&amp;"Times New Roman,Regular"&amp;12Page &amp;P</oddFooter>
  </headerFooter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3"/>
  </sheetPr>
  <dimension ref="A1:P44"/>
  <sheetViews>
    <sheetView workbookViewId="0">
      <pane ySplit="1" topLeftCell="A44" activePane="bottomLeft" state="frozen"/>
      <selection pane="bottomLeft" activeCell="P44" sqref="P44"/>
    </sheetView>
  </sheetViews>
  <sheetFormatPr defaultColWidth="11" defaultRowHeight="12.75" x14ac:dyDescent="0.35"/>
  <cols>
    <col min="1" max="2" width="13" customWidth="1"/>
    <col min="3" max="3" width="16" customWidth="1"/>
    <col min="4" max="4" width="37" customWidth="1"/>
    <col min="5" max="5" width="18.1328125" customWidth="1"/>
    <col min="6" max="6" width="15.3984375" style="12" customWidth="1"/>
    <col min="7" max="7" width="17.59765625" style="12" customWidth="1"/>
    <col min="8" max="8" width="12.3984375" style="69" customWidth="1"/>
    <col min="9" max="9" width="16.86328125" style="72" customWidth="1"/>
    <col min="10" max="10" width="16.86328125" style="51" customWidth="1"/>
    <col min="11" max="11" width="27.73046875" style="49" customWidth="1"/>
    <col min="12" max="12" width="11" style="77" customWidth="1"/>
    <col min="13" max="14" width="11" style="12"/>
  </cols>
  <sheetData>
    <row r="1" spans="1:14" s="1" customFormat="1" ht="14.25" x14ac:dyDescent="0.45">
      <c r="A1" s="1" t="s">
        <v>640</v>
      </c>
      <c r="B1" s="1" t="s">
        <v>1</v>
      </c>
      <c r="C1" s="1" t="s">
        <v>2</v>
      </c>
      <c r="D1" s="1" t="s">
        <v>155</v>
      </c>
      <c r="E1" s="1" t="s">
        <v>4</v>
      </c>
      <c r="F1" s="11" t="s">
        <v>5</v>
      </c>
      <c r="G1" s="39" t="s">
        <v>6</v>
      </c>
      <c r="H1" s="66" t="s">
        <v>695</v>
      </c>
      <c r="I1" s="71" t="s">
        <v>8</v>
      </c>
      <c r="J1" s="70" t="s">
        <v>9</v>
      </c>
      <c r="K1" s="52" t="s">
        <v>10</v>
      </c>
      <c r="L1" s="76" t="s">
        <v>11</v>
      </c>
      <c r="M1" s="11" t="s">
        <v>696</v>
      </c>
      <c r="N1" s="11" t="s">
        <v>697</v>
      </c>
    </row>
    <row r="2" spans="1:14" s="1" customFormat="1" ht="14.25" x14ac:dyDescent="0.45">
      <c r="F2" s="11"/>
      <c r="G2" s="11"/>
      <c r="H2" s="67"/>
      <c r="I2" s="72"/>
      <c r="J2" s="70"/>
      <c r="K2" s="52"/>
      <c r="L2" s="77"/>
      <c r="M2" s="11"/>
      <c r="N2" s="11"/>
    </row>
    <row r="3" spans="1:14" s="1" customFormat="1" ht="14.25" x14ac:dyDescent="0.45">
      <c r="F3" s="11"/>
      <c r="G3" s="11"/>
      <c r="H3" s="68"/>
      <c r="I3" s="72"/>
      <c r="J3" s="70"/>
      <c r="K3" s="52"/>
      <c r="L3" s="77"/>
      <c r="M3" s="11"/>
      <c r="N3" s="11"/>
    </row>
    <row r="4" spans="1:14" s="1" customFormat="1" ht="14.25" x14ac:dyDescent="0.45">
      <c r="D4" s="3" t="s">
        <v>770</v>
      </c>
      <c r="F4" s="11"/>
      <c r="G4" s="11"/>
      <c r="H4" s="68"/>
      <c r="I4" s="72"/>
      <c r="J4" s="70"/>
      <c r="K4" s="52"/>
      <c r="L4" s="77"/>
      <c r="M4" s="11"/>
      <c r="N4" s="11"/>
    </row>
    <row r="5" spans="1:14" ht="13.15" x14ac:dyDescent="0.4">
      <c r="A5" t="s">
        <v>771</v>
      </c>
      <c r="D5" t="s">
        <v>772</v>
      </c>
      <c r="E5" t="s">
        <v>773</v>
      </c>
      <c r="F5" s="12">
        <f>SUM(I5/128)</f>
        <v>0.84992187500000005</v>
      </c>
      <c r="G5" s="75">
        <f>SUM(F5+F6/2)+(F9/8)</f>
        <v>1.6173828125</v>
      </c>
      <c r="H5" s="69">
        <v>73.069999999999993</v>
      </c>
      <c r="I5" s="72">
        <v>108.79</v>
      </c>
      <c r="J5" s="51">
        <f>SUM(I5-H5)/H5</f>
        <v>0.4888463117558508</v>
      </c>
      <c r="K5" s="49">
        <f t="shared" ref="K5" si="0">SUM(H5*J5)</f>
        <v>35.720000000000013</v>
      </c>
      <c r="M5" s="12">
        <f>SUM(G5*L5)</f>
        <v>0</v>
      </c>
      <c r="N5" s="12">
        <f>SUM(M5*0.35+M5)</f>
        <v>0</v>
      </c>
    </row>
    <row r="6" spans="1:14" ht="13.15" x14ac:dyDescent="0.4">
      <c r="A6" t="s">
        <v>774</v>
      </c>
      <c r="D6" t="s">
        <v>775</v>
      </c>
      <c r="E6" t="s">
        <v>773</v>
      </c>
      <c r="F6" s="12">
        <f>SUM(I6/128)</f>
        <v>0.80835937499999999</v>
      </c>
      <c r="G6" s="75">
        <f>SUM(F5+F6/2)+(F9/8)</f>
        <v>1.6173828125</v>
      </c>
      <c r="H6" s="12">
        <v>73.069999999999993</v>
      </c>
      <c r="I6" s="72">
        <v>103.47</v>
      </c>
      <c r="J6" s="51">
        <f>SUM(I6-H6)/H6</f>
        <v>0.41603941426029845</v>
      </c>
      <c r="K6" s="49">
        <f>SUM(H6*J6)</f>
        <v>30.400000000000006</v>
      </c>
      <c r="M6" s="12">
        <f>SUM(G6*L6)</f>
        <v>0</v>
      </c>
      <c r="N6" s="12">
        <f>SUM(M6*0.35+M6)</f>
        <v>0</v>
      </c>
    </row>
    <row r="7" spans="1:14" x14ac:dyDescent="0.35">
      <c r="H7" s="12"/>
    </row>
    <row r="8" spans="1:14" x14ac:dyDescent="0.35">
      <c r="H8" s="12"/>
    </row>
    <row r="9" spans="1:14" x14ac:dyDescent="0.35">
      <c r="A9" t="s">
        <v>776</v>
      </c>
      <c r="D9" t="s">
        <v>777</v>
      </c>
      <c r="E9" t="s">
        <v>778</v>
      </c>
      <c r="F9" s="12">
        <f>SUM(I9/8)</f>
        <v>2.90625</v>
      </c>
      <c r="H9" s="12">
        <v>16.7</v>
      </c>
      <c r="I9" s="72">
        <v>23.25</v>
      </c>
      <c r="J9" s="51">
        <f>SUM(I9-H9)/H9</f>
        <v>0.39221556886227549</v>
      </c>
      <c r="K9" s="49">
        <f>SUM(H9*J9)</f>
        <v>6.5500000000000007</v>
      </c>
    </row>
    <row r="10" spans="1:14" x14ac:dyDescent="0.35">
      <c r="H10" s="12"/>
    </row>
    <row r="11" spans="1:14" x14ac:dyDescent="0.35">
      <c r="D11" s="6" t="s">
        <v>779</v>
      </c>
      <c r="H11" s="12"/>
    </row>
    <row r="12" spans="1:14" x14ac:dyDescent="0.35">
      <c r="H12" s="12"/>
    </row>
    <row r="13" spans="1:14" x14ac:dyDescent="0.35">
      <c r="D13" s="8" t="s">
        <v>780</v>
      </c>
      <c r="F13" s="74"/>
      <c r="G13" s="73"/>
      <c r="H13" s="65"/>
      <c r="J13" s="51" t="s">
        <v>684</v>
      </c>
      <c r="K13" s="49" t="s">
        <v>684</v>
      </c>
    </row>
    <row r="14" spans="1:14" ht="13.15" x14ac:dyDescent="0.4">
      <c r="A14" t="s">
        <v>781</v>
      </c>
      <c r="D14" s="7" t="s">
        <v>782</v>
      </c>
      <c r="E14" t="s">
        <v>773</v>
      </c>
      <c r="F14" s="12">
        <f>SUM(I14/128)</f>
        <v>0.84992187500000005</v>
      </c>
      <c r="G14" s="75">
        <f>SUM(F14+F16/2)+(F18/8)+F17/10</f>
        <v>1.6962890625</v>
      </c>
      <c r="H14" s="12">
        <v>73.069999999999993</v>
      </c>
      <c r="I14" s="72">
        <v>108.79</v>
      </c>
      <c r="J14" s="51">
        <f>SUM(I14-H14)/H14</f>
        <v>0.4888463117558508</v>
      </c>
      <c r="K14" s="49">
        <f>SUM(H14*J14)</f>
        <v>35.720000000000013</v>
      </c>
      <c r="L14" s="77">
        <v>768</v>
      </c>
      <c r="M14" s="12">
        <f t="shared" ref="M14:M15" si="1">SUM(G14*L14)</f>
        <v>1302.75</v>
      </c>
      <c r="N14" s="12">
        <f>SUM(M14*0.35+M14)</f>
        <v>1758.7125000000001</v>
      </c>
    </row>
    <row r="15" spans="1:14" ht="13.15" x14ac:dyDescent="0.4">
      <c r="A15" t="s">
        <v>783</v>
      </c>
      <c r="D15" t="s">
        <v>784</v>
      </c>
      <c r="E15" t="s">
        <v>773</v>
      </c>
      <c r="F15" s="12">
        <f>SUM(I15/128)</f>
        <v>0.84992187500000005</v>
      </c>
      <c r="G15" s="75">
        <f>SUM(F15+F16/2)+(F18/8)+F17/10</f>
        <v>1.6962890625</v>
      </c>
      <c r="H15" s="12">
        <v>73.069999999999993</v>
      </c>
      <c r="I15" s="72">
        <v>108.79</v>
      </c>
      <c r="J15" s="51">
        <f>SUM(I15-H15)/H15</f>
        <v>0.4888463117558508</v>
      </c>
      <c r="K15" s="49">
        <f>SUM(H15*J15)</f>
        <v>35.720000000000013</v>
      </c>
      <c r="M15" s="12">
        <f t="shared" si="1"/>
        <v>0</v>
      </c>
      <c r="N15" s="12">
        <f>SUM(M15*0.35+M15)</f>
        <v>0</v>
      </c>
    </row>
    <row r="16" spans="1:14" x14ac:dyDescent="0.35">
      <c r="A16" t="s">
        <v>774</v>
      </c>
      <c r="D16" t="s">
        <v>785</v>
      </c>
      <c r="E16" t="s">
        <v>773</v>
      </c>
      <c r="F16" s="12">
        <f>SUM(I16/128)</f>
        <v>0.80835937499999999</v>
      </c>
      <c r="H16" s="12">
        <v>73.069999999999993</v>
      </c>
      <c r="I16" s="72">
        <v>103.47</v>
      </c>
      <c r="J16" s="51">
        <f>SUM(I16-H16)/H16</f>
        <v>0.41603941426029845</v>
      </c>
      <c r="K16" s="49">
        <f>SUM(H16*J16)</f>
        <v>30.400000000000006</v>
      </c>
    </row>
    <row r="17" spans="1:14" x14ac:dyDescent="0.35">
      <c r="A17" t="s">
        <v>786</v>
      </c>
      <c r="D17" t="s">
        <v>787</v>
      </c>
      <c r="E17" t="s">
        <v>773</v>
      </c>
      <c r="F17" s="12">
        <f>SUM(I17/128)</f>
        <v>0.2890625</v>
      </c>
      <c r="H17" s="12">
        <v>28.21</v>
      </c>
      <c r="I17" s="72">
        <v>37</v>
      </c>
      <c r="J17" s="51">
        <f>SUM(I17-H17)/H17</f>
        <v>0.31159163417227931</v>
      </c>
      <c r="K17" s="49">
        <f>SUM(H17*J17)</f>
        <v>8.7899999999999991</v>
      </c>
    </row>
    <row r="18" spans="1:14" x14ac:dyDescent="0.35">
      <c r="A18" t="s">
        <v>788</v>
      </c>
      <c r="D18" t="s">
        <v>789</v>
      </c>
      <c r="E18" t="s">
        <v>778</v>
      </c>
      <c r="F18" s="12">
        <f>SUM(I18/8)</f>
        <v>3.3062499999999999</v>
      </c>
      <c r="H18" s="12">
        <v>36.65</v>
      </c>
      <c r="I18" s="72">
        <v>26.45</v>
      </c>
      <c r="J18" s="51">
        <f>SUM(I18-H18)/H18</f>
        <v>-0.27830832196452931</v>
      </c>
      <c r="K18" s="49">
        <f>SUM(H18*J18)</f>
        <v>-10.199999999999999</v>
      </c>
    </row>
    <row r="19" spans="1:14" x14ac:dyDescent="0.35">
      <c r="H19" s="12"/>
    </row>
    <row r="20" spans="1:14" x14ac:dyDescent="0.35">
      <c r="H20" s="12"/>
    </row>
    <row r="21" spans="1:14" x14ac:dyDescent="0.35">
      <c r="D21" s="8" t="s">
        <v>790</v>
      </c>
      <c r="E21" s="8"/>
      <c r="F21" s="74"/>
      <c r="H21" s="12"/>
    </row>
    <row r="22" spans="1:14" ht="13.15" x14ac:dyDescent="0.4">
      <c r="A22" t="s">
        <v>791</v>
      </c>
      <c r="D22" t="s">
        <v>792</v>
      </c>
      <c r="E22" t="s">
        <v>773</v>
      </c>
      <c r="F22" s="12">
        <f>SUM(I22/128)</f>
        <v>0.71195312499999996</v>
      </c>
      <c r="G22" s="75">
        <f>SUM(F22+F23/2)+F24/10</f>
        <v>1.1642734374999999</v>
      </c>
      <c r="H22" s="12">
        <v>75.459999999999994</v>
      </c>
      <c r="I22" s="72">
        <v>91.13</v>
      </c>
      <c r="J22" s="51">
        <f>SUM(I22-H22)/H22</f>
        <v>0.20765968725152403</v>
      </c>
      <c r="K22" s="49">
        <f>SUM(H22*J22)</f>
        <v>15.670000000000002</v>
      </c>
      <c r="M22" s="12">
        <f>SUM(G22*L22)</f>
        <v>0</v>
      </c>
      <c r="N22" s="12">
        <f>SUM(M22*0.35+M22)</f>
        <v>0</v>
      </c>
    </row>
    <row r="23" spans="1:14" ht="13.15" x14ac:dyDescent="0.4">
      <c r="A23" t="s">
        <v>793</v>
      </c>
      <c r="D23" t="s">
        <v>794</v>
      </c>
      <c r="E23" t="s">
        <v>773</v>
      </c>
      <c r="F23" s="12">
        <f>SUM(I23/128)</f>
        <v>0.71195312499999996</v>
      </c>
      <c r="G23" s="75">
        <v>1.1642734374999999</v>
      </c>
      <c r="H23" s="12">
        <v>75.459999999999994</v>
      </c>
      <c r="I23" s="72">
        <v>91.13</v>
      </c>
      <c r="J23" s="51">
        <f>SUM(I23-H23)/H23</f>
        <v>0.20765968725152403</v>
      </c>
      <c r="K23" s="49">
        <f>SUM(H23*J23)</f>
        <v>15.670000000000002</v>
      </c>
      <c r="M23" s="12">
        <f>SUM(G23*L23)</f>
        <v>0</v>
      </c>
      <c r="N23" s="12">
        <f>SUM(M23*0.35+M23)</f>
        <v>0</v>
      </c>
    </row>
    <row r="24" spans="1:14" x14ac:dyDescent="0.35">
      <c r="A24" t="s">
        <v>795</v>
      </c>
      <c r="D24" t="s">
        <v>796</v>
      </c>
      <c r="E24" t="s">
        <v>773</v>
      </c>
      <c r="F24" s="12">
        <f>SUM(I24/128)</f>
        <v>0.96343749999999995</v>
      </c>
      <c r="H24" s="12">
        <v>105.31</v>
      </c>
      <c r="I24" s="72">
        <v>123.32</v>
      </c>
      <c r="J24" s="51">
        <f>SUM(I24-H24)/H24</f>
        <v>0.17101889659101691</v>
      </c>
      <c r="K24" s="49">
        <f>SUM(H24*J24)</f>
        <v>18.009999999999991</v>
      </c>
    </row>
    <row r="25" spans="1:14" x14ac:dyDescent="0.35">
      <c r="H25" s="12"/>
    </row>
    <row r="26" spans="1:14" x14ac:dyDescent="0.35">
      <c r="H26" s="12"/>
    </row>
    <row r="27" spans="1:14" x14ac:dyDescent="0.35">
      <c r="D27" s="6" t="s">
        <v>797</v>
      </c>
      <c r="H27" s="12"/>
    </row>
    <row r="28" spans="1:14" x14ac:dyDescent="0.35">
      <c r="A28" t="s">
        <v>798</v>
      </c>
      <c r="D28" t="s">
        <v>799</v>
      </c>
      <c r="E28" t="s">
        <v>773</v>
      </c>
      <c r="F28" s="12">
        <f>SUM(I28/128)</f>
        <v>0.15234375</v>
      </c>
      <c r="H28" s="12">
        <v>21.94</v>
      </c>
      <c r="I28" s="72">
        <v>19.5</v>
      </c>
      <c r="J28" s="51">
        <f>SUM(I28-H28)/H28</f>
        <v>-0.11121239744758438</v>
      </c>
      <c r="K28" s="49">
        <f>SUM(H28*J28)</f>
        <v>-2.4400000000000013</v>
      </c>
    </row>
    <row r="44" spans="10:16" ht="26.25" customHeight="1" x14ac:dyDescent="0.4">
      <c r="J44" s="51">
        <f>AVERAGE(J2:J43)</f>
        <v>0.26660354320872132</v>
      </c>
      <c r="K44" s="49">
        <f>AVERAGE(K2:K43)</f>
        <v>18.334166666666672</v>
      </c>
      <c r="M44" s="62">
        <f>SUM(M3:M43)</f>
        <v>1302.75</v>
      </c>
      <c r="N44" s="62">
        <f>SUM(N3:N43)</f>
        <v>1758.7125000000001</v>
      </c>
      <c r="P44" t="s">
        <v>800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9"/>
  <sheetViews>
    <sheetView workbookViewId="0">
      <pane ySplit="1" topLeftCell="A24" activePane="bottomLeft" state="frozen"/>
      <selection pane="bottomLeft" activeCell="L24" sqref="L24"/>
    </sheetView>
  </sheetViews>
  <sheetFormatPr defaultColWidth="11" defaultRowHeight="12.75" x14ac:dyDescent="0.35"/>
  <cols>
    <col min="1" max="1" width="16.1328125" customWidth="1"/>
    <col min="2" max="3" width="16.3984375" customWidth="1"/>
    <col min="4" max="4" width="34.1328125" customWidth="1"/>
    <col min="5" max="5" width="32.265625" customWidth="1"/>
    <col min="6" max="7" width="11" style="12" customWidth="1"/>
    <col min="8" max="8" width="11" customWidth="1"/>
    <col min="9" max="9" width="14" style="53" customWidth="1"/>
    <col min="10" max="10" width="16.86328125" style="51" customWidth="1"/>
    <col min="11" max="11" width="25.73046875" style="53" customWidth="1"/>
    <col min="12" max="12" width="11" customWidth="1"/>
    <col min="13" max="13" width="11" style="14" customWidth="1"/>
    <col min="14" max="14" width="17" style="14" customWidth="1"/>
  </cols>
  <sheetData>
    <row r="1" spans="1:14" s="1" customFormat="1" ht="14.25" x14ac:dyDescent="0.45">
      <c r="A1" s="1" t="s">
        <v>801</v>
      </c>
      <c r="B1" s="1" t="s">
        <v>528</v>
      </c>
      <c r="C1" s="1" t="s">
        <v>802</v>
      </c>
      <c r="D1" s="1" t="s">
        <v>155</v>
      </c>
      <c r="E1" s="1" t="s">
        <v>4</v>
      </c>
      <c r="F1" s="11" t="s">
        <v>5</v>
      </c>
      <c r="G1" s="11" t="s">
        <v>803</v>
      </c>
      <c r="H1" s="1" t="s">
        <v>695</v>
      </c>
      <c r="I1" s="53" t="s">
        <v>8</v>
      </c>
      <c r="J1" s="70" t="s">
        <v>9</v>
      </c>
      <c r="K1" s="53" t="s">
        <v>10</v>
      </c>
      <c r="L1" s="1" t="s">
        <v>11</v>
      </c>
      <c r="M1" s="13" t="s">
        <v>804</v>
      </c>
      <c r="N1" s="13" t="s">
        <v>697</v>
      </c>
    </row>
    <row r="2" spans="1:14" ht="14.25" x14ac:dyDescent="0.45">
      <c r="J2" s="70"/>
      <c r="M2" s="12"/>
      <c r="N2" s="12"/>
    </row>
    <row r="3" spans="1:14" ht="14.25" x14ac:dyDescent="0.45">
      <c r="D3" s="6" t="s">
        <v>805</v>
      </c>
      <c r="J3" s="70"/>
      <c r="M3" s="12"/>
      <c r="N3" s="12"/>
    </row>
    <row r="4" spans="1:14" ht="14.25" x14ac:dyDescent="0.45">
      <c r="D4" t="s">
        <v>806</v>
      </c>
      <c r="J4" s="70"/>
      <c r="M4" s="12">
        <f>SUM(F4*L4)</f>
        <v>0</v>
      </c>
      <c r="N4" s="12">
        <f>SUM(M4*0.35+M4)</f>
        <v>0</v>
      </c>
    </row>
    <row r="5" spans="1:14" x14ac:dyDescent="0.35">
      <c r="A5" t="s">
        <v>807</v>
      </c>
      <c r="B5" t="s">
        <v>808</v>
      </c>
      <c r="D5" t="s">
        <v>809</v>
      </c>
      <c r="E5" t="s">
        <v>810</v>
      </c>
      <c r="F5" s="12">
        <f>SUM(I5/350)</f>
        <v>0.24780000000000002</v>
      </c>
      <c r="H5">
        <v>76.98</v>
      </c>
      <c r="I5" s="53">
        <v>86.73</v>
      </c>
      <c r="J5" s="51">
        <f>SUM(I5-H5)/H5</f>
        <v>0.12665627435697582</v>
      </c>
      <c r="K5" s="53">
        <f t="shared" ref="K5" si="0">SUM(H5*J5)</f>
        <v>9.75</v>
      </c>
      <c r="M5" s="12">
        <f>SUM(F5*L5)</f>
        <v>0</v>
      </c>
      <c r="N5" s="12">
        <f>SUM(M5*0.35+M5)</f>
        <v>0</v>
      </c>
    </row>
    <row r="6" spans="1:14" s="1" customFormat="1" ht="14.25" x14ac:dyDescent="0.45">
      <c r="A6" s="1" t="s">
        <v>811</v>
      </c>
      <c r="D6" s="1" t="s">
        <v>812</v>
      </c>
      <c r="E6" s="1" t="s">
        <v>813</v>
      </c>
      <c r="F6" s="11">
        <f>SUM(I6/400)</f>
        <v>0.12015000000000001</v>
      </c>
      <c r="G6" s="11"/>
      <c r="H6" s="11">
        <v>46.04</v>
      </c>
      <c r="I6" s="53">
        <v>48.06</v>
      </c>
      <c r="J6" s="51">
        <f>SUM(I6-H6)/H6</f>
        <v>4.3874891398783734E-2</v>
      </c>
      <c r="K6" s="53">
        <f>SUM(H6*J6)</f>
        <v>2.0200000000000031</v>
      </c>
      <c r="L6" s="36"/>
      <c r="M6" s="11">
        <f>SUM(F6*L6)</f>
        <v>0</v>
      </c>
      <c r="N6" s="12">
        <f>SUM(M6*0.35)+M6</f>
        <v>0</v>
      </c>
    </row>
    <row r="7" spans="1:14" x14ac:dyDescent="0.35">
      <c r="M7" s="12"/>
      <c r="N7" s="12"/>
    </row>
    <row r="8" spans="1:14" x14ac:dyDescent="0.35">
      <c r="D8" s="6" t="s">
        <v>814</v>
      </c>
      <c r="M8" s="12"/>
      <c r="N8" s="12"/>
    </row>
    <row r="9" spans="1:14" x14ac:dyDescent="0.35">
      <c r="A9" t="s">
        <v>815</v>
      </c>
      <c r="D9" t="s">
        <v>816</v>
      </c>
      <c r="E9" t="s">
        <v>817</v>
      </c>
      <c r="F9" s="12">
        <f>SUM(I9/25)</f>
        <v>1.4463999999999999</v>
      </c>
      <c r="H9">
        <v>34.93</v>
      </c>
      <c r="I9" s="53">
        <v>36.159999999999997</v>
      </c>
      <c r="J9" s="51">
        <f>SUM(I9-H9)/H9</f>
        <v>3.5213283710277613E-2</v>
      </c>
      <c r="K9" s="53">
        <f>SUM(H9*J9)</f>
        <v>1.2299999999999971</v>
      </c>
      <c r="L9">
        <v>0</v>
      </c>
      <c r="M9" s="12">
        <f>SUM(F9*L9)</f>
        <v>0</v>
      </c>
      <c r="N9" s="12">
        <f>SUM(M9*0.35+M9)</f>
        <v>0</v>
      </c>
    </row>
    <row r="10" spans="1:14" x14ac:dyDescent="0.35">
      <c r="A10" t="s">
        <v>818</v>
      </c>
      <c r="D10" t="s">
        <v>819</v>
      </c>
      <c r="E10" t="s">
        <v>817</v>
      </c>
      <c r="F10" s="12">
        <f>SUM(I10/25)</f>
        <v>1.8075999999999999</v>
      </c>
      <c r="H10">
        <v>43.66</v>
      </c>
      <c r="I10" s="53">
        <v>45.19</v>
      </c>
      <c r="J10" s="51">
        <f>SUM(I10-H10)/H10</f>
        <v>3.5043518094365581E-2</v>
      </c>
      <c r="M10" s="12">
        <f>SUM(F10*L10)</f>
        <v>0</v>
      </c>
      <c r="N10" s="12">
        <f>SUM(M10*0.35+M10)</f>
        <v>0</v>
      </c>
    </row>
    <row r="11" spans="1:14" x14ac:dyDescent="0.35">
      <c r="A11" t="s">
        <v>820</v>
      </c>
      <c r="D11" t="s">
        <v>821</v>
      </c>
      <c r="E11" t="s">
        <v>817</v>
      </c>
      <c r="F11" s="12">
        <f>SUM(I11/25)</f>
        <v>1.9068000000000001</v>
      </c>
      <c r="H11">
        <v>46.06</v>
      </c>
      <c r="I11" s="53">
        <v>47.67</v>
      </c>
      <c r="J11" s="51">
        <f>SUM(I11-H11)/H11</f>
        <v>3.4954407294832811E-2</v>
      </c>
      <c r="M11" s="12">
        <f>SUM(F11*L11)</f>
        <v>0</v>
      </c>
      <c r="N11" s="12">
        <f>SUM(M11*0.35+M11)</f>
        <v>0</v>
      </c>
    </row>
    <row r="12" spans="1:14" x14ac:dyDescent="0.35">
      <c r="M12" s="12"/>
      <c r="N12" s="12"/>
    </row>
    <row r="13" spans="1:14" x14ac:dyDescent="0.35">
      <c r="J13" s="51" t="s">
        <v>684</v>
      </c>
      <c r="K13" s="53" t="s">
        <v>684</v>
      </c>
      <c r="M13" s="12"/>
      <c r="N13" s="12"/>
    </row>
    <row r="14" spans="1:14" x14ac:dyDescent="0.35">
      <c r="B14" t="s">
        <v>822</v>
      </c>
      <c r="D14" t="s">
        <v>823</v>
      </c>
      <c r="E14" t="s">
        <v>817</v>
      </c>
      <c r="F14" s="12">
        <f>SUM(I14/25)</f>
        <v>3.1148000000000002</v>
      </c>
      <c r="H14">
        <v>75.239999999999995</v>
      </c>
      <c r="I14" s="53">
        <v>77.87</v>
      </c>
      <c r="J14" s="51">
        <f>SUM(I14-H14)/H14</f>
        <v>3.4954811270600877E-2</v>
      </c>
      <c r="K14" s="53">
        <f>SUM(H14*J14)</f>
        <v>2.6300000000000097</v>
      </c>
      <c r="M14" s="12">
        <f>SUM(F14*L14)</f>
        <v>0</v>
      </c>
      <c r="N14" s="12">
        <f>SUM(M14*0.35+M14)</f>
        <v>0</v>
      </c>
    </row>
    <row r="15" spans="1:14" x14ac:dyDescent="0.35">
      <c r="B15" t="s">
        <v>824</v>
      </c>
      <c r="D15" t="s">
        <v>825</v>
      </c>
      <c r="E15" t="s">
        <v>817</v>
      </c>
      <c r="F15" s="12">
        <f>SUM(I15/25)</f>
        <v>3.1148000000000002</v>
      </c>
      <c r="H15">
        <v>75.239999999999995</v>
      </c>
      <c r="I15" s="53">
        <v>77.87</v>
      </c>
      <c r="J15" s="51">
        <f>SUM(I15-H15)/H15</f>
        <v>3.4954811270600877E-2</v>
      </c>
      <c r="K15" s="53">
        <f>SUM(H15*J15)</f>
        <v>2.6300000000000097</v>
      </c>
      <c r="M15" s="12">
        <f>SUM(F15*L15)</f>
        <v>0</v>
      </c>
      <c r="N15" s="12">
        <f>SUM(M15*0.35+M15)</f>
        <v>0</v>
      </c>
    </row>
    <row r="16" spans="1:14" x14ac:dyDescent="0.35">
      <c r="B16" t="s">
        <v>202</v>
      </c>
      <c r="D16" t="s">
        <v>821</v>
      </c>
      <c r="E16" t="s">
        <v>817</v>
      </c>
      <c r="F16" s="12">
        <f>SUM(I16/25)</f>
        <v>2.7027999999999999</v>
      </c>
      <c r="H16">
        <v>65.290000000000006</v>
      </c>
      <c r="I16" s="53">
        <v>67.569999999999993</v>
      </c>
      <c r="J16" s="51">
        <f>SUM(I16-H16)/H16</f>
        <v>3.492112115178414E-2</v>
      </c>
      <c r="K16" s="53">
        <f>SUM(H16*J16)</f>
        <v>2.2799999999999869</v>
      </c>
      <c r="M16" s="12">
        <f>SUM(F16*L16)</f>
        <v>0</v>
      </c>
      <c r="N16" s="12">
        <f>SUM(M16*0.35+M16)</f>
        <v>0</v>
      </c>
    </row>
    <row r="17" spans="1:14" x14ac:dyDescent="0.35">
      <c r="A17" t="s">
        <v>826</v>
      </c>
      <c r="B17" s="16" t="s">
        <v>826</v>
      </c>
      <c r="D17" t="s">
        <v>827</v>
      </c>
      <c r="E17" t="s">
        <v>817</v>
      </c>
      <c r="F17" s="12">
        <f>SUM(I17/25)</f>
        <v>1.8552000000000002</v>
      </c>
      <c r="H17">
        <v>44.29</v>
      </c>
      <c r="I17" s="53">
        <v>46.38</v>
      </c>
      <c r="J17" s="51">
        <f>SUM(I17-H17)/H17</f>
        <v>4.7188981711447357E-2</v>
      </c>
      <c r="K17" s="53">
        <f>SUM(H17*J17)</f>
        <v>2.0900000000000034</v>
      </c>
      <c r="M17" s="12">
        <f>SUM(F17*L17)</f>
        <v>0</v>
      </c>
      <c r="N17" s="12">
        <f>SUM(M17*0.35+M17)</f>
        <v>0</v>
      </c>
    </row>
    <row r="18" spans="1:14" x14ac:dyDescent="0.35">
      <c r="M18" s="12"/>
      <c r="N18" s="12"/>
    </row>
    <row r="19" spans="1:14" x14ac:dyDescent="0.35">
      <c r="A19" t="s">
        <v>828</v>
      </c>
      <c r="B19">
        <v>31661</v>
      </c>
      <c r="D19" t="s">
        <v>829</v>
      </c>
      <c r="E19" t="s">
        <v>830</v>
      </c>
      <c r="F19" s="12">
        <f>SUM(I19/100)</f>
        <v>1.0779000000000001</v>
      </c>
      <c r="I19" s="53">
        <v>107.79</v>
      </c>
      <c r="M19" s="12">
        <f>SUM(F19*L19)</f>
        <v>0</v>
      </c>
      <c r="N19" s="12">
        <f>SUM(M19*0.35+M19)</f>
        <v>0</v>
      </c>
    </row>
    <row r="20" spans="1:14" x14ac:dyDescent="0.35">
      <c r="M20" s="12"/>
      <c r="N20" s="12"/>
    </row>
    <row r="21" spans="1:14" x14ac:dyDescent="0.35">
      <c r="D21" s="96" t="s">
        <v>831</v>
      </c>
      <c r="M21" s="12"/>
      <c r="N21" s="12"/>
    </row>
    <row r="22" spans="1:14" s="1" customFormat="1" ht="14.1" customHeight="1" x14ac:dyDescent="0.45">
      <c r="A22" s="1" t="s">
        <v>832</v>
      </c>
      <c r="B22" s="1">
        <v>308</v>
      </c>
      <c r="D22" s="1" t="s">
        <v>833</v>
      </c>
      <c r="E22" s="1" t="s">
        <v>410</v>
      </c>
      <c r="F22" s="11">
        <f>SUM(I22/180)</f>
        <v>3.5333333333333335E-2</v>
      </c>
      <c r="G22" s="11"/>
      <c r="H22" s="11">
        <v>5.82</v>
      </c>
      <c r="I22" s="23">
        <v>6.36</v>
      </c>
      <c r="J22" s="24">
        <f t="shared" ref="J22" si="1">SUM(I22-H22)/H22</f>
        <v>9.2783505154639179E-2</v>
      </c>
      <c r="K22" s="25">
        <f t="shared" ref="K22" si="2">SUM(H22*J22)</f>
        <v>0.54</v>
      </c>
      <c r="L22" s="36"/>
      <c r="M22" s="11">
        <f>SUM(I22*L22)</f>
        <v>0</v>
      </c>
      <c r="N22" s="11">
        <f t="shared" ref="N22" si="3">SUM(M22*35%)+M22</f>
        <v>0</v>
      </c>
    </row>
    <row r="23" spans="1:14" x14ac:dyDescent="0.35">
      <c r="M23" s="12"/>
      <c r="N23" s="12"/>
    </row>
    <row r="24" spans="1:14" x14ac:dyDescent="0.35">
      <c r="M24" s="12"/>
      <c r="N24" s="12"/>
    </row>
    <row r="25" spans="1:14" x14ac:dyDescent="0.35">
      <c r="M25" s="12"/>
      <c r="N25" s="12"/>
    </row>
    <row r="26" spans="1:14" x14ac:dyDescent="0.35">
      <c r="M26" s="12"/>
      <c r="N26" s="12"/>
    </row>
    <row r="27" spans="1:14" s="1" customFormat="1" ht="14.25" x14ac:dyDescent="0.45">
      <c r="A27" s="1" t="s">
        <v>834</v>
      </c>
      <c r="D27" s="1" t="s">
        <v>835</v>
      </c>
      <c r="E27" s="1" t="s">
        <v>836</v>
      </c>
      <c r="F27" s="11">
        <f>SUM(I27/13)</f>
        <v>1.3023076923076924</v>
      </c>
      <c r="G27" s="11"/>
      <c r="H27" s="1">
        <v>15.86</v>
      </c>
      <c r="I27" s="53">
        <v>16.93</v>
      </c>
      <c r="J27" s="51">
        <f>SUM(I27-H27)/H27</f>
        <v>6.7465321563682235E-2</v>
      </c>
      <c r="K27" s="53"/>
      <c r="M27" s="11">
        <f>SUM(F27*L27)</f>
        <v>0</v>
      </c>
      <c r="N27" s="11">
        <f>SUM(M27*0.35+M27)</f>
        <v>0</v>
      </c>
    </row>
    <row r="28" spans="1:14" s="1" customFormat="1" ht="14.25" x14ac:dyDescent="0.45">
      <c r="A28" s="1" t="s">
        <v>837</v>
      </c>
      <c r="D28" s="1" t="s">
        <v>838</v>
      </c>
      <c r="E28" s="1" t="s">
        <v>836</v>
      </c>
      <c r="F28" s="11">
        <f>SUM(I28/13)</f>
        <v>1.1023076923076922</v>
      </c>
      <c r="G28" s="11"/>
      <c r="H28" s="1">
        <v>13.4</v>
      </c>
      <c r="I28" s="53">
        <v>14.33</v>
      </c>
      <c r="J28" s="51">
        <f>SUM(I28-H28)/H28</f>
        <v>6.9402985074626847E-2</v>
      </c>
      <c r="K28" s="53"/>
      <c r="M28" s="11">
        <f>SUM(F28*L28)</f>
        <v>0</v>
      </c>
      <c r="N28" s="11">
        <f>SUM(M28*0.35+M28)</f>
        <v>0</v>
      </c>
    </row>
    <row r="29" spans="1:14" s="1" customFormat="1" ht="14.25" x14ac:dyDescent="0.45">
      <c r="A29" s="1" t="s">
        <v>839</v>
      </c>
      <c r="D29" s="1" t="s">
        <v>840</v>
      </c>
      <c r="E29" s="1" t="s">
        <v>836</v>
      </c>
      <c r="F29" s="11">
        <f>SUM(I29/13)</f>
        <v>1.6784615384615384</v>
      </c>
      <c r="G29" s="11"/>
      <c r="H29" s="1">
        <v>20.43</v>
      </c>
      <c r="I29" s="53">
        <v>21.82</v>
      </c>
      <c r="J29" s="51">
        <f>SUM(I29-H29)/H29</f>
        <v>6.8037200195790529E-2</v>
      </c>
      <c r="K29" s="53">
        <f>SUM(H29*J29)</f>
        <v>1.3900000000000006</v>
      </c>
      <c r="M29" s="11">
        <f>SUM(F29*L29)</f>
        <v>0</v>
      </c>
      <c r="N29" s="11">
        <f>SUM(M29*0.35+M29)</f>
        <v>0</v>
      </c>
    </row>
    <row r="30" spans="1:14" s="1" customFormat="1" ht="14.25" x14ac:dyDescent="0.45">
      <c r="F30" s="11"/>
      <c r="G30" s="11"/>
      <c r="I30" s="53"/>
      <c r="J30" s="51"/>
      <c r="K30" s="53"/>
      <c r="M30" s="11"/>
      <c r="N30" s="11"/>
    </row>
    <row r="31" spans="1:14" s="1" customFormat="1" ht="14.25" x14ac:dyDescent="0.45">
      <c r="D31" s="15" t="s">
        <v>841</v>
      </c>
      <c r="F31" s="11"/>
      <c r="G31" s="11"/>
      <c r="I31" s="53"/>
      <c r="J31" s="51"/>
      <c r="K31" s="53"/>
      <c r="M31" s="11"/>
      <c r="N31" s="11"/>
    </row>
    <row r="32" spans="1:14" s="1" customFormat="1" ht="14.25" x14ac:dyDescent="0.45">
      <c r="A32" s="1" t="s">
        <v>842</v>
      </c>
      <c r="B32" s="1">
        <v>4603</v>
      </c>
      <c r="D32" t="s">
        <v>843</v>
      </c>
      <c r="E32" s="1" t="s">
        <v>844</v>
      </c>
      <c r="F32" s="11">
        <f>SUM(I32/17)</f>
        <v>1.39</v>
      </c>
      <c r="G32" s="11"/>
      <c r="I32" s="53">
        <v>23.63</v>
      </c>
      <c r="J32" s="51"/>
      <c r="K32" s="53"/>
      <c r="M32" s="11">
        <f>SUM(F32*L32)</f>
        <v>0</v>
      </c>
      <c r="N32" s="11">
        <f>SUM(M32*0.35+M32)</f>
        <v>0</v>
      </c>
    </row>
    <row r="33" spans="6:14" s="1" customFormat="1" ht="14.25" x14ac:dyDescent="0.45">
      <c r="F33" s="11"/>
      <c r="G33" s="11"/>
      <c r="I33" s="53"/>
      <c r="J33" s="51"/>
      <c r="K33" s="53"/>
      <c r="M33" s="11"/>
      <c r="N33" s="11"/>
    </row>
    <row r="34" spans="6:14" s="1" customFormat="1" ht="14.25" x14ac:dyDescent="0.45">
      <c r="F34" s="11"/>
      <c r="G34" s="11"/>
      <c r="I34" s="53"/>
      <c r="J34" s="51"/>
      <c r="K34" s="53"/>
      <c r="M34" s="11"/>
      <c r="N34" s="11"/>
    </row>
    <row r="35" spans="6:14" s="1" customFormat="1" ht="14.25" x14ac:dyDescent="0.45">
      <c r="F35" s="11"/>
      <c r="G35" s="11"/>
      <c r="I35" s="53"/>
      <c r="J35" s="51"/>
      <c r="K35" s="53"/>
      <c r="M35" s="11"/>
      <c r="N35" s="11"/>
    </row>
    <row r="36" spans="6:14" x14ac:dyDescent="0.35">
      <c r="M36" s="12"/>
      <c r="N36" s="12"/>
    </row>
    <row r="37" spans="6:14" x14ac:dyDescent="0.35">
      <c r="H37" t="s">
        <v>845</v>
      </c>
      <c r="J37" s="51">
        <f>AVERAGE(J3:J36)</f>
        <v>5.5803931711415962E-2</v>
      </c>
      <c r="K37" s="53">
        <f>AVERAGE(K2:K36)</f>
        <v>2.72888888888889</v>
      </c>
      <c r="M37" s="12"/>
      <c r="N37" s="12"/>
    </row>
    <row r="38" spans="6:14" ht="33" customHeight="1" x14ac:dyDescent="0.6">
      <c r="M38" s="46">
        <f>SUM(M4:M29)</f>
        <v>0</v>
      </c>
      <c r="N38" s="43">
        <f>SUM(N4:N29)</f>
        <v>0</v>
      </c>
    </row>
    <row r="39" spans="6:14" x14ac:dyDescent="0.35">
      <c r="M39" s="12"/>
      <c r="N39" s="12"/>
    </row>
    <row r="40" spans="6:14" x14ac:dyDescent="0.35">
      <c r="M40" s="12"/>
      <c r="N40" s="12"/>
    </row>
    <row r="41" spans="6:14" x14ac:dyDescent="0.35">
      <c r="M41" s="12"/>
      <c r="N41" s="12"/>
    </row>
    <row r="42" spans="6:14" x14ac:dyDescent="0.35">
      <c r="M42" s="12"/>
      <c r="N42" s="12"/>
    </row>
    <row r="43" spans="6:14" x14ac:dyDescent="0.35">
      <c r="M43" s="12"/>
      <c r="N43" s="12"/>
    </row>
    <row r="44" spans="6:14" x14ac:dyDescent="0.35">
      <c r="M44" s="12"/>
      <c r="N44" s="12"/>
    </row>
    <row r="45" spans="6:14" x14ac:dyDescent="0.35">
      <c r="M45" s="12"/>
      <c r="N45" s="12"/>
    </row>
    <row r="46" spans="6:14" x14ac:dyDescent="0.35">
      <c r="M46" s="12"/>
      <c r="N46" s="12"/>
    </row>
    <row r="47" spans="6:14" x14ac:dyDescent="0.35">
      <c r="M47" s="12"/>
      <c r="N47" s="12"/>
    </row>
    <row r="48" spans="6:14" x14ac:dyDescent="0.35">
      <c r="M48" s="12"/>
      <c r="N48" s="12"/>
    </row>
    <row r="49" spans="13:14" x14ac:dyDescent="0.35">
      <c r="M49" s="12"/>
      <c r="N49" s="12"/>
    </row>
  </sheetData>
  <sheetProtection selectLockedCells="1" selectUnlockedCells="1"/>
  <hyperlinks>
    <hyperlink ref="B17" r:id="rId1" xr:uid="{7AB03288-62F3-4D3C-B8D2-15F3CA023B5B}"/>
  </hyperlinks>
  <pageMargins left="0.78749999999999998" right="0.78749999999999998" top="1.0527777777777778" bottom="1.0527777777777778" header="0.78749999999999998" footer="0.78749999999999998"/>
  <pageSetup firstPageNumber="0" orientation="portrait" r:id="rId2"/>
  <headerFooter alignWithMargins="0">
    <oddHeader>&amp;C&amp;"Times New Roman,Regular"&amp;12&amp;A</oddHeader>
    <oddFooter>&amp;C&amp;"Times New Roman,Regular"&amp;12Page &amp;P</oddFooter>
  </headerFooter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3"/>
  </sheetPr>
  <dimension ref="A1:N45"/>
  <sheetViews>
    <sheetView workbookViewId="0">
      <pane ySplit="1" topLeftCell="A2" activePane="bottomLeft" state="frozen"/>
      <selection pane="bottomLeft" activeCell="I45" sqref="I45"/>
    </sheetView>
  </sheetViews>
  <sheetFormatPr defaultColWidth="11" defaultRowHeight="12.75" x14ac:dyDescent="0.35"/>
  <cols>
    <col min="1" max="3" width="11" customWidth="1"/>
    <col min="4" max="4" width="26.265625" customWidth="1"/>
    <col min="5" max="5" width="22.73046875" customWidth="1"/>
    <col min="6" max="6" width="22.73046875" style="12" customWidth="1"/>
    <col min="7" max="7" width="22.73046875" customWidth="1"/>
    <col min="9" max="9" width="14" style="79" customWidth="1"/>
    <col min="10" max="10" width="19.59765625" style="51" customWidth="1"/>
    <col min="11" max="11" width="19" style="49" customWidth="1"/>
    <col min="13" max="14" width="11" style="12"/>
  </cols>
  <sheetData>
    <row r="1" spans="1:14" s="1" customFormat="1" ht="14.25" x14ac:dyDescent="0.45">
      <c r="A1" s="1" t="s">
        <v>846</v>
      </c>
      <c r="B1" s="1" t="s">
        <v>847</v>
      </c>
      <c r="C1" s="1" t="s">
        <v>802</v>
      </c>
      <c r="D1" s="1" t="s">
        <v>155</v>
      </c>
      <c r="E1" s="1" t="s">
        <v>4</v>
      </c>
      <c r="F1" s="11" t="s">
        <v>5</v>
      </c>
      <c r="G1" s="1" t="s">
        <v>848</v>
      </c>
      <c r="H1" s="1" t="s">
        <v>695</v>
      </c>
      <c r="I1" s="79" t="s">
        <v>8</v>
      </c>
      <c r="J1" s="70" t="s">
        <v>9</v>
      </c>
      <c r="K1" s="52" t="s">
        <v>10</v>
      </c>
      <c r="L1" s="1" t="s">
        <v>11</v>
      </c>
      <c r="M1" s="11" t="s">
        <v>804</v>
      </c>
      <c r="N1" s="11" t="s">
        <v>697</v>
      </c>
    </row>
    <row r="2" spans="1:14" s="1" customFormat="1" ht="14.25" x14ac:dyDescent="0.45">
      <c r="D2" s="17" t="s">
        <v>849</v>
      </c>
      <c r="E2" s="1" t="s">
        <v>850</v>
      </c>
      <c r="F2" s="11"/>
      <c r="G2" s="11"/>
      <c r="I2" s="79"/>
      <c r="J2" s="70"/>
      <c r="K2" s="52"/>
      <c r="M2" s="11"/>
      <c r="N2" s="11"/>
    </row>
    <row r="3" spans="1:14" x14ac:dyDescent="0.35">
      <c r="A3">
        <v>12305</v>
      </c>
      <c r="D3" t="s">
        <v>851</v>
      </c>
      <c r="E3" t="s">
        <v>852</v>
      </c>
      <c r="F3" s="12">
        <f>SUM(I3/32)</f>
        <v>4.5262500000000001</v>
      </c>
      <c r="G3" s="12"/>
      <c r="H3">
        <v>136.63999999999999</v>
      </c>
      <c r="I3" s="79">
        <v>144.84</v>
      </c>
      <c r="J3" s="51">
        <f t="shared" ref="J3:J4" si="0">SUM(I3-H3)/H3</f>
        <v>6.0011709601873665E-2</v>
      </c>
      <c r="K3" s="49">
        <f t="shared" ref="K3:K12" si="1">SUM(H3*J3)</f>
        <v>8.2000000000000171</v>
      </c>
    </row>
    <row r="4" spans="1:14" x14ac:dyDescent="0.35">
      <c r="A4" t="s">
        <v>853</v>
      </c>
      <c r="D4" t="s">
        <v>854</v>
      </c>
      <c r="E4" t="s">
        <v>852</v>
      </c>
      <c r="F4" s="12">
        <f>SUM(I4/32)</f>
        <v>2.11625</v>
      </c>
      <c r="G4" s="12"/>
      <c r="H4">
        <v>63.88</v>
      </c>
      <c r="I4" s="79">
        <v>67.72</v>
      </c>
      <c r="J4" s="51">
        <f t="shared" si="0"/>
        <v>6.0112711333750721E-2</v>
      </c>
      <c r="K4" s="49">
        <f t="shared" si="1"/>
        <v>3.8399999999999963</v>
      </c>
    </row>
    <row r="5" spans="1:14" ht="13.15" x14ac:dyDescent="0.4">
      <c r="A5" t="s">
        <v>855</v>
      </c>
      <c r="D5" t="s">
        <v>856</v>
      </c>
      <c r="E5" t="s">
        <v>857</v>
      </c>
      <c r="F5" s="12">
        <f>SUM(I5/120)</f>
        <v>2.5766666666666667</v>
      </c>
      <c r="G5" s="75">
        <f>SUM((F5*4)+G6+(G7*1.5))/6.5</f>
        <v>1.5856410256410256</v>
      </c>
      <c r="H5">
        <v>291.12</v>
      </c>
      <c r="I5" s="79">
        <v>309.2</v>
      </c>
      <c r="J5" s="51">
        <f>SUM(I5-H5)/H5</f>
        <v>6.210497389392685E-2</v>
      </c>
      <c r="K5" s="49">
        <f t="shared" si="1"/>
        <v>18.079999999999984</v>
      </c>
      <c r="M5" s="12">
        <f>SUM(F5*L5)</f>
        <v>0</v>
      </c>
      <c r="N5" s="12">
        <f>SUM(M5*0.35+M5)</f>
        <v>0</v>
      </c>
    </row>
    <row r="11" spans="1:14" x14ac:dyDescent="0.35">
      <c r="A11" t="s">
        <v>858</v>
      </c>
      <c r="D11" t="s">
        <v>859</v>
      </c>
      <c r="E11" t="s">
        <v>860</v>
      </c>
      <c r="F11" s="12">
        <f>SUM(I11/120)</f>
        <v>3.7839999999999998</v>
      </c>
      <c r="G11" s="12"/>
      <c r="H11">
        <v>423.56</v>
      </c>
      <c r="I11" s="79">
        <v>454.08</v>
      </c>
      <c r="J11" s="51">
        <f>SUM(I11-H11)/H11</f>
        <v>7.2055907073377987E-2</v>
      </c>
      <c r="K11" s="49">
        <f t="shared" si="1"/>
        <v>30.519999999999982</v>
      </c>
    </row>
    <row r="12" spans="1:14" x14ac:dyDescent="0.35">
      <c r="A12" t="s">
        <v>861</v>
      </c>
      <c r="D12" t="s">
        <v>862</v>
      </c>
      <c r="E12" t="s">
        <v>860</v>
      </c>
      <c r="F12" s="12">
        <f>SUM(I12/120)</f>
        <v>3.7839999999999998</v>
      </c>
      <c r="G12" s="12"/>
      <c r="H12">
        <v>423.56</v>
      </c>
      <c r="I12" s="79">
        <v>454.08</v>
      </c>
      <c r="J12" s="51">
        <f>SUM(I12-H12)/H12</f>
        <v>7.2055907073377987E-2</v>
      </c>
      <c r="K12" s="49">
        <f t="shared" si="1"/>
        <v>30.519999999999982</v>
      </c>
    </row>
    <row r="13" spans="1:14" x14ac:dyDescent="0.35">
      <c r="J13" s="51" t="s">
        <v>684</v>
      </c>
      <c r="K13" s="49" t="s">
        <v>684</v>
      </c>
    </row>
    <row r="18" spans="1:11" ht="13.15" x14ac:dyDescent="0.4">
      <c r="D18" s="58" t="s">
        <v>863</v>
      </c>
    </row>
    <row r="19" spans="1:11" x14ac:dyDescent="0.35">
      <c r="A19" t="s">
        <v>864</v>
      </c>
      <c r="D19" t="s">
        <v>865</v>
      </c>
      <c r="E19" t="s">
        <v>860</v>
      </c>
      <c r="F19" s="12">
        <f>SUM(I19/124)</f>
        <v>0.86322580645161295</v>
      </c>
      <c r="G19" s="12"/>
      <c r="H19">
        <v>99.84</v>
      </c>
      <c r="I19" s="79">
        <v>107.04</v>
      </c>
      <c r="J19" s="51">
        <f>SUM(I19-H19)/H19</f>
        <v>7.2115384615384637E-2</v>
      </c>
      <c r="K19" s="49">
        <f t="shared" ref="K19" si="2">SUM(H19*J19)</f>
        <v>7.200000000000002</v>
      </c>
    </row>
    <row r="20" spans="1:11" x14ac:dyDescent="0.35">
      <c r="D20" s="7"/>
    </row>
    <row r="22" spans="1:11" ht="13.15" x14ac:dyDescent="0.4">
      <c r="D22" s="78" t="s">
        <v>866</v>
      </c>
    </row>
    <row r="23" spans="1:11" x14ac:dyDescent="0.35">
      <c r="A23" t="s">
        <v>867</v>
      </c>
      <c r="D23" t="s">
        <v>868</v>
      </c>
      <c r="E23" t="s">
        <v>869</v>
      </c>
      <c r="F23" s="12">
        <f>SUM(I23/30)</f>
        <v>3.3266666666666667</v>
      </c>
      <c r="H23">
        <v>94.12</v>
      </c>
      <c r="I23" s="79">
        <v>99.8</v>
      </c>
      <c r="J23" s="51">
        <f t="shared" ref="J23:J38" si="3">SUM(I23-H23)/H23</f>
        <v>6.0348491287717729E-2</v>
      </c>
      <c r="K23" s="49">
        <f t="shared" ref="K23:K39" si="4">SUM(H23*J23)</f>
        <v>5.6799999999999926</v>
      </c>
    </row>
    <row r="24" spans="1:11" x14ac:dyDescent="0.35">
      <c r="A24">
        <v>801</v>
      </c>
      <c r="D24" t="s">
        <v>870</v>
      </c>
      <c r="F24" s="12">
        <f t="shared" ref="F24:F39" si="5">SUM(I24/30)</f>
        <v>29.007999999999999</v>
      </c>
      <c r="H24">
        <v>811.76</v>
      </c>
      <c r="I24" s="79">
        <v>870.24</v>
      </c>
      <c r="J24" s="51">
        <f t="shared" si="3"/>
        <v>7.2040997339115037E-2</v>
      </c>
      <c r="K24" s="49">
        <f t="shared" si="4"/>
        <v>58.480000000000025</v>
      </c>
    </row>
    <row r="25" spans="1:11" x14ac:dyDescent="0.35">
      <c r="A25">
        <v>802</v>
      </c>
      <c r="D25" t="s">
        <v>871</v>
      </c>
      <c r="F25" s="12">
        <f t="shared" si="5"/>
        <v>7.3626666666666667</v>
      </c>
      <c r="H25">
        <v>206.04</v>
      </c>
      <c r="I25" s="79">
        <v>220.88</v>
      </c>
      <c r="J25" s="51">
        <f t="shared" si="3"/>
        <v>7.2024849543777927E-2</v>
      </c>
      <c r="K25" s="49">
        <f t="shared" si="4"/>
        <v>14.840000000000003</v>
      </c>
    </row>
    <row r="26" spans="1:11" x14ac:dyDescent="0.35">
      <c r="A26">
        <v>803</v>
      </c>
      <c r="D26" t="s">
        <v>872</v>
      </c>
      <c r="F26" s="12">
        <f t="shared" si="5"/>
        <v>13.632</v>
      </c>
      <c r="H26">
        <v>381.48</v>
      </c>
      <c r="I26" s="79">
        <v>408.96</v>
      </c>
      <c r="J26" s="51">
        <f t="shared" si="3"/>
        <v>7.2035231204781267E-2</v>
      </c>
      <c r="K26" s="49">
        <f t="shared" si="4"/>
        <v>27.479999999999958</v>
      </c>
    </row>
    <row r="27" spans="1:11" x14ac:dyDescent="0.35">
      <c r="A27">
        <v>805</v>
      </c>
      <c r="D27" t="s">
        <v>873</v>
      </c>
      <c r="F27" s="12">
        <f t="shared" si="5"/>
        <v>7.2586666666666666</v>
      </c>
      <c r="H27">
        <v>203.12</v>
      </c>
      <c r="I27" s="79">
        <v>217.76</v>
      </c>
      <c r="J27" s="51">
        <f t="shared" si="3"/>
        <v>7.2075620322961734E-2</v>
      </c>
      <c r="K27" s="49">
        <f t="shared" si="4"/>
        <v>14.639999999999988</v>
      </c>
    </row>
    <row r="28" spans="1:11" x14ac:dyDescent="0.35">
      <c r="A28">
        <v>806</v>
      </c>
      <c r="D28" t="s">
        <v>874</v>
      </c>
      <c r="F28" s="12">
        <f t="shared" si="5"/>
        <v>29.007999999999999</v>
      </c>
      <c r="H28">
        <v>811.76</v>
      </c>
      <c r="I28" s="79">
        <v>870.24</v>
      </c>
      <c r="J28" s="51">
        <f t="shared" si="3"/>
        <v>7.2040997339115037E-2</v>
      </c>
      <c r="K28" s="49">
        <f t="shared" si="4"/>
        <v>58.480000000000025</v>
      </c>
    </row>
    <row r="29" spans="1:11" x14ac:dyDescent="0.35">
      <c r="A29">
        <v>808</v>
      </c>
      <c r="F29" s="12">
        <f t="shared" si="5"/>
        <v>7.3626666666666667</v>
      </c>
      <c r="H29">
        <v>206.04</v>
      </c>
      <c r="I29" s="79">
        <v>220.88</v>
      </c>
      <c r="J29" s="51">
        <f t="shared" si="3"/>
        <v>7.2024849543777927E-2</v>
      </c>
      <c r="K29" s="49">
        <f t="shared" si="4"/>
        <v>14.840000000000003</v>
      </c>
    </row>
    <row r="30" spans="1:11" x14ac:dyDescent="0.35">
      <c r="A30">
        <v>810</v>
      </c>
      <c r="F30" s="12">
        <f t="shared" si="5"/>
        <v>5.7159999999999993</v>
      </c>
      <c r="H30">
        <v>159.96</v>
      </c>
      <c r="I30" s="79">
        <v>171.48</v>
      </c>
      <c r="J30" s="51">
        <f t="shared" si="3"/>
        <v>7.2018004501125166E-2</v>
      </c>
      <c r="K30" s="49">
        <f t="shared" si="4"/>
        <v>11.519999999999982</v>
      </c>
    </row>
    <row r="31" spans="1:11" x14ac:dyDescent="0.35">
      <c r="A31">
        <v>811</v>
      </c>
      <c r="F31" s="12">
        <f t="shared" si="5"/>
        <v>13.632</v>
      </c>
      <c r="H31">
        <v>381.48</v>
      </c>
      <c r="I31" s="79">
        <v>408.96</v>
      </c>
      <c r="J31" s="51">
        <f t="shared" si="3"/>
        <v>7.2035231204781267E-2</v>
      </c>
      <c r="K31" s="49">
        <f t="shared" si="4"/>
        <v>27.479999999999958</v>
      </c>
    </row>
    <row r="32" spans="1:11" x14ac:dyDescent="0.35">
      <c r="A32">
        <v>813</v>
      </c>
      <c r="F32" s="12">
        <f t="shared" si="5"/>
        <v>11.268000000000001</v>
      </c>
      <c r="H32">
        <v>315.32</v>
      </c>
      <c r="I32" s="79">
        <v>338.04</v>
      </c>
      <c r="J32" s="51">
        <f t="shared" si="3"/>
        <v>7.2053786629455885E-2</v>
      </c>
      <c r="K32" s="49">
        <f t="shared" si="4"/>
        <v>22.720000000000031</v>
      </c>
    </row>
    <row r="33" spans="1:14" x14ac:dyDescent="0.35">
      <c r="A33">
        <v>814</v>
      </c>
      <c r="F33" s="12">
        <f t="shared" si="5"/>
        <v>13.632</v>
      </c>
      <c r="H33">
        <v>381.48</v>
      </c>
      <c r="I33" s="79">
        <v>408.96</v>
      </c>
      <c r="J33" s="51">
        <f t="shared" si="3"/>
        <v>7.2035231204781267E-2</v>
      </c>
      <c r="K33" s="49">
        <f t="shared" si="4"/>
        <v>27.479999999999958</v>
      </c>
    </row>
    <row r="34" spans="1:14" x14ac:dyDescent="0.35">
      <c r="A34">
        <v>816</v>
      </c>
      <c r="F34" s="12">
        <f t="shared" si="5"/>
        <v>7.3626666666666667</v>
      </c>
      <c r="H34">
        <v>206.04</v>
      </c>
      <c r="I34" s="79">
        <v>220.88</v>
      </c>
      <c r="J34" s="51">
        <f t="shared" si="3"/>
        <v>7.2024849543777927E-2</v>
      </c>
      <c r="K34" s="49">
        <f t="shared" si="4"/>
        <v>14.840000000000003</v>
      </c>
    </row>
    <row r="35" spans="1:14" x14ac:dyDescent="0.35">
      <c r="A35">
        <v>818</v>
      </c>
      <c r="F35" s="12">
        <f t="shared" si="5"/>
        <v>3.7186666666666666</v>
      </c>
      <c r="H35">
        <v>104.04</v>
      </c>
      <c r="I35" s="79">
        <v>111.56</v>
      </c>
      <c r="J35" s="51">
        <f t="shared" si="3"/>
        <v>7.2279892349096458E-2</v>
      </c>
      <c r="K35" s="49">
        <f t="shared" si="4"/>
        <v>7.519999999999996</v>
      </c>
    </row>
    <row r="36" spans="1:14" x14ac:dyDescent="0.35">
      <c r="A36">
        <v>819</v>
      </c>
      <c r="F36" s="12">
        <f t="shared" si="5"/>
        <v>13.632</v>
      </c>
      <c r="H36">
        <v>381.48</v>
      </c>
      <c r="I36" s="79">
        <v>408.96</v>
      </c>
      <c r="J36" s="51">
        <f t="shared" si="3"/>
        <v>7.2035231204781267E-2</v>
      </c>
      <c r="K36" s="49">
        <f t="shared" si="4"/>
        <v>27.479999999999958</v>
      </c>
    </row>
    <row r="37" spans="1:14" x14ac:dyDescent="0.35">
      <c r="A37">
        <v>820</v>
      </c>
      <c r="F37" s="12">
        <f t="shared" si="5"/>
        <v>11.268000000000001</v>
      </c>
      <c r="H37">
        <v>315.32</v>
      </c>
      <c r="I37" s="79">
        <v>338.04</v>
      </c>
      <c r="J37" s="51">
        <f t="shared" si="3"/>
        <v>7.2053786629455885E-2</v>
      </c>
      <c r="K37" s="49">
        <f t="shared" si="4"/>
        <v>22.720000000000031</v>
      </c>
    </row>
    <row r="38" spans="1:14" x14ac:dyDescent="0.35">
      <c r="A38">
        <v>821</v>
      </c>
      <c r="F38" s="12">
        <f t="shared" si="5"/>
        <v>11.268000000000001</v>
      </c>
      <c r="H38">
        <v>315.32</v>
      </c>
      <c r="I38" s="79">
        <v>338.04</v>
      </c>
      <c r="J38" s="51">
        <f t="shared" si="3"/>
        <v>7.2053786629455885E-2</v>
      </c>
      <c r="K38" s="49">
        <f t="shared" si="4"/>
        <v>22.720000000000031</v>
      </c>
    </row>
    <row r="39" spans="1:14" x14ac:dyDescent="0.35">
      <c r="A39">
        <v>891</v>
      </c>
      <c r="D39" t="s">
        <v>875</v>
      </c>
      <c r="F39" s="12">
        <f t="shared" si="5"/>
        <v>6.5520000000000005</v>
      </c>
      <c r="H39">
        <v>183.36</v>
      </c>
      <c r="I39" s="79">
        <v>196.56</v>
      </c>
      <c r="J39" s="51">
        <f>SUM(I39-H39)/H39</f>
        <v>7.1989528795811455E-2</v>
      </c>
      <c r="K39" s="49">
        <f t="shared" si="4"/>
        <v>13.199999999999989</v>
      </c>
    </row>
    <row r="44" spans="1:14" x14ac:dyDescent="0.35">
      <c r="H44" t="s">
        <v>153</v>
      </c>
      <c r="J44" s="51">
        <f>AVERAGE(J2:J43)</f>
        <v>7.0070737341976566E-2</v>
      </c>
      <c r="K44" s="49">
        <f>AVERAGE(K2:K43)</f>
        <v>21.325217391304342</v>
      </c>
    </row>
    <row r="45" spans="1:14" ht="28.5" customHeight="1" x14ac:dyDescent="0.4">
      <c r="M45" s="62">
        <f>SUM(M2:M44)</f>
        <v>0</v>
      </c>
      <c r="N45" s="62">
        <f>SUM(N2:N44)</f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r:id="rId1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R295"/>
  <sheetViews>
    <sheetView workbookViewId="0"/>
  </sheetViews>
  <sheetFormatPr defaultColWidth="9.265625" defaultRowHeight="14.25" x14ac:dyDescent="0.45"/>
  <cols>
    <col min="1" max="1" width="25.3984375" style="1" customWidth="1"/>
    <col min="2" max="2" width="14.265625" style="1" customWidth="1"/>
    <col min="3" max="3" width="16.3984375" style="1" customWidth="1"/>
    <col min="4" max="4" width="20.1328125" style="1" customWidth="1"/>
    <col min="5" max="5" width="23" style="1" customWidth="1"/>
    <col min="6" max="7" width="14.73046875" style="13" customWidth="1"/>
    <col min="8" max="8" width="14.73046875" style="11" customWidth="1"/>
    <col min="9" max="9" width="14.73046875" style="52" customWidth="1"/>
    <col min="10" max="10" width="14.73046875" style="70" customWidth="1"/>
    <col min="11" max="11" width="14.73046875" style="52" customWidth="1"/>
    <col min="12" max="12" width="13.73046875" style="36" customWidth="1"/>
    <col min="13" max="13" width="24.86328125" style="11" customWidth="1"/>
    <col min="14" max="14" width="27.1328125" style="11" customWidth="1"/>
    <col min="15" max="15" width="18.86328125" style="1" customWidth="1"/>
    <col min="16" max="16384" width="9.265625" style="1"/>
  </cols>
  <sheetData>
    <row r="1" spans="1:15" ht="14.1" customHeight="1" x14ac:dyDescent="0.45">
      <c r="A1" s="1" t="s">
        <v>876</v>
      </c>
      <c r="B1" s="1" t="s">
        <v>1</v>
      </c>
      <c r="C1" s="1" t="s">
        <v>2</v>
      </c>
      <c r="D1" s="1" t="s">
        <v>877</v>
      </c>
      <c r="E1" s="1" t="s">
        <v>4</v>
      </c>
      <c r="F1" s="13" t="s">
        <v>5</v>
      </c>
      <c r="G1" s="13" t="s">
        <v>878</v>
      </c>
      <c r="H1" s="11" t="s">
        <v>7</v>
      </c>
      <c r="I1" s="52" t="s">
        <v>8</v>
      </c>
      <c r="J1" s="70" t="s">
        <v>9</v>
      </c>
      <c r="K1" s="50" t="s">
        <v>10</v>
      </c>
      <c r="L1" s="36" t="s">
        <v>11</v>
      </c>
      <c r="M1" s="11" t="s">
        <v>12</v>
      </c>
      <c r="N1" s="11" t="s">
        <v>13</v>
      </c>
      <c r="O1" s="11" t="s">
        <v>164</v>
      </c>
    </row>
    <row r="2" spans="1:15" ht="14.1" customHeight="1" x14ac:dyDescent="0.45">
      <c r="D2" s="3"/>
      <c r="F2" s="13">
        <v>0</v>
      </c>
      <c r="L2" s="36">
        <v>0</v>
      </c>
      <c r="M2" s="11">
        <f t="shared" ref="M2:M33" si="0">SUM(L2*F2)</f>
        <v>0</v>
      </c>
      <c r="N2" s="11">
        <f>SUM(M2*0.35+M2)</f>
        <v>0</v>
      </c>
    </row>
    <row r="3" spans="1:15" ht="14.1" customHeight="1" x14ac:dyDescent="0.45">
      <c r="M3" s="11">
        <f t="shared" si="0"/>
        <v>0</v>
      </c>
      <c r="N3" s="11">
        <f t="shared" ref="N3:N66" si="1">SUM(M3*0.35+M3)</f>
        <v>0</v>
      </c>
    </row>
    <row r="4" spans="1:15" ht="14.1" customHeight="1" x14ac:dyDescent="0.45">
      <c r="M4" s="11">
        <f t="shared" si="0"/>
        <v>0</v>
      </c>
      <c r="N4" s="11">
        <f t="shared" si="1"/>
        <v>0</v>
      </c>
    </row>
    <row r="5" spans="1:15" ht="14.1" customHeight="1" x14ac:dyDescent="0.45">
      <c r="M5" s="11">
        <f t="shared" si="0"/>
        <v>0</v>
      </c>
      <c r="N5" s="11">
        <f t="shared" si="1"/>
        <v>0</v>
      </c>
    </row>
    <row r="6" spans="1:15" ht="14.1" customHeight="1" x14ac:dyDescent="0.45">
      <c r="M6" s="11">
        <f t="shared" si="0"/>
        <v>0</v>
      </c>
      <c r="N6" s="11">
        <f t="shared" si="1"/>
        <v>0</v>
      </c>
    </row>
    <row r="7" spans="1:15" ht="14.1" customHeight="1" x14ac:dyDescent="0.45">
      <c r="M7" s="11">
        <f t="shared" si="0"/>
        <v>0</v>
      </c>
      <c r="N7" s="11">
        <f t="shared" si="1"/>
        <v>0</v>
      </c>
    </row>
    <row r="8" spans="1:15" ht="14.1" customHeight="1" x14ac:dyDescent="0.45">
      <c r="M8" s="11">
        <f t="shared" si="0"/>
        <v>0</v>
      </c>
      <c r="N8" s="11">
        <f t="shared" si="1"/>
        <v>0</v>
      </c>
    </row>
    <row r="9" spans="1:15" ht="14.1" customHeight="1" x14ac:dyDescent="0.45">
      <c r="M9" s="11">
        <f t="shared" si="0"/>
        <v>0</v>
      </c>
      <c r="N9" s="11">
        <f t="shared" si="1"/>
        <v>0</v>
      </c>
    </row>
    <row r="10" spans="1:15" ht="14.1" customHeight="1" x14ac:dyDescent="0.45">
      <c r="M10" s="11">
        <f t="shared" si="0"/>
        <v>0</v>
      </c>
      <c r="N10" s="11">
        <f t="shared" si="1"/>
        <v>0</v>
      </c>
    </row>
    <row r="11" spans="1:15" ht="14.1" customHeight="1" x14ac:dyDescent="0.45">
      <c r="D11" s="3"/>
      <c r="M11" s="11">
        <f t="shared" si="0"/>
        <v>0</v>
      </c>
      <c r="N11" s="1">
        <f t="shared" si="1"/>
        <v>0</v>
      </c>
    </row>
    <row r="12" spans="1:15" ht="14.1" customHeight="1" x14ac:dyDescent="0.45">
      <c r="M12" s="11">
        <f t="shared" si="0"/>
        <v>0</v>
      </c>
      <c r="N12" s="11">
        <f t="shared" si="1"/>
        <v>0</v>
      </c>
    </row>
    <row r="13" spans="1:15" ht="14.1" customHeight="1" x14ac:dyDescent="0.45">
      <c r="M13" s="11">
        <f t="shared" si="0"/>
        <v>0</v>
      </c>
      <c r="N13" s="11">
        <f t="shared" si="1"/>
        <v>0</v>
      </c>
    </row>
    <row r="14" spans="1:15" ht="14.1" customHeight="1" x14ac:dyDescent="0.45">
      <c r="M14" s="11">
        <f t="shared" si="0"/>
        <v>0</v>
      </c>
      <c r="N14" s="11">
        <f t="shared" si="1"/>
        <v>0</v>
      </c>
    </row>
    <row r="15" spans="1:15" ht="14.1" customHeight="1" x14ac:dyDescent="0.45">
      <c r="M15" s="11">
        <f t="shared" si="0"/>
        <v>0</v>
      </c>
      <c r="N15" s="11">
        <f t="shared" si="1"/>
        <v>0</v>
      </c>
    </row>
    <row r="16" spans="1:15" ht="14.1" customHeight="1" x14ac:dyDescent="0.45">
      <c r="D16" s="17"/>
      <c r="M16" s="11">
        <f t="shared" si="0"/>
        <v>0</v>
      </c>
      <c r="N16" s="11">
        <f t="shared" si="1"/>
        <v>0</v>
      </c>
    </row>
    <row r="17" spans="3:14" ht="14.1" customHeight="1" x14ac:dyDescent="0.45">
      <c r="M17" s="11">
        <f t="shared" si="0"/>
        <v>0</v>
      </c>
      <c r="N17" s="11">
        <f t="shared" si="1"/>
        <v>0</v>
      </c>
    </row>
    <row r="18" spans="3:14" ht="14.1" customHeight="1" x14ac:dyDescent="0.45">
      <c r="M18" s="11">
        <f t="shared" si="0"/>
        <v>0</v>
      </c>
      <c r="N18" s="11">
        <f t="shared" si="1"/>
        <v>0</v>
      </c>
    </row>
    <row r="19" spans="3:14" ht="14.1" customHeight="1" x14ac:dyDescent="0.45">
      <c r="M19" s="11">
        <f t="shared" si="0"/>
        <v>0</v>
      </c>
      <c r="N19" s="11">
        <f t="shared" si="1"/>
        <v>0</v>
      </c>
    </row>
    <row r="20" spans="3:14" ht="14.1" customHeight="1" x14ac:dyDescent="0.45">
      <c r="M20" s="11">
        <f t="shared" si="0"/>
        <v>0</v>
      </c>
      <c r="N20" s="11">
        <f t="shared" si="1"/>
        <v>0</v>
      </c>
    </row>
    <row r="21" spans="3:14" ht="14.1" customHeight="1" x14ac:dyDescent="0.45">
      <c r="M21" s="11">
        <f t="shared" si="0"/>
        <v>0</v>
      </c>
      <c r="N21" s="11">
        <f t="shared" si="1"/>
        <v>0</v>
      </c>
    </row>
    <row r="22" spans="3:14" ht="14.1" customHeight="1" x14ac:dyDescent="0.45">
      <c r="M22" s="11">
        <f t="shared" si="0"/>
        <v>0</v>
      </c>
      <c r="N22" s="11">
        <f t="shared" si="1"/>
        <v>0</v>
      </c>
    </row>
    <row r="23" spans="3:14" ht="14.1" customHeight="1" x14ac:dyDescent="0.45">
      <c r="D23" s="3"/>
      <c r="M23" s="11">
        <f t="shared" si="0"/>
        <v>0</v>
      </c>
      <c r="N23" s="11">
        <f t="shared" si="1"/>
        <v>0</v>
      </c>
    </row>
    <row r="24" spans="3:14" ht="14.1" customHeight="1" x14ac:dyDescent="0.45">
      <c r="F24" s="44"/>
      <c r="G24" s="44"/>
      <c r="H24" s="22"/>
      <c r="I24" s="81"/>
      <c r="J24" s="80"/>
      <c r="K24" s="81"/>
      <c r="M24" s="11">
        <f t="shared" si="0"/>
        <v>0</v>
      </c>
      <c r="N24" s="11">
        <f t="shared" si="1"/>
        <v>0</v>
      </c>
    </row>
    <row r="25" spans="3:14" ht="14.1" customHeight="1" x14ac:dyDescent="0.45">
      <c r="M25" s="11">
        <f t="shared" si="0"/>
        <v>0</v>
      </c>
      <c r="N25" s="11">
        <f t="shared" si="1"/>
        <v>0</v>
      </c>
    </row>
    <row r="26" spans="3:14" ht="14.1" customHeight="1" x14ac:dyDescent="0.45">
      <c r="D26" s="10"/>
      <c r="M26" s="11">
        <f t="shared" si="0"/>
        <v>0</v>
      </c>
      <c r="N26" s="11">
        <f t="shared" si="1"/>
        <v>0</v>
      </c>
    </row>
    <row r="27" spans="3:14" ht="14.1" customHeight="1" x14ac:dyDescent="0.45">
      <c r="M27" s="11">
        <f t="shared" si="0"/>
        <v>0</v>
      </c>
      <c r="N27" s="11">
        <f t="shared" si="1"/>
        <v>0</v>
      </c>
    </row>
    <row r="28" spans="3:14" ht="14.1" customHeight="1" x14ac:dyDescent="0.45">
      <c r="M28" s="11">
        <f t="shared" si="0"/>
        <v>0</v>
      </c>
      <c r="N28" s="11">
        <f t="shared" si="1"/>
        <v>0</v>
      </c>
    </row>
    <row r="29" spans="3:14" ht="14.1" customHeight="1" x14ac:dyDescent="0.45">
      <c r="M29" s="11">
        <f t="shared" si="0"/>
        <v>0</v>
      </c>
      <c r="N29" s="11">
        <f t="shared" si="1"/>
        <v>0</v>
      </c>
    </row>
    <row r="30" spans="3:14" ht="14.1" customHeight="1" x14ac:dyDescent="0.45">
      <c r="C30"/>
      <c r="M30" s="11">
        <f t="shared" si="0"/>
        <v>0</v>
      </c>
      <c r="N30" s="11">
        <f t="shared" si="1"/>
        <v>0</v>
      </c>
    </row>
    <row r="31" spans="3:14" ht="14.1" customHeight="1" x14ac:dyDescent="0.45">
      <c r="M31" s="11">
        <f t="shared" si="0"/>
        <v>0</v>
      </c>
      <c r="N31" s="11">
        <f t="shared" si="1"/>
        <v>0</v>
      </c>
    </row>
    <row r="32" spans="3:14" ht="14.1" customHeight="1" x14ac:dyDescent="0.45">
      <c r="M32" s="11">
        <f t="shared" si="0"/>
        <v>0</v>
      </c>
      <c r="N32" s="11">
        <f t="shared" si="1"/>
        <v>0</v>
      </c>
    </row>
    <row r="33" spans="1:14" ht="14.1" customHeight="1" x14ac:dyDescent="0.45">
      <c r="A33" s="16"/>
      <c r="B33" s="20"/>
      <c r="C33" s="20"/>
      <c r="D33"/>
      <c r="M33" s="11">
        <f t="shared" si="0"/>
        <v>0</v>
      </c>
      <c r="N33" s="11">
        <f t="shared" si="1"/>
        <v>0</v>
      </c>
    </row>
    <row r="34" spans="1:14" ht="14.1" customHeight="1" x14ac:dyDescent="0.45">
      <c r="A34" s="16"/>
      <c r="B34" s="20"/>
      <c r="C34" s="20"/>
      <c r="D34"/>
      <c r="M34" s="11">
        <f t="shared" ref="M34:M65" si="2">SUM(L34*F34)</f>
        <v>0</v>
      </c>
      <c r="N34" s="11">
        <f t="shared" si="1"/>
        <v>0</v>
      </c>
    </row>
    <row r="35" spans="1:14" ht="14.1" customHeight="1" x14ac:dyDescent="0.45">
      <c r="A35" s="16"/>
      <c r="B35" s="20"/>
      <c r="C35" s="20"/>
      <c r="D35"/>
      <c r="M35" s="11">
        <f t="shared" si="2"/>
        <v>0</v>
      </c>
      <c r="N35" s="11">
        <f t="shared" si="1"/>
        <v>0</v>
      </c>
    </row>
    <row r="36" spans="1:14" ht="14.1" customHeight="1" x14ac:dyDescent="0.45">
      <c r="A36" s="16"/>
      <c r="B36" s="16"/>
      <c r="M36" s="11">
        <f t="shared" si="2"/>
        <v>0</v>
      </c>
      <c r="N36" s="11">
        <f t="shared" si="1"/>
        <v>0</v>
      </c>
    </row>
    <row r="37" spans="1:14" ht="14.1" customHeight="1" x14ac:dyDescent="0.45">
      <c r="A37" s="16"/>
      <c r="B37" s="16"/>
      <c r="C37" s="16"/>
      <c r="M37" s="11">
        <f t="shared" si="2"/>
        <v>0</v>
      </c>
      <c r="N37" s="11">
        <f t="shared" si="1"/>
        <v>0</v>
      </c>
    </row>
    <row r="38" spans="1:14" ht="14.1" customHeight="1" x14ac:dyDescent="0.45">
      <c r="A38" s="16"/>
      <c r="B38" s="16"/>
      <c r="M38" s="11">
        <f t="shared" si="2"/>
        <v>0</v>
      </c>
      <c r="N38" s="11">
        <f t="shared" si="1"/>
        <v>0</v>
      </c>
    </row>
    <row r="39" spans="1:14" ht="14.1" customHeight="1" x14ac:dyDescent="0.45">
      <c r="M39" s="11">
        <f t="shared" si="2"/>
        <v>0</v>
      </c>
      <c r="N39" s="11">
        <f t="shared" si="1"/>
        <v>0</v>
      </c>
    </row>
    <row r="40" spans="1:14" ht="14.1" customHeight="1" x14ac:dyDescent="0.45">
      <c r="A40" s="16"/>
      <c r="C40" s="16"/>
      <c r="D40" s="19"/>
      <c r="M40" s="11">
        <f t="shared" si="2"/>
        <v>0</v>
      </c>
      <c r="N40" s="11">
        <f t="shared" si="1"/>
        <v>0</v>
      </c>
    </row>
    <row r="41" spans="1:14" ht="14.1" customHeight="1" x14ac:dyDescent="0.45">
      <c r="M41" s="11">
        <f t="shared" si="2"/>
        <v>0</v>
      </c>
      <c r="N41" s="11">
        <f t="shared" si="1"/>
        <v>0</v>
      </c>
    </row>
    <row r="42" spans="1:14" ht="14.1" customHeight="1" x14ac:dyDescent="0.45">
      <c r="M42" s="11">
        <f t="shared" si="2"/>
        <v>0</v>
      </c>
      <c r="N42" s="11">
        <f t="shared" si="1"/>
        <v>0</v>
      </c>
    </row>
    <row r="43" spans="1:14" ht="14.1" customHeight="1" x14ac:dyDescent="0.45">
      <c r="M43" s="11">
        <f t="shared" si="2"/>
        <v>0</v>
      </c>
      <c r="N43" s="11">
        <f t="shared" si="1"/>
        <v>0</v>
      </c>
    </row>
    <row r="44" spans="1:14" ht="14.1" customHeight="1" x14ac:dyDescent="0.45">
      <c r="A44" s="16"/>
      <c r="M44" s="11">
        <f t="shared" si="2"/>
        <v>0</v>
      </c>
      <c r="N44" s="11">
        <f t="shared" si="1"/>
        <v>0</v>
      </c>
    </row>
    <row r="45" spans="1:14" ht="14.1" customHeight="1" x14ac:dyDescent="0.45">
      <c r="M45" s="11">
        <f t="shared" si="2"/>
        <v>0</v>
      </c>
      <c r="N45" s="11">
        <f t="shared" si="1"/>
        <v>0</v>
      </c>
    </row>
    <row r="46" spans="1:14" ht="14.1" customHeight="1" x14ac:dyDescent="0.45">
      <c r="M46" s="11">
        <f t="shared" si="2"/>
        <v>0</v>
      </c>
      <c r="N46" s="11">
        <f t="shared" si="1"/>
        <v>0</v>
      </c>
    </row>
    <row r="47" spans="1:14" ht="14.1" customHeight="1" x14ac:dyDescent="0.45">
      <c r="M47" s="11">
        <f t="shared" si="2"/>
        <v>0</v>
      </c>
      <c r="N47" s="11">
        <f t="shared" si="1"/>
        <v>0</v>
      </c>
    </row>
    <row r="48" spans="1:14" ht="14.1" customHeight="1" x14ac:dyDescent="0.45">
      <c r="A48" s="16"/>
      <c r="B48" s="16"/>
      <c r="M48" s="11">
        <f t="shared" si="2"/>
        <v>0</v>
      </c>
      <c r="N48" s="11">
        <f t="shared" si="1"/>
        <v>0</v>
      </c>
    </row>
    <row r="49" spans="1:14" ht="14.1" customHeight="1" x14ac:dyDescent="0.45">
      <c r="M49" s="11">
        <f t="shared" si="2"/>
        <v>0</v>
      </c>
      <c r="N49" s="11">
        <f t="shared" si="1"/>
        <v>0</v>
      </c>
    </row>
    <row r="50" spans="1:14" ht="14.1" customHeight="1" x14ac:dyDescent="0.45">
      <c r="M50" s="11">
        <f t="shared" si="2"/>
        <v>0</v>
      </c>
      <c r="N50" s="11">
        <f t="shared" si="1"/>
        <v>0</v>
      </c>
    </row>
    <row r="51" spans="1:14" ht="14.1" customHeight="1" x14ac:dyDescent="0.45">
      <c r="M51" s="11">
        <f t="shared" si="2"/>
        <v>0</v>
      </c>
      <c r="N51" s="11">
        <f t="shared" si="1"/>
        <v>0</v>
      </c>
    </row>
    <row r="52" spans="1:14" ht="14.1" customHeight="1" x14ac:dyDescent="0.45">
      <c r="A52" s="16"/>
      <c r="B52" s="16"/>
      <c r="C52" s="16"/>
      <c r="M52" s="11">
        <f t="shared" si="2"/>
        <v>0</v>
      </c>
      <c r="N52" s="11">
        <f t="shared" si="1"/>
        <v>0</v>
      </c>
    </row>
    <row r="53" spans="1:14" ht="14.1" customHeight="1" x14ac:dyDescent="0.45">
      <c r="M53" s="11">
        <f t="shared" si="2"/>
        <v>0</v>
      </c>
      <c r="N53" s="11">
        <f t="shared" si="1"/>
        <v>0</v>
      </c>
    </row>
    <row r="54" spans="1:14" ht="14.1" customHeight="1" x14ac:dyDescent="0.45">
      <c r="A54" s="16"/>
      <c r="D54" s="3"/>
      <c r="M54" s="11">
        <f t="shared" si="2"/>
        <v>0</v>
      </c>
      <c r="N54" s="11">
        <f t="shared" si="1"/>
        <v>0</v>
      </c>
    </row>
    <row r="55" spans="1:14" ht="14.1" customHeight="1" x14ac:dyDescent="0.45">
      <c r="M55" s="11">
        <f t="shared" si="2"/>
        <v>0</v>
      </c>
      <c r="N55" s="11">
        <f t="shared" si="1"/>
        <v>0</v>
      </c>
    </row>
    <row r="56" spans="1:14" ht="14.1" customHeight="1" x14ac:dyDescent="0.45">
      <c r="M56" s="11">
        <f t="shared" si="2"/>
        <v>0</v>
      </c>
      <c r="N56" s="11">
        <f t="shared" si="1"/>
        <v>0</v>
      </c>
    </row>
    <row r="57" spans="1:14" ht="14.1" customHeight="1" x14ac:dyDescent="0.45">
      <c r="M57" s="11">
        <f t="shared" si="2"/>
        <v>0</v>
      </c>
      <c r="N57" s="11">
        <f t="shared" si="1"/>
        <v>0</v>
      </c>
    </row>
    <row r="58" spans="1:14" ht="14.1" customHeight="1" x14ac:dyDescent="0.45">
      <c r="M58" s="11">
        <f t="shared" si="2"/>
        <v>0</v>
      </c>
      <c r="N58" s="11">
        <f t="shared" si="1"/>
        <v>0</v>
      </c>
    </row>
    <row r="59" spans="1:14" ht="14.1" customHeight="1" x14ac:dyDescent="0.45">
      <c r="A59" s="16"/>
      <c r="B59" s="16"/>
      <c r="M59" s="11">
        <f t="shared" si="2"/>
        <v>0</v>
      </c>
      <c r="N59" s="11">
        <f t="shared" si="1"/>
        <v>0</v>
      </c>
    </row>
    <row r="60" spans="1:14" ht="14.1" customHeight="1" x14ac:dyDescent="0.45">
      <c r="M60" s="11">
        <f t="shared" si="2"/>
        <v>0</v>
      </c>
      <c r="N60" s="11">
        <f t="shared" si="1"/>
        <v>0</v>
      </c>
    </row>
    <row r="61" spans="1:14" ht="14.1" customHeight="1" x14ac:dyDescent="0.45">
      <c r="M61" s="11">
        <f t="shared" si="2"/>
        <v>0</v>
      </c>
      <c r="N61" s="11">
        <f t="shared" si="1"/>
        <v>0</v>
      </c>
    </row>
    <row r="62" spans="1:14" ht="14.1" customHeight="1" x14ac:dyDescent="0.45">
      <c r="D62" s="3"/>
      <c r="M62" s="11">
        <f t="shared" si="2"/>
        <v>0</v>
      </c>
      <c r="N62" s="11">
        <f t="shared" si="1"/>
        <v>0</v>
      </c>
    </row>
    <row r="63" spans="1:14" ht="14.1" customHeight="1" x14ac:dyDescent="0.45">
      <c r="M63" s="11">
        <f t="shared" si="2"/>
        <v>0</v>
      </c>
      <c r="N63" s="11">
        <f t="shared" si="1"/>
        <v>0</v>
      </c>
    </row>
    <row r="64" spans="1:14" ht="14.1" customHeight="1" x14ac:dyDescent="0.45">
      <c r="M64" s="11">
        <f t="shared" si="2"/>
        <v>0</v>
      </c>
      <c r="N64" s="11">
        <f t="shared" si="1"/>
        <v>0</v>
      </c>
    </row>
    <row r="65" spans="1:252" ht="14.1" customHeight="1" x14ac:dyDescent="0.45">
      <c r="M65" s="11">
        <f t="shared" si="2"/>
        <v>0</v>
      </c>
      <c r="N65" s="11">
        <f t="shared" si="1"/>
        <v>0</v>
      </c>
    </row>
    <row r="66" spans="1:252" ht="14.1" customHeight="1" x14ac:dyDescent="0.45">
      <c r="M66" s="11">
        <f t="shared" ref="M66:M74" si="3">SUM(L66*F66)</f>
        <v>0</v>
      </c>
      <c r="N66" s="11">
        <f t="shared" si="1"/>
        <v>0</v>
      </c>
    </row>
    <row r="67" spans="1:252" ht="14.1" customHeight="1" x14ac:dyDescent="0.45">
      <c r="M67" s="11">
        <f t="shared" si="3"/>
        <v>0</v>
      </c>
      <c r="N67" s="11">
        <f t="shared" ref="N67:N74" si="4">SUM(M67*0.35+M67)</f>
        <v>0</v>
      </c>
    </row>
    <row r="68" spans="1:252" ht="14.1" customHeight="1" x14ac:dyDescent="0.45">
      <c r="M68" s="11">
        <f t="shared" si="3"/>
        <v>0</v>
      </c>
      <c r="N68" s="11">
        <f t="shared" si="4"/>
        <v>0</v>
      </c>
    </row>
    <row r="69" spans="1:252" ht="14.1" customHeight="1" x14ac:dyDescent="0.45">
      <c r="A69"/>
      <c r="B69"/>
      <c r="C69"/>
      <c r="D69" s="6"/>
      <c r="E69"/>
      <c r="F69" s="14"/>
      <c r="G69" s="14"/>
      <c r="H69" s="12"/>
      <c r="I69" s="49"/>
      <c r="J69" s="51"/>
      <c r="K69" s="49"/>
      <c r="L69" s="37"/>
      <c r="M69" s="12">
        <f t="shared" si="3"/>
        <v>0</v>
      </c>
      <c r="N69" s="12">
        <f t="shared" si="4"/>
        <v>0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</row>
    <row r="70" spans="1:252" ht="14.1" customHeight="1" x14ac:dyDescent="0.45">
      <c r="M70" s="11">
        <f t="shared" si="3"/>
        <v>0</v>
      </c>
      <c r="N70" s="11">
        <f t="shared" si="4"/>
        <v>0</v>
      </c>
    </row>
    <row r="71" spans="1:252" ht="14.1" customHeight="1" x14ac:dyDescent="0.45">
      <c r="M71" s="11">
        <f t="shared" si="3"/>
        <v>0</v>
      </c>
      <c r="N71" s="11">
        <f t="shared" si="4"/>
        <v>0</v>
      </c>
    </row>
    <row r="72" spans="1:252" ht="14.1" customHeight="1" x14ac:dyDescent="0.45">
      <c r="M72" s="11">
        <f t="shared" si="3"/>
        <v>0</v>
      </c>
      <c r="N72" s="11">
        <f t="shared" si="4"/>
        <v>0</v>
      </c>
    </row>
    <row r="73" spans="1:252" ht="14.1" customHeight="1" x14ac:dyDescent="0.45">
      <c r="D73" s="3"/>
      <c r="M73" s="11">
        <f t="shared" si="3"/>
        <v>0</v>
      </c>
      <c r="N73" s="11">
        <f t="shared" si="4"/>
        <v>0</v>
      </c>
    </row>
    <row r="74" spans="1:252" ht="14.1" customHeight="1" x14ac:dyDescent="0.45">
      <c r="M74" s="11">
        <f t="shared" si="3"/>
        <v>0</v>
      </c>
      <c r="N74" s="11">
        <f t="shared" si="4"/>
        <v>0</v>
      </c>
    </row>
    <row r="75" spans="1:252" ht="33.75" customHeight="1" x14ac:dyDescent="0.65">
      <c r="M75" s="11">
        <f>SUM(M2:M74)</f>
        <v>0</v>
      </c>
      <c r="N75" s="38">
        <f>SUM(N2:N74)</f>
        <v>0</v>
      </c>
    </row>
    <row r="76" spans="1:252" ht="14.1" customHeight="1" x14ac:dyDescent="0.45"/>
    <row r="77" spans="1:252" ht="14.1" customHeight="1" x14ac:dyDescent="0.45"/>
    <row r="78" spans="1:252" ht="14.1" customHeight="1" x14ac:dyDescent="0.45"/>
    <row r="79" spans="1:252" ht="14.1" customHeight="1" x14ac:dyDescent="0.45"/>
    <row r="80" spans="1:252" ht="14.1" customHeight="1" x14ac:dyDescent="0.45"/>
    <row r="81" spans="4:4" ht="14.1" customHeight="1" x14ac:dyDescent="0.45"/>
    <row r="82" spans="4:4" ht="14.1" customHeight="1" x14ac:dyDescent="0.45"/>
    <row r="83" spans="4:4" ht="14.1" customHeight="1" x14ac:dyDescent="0.45"/>
    <row r="84" spans="4:4" ht="14.1" customHeight="1" x14ac:dyDescent="0.45"/>
    <row r="85" spans="4:4" ht="14.1" customHeight="1" x14ac:dyDescent="0.45"/>
    <row r="86" spans="4:4" ht="14.1" customHeight="1" x14ac:dyDescent="0.45"/>
    <row r="87" spans="4:4" ht="14.1" customHeight="1" x14ac:dyDescent="0.45"/>
    <row r="88" spans="4:4" ht="14.1" customHeight="1" x14ac:dyDescent="0.45">
      <c r="D88" s="3"/>
    </row>
    <row r="89" spans="4:4" ht="14.1" customHeight="1" x14ac:dyDescent="0.45"/>
    <row r="90" spans="4:4" ht="14.1" customHeight="1" x14ac:dyDescent="0.45"/>
    <row r="91" spans="4:4" ht="14.1" customHeight="1" x14ac:dyDescent="0.45"/>
    <row r="92" spans="4:4" ht="14.1" customHeight="1" x14ac:dyDescent="0.45">
      <c r="D92" s="18"/>
    </row>
    <row r="93" spans="4:4" ht="14.1" customHeight="1" x14ac:dyDescent="0.45"/>
    <row r="94" spans="4:4" ht="14.1" customHeight="1" x14ac:dyDescent="0.45">
      <c r="D94" s="3"/>
    </row>
    <row r="95" spans="4:4" ht="14.1" customHeight="1" x14ac:dyDescent="0.45"/>
    <row r="96" spans="4:4" ht="14.1" customHeight="1" x14ac:dyDescent="0.45"/>
    <row r="97" spans="1:4" ht="14.1" customHeight="1" x14ac:dyDescent="0.45"/>
    <row r="98" spans="1:4" ht="14.1" customHeight="1" x14ac:dyDescent="0.45"/>
    <row r="99" spans="1:4" ht="14.1" customHeight="1" x14ac:dyDescent="0.45"/>
    <row r="100" spans="1:4" ht="14.1" customHeight="1" x14ac:dyDescent="0.45"/>
    <row r="101" spans="1:4" ht="14.1" customHeight="1" x14ac:dyDescent="0.45">
      <c r="D101" s="3"/>
    </row>
    <row r="102" spans="1:4" ht="14.1" customHeight="1" x14ac:dyDescent="0.45">
      <c r="A102" s="2"/>
    </row>
    <row r="103" spans="1:4" ht="14.1" customHeight="1" x14ac:dyDescent="0.45">
      <c r="A103" s="2"/>
    </row>
    <row r="104" spans="1:4" ht="14.1" customHeight="1" x14ac:dyDescent="0.45"/>
    <row r="105" spans="1:4" ht="14.1" customHeight="1" x14ac:dyDescent="0.45"/>
    <row r="106" spans="1:4" ht="14.1" customHeight="1" x14ac:dyDescent="0.45"/>
    <row r="107" spans="1:4" ht="14.1" customHeight="1" x14ac:dyDescent="0.45"/>
    <row r="108" spans="1:4" ht="14.1" customHeight="1" x14ac:dyDescent="0.45">
      <c r="C108" s="9"/>
    </row>
    <row r="109" spans="1:4" ht="14.1" customHeight="1" x14ac:dyDescent="0.45"/>
    <row r="110" spans="1:4" ht="14.1" customHeight="1" x14ac:dyDescent="0.45"/>
    <row r="111" spans="1:4" ht="14.1" customHeight="1" x14ac:dyDescent="0.45"/>
    <row r="112" spans="1:4" ht="14.1" customHeight="1" x14ac:dyDescent="0.45"/>
    <row r="113" ht="14.1" customHeight="1" x14ac:dyDescent="0.45"/>
    <row r="114" ht="14.1" customHeight="1" x14ac:dyDescent="0.45"/>
    <row r="115" ht="14.1" customHeight="1" x14ac:dyDescent="0.45"/>
    <row r="116" ht="14.1" customHeight="1" x14ac:dyDescent="0.45"/>
    <row r="117" ht="14.1" customHeight="1" x14ac:dyDescent="0.45"/>
    <row r="118" ht="14.1" customHeight="1" x14ac:dyDescent="0.45"/>
    <row r="119" ht="14.1" customHeight="1" x14ac:dyDescent="0.45"/>
    <row r="120" ht="14.1" customHeight="1" x14ac:dyDescent="0.45"/>
    <row r="121" ht="14.1" customHeight="1" x14ac:dyDescent="0.45"/>
    <row r="122" ht="14.1" customHeight="1" x14ac:dyDescent="0.45"/>
    <row r="123" ht="14.1" customHeight="1" x14ac:dyDescent="0.45"/>
    <row r="124" ht="14.1" customHeight="1" x14ac:dyDescent="0.45"/>
    <row r="125" ht="14.1" customHeight="1" x14ac:dyDescent="0.45"/>
    <row r="126" ht="14.1" customHeight="1" x14ac:dyDescent="0.45"/>
    <row r="127" ht="14.1" customHeight="1" x14ac:dyDescent="0.45"/>
    <row r="128" ht="14.1" customHeight="1" x14ac:dyDescent="0.45"/>
    <row r="129" spans="1:4" ht="14.1" customHeight="1" x14ac:dyDescent="0.45"/>
    <row r="130" spans="1:4" ht="14.1" customHeight="1" x14ac:dyDescent="0.45"/>
    <row r="131" spans="1:4" ht="14.1" customHeight="1" x14ac:dyDescent="0.45"/>
    <row r="132" spans="1:4" ht="14.1" customHeight="1" x14ac:dyDescent="0.45"/>
    <row r="133" spans="1:4" ht="14.1" customHeight="1" x14ac:dyDescent="0.45"/>
    <row r="134" spans="1:4" ht="14.1" customHeight="1" x14ac:dyDescent="0.45"/>
    <row r="135" spans="1:4" ht="14.1" customHeight="1" x14ac:dyDescent="0.45"/>
    <row r="136" spans="1:4" ht="14.1" customHeight="1" x14ac:dyDescent="0.45"/>
    <row r="137" spans="1:4" ht="14.1" customHeight="1" x14ac:dyDescent="0.45">
      <c r="A137" s="16"/>
      <c r="B137" s="16"/>
      <c r="D137" s="15"/>
    </row>
    <row r="138" spans="1:4" ht="14.1" customHeight="1" x14ac:dyDescent="0.45"/>
    <row r="139" spans="1:4" ht="14.1" customHeight="1" x14ac:dyDescent="0.45"/>
    <row r="140" spans="1:4" ht="14.1" customHeight="1" x14ac:dyDescent="0.45"/>
    <row r="141" spans="1:4" ht="14.1" customHeight="1" x14ac:dyDescent="0.45"/>
    <row r="142" spans="1:4" ht="14.1" customHeight="1" x14ac:dyDescent="0.45"/>
    <row r="143" spans="1:4" ht="14.1" customHeight="1" x14ac:dyDescent="0.45"/>
    <row r="144" spans="1:4" ht="14.1" customHeight="1" x14ac:dyDescent="0.45"/>
    <row r="145" spans="4:4" ht="14.1" customHeight="1" x14ac:dyDescent="0.45"/>
    <row r="146" spans="4:4" ht="14.1" customHeight="1" x14ac:dyDescent="0.45"/>
    <row r="147" spans="4:4" ht="14.1" customHeight="1" x14ac:dyDescent="0.45"/>
    <row r="148" spans="4:4" ht="14.1" customHeight="1" x14ac:dyDescent="0.45"/>
    <row r="149" spans="4:4" ht="14.1" customHeight="1" x14ac:dyDescent="0.45">
      <c r="D149" s="3"/>
    </row>
    <row r="150" spans="4:4" ht="14.1" customHeight="1" x14ac:dyDescent="0.45"/>
    <row r="151" spans="4:4" ht="14.1" customHeight="1" x14ac:dyDescent="0.45"/>
    <row r="152" spans="4:4" ht="14.1" customHeight="1" x14ac:dyDescent="0.45"/>
    <row r="153" spans="4:4" ht="14.1" customHeight="1" x14ac:dyDescent="0.45"/>
    <row r="154" spans="4:4" ht="14.1" customHeight="1" x14ac:dyDescent="0.45"/>
    <row r="155" spans="4:4" ht="14.1" customHeight="1" x14ac:dyDescent="0.45"/>
    <row r="156" spans="4:4" ht="14.1" customHeight="1" x14ac:dyDescent="0.45"/>
    <row r="157" spans="4:4" ht="14.1" customHeight="1" x14ac:dyDescent="0.45"/>
    <row r="158" spans="4:4" ht="14.1" customHeight="1" x14ac:dyDescent="0.45">
      <c r="D158" s="3"/>
    </row>
    <row r="159" spans="4:4" ht="14.1" customHeight="1" x14ac:dyDescent="0.45"/>
    <row r="160" spans="4:4" ht="14.1" customHeight="1" x14ac:dyDescent="0.45"/>
    <row r="161" spans="4:4" ht="14.1" customHeight="1" x14ac:dyDescent="0.45"/>
    <row r="162" spans="4:4" ht="14.1" customHeight="1" x14ac:dyDescent="0.45"/>
    <row r="163" spans="4:4" ht="14.1" customHeight="1" x14ac:dyDescent="0.45"/>
    <row r="164" spans="4:4" ht="14.1" customHeight="1" x14ac:dyDescent="0.45"/>
    <row r="165" spans="4:4" ht="14.1" customHeight="1" x14ac:dyDescent="0.45"/>
    <row r="166" spans="4:4" ht="14.1" customHeight="1" x14ac:dyDescent="0.45">
      <c r="D166" s="15"/>
    </row>
    <row r="167" spans="4:4" ht="14.1" customHeight="1" x14ac:dyDescent="0.45"/>
    <row r="168" spans="4:4" ht="14.1" customHeight="1" x14ac:dyDescent="0.45"/>
    <row r="169" spans="4:4" ht="14.1" customHeight="1" x14ac:dyDescent="0.45"/>
    <row r="170" spans="4:4" ht="14.1" customHeight="1" x14ac:dyDescent="0.45"/>
    <row r="171" spans="4:4" ht="14.1" customHeight="1" x14ac:dyDescent="0.45"/>
    <row r="172" spans="4:4" ht="14.1" customHeight="1" x14ac:dyDescent="0.45">
      <c r="D172" s="3"/>
    </row>
    <row r="173" spans="4:4" ht="14.1" customHeight="1" x14ac:dyDescent="0.45"/>
    <row r="174" spans="4:4" ht="14.1" customHeight="1" x14ac:dyDescent="0.45"/>
    <row r="175" spans="4:4" ht="14.1" customHeight="1" x14ac:dyDescent="0.45"/>
    <row r="176" spans="4:4" ht="14.1" customHeight="1" x14ac:dyDescent="0.45"/>
    <row r="177" spans="2:4" ht="14.1" customHeight="1" x14ac:dyDescent="0.45">
      <c r="D177" s="3"/>
    </row>
    <row r="178" spans="2:4" ht="14.1" customHeight="1" x14ac:dyDescent="0.45"/>
    <row r="179" spans="2:4" ht="14.1" customHeight="1" x14ac:dyDescent="0.45"/>
    <row r="180" spans="2:4" ht="14.1" customHeight="1" x14ac:dyDescent="0.45"/>
    <row r="181" spans="2:4" ht="14.1" customHeight="1" x14ac:dyDescent="0.45"/>
    <row r="182" spans="2:4" ht="14.1" customHeight="1" x14ac:dyDescent="0.45">
      <c r="D182" s="3"/>
    </row>
    <row r="183" spans="2:4" ht="14.1" customHeight="1" x14ac:dyDescent="0.45"/>
    <row r="184" spans="2:4" ht="14.1" customHeight="1" x14ac:dyDescent="0.45"/>
    <row r="185" spans="2:4" ht="14.1" customHeight="1" x14ac:dyDescent="0.45"/>
    <row r="186" spans="2:4" ht="14.1" customHeight="1" x14ac:dyDescent="0.45"/>
    <row r="187" spans="2:4" ht="14.1" customHeight="1" x14ac:dyDescent="0.45"/>
    <row r="188" spans="2:4" ht="14.1" customHeight="1" x14ac:dyDescent="0.45"/>
    <row r="189" spans="2:4" ht="14.1" customHeight="1" x14ac:dyDescent="0.45"/>
    <row r="190" spans="2:4" ht="14.1" customHeight="1" x14ac:dyDescent="0.45">
      <c r="D190" s="3"/>
    </row>
    <row r="191" spans="2:4" ht="14.1" customHeight="1" x14ac:dyDescent="0.45">
      <c r="B191" s="16"/>
    </row>
    <row r="192" spans="2:4" ht="14.1" customHeight="1" x14ac:dyDescent="0.45">
      <c r="B192" s="16"/>
    </row>
    <row r="193" spans="1:12" ht="14.1" customHeight="1" x14ac:dyDescent="0.45">
      <c r="B193" s="16"/>
    </row>
    <row r="194" spans="1:12" ht="14.1" customHeight="1" x14ac:dyDescent="0.45">
      <c r="B194" s="16"/>
      <c r="D194" s="15"/>
    </row>
    <row r="195" spans="1:12" ht="14.1" customHeight="1" x14ac:dyDescent="0.45">
      <c r="A195" s="16"/>
      <c r="B195" s="16"/>
    </row>
    <row r="196" spans="1:12" ht="14.1" customHeight="1" x14ac:dyDescent="0.45">
      <c r="A196" s="16"/>
      <c r="B196" s="16"/>
    </row>
    <row r="197" spans="1:12" ht="14.1" customHeight="1" x14ac:dyDescent="0.45">
      <c r="A197" s="16"/>
      <c r="B197" s="16"/>
    </row>
    <row r="198" spans="1:12" ht="14.1" customHeight="1" x14ac:dyDescent="0.45">
      <c r="B198" s="16"/>
    </row>
    <row r="199" spans="1:12" ht="14.1" customHeight="1" x14ac:dyDescent="0.45"/>
    <row r="200" spans="1:12" ht="14.1" customHeight="1" x14ac:dyDescent="0.45">
      <c r="D200" s="15"/>
    </row>
    <row r="201" spans="1:12" ht="14.1" customHeight="1" x14ac:dyDescent="0.45"/>
    <row r="202" spans="1:12" ht="14.1" customHeight="1" x14ac:dyDescent="0.45"/>
    <row r="203" spans="1:12" ht="14.1" customHeight="1" x14ac:dyDescent="0.45"/>
    <row r="204" spans="1:12" ht="14.1" customHeight="1" x14ac:dyDescent="0.45">
      <c r="A204" s="16"/>
      <c r="D204" s="3"/>
    </row>
    <row r="205" spans="1:12" ht="14.1" customHeight="1" x14ac:dyDescent="0.45"/>
    <row r="206" spans="1:12" ht="14.1" customHeight="1" x14ac:dyDescent="0.45">
      <c r="L206" s="37"/>
    </row>
    <row r="207" spans="1:12" ht="14.1" customHeight="1" x14ac:dyDescent="0.45">
      <c r="A207" s="16"/>
      <c r="B207" s="16"/>
      <c r="L207" s="37"/>
    </row>
    <row r="208" spans="1:12" ht="14.1" customHeight="1" x14ac:dyDescent="0.45"/>
    <row r="209" spans="1:14" ht="14.1" customHeight="1" x14ac:dyDescent="0.45"/>
    <row r="210" spans="1:14" ht="14.1" customHeight="1" x14ac:dyDescent="0.45">
      <c r="D210" s="15"/>
    </row>
    <row r="211" spans="1:14" ht="14.1" customHeight="1" x14ac:dyDescent="0.45">
      <c r="A211" s="16"/>
      <c r="C211" s="16"/>
    </row>
    <row r="212" spans="1:14" ht="14.1" customHeight="1" x14ac:dyDescent="0.45"/>
    <row r="213" spans="1:14" ht="14.1" customHeight="1" x14ac:dyDescent="0.45"/>
    <row r="214" spans="1:14" ht="14.1" customHeight="1" x14ac:dyDescent="0.45"/>
    <row r="215" spans="1:14" ht="14.1" customHeight="1" x14ac:dyDescent="0.45"/>
    <row r="216" spans="1:14" ht="14.1" customHeight="1" x14ac:dyDescent="0.45">
      <c r="D216" s="15"/>
    </row>
    <row r="217" spans="1:14" ht="14.1" customHeight="1" x14ac:dyDescent="0.45">
      <c r="A217" s="16"/>
      <c r="B217" s="16"/>
    </row>
    <row r="218" spans="1:14" ht="14.1" customHeight="1" x14ac:dyDescent="0.45"/>
    <row r="219" spans="1:14" ht="14.1" customHeight="1" x14ac:dyDescent="0.45"/>
    <row r="220" spans="1:14" ht="14.1" customHeight="1" x14ac:dyDescent="0.45"/>
    <row r="221" spans="1:14" ht="12" customHeight="1" x14ac:dyDescent="0.45"/>
    <row r="222" spans="1:14" ht="12" customHeight="1" x14ac:dyDescent="0.45"/>
    <row r="223" spans="1:14" ht="37.5" customHeight="1" x14ac:dyDescent="0.65">
      <c r="M223" s="22">
        <f>SUM(M3:M222)</f>
        <v>0</v>
      </c>
      <c r="N223" s="38">
        <f>SUM(N3:N222)</f>
        <v>0</v>
      </c>
    </row>
    <row r="224" spans="1:14" ht="12" customHeight="1" x14ac:dyDescent="0.45"/>
    <row r="225" ht="12" customHeight="1" x14ac:dyDescent="0.45"/>
    <row r="226" ht="12" customHeight="1" x14ac:dyDescent="0.45"/>
    <row r="227" ht="12" customHeight="1" x14ac:dyDescent="0.45"/>
    <row r="228" ht="12" customHeight="1" x14ac:dyDescent="0.45"/>
    <row r="229" ht="12" customHeight="1" x14ac:dyDescent="0.45"/>
    <row r="230" ht="12" customHeight="1" x14ac:dyDescent="0.45"/>
    <row r="231" ht="12" customHeight="1" x14ac:dyDescent="0.45"/>
    <row r="232" ht="12" customHeight="1" x14ac:dyDescent="0.45"/>
    <row r="233" ht="12" customHeight="1" x14ac:dyDescent="0.45"/>
    <row r="234" ht="12" customHeight="1" x14ac:dyDescent="0.45"/>
    <row r="235" ht="12" customHeight="1" x14ac:dyDescent="0.45"/>
    <row r="236" ht="12" customHeight="1" x14ac:dyDescent="0.45"/>
    <row r="237" ht="12" customHeight="1" x14ac:dyDescent="0.45"/>
    <row r="238" ht="12" customHeight="1" x14ac:dyDescent="0.45"/>
    <row r="239" ht="12" customHeight="1" x14ac:dyDescent="0.45"/>
    <row r="240" ht="12" customHeight="1" x14ac:dyDescent="0.45"/>
    <row r="241" ht="12" customHeight="1" x14ac:dyDescent="0.45"/>
    <row r="242" ht="12" customHeight="1" x14ac:dyDescent="0.45"/>
    <row r="243" ht="12" customHeight="1" x14ac:dyDescent="0.45"/>
    <row r="244" ht="12" customHeight="1" x14ac:dyDescent="0.45"/>
    <row r="245" ht="12" customHeight="1" x14ac:dyDescent="0.45"/>
    <row r="246" ht="12" customHeight="1" x14ac:dyDescent="0.45"/>
    <row r="247" ht="12" customHeight="1" x14ac:dyDescent="0.45"/>
    <row r="248" ht="12" customHeight="1" x14ac:dyDescent="0.45"/>
    <row r="249" ht="12" customHeight="1" x14ac:dyDescent="0.45"/>
    <row r="250" ht="12" customHeight="1" x14ac:dyDescent="0.45"/>
    <row r="251" ht="12" customHeight="1" x14ac:dyDescent="0.45"/>
    <row r="252" ht="12" customHeight="1" x14ac:dyDescent="0.45"/>
    <row r="253" ht="12" customHeight="1" x14ac:dyDescent="0.45"/>
    <row r="254" ht="12" customHeight="1" x14ac:dyDescent="0.45"/>
    <row r="255" ht="12" customHeight="1" x14ac:dyDescent="0.45"/>
    <row r="256" ht="12" customHeight="1" x14ac:dyDescent="0.45"/>
    <row r="257" ht="12" customHeight="1" x14ac:dyDescent="0.45"/>
    <row r="258" ht="12" customHeight="1" x14ac:dyDescent="0.45"/>
    <row r="259" ht="12" customHeight="1" x14ac:dyDescent="0.45"/>
    <row r="260" ht="12" customHeight="1" x14ac:dyDescent="0.45"/>
    <row r="261" ht="12" customHeight="1" x14ac:dyDescent="0.45"/>
    <row r="262" ht="12" customHeight="1" x14ac:dyDescent="0.45"/>
    <row r="263" ht="12" customHeight="1" x14ac:dyDescent="0.45"/>
    <row r="264" ht="12" customHeight="1" x14ac:dyDescent="0.45"/>
    <row r="265" ht="12" customHeight="1" x14ac:dyDescent="0.45"/>
    <row r="266" ht="12" customHeight="1" x14ac:dyDescent="0.45"/>
    <row r="267" ht="12" customHeight="1" x14ac:dyDescent="0.45"/>
    <row r="268" ht="12" customHeight="1" x14ac:dyDescent="0.45"/>
    <row r="269" ht="12" customHeight="1" x14ac:dyDescent="0.45"/>
    <row r="270" ht="12" customHeight="1" x14ac:dyDescent="0.45"/>
    <row r="271" ht="12" customHeight="1" x14ac:dyDescent="0.45"/>
    <row r="272" ht="12" customHeight="1" x14ac:dyDescent="0.45"/>
    <row r="273" ht="12" customHeight="1" x14ac:dyDescent="0.45"/>
    <row r="274" ht="12" customHeight="1" x14ac:dyDescent="0.45"/>
    <row r="275" ht="12" customHeight="1" x14ac:dyDescent="0.45"/>
    <row r="276" ht="12" customHeight="1" x14ac:dyDescent="0.45"/>
    <row r="277" ht="12" customHeight="1" x14ac:dyDescent="0.45"/>
    <row r="278" ht="12" customHeight="1" x14ac:dyDescent="0.45"/>
    <row r="279" ht="12" customHeight="1" x14ac:dyDescent="0.45"/>
    <row r="280" ht="12" customHeight="1" x14ac:dyDescent="0.45"/>
    <row r="281" ht="12" customHeight="1" x14ac:dyDescent="0.45"/>
    <row r="282" ht="12" customHeight="1" x14ac:dyDescent="0.45"/>
    <row r="283" ht="12" customHeight="1" x14ac:dyDescent="0.45"/>
    <row r="284" ht="12" customHeight="1" x14ac:dyDescent="0.45"/>
    <row r="285" ht="12" customHeight="1" x14ac:dyDescent="0.45"/>
    <row r="286" ht="12" customHeight="1" x14ac:dyDescent="0.45"/>
    <row r="287" ht="12" customHeight="1" x14ac:dyDescent="0.45"/>
    <row r="288" ht="12" customHeight="1" x14ac:dyDescent="0.45"/>
    <row r="289" ht="12" customHeight="1" x14ac:dyDescent="0.45"/>
    <row r="290" ht="12" customHeight="1" x14ac:dyDescent="0.45"/>
    <row r="291" ht="12" customHeight="1" x14ac:dyDescent="0.45"/>
    <row r="292" ht="12" customHeight="1" x14ac:dyDescent="0.45"/>
    <row r="293" ht="12" customHeight="1" x14ac:dyDescent="0.45"/>
    <row r="294" ht="12" customHeight="1" x14ac:dyDescent="0.45"/>
    <row r="295" ht="12" customHeight="1" x14ac:dyDescent="0.45"/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r:id="rId1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B891D009E0054EBAA3624896C74A53" ma:contentTypeVersion="12" ma:contentTypeDescription="Create a new document." ma:contentTypeScope="" ma:versionID="1833a7274ac059abfdef94866927d976">
  <xsd:schema xmlns:xsd="http://www.w3.org/2001/XMLSchema" xmlns:xs="http://www.w3.org/2001/XMLSchema" xmlns:p="http://schemas.microsoft.com/office/2006/metadata/properties" xmlns:ns3="1097b65e-2ba8-41e2-a8d4-73572c8f6e54" xmlns:ns4="240d22ab-6647-49b6-a896-727c6a1460f7" targetNamespace="http://schemas.microsoft.com/office/2006/metadata/properties" ma:root="true" ma:fieldsID="abc088ea4f2d35d4b48459ddc18fe07d" ns3:_="" ns4:_="">
    <xsd:import namespace="1097b65e-2ba8-41e2-a8d4-73572c8f6e54"/>
    <xsd:import namespace="240d22ab-6647-49b6-a896-727c6a1460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7b65e-2ba8-41e2-a8d4-73572c8f6e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d22ab-6647-49b6-a896-727c6a1460f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A9F896-31D6-47DF-B941-88EBC72656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97b65e-2ba8-41e2-a8d4-73572c8f6e54"/>
    <ds:schemaRef ds:uri="240d22ab-6647-49b6-a896-727c6a1460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4E0ECC-24CF-4465-B762-48B4326152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301CE3-9CF8-4EF1-BDE7-8544BC9C521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Other</vt:lpstr>
      <vt:lpstr>Consumables</vt:lpstr>
      <vt:lpstr>MMM's</vt:lpstr>
      <vt:lpstr>Evercoat</vt:lpstr>
      <vt:lpstr>Axalta</vt:lpstr>
      <vt:lpstr>PPG Industrial</vt:lpstr>
      <vt:lpstr>Norton,SEM,Transstar</vt:lpstr>
      <vt:lpstr>CHROMA</vt:lpstr>
      <vt:lpstr>Farm&amp;Fleet</vt:lpstr>
      <vt:lpstr> Harbor  northern tools</vt:lpstr>
      <vt:lpstr>S and S</vt:lpstr>
      <vt:lpstr>Catalogues</vt:lpstr>
      <vt:lpstr>OBSOLETE ITEMS</vt:lpstr>
      <vt:lpstr>NRE</vt:lpstr>
      <vt:lpstr>NRE Per unit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Asus4K</dc:creator>
  <cp:keywords/>
  <dc:description/>
  <cp:lastModifiedBy>Noah</cp:lastModifiedBy>
  <cp:revision/>
  <dcterms:created xsi:type="dcterms:W3CDTF">2018-06-08T06:29:07Z</dcterms:created>
  <dcterms:modified xsi:type="dcterms:W3CDTF">2023-01-31T04:57:39Z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0x01010030B891D009E0054EBAA3624896C74A53</vt:lpwstr>
  </property>
</Properties>
</file>