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santi\OneDrive\Escritorio\Valor Ganado Proyecto\"/>
    </mc:Choice>
  </mc:AlternateContent>
  <xr:revisionPtr revIDLastSave="90" documentId="13_ncr:1_{FB50B740-937D-4A21-ADBE-264FC4F5E295}" xr6:coauthVersionLast="47" xr6:coauthVersionMax="47" xr10:uidLastSave="{6140B21B-575E-4ECF-9824-7841D958B08E}"/>
  <bookViews>
    <workbookView xWindow="-108" yWindow="-108" windowWidth="23256" windowHeight="12456" xr2:uid="{00000000-000D-0000-FFFF-FFFF00000000}"/>
  </bookViews>
  <sheets>
    <sheet name="Hoja Valor Ganado" sheetId="2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19" i="2" s="1"/>
  <c r="C15" i="2"/>
  <c r="D15" i="2" s="1"/>
  <c r="E15" i="2" s="1"/>
  <c r="C16" i="2"/>
  <c r="D16" i="2" s="1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C22" i="2"/>
  <c r="D22" i="2"/>
  <c r="E22" i="2" s="1"/>
  <c r="C23" i="2"/>
  <c r="C24" i="2"/>
  <c r="D20" i="2" l="1"/>
  <c r="E20" i="2" s="1"/>
  <c r="D23" i="2"/>
  <c r="D24" i="2" s="1"/>
  <c r="F20" i="2"/>
  <c r="G20" i="2" s="1"/>
  <c r="H20" i="2" s="1"/>
  <c r="I20" i="2" s="1"/>
  <c r="J20" i="2" s="1"/>
  <c r="K20" i="2" s="1"/>
  <c r="L20" i="2" s="1"/>
  <c r="M20" i="2" s="1"/>
  <c r="N20" i="2" s="1"/>
  <c r="B26" i="2"/>
  <c r="F22" i="2"/>
  <c r="G22" i="2" s="1"/>
  <c r="H22" i="2" s="1"/>
  <c r="I22" i="2" s="1"/>
  <c r="E23" i="2"/>
  <c r="E24" i="2" s="1"/>
  <c r="F15" i="2"/>
  <c r="J22" i="2" l="1"/>
  <c r="K22" i="2" s="1"/>
  <c r="L22" i="2" s="1"/>
  <c r="M22" i="2" s="1"/>
  <c r="N22" i="2" s="1"/>
  <c r="B29" i="2"/>
  <c r="B32" i="2" s="1"/>
  <c r="B36" i="2" s="1"/>
  <c r="G15" i="2"/>
  <c r="F23" i="2"/>
  <c r="F24" i="2" s="1"/>
  <c r="B34" i="2" l="1"/>
  <c r="H15" i="2"/>
  <c r="G23" i="2"/>
  <c r="G24" i="2" s="1"/>
  <c r="I15" i="2" l="1"/>
  <c r="H23" i="2"/>
  <c r="H24" i="2" s="1"/>
  <c r="I23" i="2" l="1"/>
  <c r="I24" i="2" s="1"/>
  <c r="J15" i="2"/>
  <c r="K15" i="2" l="1"/>
  <c r="J23" i="2"/>
  <c r="J24" i="2" s="1"/>
  <c r="B38" i="2" l="1"/>
  <c r="B33" i="2"/>
  <c r="L15" i="2"/>
  <c r="K23" i="2"/>
  <c r="K24" i="2" s="1"/>
  <c r="B35" i="2" l="1"/>
  <c r="B37" i="2"/>
  <c r="M15" i="2"/>
  <c r="L23" i="2"/>
  <c r="L24" i="2" s="1"/>
  <c r="M23" i="2" l="1"/>
  <c r="M24" i="2" s="1"/>
  <c r="N15" i="2"/>
  <c r="N23" i="2" s="1"/>
  <c r="N24" i="2" l="1"/>
  <c r="B30" i="2" s="1"/>
  <c r="B31" i="2" s="1"/>
</calcChain>
</file>

<file path=xl/sharedStrings.xml><?xml version="1.0" encoding="utf-8"?>
<sst xmlns="http://schemas.openxmlformats.org/spreadsheetml/2006/main" count="67" uniqueCount="63">
  <si>
    <t>UNIVERSIDAD DISTRITAL FRANCISCO JOSE DE CALDAS</t>
  </si>
  <si>
    <t xml:space="preserve">Facultad de ingeniería </t>
  </si>
  <si>
    <t>Ingeniería de Sistemas</t>
  </si>
  <si>
    <t>Fundamentos Ingeniería de Software</t>
  </si>
  <si>
    <t>Análisis de Valor Ganado</t>
  </si>
  <si>
    <t>Grupo: "El último grupo"</t>
  </si>
  <si>
    <t>Abreviaciones</t>
  </si>
  <si>
    <t>ID PROYECTO:</t>
  </si>
  <si>
    <t>-</t>
  </si>
  <si>
    <t>PV: Planned Value (valor planeado)</t>
  </si>
  <si>
    <t>Fecha inicial proyecto:</t>
  </si>
  <si>
    <t>AC: Actual Cost (costo en el avance real)</t>
  </si>
  <si>
    <t>Fecha final a reportar:</t>
  </si>
  <si>
    <t>EV: Earned Value (valor ganado)</t>
  </si>
  <si>
    <t>Fecha final proyecto:</t>
  </si>
  <si>
    <t>% Planificado</t>
  </si>
  <si>
    <t>% Realizado</t>
  </si>
  <si>
    <t xml:space="preserve">Semanas 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</si>
  <si>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</si>
  <si>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</si>
  <si>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</si>
  <si>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</si>
  <si>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</si>
  <si>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</si>
  <si>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</si>
  <si>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</si>
  <si>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</si>
  <si>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</si>
  <si>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</si>
  <si>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</si>
  <si>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Valor del Trabajo Planificado</t>
  </si>
  <si>
    <t>Valor del Trabajo Planificado Acumulado</t>
  </si>
  <si>
    <t>PV</t>
  </si>
  <si>
    <t>Costo real del trabajo realizado</t>
  </si>
  <si>
    <t>Costo real acumulado del trabajo realizado</t>
  </si>
  <si>
    <t>AC</t>
  </si>
  <si>
    <t xml:space="preserve">Valor ganado del trabajo realizado  </t>
  </si>
  <si>
    <t>Valor ganado del trabajo realizado acumulado</t>
  </si>
  <si>
    <t>EV</t>
  </si>
  <si>
    <t xml:space="preserve"> </t>
  </si>
  <si>
    <t xml:space="preserve">Costo total prespuestado </t>
  </si>
  <si>
    <t>Indices de desempeño</t>
  </si>
  <si>
    <t>Valor</t>
  </si>
  <si>
    <t>Índice de rendimiento de los costos del proyecto CPI</t>
  </si>
  <si>
    <t>Índice de rendimiento del cronograma del proyecto SPI</t>
  </si>
  <si>
    <t>Índice de desempeño PI</t>
  </si>
  <si>
    <t>Estimación de costo al completar  EAC (1) 
(Sin acciones correctivas)</t>
  </si>
  <si>
    <t>Estimación de costo al completar  EAC (2)
(Con acciones correctivas)</t>
  </si>
  <si>
    <t>Estimación de costo para completar ETC (1)</t>
  </si>
  <si>
    <t>Estimación de costo para completar ETC (2)</t>
  </si>
  <si>
    <t>Varianza al completar VAC (1)</t>
  </si>
  <si>
    <t>Varianza al completar VAC (2)</t>
  </si>
  <si>
    <t>Indice de desempeño hasta la conclusión (TCPI)</t>
  </si>
  <si>
    <t>Estimaciones pago por rol:</t>
  </si>
  <si>
    <t>SCRUM MASTER</t>
  </si>
  <si>
    <t>10 - 15 MILLONES</t>
  </si>
  <si>
    <t>PRODUCT OWNER</t>
  </si>
  <si>
    <t>7 - 12 MILLONES</t>
  </si>
  <si>
    <t>TEAM DEV (CADA PERFIL)</t>
  </si>
  <si>
    <t>2 - 10 MILLONES</t>
  </si>
  <si>
    <t>Para nuestro grupo</t>
  </si>
  <si>
    <t>TEAM DEV</t>
  </si>
  <si>
    <t>VALOR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</si>
</sst>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#,##0.00_ ;\-#,##0.00\ "/>
    <numFmt numFmtId="166" formatCode="_-* #,##0_-;\-* #,##0_-;_-* &quot;-&quot;??_-;_-@_-"/>
    <numFmt numFmtId="167" formatCode="0.0000"/>
    <numFmt numFmtId="168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Verdana"/>
      <family val="2"/>
    </font>
    <font>
      <b/>
      <sz val="10"/>
      <color theme="0"/>
      <name val="Trebuchet MS"/>
      <family val="2"/>
    </font>
    <font>
      <sz val="12"/>
      <color theme="1"/>
      <name val="Verdana"/>
      <family val="2"/>
    </font>
    <font>
      <b/>
      <sz val="9"/>
      <color theme="1"/>
      <name val="Verdana"/>
      <family val="2"/>
    </font>
    <font>
      <b/>
      <sz val="9"/>
      <color theme="0"/>
      <name val="Verdana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0"/>
      <name val="Trebuchet MS"/>
      <family val="2"/>
    </font>
    <font>
      <b/>
      <sz val="10"/>
      <color rgb="FF00B0F0"/>
      <name val="Verdana"/>
      <family val="2"/>
    </font>
    <font>
      <sz val="11"/>
      <color rgb="FF00B0F0"/>
      <name val="Calibri"/>
      <family val="2"/>
      <scheme val="minor"/>
    </font>
    <font>
      <b/>
      <sz val="10"/>
      <color rgb="FF00B0F0"/>
      <name val="Trebuchet MS"/>
      <family val="2"/>
    </font>
    <font>
      <b/>
      <sz val="16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165" fontId="3" fillId="0" borderId="1" xfId="2" applyNumberFormat="1" applyFont="1" applyBorder="1" applyAlignment="1">
      <alignment horizontal="right"/>
    </xf>
    <xf numFmtId="166" fontId="3" fillId="0" borderId="2" xfId="2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right"/>
    </xf>
    <xf numFmtId="3" fontId="3" fillId="3" borderId="1" xfId="0" applyNumberFormat="1" applyFont="1" applyFill="1" applyBorder="1" applyAlignment="1">
      <alignment horizontal="right" vertical="top" wrapText="1"/>
    </xf>
    <xf numFmtId="3" fontId="3" fillId="3" borderId="5" xfId="0" applyNumberFormat="1" applyFont="1" applyFill="1" applyBorder="1" applyAlignment="1">
      <alignment horizontal="right" vertical="top" wrapText="1"/>
    </xf>
    <xf numFmtId="3" fontId="6" fillId="3" borderId="5" xfId="0" applyNumberFormat="1" applyFont="1" applyFill="1" applyBorder="1" applyAlignment="1">
      <alignment horizontal="center" vertical="top" wrapText="1"/>
    </xf>
    <xf numFmtId="3" fontId="3" fillId="4" borderId="6" xfId="0" applyNumberFormat="1" applyFont="1" applyFill="1" applyBorder="1" applyAlignment="1" applyProtection="1">
      <alignment horizontal="right" vertical="top" wrapText="1"/>
      <protection locked="0"/>
    </xf>
    <xf numFmtId="3" fontId="3" fillId="5" borderId="6" xfId="0" applyNumberFormat="1" applyFont="1" applyFill="1" applyBorder="1" applyAlignment="1" applyProtection="1">
      <alignment horizontal="right" vertical="top" wrapText="1"/>
      <protection locked="0"/>
    </xf>
    <xf numFmtId="3" fontId="6" fillId="4" borderId="6" xfId="0" applyNumberFormat="1" applyFont="1" applyFill="1" applyBorder="1" applyAlignment="1">
      <alignment horizontal="center" vertical="top" wrapText="1"/>
    </xf>
    <xf numFmtId="3" fontId="3" fillId="3" borderId="2" xfId="0" applyNumberFormat="1" applyFont="1" applyFill="1" applyBorder="1" applyAlignment="1">
      <alignment horizontal="right" vertical="top" wrapText="1"/>
    </xf>
    <xf numFmtId="3" fontId="3" fillId="3" borderId="6" xfId="0" applyNumberFormat="1" applyFont="1" applyFill="1" applyBorder="1" applyAlignment="1">
      <alignment horizontal="right" vertical="top" wrapText="1"/>
    </xf>
    <xf numFmtId="3" fontId="6" fillId="3" borderId="6" xfId="0" applyNumberFormat="1" applyFont="1" applyFill="1" applyBorder="1" applyAlignment="1">
      <alignment horizontal="center" vertical="top" wrapText="1"/>
    </xf>
    <xf numFmtId="3" fontId="3" fillId="4" borderId="2" xfId="0" applyNumberFormat="1" applyFont="1" applyFill="1" applyBorder="1" applyAlignment="1" applyProtection="1">
      <alignment horizontal="right" vertical="top" wrapText="1"/>
      <protection locked="0"/>
    </xf>
    <xf numFmtId="3" fontId="3" fillId="4" borderId="7" xfId="0" applyNumberFormat="1" applyFont="1" applyFill="1" applyBorder="1" applyAlignment="1" applyProtection="1">
      <alignment horizontal="right" vertical="top" wrapText="1"/>
      <protection locked="0"/>
    </xf>
    <xf numFmtId="3" fontId="3" fillId="5" borderId="7" xfId="0" applyNumberFormat="1" applyFont="1" applyFill="1" applyBorder="1" applyAlignment="1" applyProtection="1">
      <alignment horizontal="right" vertical="top" wrapText="1"/>
      <protection locked="0"/>
    </xf>
    <xf numFmtId="3" fontId="3" fillId="4" borderId="8" xfId="0" applyNumberFormat="1" applyFont="1" applyFill="1" applyBorder="1" applyAlignment="1">
      <alignment vertical="top" wrapText="1"/>
    </xf>
    <xf numFmtId="3" fontId="7" fillId="6" borderId="4" xfId="0" applyNumberFormat="1" applyFont="1" applyFill="1" applyBorder="1" applyAlignment="1">
      <alignment horizontal="center" vertical="top" wrapText="1"/>
    </xf>
    <xf numFmtId="3" fontId="7" fillId="6" borderId="9" xfId="0" applyNumberFormat="1" applyFont="1" applyFill="1" applyBorder="1" applyAlignment="1">
      <alignment horizontal="center" vertical="top" wrapText="1"/>
    </xf>
    <xf numFmtId="3" fontId="7" fillId="6" borderId="10" xfId="0" applyNumberFormat="1" applyFont="1" applyFill="1" applyBorder="1" applyAlignment="1">
      <alignment horizontal="center" vertical="top" wrapText="1"/>
    </xf>
    <xf numFmtId="0" fontId="9" fillId="7" borderId="11" xfId="0" applyFont="1" applyFill="1" applyBorder="1" applyAlignment="1">
      <alignment horizontal="center" vertical="center"/>
    </xf>
    <xf numFmtId="0" fontId="9" fillId="7" borderId="11" xfId="0" applyFont="1" applyFill="1" applyBorder="1"/>
    <xf numFmtId="0" fontId="10" fillId="8" borderId="12" xfId="0" applyFont="1" applyFill="1" applyBorder="1"/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10" fillId="8" borderId="15" xfId="0" applyFont="1" applyFill="1" applyBorder="1"/>
    <xf numFmtId="0" fontId="12" fillId="9" borderId="16" xfId="0" applyFont="1" applyFill="1" applyBorder="1"/>
    <xf numFmtId="0" fontId="13" fillId="9" borderId="16" xfId="0" applyFont="1" applyFill="1" applyBorder="1" applyAlignment="1">
      <alignment horizontal="left" vertical="center"/>
    </xf>
    <xf numFmtId="0" fontId="12" fillId="9" borderId="6" xfId="0" applyFont="1" applyFill="1" applyBorder="1"/>
    <xf numFmtId="0" fontId="13" fillId="9" borderId="6" xfId="0" applyFont="1" applyFill="1" applyBorder="1" applyAlignment="1">
      <alignment horizontal="left" vertical="center"/>
    </xf>
    <xf numFmtId="0" fontId="13" fillId="9" borderId="6" xfId="0" applyFont="1" applyFill="1" applyBorder="1" applyAlignment="1">
      <alignment vertical="center"/>
    </xf>
    <xf numFmtId="0" fontId="2" fillId="8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" fontId="11" fillId="9" borderId="6" xfId="0" applyNumberFormat="1" applyFont="1" applyFill="1" applyBorder="1" applyAlignment="1" applyProtection="1">
      <alignment horizontal="center" vertical="top" wrapText="1"/>
      <protection locked="0"/>
    </xf>
    <xf numFmtId="14" fontId="11" fillId="9" borderId="6" xfId="0" applyNumberFormat="1" applyFont="1" applyFill="1" applyBorder="1" applyAlignment="1" applyProtection="1">
      <alignment horizontal="center" vertical="top" wrapText="1"/>
      <protection locked="0"/>
    </xf>
    <xf numFmtId="14" fontId="11" fillId="9" borderId="16" xfId="0" applyNumberFormat="1" applyFont="1" applyFill="1" applyBorder="1" applyAlignment="1" applyProtection="1">
      <alignment horizontal="center" vertical="top" wrapText="1"/>
      <protection locked="0"/>
    </xf>
    <xf numFmtId="0" fontId="9" fillId="0" borderId="20" xfId="0" applyFont="1" applyBorder="1"/>
    <xf numFmtId="0" fontId="9" fillId="0" borderId="21" xfId="0" applyFont="1" applyBorder="1"/>
    <xf numFmtId="0" fontId="0" fillId="0" borderId="21" xfId="0" applyBorder="1"/>
    <xf numFmtId="0" fontId="0" fillId="0" borderId="22" xfId="0" applyBorder="1"/>
    <xf numFmtId="0" fontId="9" fillId="0" borderId="23" xfId="0" applyFont="1" applyBorder="1"/>
    <xf numFmtId="0" fontId="9" fillId="0" borderId="0" xfId="0" applyFont="1" applyBorder="1"/>
    <xf numFmtId="0" fontId="14" fillId="0" borderId="0" xfId="0" applyFont="1" applyBorder="1" applyAlignment="1">
      <alignment horizontal="center"/>
    </xf>
    <xf numFmtId="0" fontId="0" fillId="0" borderId="0" xfId="0" applyBorder="1"/>
    <xf numFmtId="0" fontId="0" fillId="0" borderId="24" xfId="0" applyBorder="1"/>
    <xf numFmtId="0" fontId="8" fillId="0" borderId="23" xfId="0" applyFont="1" applyBorder="1"/>
    <xf numFmtId="0" fontId="8" fillId="0" borderId="0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0" fillId="0" borderId="23" xfId="0" applyBorder="1"/>
    <xf numFmtId="0" fontId="8" fillId="0" borderId="0" xfId="0" applyFont="1" applyBorder="1" applyAlignment="1" applyProtection="1">
      <alignment horizontal="left" vertical="center"/>
      <protection locked="0"/>
    </xf>
    <xf numFmtId="14" fontId="8" fillId="0" borderId="0" xfId="0" applyNumberFormat="1" applyFont="1" applyBorder="1" applyAlignment="1" applyProtection="1">
      <alignment horizontal="left" vertical="center"/>
      <protection locked="0"/>
    </xf>
    <xf numFmtId="168" fontId="0" fillId="0" borderId="24" xfId="0" applyNumberFormat="1" applyBorder="1"/>
    <xf numFmtId="3" fontId="3" fillId="4" borderId="31" xfId="0" applyNumberFormat="1" applyFont="1" applyFill="1" applyBorder="1" applyAlignment="1">
      <alignment vertical="top" wrapText="1"/>
    </xf>
    <xf numFmtId="3" fontId="3" fillId="3" borderId="32" xfId="0" applyNumberFormat="1" applyFont="1" applyFill="1" applyBorder="1" applyAlignment="1">
      <alignment horizontal="justify" vertical="top" wrapText="1"/>
    </xf>
    <xf numFmtId="3" fontId="3" fillId="4" borderId="32" xfId="0" applyNumberFormat="1" applyFont="1" applyFill="1" applyBorder="1" applyAlignment="1">
      <alignment horizontal="justify" vertical="top" wrapText="1"/>
    </xf>
    <xf numFmtId="3" fontId="3" fillId="3" borderId="33" xfId="0" applyNumberFormat="1" applyFont="1" applyFill="1" applyBorder="1" applyAlignment="1">
      <alignment horizontal="justify" vertical="top" wrapText="1"/>
    </xf>
    <xf numFmtId="0" fontId="5" fillId="0" borderId="0" xfId="0" applyFont="1" applyBorder="1" applyAlignment="1">
      <alignment horizontal="justify"/>
    </xf>
    <xf numFmtId="0" fontId="4" fillId="2" borderId="3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4" fillId="2" borderId="35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vertical="center" wrapText="1"/>
    </xf>
    <xf numFmtId="167" fontId="0" fillId="0" borderId="0" xfId="0" applyNumberFormat="1" applyBorder="1"/>
    <xf numFmtId="0" fontId="3" fillId="0" borderId="33" xfId="0" applyFont="1" applyBorder="1" applyAlignment="1">
      <alignment vertical="center" wrapText="1"/>
    </xf>
    <xf numFmtId="0" fontId="0" fillId="0" borderId="25" xfId="0" applyBorder="1"/>
  </cellXfs>
  <cellStyles count="3">
    <cellStyle name="Comma" xfId="1" builtinId="3"/>
    <cellStyle name="Currency" xfId="2" builtinId="4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0070C0"/>
        </patternFill>
      </fill>
      <alignment horizontal="justify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</a:t>
            </a:r>
            <a:r>
              <a:rPr lang="es-CO" baseline="0"/>
              <a:t> Agregado Proyecto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6818107778976"/>
          <c:y val="1.409923085365683E-2"/>
          <c:w val="0.76308878095630217"/>
          <c:h val="0.87102187435392708"/>
        </c:manualLayout>
      </c:layout>
      <c:lineChart>
        <c:grouping val="standard"/>
        <c:varyColors val="0"/>
        <c:ser>
          <c:idx val="0"/>
          <c:order val="0"/>
          <c:tx>
            <c:strRef>
              <c:f>'Hoja Valor Ganado'!$B$20</c:f>
              <c:strCache>
                <c:ptCount val="1"/>
                <c:pt idx="0">
                  <c:v>PV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'Hoja Valor Ganado'!$C$17:$N$17</c:f>
              <c:strCache>
                <c:ptCount val="12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'Hoja Valor Ganado'!$C$20:$N$20</c:f>
              <c:numCache>
                <c:formatCode>#,##0</c:formatCode>
                <c:ptCount val="12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2-42D0-8E1E-F7FF7EAA2C10}"/>
            </c:ext>
          </c:extLst>
        </c:ser>
        <c:ser>
          <c:idx val="1"/>
          <c:order val="1"/>
          <c:tx>
            <c:strRef>
              <c:f>'Hoja Valor Ganado'!$B$22</c:f>
              <c:strCache>
                <c:ptCount val="1"/>
                <c:pt idx="0">
                  <c:v>AC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'Hoja Valor Ganado'!$C$17:$N$17</c:f>
              <c:strCache>
                <c:ptCount val="12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'Hoja Valor Ganado'!$C$22:$N$22</c:f>
              <c:numCache>
                <c:formatCode>#,##0</c:formatCode>
                <c:ptCount val="12"/>
                <c:pt idx="0">
                  <c:v>1000000</c:v>
                </c:pt>
                <c:pt idx="1">
                  <c:v>2500000</c:v>
                </c:pt>
                <c:pt idx="2">
                  <c:v>5500000</c:v>
                </c:pt>
                <c:pt idx="3">
                  <c:v>7300000</c:v>
                </c:pt>
                <c:pt idx="4">
                  <c:v>9700000</c:v>
                </c:pt>
                <c:pt idx="5">
                  <c:v>13100000</c:v>
                </c:pt>
                <c:pt idx="6">
                  <c:v>17100000</c:v>
                </c:pt>
                <c:pt idx="7">
                  <c:v>17100000</c:v>
                </c:pt>
                <c:pt idx="8">
                  <c:v>17100000</c:v>
                </c:pt>
                <c:pt idx="9">
                  <c:v>17100000</c:v>
                </c:pt>
                <c:pt idx="10">
                  <c:v>17100000</c:v>
                </c:pt>
                <c:pt idx="11">
                  <c:v>17100000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2-42D0-8E1E-F7FF7EAA2C10}"/>
            </c:ext>
          </c:extLst>
        </c:ser>
        <c:ser>
          <c:idx val="2"/>
          <c:order val="2"/>
          <c:tx>
            <c:strRef>
              <c:f>'Hoja Valor Ganado'!$B$24</c:f>
              <c:strCache>
                <c:ptCount val="1"/>
                <c:pt idx="0">
                  <c:v>EV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'Hoja Valor Ganado'!$C$17:$N$17</c:f>
              <c:strCache>
                <c:ptCount val="12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'Hoja Valor Ganado'!$C$24:$N$24</c:f>
              <c:numCache>
                <c:formatCode>#,##0</c:formatCode>
                <c:ptCount val="12"/>
                <c:pt idx="0">
                  <c:v>2500000</c:v>
                </c:pt>
                <c:pt idx="1">
                  <c:v>5000000</c:v>
                </c:pt>
                <c:pt idx="2">
                  <c:v>7200000</c:v>
                </c:pt>
                <c:pt idx="3">
                  <c:v>9300000</c:v>
                </c:pt>
                <c:pt idx="4">
                  <c:v>11340000</c:v>
                </c:pt>
                <c:pt idx="5">
                  <c:v>13240000</c:v>
                </c:pt>
                <c:pt idx="6">
                  <c:v>14997142.857142858</c:v>
                </c:pt>
                <c:pt idx="7">
                  <c:v>16947142.857142858</c:v>
                </c:pt>
                <c:pt idx="8">
                  <c:v>19280476.190476194</c:v>
                </c:pt>
                <c:pt idx="9">
                  <c:v>21530476.190476194</c:v>
                </c:pt>
                <c:pt idx="10">
                  <c:v>23712294.372294378</c:v>
                </c:pt>
                <c:pt idx="11">
                  <c:v>26212294.372294378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2-42D0-8E1E-F7FF7EAA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6160"/>
        <c:axId val="86798336"/>
      </c:lineChart>
      <c:catAx>
        <c:axId val="8679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semanas</a:t>
                </a:r>
              </a:p>
            </c:rich>
          </c:tx>
          <c:layout>
            <c:manualLayout>
              <c:xMode val="edge"/>
              <c:yMode val="edge"/>
              <c:x val="0.87964641537339083"/>
              <c:y val="0.83034603361063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8336"/>
        <c:crosses val="autoZero"/>
        <c:auto val="1"/>
        <c:lblAlgn val="ctr"/>
        <c:lblOffset val="100"/>
        <c:tickLblSkip val="1"/>
        <c:noMultiLvlLbl val="0"/>
      </c:catAx>
      <c:valAx>
        <c:axId val="867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690556220924303"/>
          <c:y val="0.77043645324655563"/>
          <c:w val="0.15594237787268933"/>
          <c:h val="4.331822179299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83745</xdr:colOff>
      <xdr:row>27</xdr:row>
      <xdr:rowOff>5567</xdr:rowOff>
    </xdr:from>
    <xdr:to>
      <xdr:col>14</xdr:col>
      <xdr:colOff>131371</xdr:colOff>
      <xdr:row>50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1A659-6FC6-47BD-8D43-4E4B3533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4564" displayName="Table134564" ref="C17:N24" totalsRowShown="0" headerRowDxfId="16" dataDxfId="15" headerRowBorderDxfId="13" tableBorderDxfId="14" totalsRowBorderDxfId="12">
  <tableColumns count="12">
    <tableColumn id="1" xr3:uid="{00000000-0010-0000-0000-000001000000}" name="Semana 1" dataDxfId="11"/>
    <tableColumn id="2" xr3:uid="{00000000-0010-0000-0000-000002000000}" name="Semana 2" dataDxfId="10"/>
    <tableColumn id="3" xr3:uid="{00000000-0010-0000-0000-000003000000}" name="Semana 3" dataDxfId="9"/>
    <tableColumn id="4" xr3:uid="{00000000-0010-0000-0000-000004000000}" name="Semana 4" dataDxfId="8"/>
    <tableColumn id="5" xr3:uid="{00000000-0010-0000-0000-000005000000}" name="Semana 5" dataDxfId="7"/>
    <tableColumn id="6" xr3:uid="{00000000-0010-0000-0000-000006000000}" name="Semana 6" dataDxfId="6"/>
    <tableColumn id="7" xr3:uid="{00000000-0010-0000-0000-000007000000}" name="Semana 7" dataDxfId="5"/>
    <tableColumn id="8" xr3:uid="{00000000-0010-0000-0000-000008000000}" name="Semana 8" dataDxfId="4"/>
    <tableColumn id="9" xr3:uid="{00000000-0010-0000-0000-000009000000}" name="Semana 9" dataDxfId="3"/>
    <tableColumn id="10" xr3:uid="{00000000-0010-0000-0000-00000A000000}" name="Semana 10" dataDxfId="2"/>
    <tableColumn id="11" xr3:uid="{00000000-0010-0000-0000-00000B000000}" name="Semana 11" dataDxfId="1"/>
    <tableColumn id="12" xr3:uid="{00000000-0010-0000-0000-00000C000000}" name="Semana 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tabSelected="1" topLeftCell="A16" workbookViewId="0">
      <selection activeCell="N17" sqref="N17"/>
    </sheetView>
  </sheetViews>
  <sheetFormatPr defaultColWidth="9.140625" defaultRowHeight="14.45"/>
  <cols>
    <col min="1" max="1" width="43" customWidth="1"/>
    <col min="2" max="2" width="17.28515625" customWidth="1"/>
    <col min="3" max="3" width="11.42578125" bestFit="1" customWidth="1"/>
    <col min="4" max="10" width="11.85546875" bestFit="1" customWidth="1"/>
    <col min="11" max="11" width="15.140625" customWidth="1"/>
    <col min="12" max="12" width="13" customWidth="1"/>
    <col min="13" max="13" width="12.42578125" bestFit="1" customWidth="1"/>
    <col min="14" max="14" width="12.7109375" bestFit="1" customWidth="1"/>
    <col min="16" max="16" width="10.28515625" bestFit="1" customWidth="1"/>
  </cols>
  <sheetData>
    <row r="1" spans="1:16" ht="15">
      <c r="A1" s="39"/>
      <c r="B1" s="40"/>
      <c r="C1" s="40"/>
      <c r="D1" s="40"/>
      <c r="E1" s="40"/>
      <c r="F1" s="40"/>
      <c r="G1" s="40"/>
      <c r="H1" s="40"/>
      <c r="I1" s="40"/>
      <c r="J1" s="40"/>
      <c r="K1" s="41"/>
      <c r="L1" s="41"/>
      <c r="M1" s="41"/>
      <c r="N1" s="41"/>
      <c r="O1" s="41"/>
      <c r="P1" s="42"/>
    </row>
    <row r="2" spans="1:16" ht="22.15">
      <c r="A2" s="43"/>
      <c r="B2" s="44"/>
      <c r="C2" s="44"/>
      <c r="D2" s="45" t="s">
        <v>0</v>
      </c>
      <c r="E2" s="45"/>
      <c r="F2" s="45"/>
      <c r="G2" s="45"/>
      <c r="H2" s="45"/>
      <c r="I2" s="45"/>
      <c r="J2" s="45"/>
      <c r="K2" s="45"/>
      <c r="L2" s="46"/>
      <c r="M2" s="46"/>
      <c r="N2" s="46"/>
      <c r="O2" s="46"/>
      <c r="P2" s="47"/>
    </row>
    <row r="3" spans="1:16" ht="22.15">
      <c r="A3" s="43"/>
      <c r="B3" s="44"/>
      <c r="C3" s="44"/>
      <c r="D3" s="45" t="s">
        <v>1</v>
      </c>
      <c r="E3" s="45"/>
      <c r="F3" s="45"/>
      <c r="G3" s="45"/>
      <c r="H3" s="45"/>
      <c r="I3" s="45"/>
      <c r="J3" s="45"/>
      <c r="K3" s="45"/>
      <c r="L3" s="46"/>
      <c r="M3" s="46"/>
      <c r="N3" s="46"/>
      <c r="O3" s="46"/>
      <c r="P3" s="47"/>
    </row>
    <row r="4" spans="1:16" ht="22.15">
      <c r="A4" s="43"/>
      <c r="B4" s="44"/>
      <c r="C4" s="46"/>
      <c r="D4" s="45" t="s">
        <v>2</v>
      </c>
      <c r="E4" s="45"/>
      <c r="F4" s="45"/>
      <c r="G4" s="45"/>
      <c r="H4" s="45"/>
      <c r="I4" s="45"/>
      <c r="J4" s="45"/>
      <c r="K4" s="45"/>
      <c r="L4" s="46"/>
      <c r="M4" s="46"/>
      <c r="N4" s="46"/>
      <c r="O4" s="46"/>
      <c r="P4" s="47"/>
    </row>
    <row r="5" spans="1:16" ht="22.15">
      <c r="A5" s="48"/>
      <c r="B5" s="49"/>
      <c r="C5" s="44"/>
      <c r="D5" s="45" t="s">
        <v>3</v>
      </c>
      <c r="E5" s="45"/>
      <c r="F5" s="45"/>
      <c r="G5" s="45"/>
      <c r="H5" s="45"/>
      <c r="I5" s="45"/>
      <c r="J5" s="45"/>
      <c r="K5" s="45"/>
      <c r="L5" s="46"/>
      <c r="M5" s="46"/>
      <c r="N5" s="46"/>
      <c r="O5" s="46"/>
      <c r="P5" s="47"/>
    </row>
    <row r="6" spans="1:16" ht="15.75" customHeight="1">
      <c r="A6" s="48"/>
      <c r="B6" s="49"/>
      <c r="C6" s="44"/>
      <c r="D6" s="45" t="s">
        <v>4</v>
      </c>
      <c r="E6" s="45"/>
      <c r="F6" s="45"/>
      <c r="G6" s="45"/>
      <c r="H6" s="45"/>
      <c r="I6" s="45"/>
      <c r="J6" s="45"/>
      <c r="K6" s="45"/>
      <c r="L6" s="46"/>
      <c r="M6" s="46"/>
      <c r="N6" s="46"/>
      <c r="O6" s="46"/>
      <c r="P6" s="47"/>
    </row>
    <row r="7" spans="1:16" ht="15">
      <c r="A7" s="57" t="s">
        <v>5</v>
      </c>
      <c r="B7" s="58"/>
      <c r="C7" s="40"/>
      <c r="D7" s="40"/>
      <c r="E7" s="40"/>
      <c r="F7" s="40"/>
      <c r="G7" s="40"/>
      <c r="H7" s="40"/>
      <c r="I7" s="40"/>
      <c r="J7" s="40"/>
      <c r="K7" s="41"/>
      <c r="L7" s="41"/>
      <c r="M7" s="41"/>
      <c r="N7" s="41"/>
      <c r="O7" s="41"/>
      <c r="P7" s="42"/>
    </row>
    <row r="8" spans="1:16" ht="15">
      <c r="A8" s="48"/>
      <c r="B8" s="49"/>
      <c r="C8" s="44"/>
      <c r="D8" s="44"/>
      <c r="E8" s="44"/>
      <c r="F8" s="44"/>
      <c r="G8" s="44"/>
      <c r="H8" s="44"/>
      <c r="I8" s="44"/>
      <c r="J8" s="44"/>
      <c r="K8" s="46"/>
      <c r="L8" s="46"/>
      <c r="M8" s="46"/>
      <c r="N8" s="46"/>
      <c r="O8" s="46"/>
      <c r="P8" s="47"/>
    </row>
    <row r="9" spans="1:16" ht="15">
      <c r="A9" s="48"/>
      <c r="B9" s="49"/>
      <c r="C9" s="44"/>
      <c r="D9" s="44"/>
      <c r="E9" s="44"/>
      <c r="F9" s="44"/>
      <c r="G9" s="44"/>
      <c r="H9" s="44"/>
      <c r="I9" s="44"/>
      <c r="J9" s="44"/>
      <c r="K9" s="46"/>
      <c r="L9" s="46"/>
      <c r="M9" s="46"/>
      <c r="N9" s="46"/>
      <c r="O9" s="46"/>
      <c r="P9" s="47"/>
    </row>
    <row r="10" spans="1:16" ht="15">
      <c r="A10" s="48"/>
      <c r="B10" s="49"/>
      <c r="C10" s="44"/>
      <c r="D10" s="44"/>
      <c r="E10" s="44"/>
      <c r="F10" s="44"/>
      <c r="G10" s="44"/>
      <c r="H10" s="44"/>
      <c r="I10" s="44"/>
      <c r="J10" s="44"/>
      <c r="K10" s="46"/>
      <c r="L10" s="46"/>
      <c r="M10" s="46"/>
      <c r="N10" s="46"/>
      <c r="O10" s="46"/>
      <c r="P10" s="47"/>
    </row>
    <row r="11" spans="1:16" ht="15" customHeight="1">
      <c r="A11" s="59" t="s">
        <v>6</v>
      </c>
      <c r="B11" s="44"/>
      <c r="C11" s="44"/>
      <c r="D11" s="44"/>
      <c r="E11" s="44"/>
      <c r="F11" s="44"/>
      <c r="G11" s="44"/>
      <c r="H11" s="44"/>
      <c r="I11" s="44"/>
      <c r="J11" s="60"/>
      <c r="K11" s="32" t="s">
        <v>7</v>
      </c>
      <c r="L11" s="32"/>
      <c r="M11" s="36" t="s">
        <v>8</v>
      </c>
      <c r="N11" s="36"/>
      <c r="O11" s="60"/>
      <c r="P11" s="47"/>
    </row>
    <row r="12" spans="1:16" ht="16.5" customHeight="1">
      <c r="A12" s="43" t="s">
        <v>9</v>
      </c>
      <c r="B12" s="44"/>
      <c r="C12" s="44"/>
      <c r="D12" s="44"/>
      <c r="E12" s="44"/>
      <c r="F12" s="44"/>
      <c r="G12" s="44"/>
      <c r="H12" s="44"/>
      <c r="I12" s="44"/>
      <c r="J12" s="61"/>
      <c r="K12" s="31" t="s">
        <v>10</v>
      </c>
      <c r="L12" s="31"/>
      <c r="M12" s="37">
        <v>45444</v>
      </c>
      <c r="N12" s="37"/>
      <c r="O12" s="61"/>
      <c r="P12" s="47"/>
    </row>
    <row r="13" spans="1:16" ht="16.5" customHeight="1">
      <c r="A13" s="43" t="s">
        <v>11</v>
      </c>
      <c r="B13" s="44"/>
      <c r="C13" s="44"/>
      <c r="D13" s="44"/>
      <c r="E13" s="44"/>
      <c r="F13" s="44"/>
      <c r="G13" s="44"/>
      <c r="H13" s="44"/>
      <c r="I13" s="44"/>
      <c r="J13" s="61"/>
      <c r="K13" s="31" t="s">
        <v>12</v>
      </c>
      <c r="L13" s="30"/>
      <c r="M13" s="37">
        <v>45687</v>
      </c>
      <c r="N13" s="37"/>
      <c r="O13" s="61"/>
      <c r="P13" s="62"/>
    </row>
    <row r="14" spans="1:16" ht="16.5" customHeight="1">
      <c r="A14" s="43" t="s">
        <v>13</v>
      </c>
      <c r="B14" s="44"/>
      <c r="C14" s="44"/>
      <c r="D14" s="44"/>
      <c r="E14" s="44"/>
      <c r="F14" s="44"/>
      <c r="G14" s="44"/>
      <c r="H14" s="44"/>
      <c r="I14" s="44"/>
      <c r="J14" s="61"/>
      <c r="K14" s="29" t="s">
        <v>14</v>
      </c>
      <c r="L14" s="28"/>
      <c r="M14" s="38">
        <v>45691</v>
      </c>
      <c r="N14" s="38"/>
      <c r="O14" s="61"/>
      <c r="P14" s="62"/>
    </row>
    <row r="15" spans="1:16" ht="16.5" customHeight="1">
      <c r="A15" s="43"/>
      <c r="B15" s="27" t="s">
        <v>15</v>
      </c>
      <c r="C15" s="26">
        <f>(1/12)*100</f>
        <v>8.3333333333333321</v>
      </c>
      <c r="D15" s="26">
        <f t="shared" ref="D15:N15" si="0">(1/12)*100+C15</f>
        <v>16.666666666666664</v>
      </c>
      <c r="E15" s="26">
        <f t="shared" si="0"/>
        <v>24.999999999999996</v>
      </c>
      <c r="F15" s="26">
        <f t="shared" si="0"/>
        <v>33.333333333333329</v>
      </c>
      <c r="G15" s="26">
        <f t="shared" si="0"/>
        <v>41.666666666666657</v>
      </c>
      <c r="H15" s="26">
        <f t="shared" si="0"/>
        <v>49.999999999999986</v>
      </c>
      <c r="I15" s="26">
        <f t="shared" si="0"/>
        <v>58.333333333333314</v>
      </c>
      <c r="J15" s="26">
        <f t="shared" si="0"/>
        <v>66.666666666666643</v>
      </c>
      <c r="K15" s="26">
        <f t="shared" si="0"/>
        <v>74.999999999999972</v>
      </c>
      <c r="L15" s="26">
        <f t="shared" si="0"/>
        <v>83.3333333333333</v>
      </c>
      <c r="M15" s="26">
        <f t="shared" si="0"/>
        <v>91.666666666666629</v>
      </c>
      <c r="N15" s="25">
        <f t="shared" si="0"/>
        <v>99.999999999999957</v>
      </c>
      <c r="O15" s="61"/>
      <c r="P15" s="62"/>
    </row>
    <row r="16" spans="1:16" ht="16.5" customHeight="1">
      <c r="A16" s="43"/>
      <c r="B16" s="24" t="s">
        <v>16</v>
      </c>
      <c r="C16" s="23">
        <f>(1/12)*100</f>
        <v>8.3333333333333321</v>
      </c>
      <c r="D16" s="23">
        <f>(1/12)*100+C16</f>
        <v>16.666666666666664</v>
      </c>
      <c r="E16" s="22">
        <v>22</v>
      </c>
      <c r="F16" s="22">
        <v>28</v>
      </c>
      <c r="G16" s="22">
        <v>34</v>
      </c>
      <c r="H16" s="22">
        <v>38</v>
      </c>
      <c r="I16" s="22">
        <v>41</v>
      </c>
      <c r="J16" s="22">
        <v>52</v>
      </c>
      <c r="K16" s="22">
        <v>70</v>
      </c>
      <c r="L16" s="22">
        <v>75</v>
      </c>
      <c r="M16" s="22">
        <v>80</v>
      </c>
      <c r="N16" s="22">
        <v>100</v>
      </c>
      <c r="O16" s="46"/>
      <c r="P16" s="62"/>
    </row>
    <row r="17" spans="1:16" ht="15" thickBot="1">
      <c r="A17" s="59"/>
      <c r="B17" s="33" t="s">
        <v>17</v>
      </c>
      <c r="C17" s="34" t="s">
        <v>18</v>
      </c>
      <c r="D17" s="34" t="s">
        <v>19</v>
      </c>
      <c r="E17" s="34" t="s">
        <v>20</v>
      </c>
      <c r="F17" s="34" t="s">
        <v>21</v>
      </c>
      <c r="G17" s="34" t="s">
        <v>22</v>
      </c>
      <c r="H17" s="34" t="s">
        <v>23</v>
      </c>
      <c r="I17" s="34" t="s">
        <v>24</v>
      </c>
      <c r="J17" s="34" t="s">
        <v>25</v>
      </c>
      <c r="K17" s="34" t="s">
        <v>26</v>
      </c>
      <c r="L17" s="34" t="s">
        <v>27</v>
      </c>
      <c r="M17" s="34" t="s">
        <v>28</v>
      </c>
      <c r="N17" s="35" t="s">
        <v>29</v>
      </c>
      <c r="O17" s="46"/>
      <c r="P17" s="47"/>
    </row>
    <row r="18" spans="1:16" ht="15" hidden="1" thickBot="1">
      <c r="A18" s="59"/>
      <c r="B18" s="46"/>
      <c r="C18" s="21">
        <v>1</v>
      </c>
      <c r="D18" s="20">
        <v>2</v>
      </c>
      <c r="E18" s="20">
        <v>3</v>
      </c>
      <c r="F18" s="20">
        <v>4</v>
      </c>
      <c r="G18" s="20">
        <v>5</v>
      </c>
      <c r="H18" s="20">
        <v>6</v>
      </c>
      <c r="I18" s="20">
        <v>7</v>
      </c>
      <c r="J18" s="20">
        <v>8</v>
      </c>
      <c r="K18" s="20">
        <v>9</v>
      </c>
      <c r="L18" s="20">
        <v>10</v>
      </c>
      <c r="M18" s="20">
        <v>11</v>
      </c>
      <c r="N18" s="19">
        <v>12</v>
      </c>
      <c r="O18" s="46"/>
      <c r="P18" s="47"/>
    </row>
    <row r="19" spans="1:16" ht="15">
      <c r="A19" s="63" t="s">
        <v>30</v>
      </c>
      <c r="B19" s="18">
        <f>B51</f>
        <v>30000000</v>
      </c>
      <c r="C19" s="16">
        <f t="shared" ref="C19:N19" si="1">$B$19/12</f>
        <v>2500000</v>
      </c>
      <c r="D19" s="16">
        <f t="shared" si="1"/>
        <v>2500000</v>
      </c>
      <c r="E19" s="16">
        <f t="shared" si="1"/>
        <v>2500000</v>
      </c>
      <c r="F19" s="16">
        <f t="shared" si="1"/>
        <v>2500000</v>
      </c>
      <c r="G19" s="16">
        <f t="shared" si="1"/>
        <v>2500000</v>
      </c>
      <c r="H19" s="16">
        <f t="shared" si="1"/>
        <v>2500000</v>
      </c>
      <c r="I19" s="17">
        <f t="shared" si="1"/>
        <v>2500000</v>
      </c>
      <c r="J19" s="16">
        <f t="shared" si="1"/>
        <v>2500000</v>
      </c>
      <c r="K19" s="16">
        <f t="shared" si="1"/>
        <v>2500000</v>
      </c>
      <c r="L19" s="16">
        <f t="shared" si="1"/>
        <v>2500000</v>
      </c>
      <c r="M19" s="16">
        <f t="shared" si="1"/>
        <v>2500000</v>
      </c>
      <c r="N19" s="16">
        <f t="shared" si="1"/>
        <v>2500000</v>
      </c>
      <c r="O19" s="46"/>
      <c r="P19" s="47"/>
    </row>
    <row r="20" spans="1:16">
      <c r="A20" s="64" t="s">
        <v>31</v>
      </c>
      <c r="B20" s="14" t="s">
        <v>32</v>
      </c>
      <c r="C20" s="13">
        <f>C19</f>
        <v>2500000</v>
      </c>
      <c r="D20" s="13">
        <f t="shared" ref="D20:N20" si="2">C20+D19</f>
        <v>5000000</v>
      </c>
      <c r="E20" s="13">
        <f t="shared" si="2"/>
        <v>7500000</v>
      </c>
      <c r="F20" s="13">
        <f t="shared" si="2"/>
        <v>10000000</v>
      </c>
      <c r="G20" s="13">
        <f t="shared" si="2"/>
        <v>12500000</v>
      </c>
      <c r="H20" s="13">
        <f t="shared" si="2"/>
        <v>15000000</v>
      </c>
      <c r="I20" s="13">
        <f t="shared" si="2"/>
        <v>17500000</v>
      </c>
      <c r="J20" s="13">
        <f t="shared" si="2"/>
        <v>20000000</v>
      </c>
      <c r="K20" s="13">
        <f t="shared" si="2"/>
        <v>22500000</v>
      </c>
      <c r="L20" s="13">
        <f t="shared" si="2"/>
        <v>25000000</v>
      </c>
      <c r="M20" s="13">
        <f t="shared" si="2"/>
        <v>27500000</v>
      </c>
      <c r="N20" s="12">
        <f t="shared" si="2"/>
        <v>30000000</v>
      </c>
      <c r="O20" s="46"/>
      <c r="P20" s="47"/>
    </row>
    <row r="21" spans="1:16">
      <c r="A21" s="65" t="s">
        <v>33</v>
      </c>
      <c r="B21" s="11"/>
      <c r="C21" s="9">
        <v>1000000</v>
      </c>
      <c r="D21" s="9">
        <v>1500000</v>
      </c>
      <c r="E21" s="9">
        <v>3000000</v>
      </c>
      <c r="F21" s="9">
        <v>1800000</v>
      </c>
      <c r="G21" s="9">
        <v>2400000</v>
      </c>
      <c r="H21" s="9">
        <v>3400000</v>
      </c>
      <c r="I21" s="9">
        <v>4000000</v>
      </c>
      <c r="J21" s="9"/>
      <c r="K21" s="9"/>
      <c r="L21" s="9"/>
      <c r="M21" s="9"/>
      <c r="N21" s="15"/>
      <c r="O21" s="46"/>
      <c r="P21" s="47"/>
    </row>
    <row r="22" spans="1:16">
      <c r="A22" s="64" t="s">
        <v>34</v>
      </c>
      <c r="B22" s="14" t="s">
        <v>35</v>
      </c>
      <c r="C22" s="13">
        <f>C21</f>
        <v>1000000</v>
      </c>
      <c r="D22" s="13">
        <f t="shared" ref="D22:N22" si="3">C22+D21</f>
        <v>2500000</v>
      </c>
      <c r="E22" s="13">
        <f t="shared" si="3"/>
        <v>5500000</v>
      </c>
      <c r="F22" s="13">
        <f t="shared" si="3"/>
        <v>7300000</v>
      </c>
      <c r="G22" s="13">
        <f t="shared" si="3"/>
        <v>9700000</v>
      </c>
      <c r="H22" s="13">
        <f t="shared" si="3"/>
        <v>13100000</v>
      </c>
      <c r="I22" s="13">
        <f t="shared" si="3"/>
        <v>17100000</v>
      </c>
      <c r="J22" s="13">
        <f t="shared" si="3"/>
        <v>17100000</v>
      </c>
      <c r="K22" s="13">
        <f t="shared" si="3"/>
        <v>17100000</v>
      </c>
      <c r="L22" s="13">
        <f t="shared" si="3"/>
        <v>17100000</v>
      </c>
      <c r="M22" s="13">
        <f t="shared" si="3"/>
        <v>17100000</v>
      </c>
      <c r="N22" s="12">
        <f t="shared" si="3"/>
        <v>17100000</v>
      </c>
      <c r="O22" s="46"/>
      <c r="P22" s="47"/>
    </row>
    <row r="23" spans="1:16">
      <c r="A23" s="65" t="s">
        <v>36</v>
      </c>
      <c r="B23" s="11"/>
      <c r="C23" s="9">
        <f t="shared" ref="C23:N23" si="4">C19*(C16/C15)</f>
        <v>2500000</v>
      </c>
      <c r="D23" s="9">
        <f t="shared" si="4"/>
        <v>2500000</v>
      </c>
      <c r="E23" s="9">
        <f t="shared" si="4"/>
        <v>2200000.0000000005</v>
      </c>
      <c r="F23" s="9">
        <f t="shared" si="4"/>
        <v>2100000</v>
      </c>
      <c r="G23" s="9">
        <f t="shared" si="4"/>
        <v>2040000.0000000005</v>
      </c>
      <c r="H23" s="9">
        <f t="shared" si="4"/>
        <v>1900000.0000000005</v>
      </c>
      <c r="I23" s="10">
        <f t="shared" si="4"/>
        <v>1757142.8571428577</v>
      </c>
      <c r="J23" s="9">
        <f t="shared" si="4"/>
        <v>1950000.0000000007</v>
      </c>
      <c r="K23" s="9">
        <f t="shared" si="4"/>
        <v>2333333.3333333344</v>
      </c>
      <c r="L23" s="9">
        <f t="shared" si="4"/>
        <v>2250000.0000000009</v>
      </c>
      <c r="M23" s="9">
        <f t="shared" si="4"/>
        <v>2181818.181818183</v>
      </c>
      <c r="N23" s="9">
        <f t="shared" si="4"/>
        <v>2500000.0000000009</v>
      </c>
      <c r="O23" s="46"/>
      <c r="P23" s="47"/>
    </row>
    <row r="24" spans="1:16" ht="15" thickBot="1">
      <c r="A24" s="66" t="s">
        <v>37</v>
      </c>
      <c r="B24" s="8" t="s">
        <v>38</v>
      </c>
      <c r="C24" s="7">
        <f>C23</f>
        <v>2500000</v>
      </c>
      <c r="D24" s="7">
        <f t="shared" ref="D24:N24" si="5">C24+D23</f>
        <v>5000000</v>
      </c>
      <c r="E24" s="7">
        <f t="shared" si="5"/>
        <v>7200000</v>
      </c>
      <c r="F24" s="7">
        <f t="shared" si="5"/>
        <v>9300000</v>
      </c>
      <c r="G24" s="7">
        <f t="shared" si="5"/>
        <v>11340000</v>
      </c>
      <c r="H24" s="7">
        <f t="shared" si="5"/>
        <v>13240000</v>
      </c>
      <c r="I24" s="7">
        <f t="shared" si="5"/>
        <v>14997142.857142858</v>
      </c>
      <c r="J24" s="7">
        <f t="shared" si="5"/>
        <v>16947142.857142858</v>
      </c>
      <c r="K24" s="7">
        <f t="shared" si="5"/>
        <v>19280476.190476194</v>
      </c>
      <c r="L24" s="7">
        <f t="shared" si="5"/>
        <v>21530476.190476194</v>
      </c>
      <c r="M24" s="7">
        <f t="shared" si="5"/>
        <v>23712294.372294378</v>
      </c>
      <c r="N24" s="6">
        <f t="shared" si="5"/>
        <v>26212294.372294378</v>
      </c>
      <c r="O24" s="46"/>
      <c r="P24" s="47"/>
    </row>
    <row r="25" spans="1:16" ht="16.899999999999999" thickBot="1">
      <c r="A25" s="59"/>
      <c r="B25" s="46"/>
      <c r="C25" s="67" t="s">
        <v>39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</row>
    <row r="26" spans="1:16" ht="16.899999999999999" thickBot="1">
      <c r="A26" s="68" t="s">
        <v>40</v>
      </c>
      <c r="B26" s="5">
        <f>HLOOKUP(ROUND(($M$14-$M$12)/30,0),$C$18:$N$24,3,TRUE)</f>
        <v>20000000</v>
      </c>
      <c r="C26" s="6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7"/>
    </row>
    <row r="27" spans="1:16" ht="16.899999999999999" thickBot="1">
      <c r="A27" s="59"/>
      <c r="B27" s="69"/>
      <c r="C27" s="6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1:16">
      <c r="A28" s="70" t="s">
        <v>41</v>
      </c>
      <c r="B28" s="4" t="s">
        <v>42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</row>
    <row r="29" spans="1:16" ht="22.9">
      <c r="A29" s="71" t="s">
        <v>43</v>
      </c>
      <c r="B29" s="3">
        <f>HLOOKUP(ROUND(($M$13-$M$12)/12,0),$C$18:$N$24,5,TRUE)/HLOOKUP(ROUND(($M$13-$M$12)/12,0),$C$18:$N$24,5,TRUE)</f>
        <v>1</v>
      </c>
      <c r="C29" s="72"/>
      <c r="D29" s="72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</row>
    <row r="30" spans="1:16" ht="22.9">
      <c r="A30" s="71" t="s">
        <v>44</v>
      </c>
      <c r="B30" s="3">
        <f>HLOOKUP(ROUND(($M$13-$M$12)/12,0),$C$18:$N$24,7,TRUE)/HLOOKUP(ROUND(($M$13-$M$12)/12,0),$C$18:$N$24,3,TRUE)</f>
        <v>0.87374314574314593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</row>
    <row r="31" spans="1:16">
      <c r="A31" s="71" t="s">
        <v>45</v>
      </c>
      <c r="B31" s="3">
        <f>$B$29*$B$30</f>
        <v>0.87374314574314593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1:16" ht="22.9">
      <c r="A32" s="71" t="s">
        <v>46</v>
      </c>
      <c r="B32" s="2">
        <f>$B$26/$B$29</f>
        <v>20000000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7"/>
    </row>
    <row r="33" spans="1:16" ht="22.9">
      <c r="A33" s="71" t="s">
        <v>47</v>
      </c>
      <c r="B33" s="2">
        <f>HLOOKUP(ROUND(($M$13-$M$12)/30,0),$C$18:$N$24,5,TRUE)+$B$26-HLOOKUP(ROUND(($M$13-$M$12)/30,0),$C$18:$N$24,7,TRUE)</f>
        <v>20152857.142857142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7"/>
    </row>
    <row r="34" spans="1:16">
      <c r="A34" s="71" t="s">
        <v>48</v>
      </c>
      <c r="B34" s="2">
        <f>B32-HLOOKUP(ROUND(($M$13-$M$12)/30,0),$C$18:$N$24,5,TRUE)</f>
        <v>2900000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1:16">
      <c r="A35" s="71" t="s">
        <v>49</v>
      </c>
      <c r="B35" s="2">
        <f>$B$33-HLOOKUP(ROUND(($M$13-$M$12)/30,0),$C$18:$N$24,5,TRUE)</f>
        <v>3052857.1428571418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</row>
    <row r="36" spans="1:16">
      <c r="A36" s="71" t="s">
        <v>50</v>
      </c>
      <c r="B36" s="2">
        <f>$B$26-$B$32</f>
        <v>0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7"/>
    </row>
    <row r="37" spans="1:16">
      <c r="A37" s="71" t="s">
        <v>51</v>
      </c>
      <c r="B37" s="2">
        <f>$B$26-$B$33</f>
        <v>-152857.14285714179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7"/>
    </row>
    <row r="38" spans="1:16" ht="15" thickBot="1">
      <c r="A38" s="73" t="s">
        <v>52</v>
      </c>
      <c r="B38" s="1">
        <f>($B$26-HLOOKUP(ROUND(($M$13-$M$12)/30,0),$C$18:$N$24,7,TRUE))/($B$26-HLOOKUP(ROUND(($M$13-$M$12)/30,0),$C$18:$N$24,5,TRUE))</f>
        <v>1.0527093596059109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7"/>
    </row>
    <row r="39" spans="1:16" ht="15">
      <c r="A39" s="59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7"/>
    </row>
    <row r="40" spans="1:16" ht="15">
      <c r="A40" s="53" t="s">
        <v>53</v>
      </c>
      <c r="B40" s="54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ht="15">
      <c r="A41" s="52" t="s">
        <v>54</v>
      </c>
      <c r="B41" s="52" t="s">
        <v>55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7"/>
    </row>
    <row r="42" spans="1:16" ht="15">
      <c r="A42" s="52" t="s">
        <v>56</v>
      </c>
      <c r="B42" s="52" t="s">
        <v>57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7"/>
    </row>
    <row r="43" spans="1:16" ht="15">
      <c r="A43" s="52" t="s">
        <v>58</v>
      </c>
      <c r="B43" s="52" t="s">
        <v>59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7"/>
    </row>
    <row r="44" spans="1:16" ht="15">
      <c r="A44" s="59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7"/>
    </row>
    <row r="45" spans="1:16" ht="15">
      <c r="A45" s="55" t="s">
        <v>60</v>
      </c>
      <c r="B45" s="5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7"/>
    </row>
    <row r="46" spans="1:16" ht="15">
      <c r="A46" s="52" t="s">
        <v>54</v>
      </c>
      <c r="B46" s="52">
        <v>12000000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7"/>
    </row>
    <row r="47" spans="1:16" ht="15">
      <c r="A47" s="52" t="s">
        <v>56</v>
      </c>
      <c r="B47" s="52">
        <v>8000000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7"/>
    </row>
    <row r="48" spans="1:16" ht="15">
      <c r="A48" s="52" t="s">
        <v>61</v>
      </c>
      <c r="B48" s="52">
        <v>3500000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7"/>
    </row>
    <row r="49" spans="1:16" ht="15">
      <c r="A49" s="52" t="s">
        <v>61</v>
      </c>
      <c r="B49" s="52">
        <v>3500000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7"/>
    </row>
    <row r="50" spans="1:16" ht="15">
      <c r="A50" s="52" t="s">
        <v>61</v>
      </c>
      <c r="B50" s="52">
        <v>3000000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7"/>
    </row>
    <row r="51" spans="1:16" ht="15">
      <c r="A51" s="52" t="s">
        <v>62</v>
      </c>
      <c r="B51" s="52">
        <f>SUM(B46:B50)</f>
        <v>30000000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7"/>
    </row>
    <row r="52" spans="1:16" ht="14.45" customHeight="1">
      <c r="A52" s="59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7"/>
    </row>
    <row r="53" spans="1:16" ht="15">
      <c r="A53" s="74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1"/>
    </row>
    <row r="54" spans="1:16" ht="15"/>
    <row r="55" spans="1:16" ht="15"/>
    <row r="56" spans="1:16" ht="15"/>
    <row r="57" spans="1:16" ht="14.45" customHeight="1"/>
    <row r="58" spans="1:16" ht="15"/>
    <row r="59" spans="1:16" ht="15"/>
    <row r="60" spans="1:16" ht="15"/>
    <row r="61" spans="1:16" ht="15"/>
    <row r="62" spans="1:16" ht="15"/>
    <row r="63" spans="1:16" ht="15"/>
    <row r="64" spans="1:16" ht="15"/>
  </sheetData>
  <mergeCells count="11">
    <mergeCell ref="A40:B40"/>
    <mergeCell ref="A45:B45"/>
    <mergeCell ref="M11:N11"/>
    <mergeCell ref="M12:N12"/>
    <mergeCell ref="M13:N13"/>
    <mergeCell ref="M14:N14"/>
    <mergeCell ref="D2:K2"/>
    <mergeCell ref="D3:K3"/>
    <mergeCell ref="D4:K4"/>
    <mergeCell ref="D6:K6"/>
    <mergeCell ref="D5:K5"/>
  </mergeCells>
  <conditionalFormatting sqref="C17:C24 D19:N19 D23:N23">
    <cfRule type="expression" dxfId="30" priority="3">
      <formula>IF(ROUND(($M$13-$M$12)/12,0)=1,1,0)</formula>
    </cfRule>
  </conditionalFormatting>
  <conditionalFormatting sqref="D17:D18 E17:N17 D20:D22 D24">
    <cfRule type="expression" dxfId="29" priority="4">
      <formula>IF(ROUND(($M$13-$M$12)/12,0)=2,1,0)</formula>
    </cfRule>
  </conditionalFormatting>
  <conditionalFormatting sqref="E18 E20:E22 E24">
    <cfRule type="expression" dxfId="28" priority="5">
      <formula>IF(ROUND(($M$13-$M$12)/12,0)=3,1,0)</formula>
    </cfRule>
  </conditionalFormatting>
  <conditionalFormatting sqref="F18 F20:F22 F24">
    <cfRule type="expression" dxfId="27" priority="6">
      <formula>IF(ROUND(($M$13-$M$12)/12,0)=4,1,0)</formula>
    </cfRule>
  </conditionalFormatting>
  <conditionalFormatting sqref="G18 G20:G22 G24">
    <cfRule type="expression" dxfId="26" priority="7">
      <formula>IF(ROUND(($M$13-$M$12)/12,0)=5,1,0)</formula>
    </cfRule>
  </conditionalFormatting>
  <conditionalFormatting sqref="H18 H20:H22 H24">
    <cfRule type="expression" dxfId="25" priority="8">
      <formula>IF(ROUND(($M$13-$M$12)/12,0)=6,1,0)</formula>
    </cfRule>
  </conditionalFormatting>
  <conditionalFormatting sqref="I18 I20:I22 I24">
    <cfRule type="expression" dxfId="24" priority="9">
      <formula>IF(ROUND(($M$13-$M$12)/12,0)=7,1,0)</formula>
    </cfRule>
  </conditionalFormatting>
  <conditionalFormatting sqref="J18 J20:J22 J24">
    <cfRule type="expression" dxfId="23" priority="10">
      <formula>IF(ROUND(($M$13-$M$12)/12,0)=8,1,0)</formula>
    </cfRule>
  </conditionalFormatting>
  <conditionalFormatting sqref="K18 K20:K22 K24">
    <cfRule type="expression" dxfId="22" priority="11">
      <formula>IF(ROUND(($M$13-$M$12)/12,0)=9,1,0)</formula>
    </cfRule>
  </conditionalFormatting>
  <conditionalFormatting sqref="L18 L20:L22 L24">
    <cfRule type="expression" dxfId="21" priority="12">
      <formula>IF(ROUND(($M$13-$M$12)/12,0)=10,1,0)</formula>
    </cfRule>
  </conditionalFormatting>
  <conditionalFormatting sqref="M18 M20:M22 M24">
    <cfRule type="expression" dxfId="20" priority="13">
      <formula>IF(ROUND(($M$13-$M$12)/12,0)=11,1,0)</formula>
    </cfRule>
  </conditionalFormatting>
  <conditionalFormatting sqref="N18 N20:N22 N24">
    <cfRule type="expression" dxfId="19" priority="14">
      <formula>IF(ROUND(($M$13-$M$12)/12,0)=12,1,0)</formula>
    </cfRule>
  </conditionalFormatting>
  <conditionalFormatting sqref="M11">
    <cfRule type="expression" dxfId="18" priority="2">
      <formula>IF(ROUND(($M$13-$M$12)/30,0)=3,1,0)</formula>
    </cfRule>
  </conditionalFormatting>
  <conditionalFormatting sqref="M12">
    <cfRule type="expression" dxfId="17" priority="1">
      <formula>IF(ROUND(($M$13-$M$12)/30,0)=3,1,0)</formula>
    </cfRule>
  </conditionalFormatting>
  <pageMargins left="0.7" right="0.7" top="0.75" bottom="0.75" header="0.3" footer="0.3"/>
  <pageSetup scale="48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Camilo Diaz Monje</dc:creator>
  <cp:keywords/>
  <dc:description/>
  <cp:lastModifiedBy>JUAN SEBASTIAN LOPEZ BOGOTA</cp:lastModifiedBy>
  <cp:revision/>
  <dcterms:created xsi:type="dcterms:W3CDTF">2017-10-03T08:22:32Z</dcterms:created>
  <dcterms:modified xsi:type="dcterms:W3CDTF">2024-12-04T20:15:37Z</dcterms:modified>
  <cp:category/>
  <cp:contentStatus/>
</cp:coreProperties>
</file>