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odri\Documents\ICAI\Grado\TFG\AA\"/>
    </mc:Choice>
  </mc:AlternateContent>
  <xr:revisionPtr revIDLastSave="0" documentId="13_ncr:1_{4AB7D8D8-9054-4A0D-A5FA-A572F6C8DDE5}" xr6:coauthVersionLast="47" xr6:coauthVersionMax="47" xr10:uidLastSave="{00000000-0000-0000-0000-000000000000}"/>
  <bookViews>
    <workbookView xWindow="-108" yWindow="-108" windowWidth="23256" windowHeight="12456" firstSheet="3" activeTab="4" xr2:uid="{3F734EA0-2C97-4516-8BFD-0816B086F6B9}"/>
  </bookViews>
  <sheets>
    <sheet name="Planificación" sheetId="5" r:id="rId1"/>
    <sheet name="Precio barril" sheetId="10" r:id="rId2"/>
    <sheet name="Volumen tanques" sheetId="1" r:id="rId3"/>
    <sheet name="Caudales" sheetId="2" r:id="rId4"/>
    <sheet name="Potencia" sheetId="3" r:id="rId5"/>
    <sheet name="Coef. Transf. Calor equivalente" sheetId="6" state="hidden" r:id="rId6"/>
    <sheet name="Coef. Trans. de Calor" sheetId="7" r:id="rId7"/>
    <sheet name="Sueldos y Seguridad Social" sheetId="9" r:id="rId8"/>
    <sheet name="Ejercicio Económico" sheetId="8" r:id="rId9"/>
    <sheet name="Hoja1" sheetId="12" r:id="rId10"/>
    <sheet name="Compra Buque" sheetId="11" r:id="rId11"/>
  </sheets>
  <externalReferences>
    <externalReference r:id="rId12"/>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7" i="3" l="1"/>
  <c r="M18" i="3"/>
  <c r="M19" i="3"/>
  <c r="M20" i="3"/>
  <c r="M16" i="3"/>
  <c r="S4" i="3"/>
  <c r="K4" i="3"/>
  <c r="B15" i="3"/>
  <c r="K5" i="3"/>
  <c r="K6" i="3"/>
  <c r="K7" i="3"/>
  <c r="K8" i="3"/>
  <c r="W26" i="12"/>
  <c r="V26" i="12"/>
  <c r="U26" i="12"/>
  <c r="T26" i="12"/>
  <c r="S26" i="12"/>
  <c r="R26" i="12"/>
  <c r="Q26" i="12"/>
  <c r="P26" i="12"/>
  <c r="O26" i="12"/>
  <c r="N26" i="12"/>
  <c r="M26" i="12"/>
  <c r="L26" i="12"/>
  <c r="K26" i="12"/>
  <c r="J26" i="12"/>
  <c r="I26" i="12"/>
  <c r="V6" i="12"/>
  <c r="W6" i="12"/>
  <c r="U6" i="12"/>
  <c r="T6" i="12"/>
  <c r="Q6" i="12"/>
  <c r="R6" i="12"/>
  <c r="P6" i="12"/>
  <c r="M6" i="12"/>
  <c r="L6" i="12"/>
  <c r="B10" i="12"/>
  <c r="J5" i="12"/>
  <c r="S6" i="12"/>
  <c r="O6" i="12"/>
  <c r="N6" i="12"/>
  <c r="J6" i="12"/>
  <c r="K6" i="12"/>
  <c r="I6" i="12"/>
  <c r="J27" i="12"/>
  <c r="K27" i="12"/>
  <c r="L27" i="12"/>
  <c r="M27" i="12"/>
  <c r="N27" i="12"/>
  <c r="O27" i="12"/>
  <c r="P27" i="12"/>
  <c r="Q27" i="12"/>
  <c r="R27" i="12"/>
  <c r="S27" i="12"/>
  <c r="T27" i="12"/>
  <c r="U27" i="12"/>
  <c r="V27" i="12"/>
  <c r="W27" i="12"/>
  <c r="J28" i="12"/>
  <c r="K28" i="12"/>
  <c r="L28" i="12"/>
  <c r="M28" i="12"/>
  <c r="N28" i="12"/>
  <c r="O28" i="12"/>
  <c r="P28" i="12"/>
  <c r="Q28" i="12"/>
  <c r="R28" i="12"/>
  <c r="S28" i="12"/>
  <c r="T28" i="12"/>
  <c r="U28" i="12"/>
  <c r="V28" i="12"/>
  <c r="W28" i="12"/>
  <c r="J29" i="12"/>
  <c r="K29" i="12"/>
  <c r="L29" i="12"/>
  <c r="M29" i="12"/>
  <c r="N29" i="12"/>
  <c r="O29" i="12"/>
  <c r="P29" i="12"/>
  <c r="Q29" i="12"/>
  <c r="R29" i="12"/>
  <c r="S29" i="12"/>
  <c r="T29" i="12"/>
  <c r="U29" i="12"/>
  <c r="V29" i="12"/>
  <c r="W29" i="12"/>
  <c r="J30" i="12"/>
  <c r="K30" i="12"/>
  <c r="L30" i="12"/>
  <c r="M30" i="12"/>
  <c r="N30" i="12"/>
  <c r="O30" i="12"/>
  <c r="P30" i="12"/>
  <c r="Q30" i="12"/>
  <c r="R30" i="12"/>
  <c r="S30" i="12"/>
  <c r="T30" i="12"/>
  <c r="U30" i="12"/>
  <c r="V30" i="12"/>
  <c r="W30" i="12"/>
  <c r="J31" i="12"/>
  <c r="K31" i="12"/>
  <c r="L31" i="12"/>
  <c r="M31" i="12"/>
  <c r="N31" i="12"/>
  <c r="O31" i="12"/>
  <c r="P31" i="12"/>
  <c r="Q31" i="12"/>
  <c r="R31" i="12"/>
  <c r="S31" i="12"/>
  <c r="T31" i="12"/>
  <c r="U31" i="12"/>
  <c r="V31" i="12"/>
  <c r="W31" i="12"/>
  <c r="I31" i="12"/>
  <c r="I30" i="12"/>
  <c r="I29" i="12"/>
  <c r="I28" i="12"/>
  <c r="I27" i="12"/>
  <c r="B11" i="12"/>
  <c r="R25" i="12"/>
  <c r="J7" i="12"/>
  <c r="K7" i="12"/>
  <c r="L7" i="12"/>
  <c r="M7" i="12"/>
  <c r="N7" i="12"/>
  <c r="O7" i="12"/>
  <c r="P7" i="12"/>
  <c r="Q7" i="12"/>
  <c r="R7" i="12"/>
  <c r="S7" i="12"/>
  <c r="T7" i="12"/>
  <c r="U7" i="12"/>
  <c r="V7" i="12"/>
  <c r="W7" i="12"/>
  <c r="J8" i="12"/>
  <c r="K8" i="12"/>
  <c r="L8" i="12"/>
  <c r="M8" i="12"/>
  <c r="N8" i="12"/>
  <c r="O8" i="12"/>
  <c r="P8" i="12"/>
  <c r="Q8" i="12"/>
  <c r="R8" i="12"/>
  <c r="S8" i="12"/>
  <c r="T8" i="12"/>
  <c r="U8" i="12"/>
  <c r="V8" i="12"/>
  <c r="W8" i="12"/>
  <c r="J9" i="12"/>
  <c r="K9" i="12"/>
  <c r="L9" i="12"/>
  <c r="M9" i="12"/>
  <c r="N9" i="12"/>
  <c r="O9" i="12"/>
  <c r="P9" i="12"/>
  <c r="Q9" i="12"/>
  <c r="R9" i="12"/>
  <c r="S9" i="12"/>
  <c r="T9" i="12"/>
  <c r="U9" i="12"/>
  <c r="V9" i="12"/>
  <c r="W9" i="12"/>
  <c r="J10" i="12"/>
  <c r="K10" i="12"/>
  <c r="L10" i="12"/>
  <c r="M10" i="12"/>
  <c r="N10" i="12"/>
  <c r="O10" i="12"/>
  <c r="P10" i="12"/>
  <c r="Q10" i="12"/>
  <c r="R10" i="12"/>
  <c r="S10" i="12"/>
  <c r="T10" i="12"/>
  <c r="U10" i="12"/>
  <c r="V10" i="12"/>
  <c r="W10" i="12"/>
  <c r="J11" i="12"/>
  <c r="K11" i="12"/>
  <c r="L11" i="12"/>
  <c r="M11" i="12"/>
  <c r="N11" i="12"/>
  <c r="O11" i="12"/>
  <c r="P11" i="12"/>
  <c r="Q11" i="12"/>
  <c r="R11" i="12"/>
  <c r="S11" i="12"/>
  <c r="T11" i="12"/>
  <c r="U11" i="12"/>
  <c r="V11" i="12"/>
  <c r="W11" i="12"/>
  <c r="I11" i="12"/>
  <c r="I10" i="12"/>
  <c r="I9" i="12"/>
  <c r="I8" i="12"/>
  <c r="I7" i="12"/>
  <c r="J32" i="12"/>
  <c r="J36" i="12" s="1"/>
  <c r="K32" i="12"/>
  <c r="K36" i="12" s="1"/>
  <c r="L32" i="12"/>
  <c r="L36" i="12" s="1"/>
  <c r="M32" i="12"/>
  <c r="N32" i="12"/>
  <c r="O32" i="12"/>
  <c r="P32" i="12"/>
  <c r="Q32" i="12"/>
  <c r="R32" i="12"/>
  <c r="S32" i="12"/>
  <c r="S36" i="12" s="1"/>
  <c r="T32" i="12"/>
  <c r="T36" i="12" s="1"/>
  <c r="U32" i="12"/>
  <c r="V32" i="12"/>
  <c r="W32" i="12"/>
  <c r="I32" i="12"/>
  <c r="O36" i="12"/>
  <c r="P36" i="12"/>
  <c r="H37" i="12"/>
  <c r="G28" i="12"/>
  <c r="G29" i="12"/>
  <c r="G30" i="12"/>
  <c r="G31" i="12"/>
  <c r="G27" i="12"/>
  <c r="G26" i="12"/>
  <c r="V36" i="12"/>
  <c r="N36" i="12"/>
  <c r="H33" i="12"/>
  <c r="W36" i="12"/>
  <c r="U36" i="12"/>
  <c r="M36" i="12"/>
  <c r="H28" i="8"/>
  <c r="J12" i="12"/>
  <c r="K12" i="12"/>
  <c r="L12" i="12"/>
  <c r="M12" i="12"/>
  <c r="N12" i="12"/>
  <c r="O12" i="12"/>
  <c r="O16" i="12" s="1"/>
  <c r="P12" i="12"/>
  <c r="Q12" i="12"/>
  <c r="R12" i="12"/>
  <c r="S12" i="12"/>
  <c r="T12" i="12"/>
  <c r="U12" i="12"/>
  <c r="V12" i="12"/>
  <c r="W12" i="12"/>
  <c r="I12" i="12"/>
  <c r="I16" i="12" s="1"/>
  <c r="J16" i="12"/>
  <c r="K16" i="12"/>
  <c r="L16" i="12"/>
  <c r="M16" i="12"/>
  <c r="N16" i="12"/>
  <c r="R16" i="12"/>
  <c r="S16" i="12"/>
  <c r="T16" i="12"/>
  <c r="U16" i="12"/>
  <c r="V16" i="12"/>
  <c r="W16" i="12"/>
  <c r="I17" i="8"/>
  <c r="B12" i="12"/>
  <c r="H15" i="12"/>
  <c r="H18" i="12" s="1"/>
  <c r="H14" i="12"/>
  <c r="H13" i="12"/>
  <c r="H17" i="12"/>
  <c r="G8" i="12"/>
  <c r="G9" i="12"/>
  <c r="G10" i="12"/>
  <c r="G11" i="12"/>
  <c r="G7" i="12"/>
  <c r="G6" i="12"/>
  <c r="B9" i="12"/>
  <c r="B28" i="12"/>
  <c r="B26" i="12" s="1"/>
  <c r="B17" i="12"/>
  <c r="B16" i="12"/>
  <c r="B15" i="12"/>
  <c r="B14" i="12"/>
  <c r="B13" i="12"/>
  <c r="E10" i="12"/>
  <c r="B6" i="12"/>
  <c r="B34" i="12" s="1"/>
  <c r="B5" i="12"/>
  <c r="B4" i="12"/>
  <c r="B2" i="12"/>
  <c r="B23" i="12" s="1"/>
  <c r="G15" i="8"/>
  <c r="H57" i="8"/>
  <c r="B10" i="8"/>
  <c r="B9" i="8"/>
  <c r="B6" i="8"/>
  <c r="B8" i="8"/>
  <c r="B4" i="8"/>
  <c r="B26" i="8"/>
  <c r="B5" i="8"/>
  <c r="H24" i="8" s="1"/>
  <c r="B2" i="8"/>
  <c r="E10" i="8"/>
  <c r="B11" i="8"/>
  <c r="I5" i="12" l="1"/>
  <c r="I13" i="12" s="1"/>
  <c r="K25" i="12"/>
  <c r="K33" i="12" s="1"/>
  <c r="K34" i="12" s="1"/>
  <c r="K35" i="12" s="1"/>
  <c r="K38" i="12" s="1"/>
  <c r="J13" i="12"/>
  <c r="J14" i="12" s="1"/>
  <c r="S33" i="12"/>
  <c r="S34" i="12" s="1"/>
  <c r="S35" i="12" s="1"/>
  <c r="S38" i="12" s="1"/>
  <c r="W5" i="12"/>
  <c r="W13" i="12" s="1"/>
  <c r="W14" i="12" s="1"/>
  <c r="W15" i="12" s="1"/>
  <c r="W18" i="12" s="1"/>
  <c r="L25" i="12"/>
  <c r="L33" i="12" s="1"/>
  <c r="L34" i="12" s="1"/>
  <c r="L35" i="12" s="1"/>
  <c r="L38" i="12" s="1"/>
  <c r="T5" i="12"/>
  <c r="T13" i="12" s="1"/>
  <c r="T14" i="12" s="1"/>
  <c r="T15" i="12" s="1"/>
  <c r="T18" i="12" s="1"/>
  <c r="R5" i="12"/>
  <c r="R13" i="12" s="1"/>
  <c r="R14" i="12" s="1"/>
  <c r="R15" i="12" s="1"/>
  <c r="R18" i="12" s="1"/>
  <c r="V5" i="12"/>
  <c r="O5" i="12"/>
  <c r="S25" i="12"/>
  <c r="T25" i="12"/>
  <c r="N5" i="12"/>
  <c r="N13" i="12" s="1"/>
  <c r="U5" i="12"/>
  <c r="U13" i="12" s="1"/>
  <c r="U14" i="12" s="1"/>
  <c r="M5" i="12"/>
  <c r="M25" i="12"/>
  <c r="U25" i="12"/>
  <c r="U33" i="12" s="1"/>
  <c r="U34" i="12" s="1"/>
  <c r="U35" i="12" s="1"/>
  <c r="U38" i="12" s="1"/>
  <c r="L5" i="12"/>
  <c r="L13" i="12" s="1"/>
  <c r="L14" i="12" s="1"/>
  <c r="N25" i="12"/>
  <c r="N33" i="12" s="1"/>
  <c r="N34" i="12" s="1"/>
  <c r="N35" i="12" s="1"/>
  <c r="N38" i="12" s="1"/>
  <c r="V25" i="12"/>
  <c r="S5" i="12"/>
  <c r="K5" i="12"/>
  <c r="O25" i="12"/>
  <c r="W25" i="12"/>
  <c r="W33" i="12" s="1"/>
  <c r="R33" i="12"/>
  <c r="R34" i="12" s="1"/>
  <c r="R35" i="12" s="1"/>
  <c r="R38" i="12" s="1"/>
  <c r="Q5" i="12"/>
  <c r="Q13" i="12" s="1"/>
  <c r="Q14" i="12" s="1"/>
  <c r="Q15" i="12" s="1"/>
  <c r="Q18" i="12" s="1"/>
  <c r="I25" i="12"/>
  <c r="I33" i="12" s="1"/>
  <c r="Q25" i="12"/>
  <c r="P25" i="12"/>
  <c r="P5" i="12"/>
  <c r="J25" i="12"/>
  <c r="J33" i="12" s="1"/>
  <c r="J34" i="12" s="1"/>
  <c r="J35" i="12" s="1"/>
  <c r="J38" i="12" s="1"/>
  <c r="R36" i="12"/>
  <c r="H35" i="12"/>
  <c r="H38" i="12" s="1"/>
  <c r="H34" i="12"/>
  <c r="I36" i="12"/>
  <c r="Q36" i="12"/>
  <c r="Q16" i="12"/>
  <c r="P16" i="12"/>
  <c r="B21" i="12"/>
  <c r="B24" i="12"/>
  <c r="B32" i="12"/>
  <c r="B35" i="12" s="1"/>
  <c r="B29" i="12"/>
  <c r="B28" i="8"/>
  <c r="H53" i="8"/>
  <c r="I38" i="8"/>
  <c r="H55" i="8"/>
  <c r="W53" i="8"/>
  <c r="W45" i="8"/>
  <c r="V45" i="8"/>
  <c r="U45" i="8"/>
  <c r="T45" i="8"/>
  <c r="S45" i="8"/>
  <c r="R45" i="8"/>
  <c r="Q45" i="8"/>
  <c r="P45" i="8"/>
  <c r="O45" i="8"/>
  <c r="N45" i="8"/>
  <c r="M45" i="8"/>
  <c r="L45" i="8"/>
  <c r="K45" i="8"/>
  <c r="J45" i="8"/>
  <c r="I45" i="8"/>
  <c r="W44" i="8"/>
  <c r="V44" i="8"/>
  <c r="U44" i="8"/>
  <c r="T44" i="8"/>
  <c r="S44" i="8"/>
  <c r="R44" i="8"/>
  <c r="Q44" i="8"/>
  <c r="P44" i="8"/>
  <c r="O44" i="8"/>
  <c r="N44" i="8"/>
  <c r="M44" i="8"/>
  <c r="L44" i="8"/>
  <c r="K44" i="8"/>
  <c r="J44" i="8"/>
  <c r="I44" i="8"/>
  <c r="G44" i="8"/>
  <c r="W43" i="8"/>
  <c r="V43" i="8"/>
  <c r="U43" i="8"/>
  <c r="T43" i="8"/>
  <c r="S43" i="8"/>
  <c r="R43" i="8"/>
  <c r="Q43" i="8"/>
  <c r="P43" i="8"/>
  <c r="O43" i="8"/>
  <c r="N43" i="8"/>
  <c r="M43" i="8"/>
  <c r="L43" i="8"/>
  <c r="K43" i="8"/>
  <c r="J43" i="8"/>
  <c r="I43" i="8"/>
  <c r="G43" i="8"/>
  <c r="W42" i="8"/>
  <c r="V42" i="8"/>
  <c r="U42" i="8"/>
  <c r="T42" i="8"/>
  <c r="S42" i="8"/>
  <c r="R42" i="8"/>
  <c r="Q42" i="8"/>
  <c r="P42" i="8"/>
  <c r="O42" i="8"/>
  <c r="N42" i="8"/>
  <c r="M42" i="8"/>
  <c r="L42" i="8"/>
  <c r="K42" i="8"/>
  <c r="J42" i="8"/>
  <c r="I42" i="8"/>
  <c r="G42" i="8"/>
  <c r="W41" i="8"/>
  <c r="V41" i="8"/>
  <c r="U41" i="8"/>
  <c r="T41" i="8"/>
  <c r="S41" i="8"/>
  <c r="R41" i="8"/>
  <c r="Q41" i="8"/>
  <c r="P41" i="8"/>
  <c r="O41" i="8"/>
  <c r="N41" i="8"/>
  <c r="M41" i="8"/>
  <c r="L41" i="8"/>
  <c r="K41" i="8"/>
  <c r="J41" i="8"/>
  <c r="I41" i="8"/>
  <c r="W40" i="8"/>
  <c r="V40" i="8"/>
  <c r="U40" i="8"/>
  <c r="T40" i="8"/>
  <c r="S40" i="8"/>
  <c r="R40" i="8"/>
  <c r="Q40" i="8"/>
  <c r="P40" i="8"/>
  <c r="O40" i="8"/>
  <c r="N40" i="8"/>
  <c r="M40" i="8"/>
  <c r="L40" i="8"/>
  <c r="K40" i="8"/>
  <c r="J40" i="8"/>
  <c r="I40" i="8"/>
  <c r="W39" i="8"/>
  <c r="V39" i="8"/>
  <c r="U39" i="8"/>
  <c r="T39" i="8"/>
  <c r="S39" i="8"/>
  <c r="R39" i="8"/>
  <c r="Q39" i="8"/>
  <c r="P39" i="8"/>
  <c r="O39" i="8"/>
  <c r="N39" i="8"/>
  <c r="M39" i="8"/>
  <c r="L39" i="8"/>
  <c r="K39" i="8"/>
  <c r="J39" i="8"/>
  <c r="I39" i="8"/>
  <c r="W38" i="8"/>
  <c r="V38" i="8"/>
  <c r="U38" i="8"/>
  <c r="T38" i="8"/>
  <c r="S38" i="8"/>
  <c r="R38" i="8"/>
  <c r="Q38" i="8"/>
  <c r="P38" i="8"/>
  <c r="O38" i="8"/>
  <c r="N38" i="8"/>
  <c r="M38" i="8"/>
  <c r="L38" i="8"/>
  <c r="K38" i="8"/>
  <c r="J38" i="8"/>
  <c r="B23" i="8"/>
  <c r="B21" i="8" s="1"/>
  <c r="Q46" i="8" s="1"/>
  <c r="Q51" i="8" s="1"/>
  <c r="W24" i="8"/>
  <c r="B17" i="8"/>
  <c r="M15" i="8" s="1"/>
  <c r="B16" i="8"/>
  <c r="I14" i="8" s="1"/>
  <c r="B15" i="8"/>
  <c r="I13" i="8" s="1"/>
  <c r="B14" i="8"/>
  <c r="M11" i="8" s="1"/>
  <c r="B13" i="8"/>
  <c r="I10" i="8" s="1"/>
  <c r="B12" i="8"/>
  <c r="M16" i="8"/>
  <c r="B34" i="8"/>
  <c r="B32" i="8" s="1"/>
  <c r="D36" i="10"/>
  <c r="D26" i="10"/>
  <c r="S5" i="3"/>
  <c r="G14" i="8"/>
  <c r="L13" i="8"/>
  <c r="J13" i="8"/>
  <c r="G13" i="8"/>
  <c r="V33" i="12" l="1"/>
  <c r="V34" i="12" s="1"/>
  <c r="V35" i="12" s="1"/>
  <c r="V38" i="12" s="1"/>
  <c r="O13" i="12"/>
  <c r="O14" i="12" s="1"/>
  <c r="O15" i="12" s="1"/>
  <c r="O18" i="12" s="1"/>
  <c r="M33" i="12"/>
  <c r="M34" i="12" s="1"/>
  <c r="M35" i="12" s="1"/>
  <c r="M38" i="12" s="1"/>
  <c r="H58" i="12"/>
  <c r="H63" i="12"/>
  <c r="H55" i="12"/>
  <c r="H56" i="12"/>
  <c r="P13" i="12"/>
  <c r="P14" i="12" s="1"/>
  <c r="P15" i="12" s="1"/>
  <c r="P18" i="12" s="1"/>
  <c r="M13" i="12"/>
  <c r="M14" i="12" s="1"/>
  <c r="M15" i="12" s="1"/>
  <c r="M18" i="12" s="1"/>
  <c r="S13" i="12"/>
  <c r="S14" i="12" s="1"/>
  <c r="T33" i="12"/>
  <c r="T34" i="12" s="1"/>
  <c r="T35" i="12" s="1"/>
  <c r="T38" i="12" s="1"/>
  <c r="O33" i="12"/>
  <c r="O34" i="12" s="1"/>
  <c r="O35" i="12" s="1"/>
  <c r="O38" i="12" s="1"/>
  <c r="H61" i="12"/>
  <c r="P33" i="12"/>
  <c r="P34" i="12" s="1"/>
  <c r="P35" i="12" s="1"/>
  <c r="P38" i="12" s="1"/>
  <c r="K13" i="12"/>
  <c r="K14" i="12" s="1"/>
  <c r="K15" i="12" s="1"/>
  <c r="K18" i="12" s="1"/>
  <c r="V13" i="12"/>
  <c r="V14" i="12" s="1"/>
  <c r="V15" i="12" s="1"/>
  <c r="V18" i="12" s="1"/>
  <c r="H60" i="12"/>
  <c r="Q33" i="12"/>
  <c r="Q34" i="12" s="1"/>
  <c r="Q35" i="12" s="1"/>
  <c r="Q38" i="12" s="1"/>
  <c r="H53" i="12"/>
  <c r="H57" i="12"/>
  <c r="H52" i="12"/>
  <c r="I14" i="12"/>
  <c r="I15" i="12" s="1"/>
  <c r="I18" i="12" s="1"/>
  <c r="H49" i="12"/>
  <c r="H59" i="12"/>
  <c r="H62" i="12"/>
  <c r="H51" i="12"/>
  <c r="U15" i="12"/>
  <c r="U18" i="12" s="1"/>
  <c r="H54" i="12"/>
  <c r="H50" i="12"/>
  <c r="L15" i="12"/>
  <c r="L18" i="12" s="1"/>
  <c r="J15" i="12"/>
  <c r="J18" i="12" s="1"/>
  <c r="I56" i="12"/>
  <c r="I49" i="12"/>
  <c r="I50" i="12"/>
  <c r="I55" i="12"/>
  <c r="I57" i="12"/>
  <c r="I58" i="12"/>
  <c r="I54" i="12"/>
  <c r="I51" i="12"/>
  <c r="I59" i="12"/>
  <c r="I52" i="12"/>
  <c r="I60" i="12"/>
  <c r="I53" i="12"/>
  <c r="I61" i="12"/>
  <c r="I62" i="12"/>
  <c r="I63" i="12"/>
  <c r="I34" i="12"/>
  <c r="I35" i="12" s="1"/>
  <c r="I38" i="12" s="1"/>
  <c r="W34" i="12"/>
  <c r="W35" i="12" s="1"/>
  <c r="W38" i="12" s="1"/>
  <c r="N14" i="12"/>
  <c r="N15" i="12" s="1"/>
  <c r="N18" i="12" s="1"/>
  <c r="B35" i="8"/>
  <c r="P46" i="8"/>
  <c r="P51" i="8" s="1"/>
  <c r="W46" i="8"/>
  <c r="W51" i="8" s="1"/>
  <c r="V46" i="8"/>
  <c r="V51" i="8" s="1"/>
  <c r="O46" i="8"/>
  <c r="O51" i="8" s="1"/>
  <c r="N46" i="8"/>
  <c r="N51" i="8" s="1"/>
  <c r="U46" i="8"/>
  <c r="U51" i="8" s="1"/>
  <c r="M46" i="8"/>
  <c r="M51" i="8" s="1"/>
  <c r="B24" i="8"/>
  <c r="Q48" i="8"/>
  <c r="Q49" i="8" s="1"/>
  <c r="Q50" i="8" s="1"/>
  <c r="Q55" i="8" s="1"/>
  <c r="T46" i="8"/>
  <c r="T51" i="8" s="1"/>
  <c r="L46" i="8"/>
  <c r="L51" i="8" s="1"/>
  <c r="S46" i="8"/>
  <c r="S51" i="8" s="1"/>
  <c r="K46" i="8"/>
  <c r="K51" i="8" s="1"/>
  <c r="R46" i="8"/>
  <c r="R51" i="8" s="1"/>
  <c r="J46" i="8"/>
  <c r="J51" i="8" s="1"/>
  <c r="L48" i="8"/>
  <c r="L49" i="8" s="1"/>
  <c r="L50" i="8" s="1"/>
  <c r="L55" i="8" s="1"/>
  <c r="T48" i="8"/>
  <c r="T49" i="8" s="1"/>
  <c r="T50" i="8" s="1"/>
  <c r="T55" i="8" s="1"/>
  <c r="I46" i="8"/>
  <c r="V48" i="8"/>
  <c r="V49" i="8"/>
  <c r="V50" i="8" s="1"/>
  <c r="V55" i="8" s="1"/>
  <c r="P48" i="8"/>
  <c r="L9" i="8"/>
  <c r="P12" i="8"/>
  <c r="S15" i="8"/>
  <c r="V14" i="8"/>
  <c r="V13" i="8"/>
  <c r="S13" i="8"/>
  <c r="V12" i="8"/>
  <c r="N16" i="8"/>
  <c r="V16" i="8"/>
  <c r="S12" i="8"/>
  <c r="W9" i="8"/>
  <c r="N12" i="8"/>
  <c r="S16" i="8"/>
  <c r="V11" i="8"/>
  <c r="V15" i="8"/>
  <c r="V10" i="8"/>
  <c r="O15" i="8"/>
  <c r="O11" i="8"/>
  <c r="U16" i="8"/>
  <c r="U15" i="8"/>
  <c r="U14" i="8"/>
  <c r="U13" i="8"/>
  <c r="U12" i="8"/>
  <c r="U11" i="8"/>
  <c r="U10" i="8"/>
  <c r="U9" i="8"/>
  <c r="L14" i="8"/>
  <c r="N15" i="8"/>
  <c r="N11" i="8"/>
  <c r="T16" i="8"/>
  <c r="T15" i="8"/>
  <c r="T14" i="8"/>
  <c r="T13" i="8"/>
  <c r="T12" i="8"/>
  <c r="T11" i="8"/>
  <c r="T10" i="8"/>
  <c r="T9" i="8"/>
  <c r="V9" i="8"/>
  <c r="K9" i="8"/>
  <c r="O14" i="8"/>
  <c r="S14" i="8"/>
  <c r="S10" i="8"/>
  <c r="N14" i="8"/>
  <c r="N10" i="8"/>
  <c r="R16" i="8"/>
  <c r="R15" i="8"/>
  <c r="R14" i="8"/>
  <c r="R13" i="8"/>
  <c r="R12" i="8"/>
  <c r="R11" i="8"/>
  <c r="R10" i="8"/>
  <c r="R9" i="8"/>
  <c r="S11" i="8"/>
  <c r="O13" i="8"/>
  <c r="O9" i="8"/>
  <c r="Q16" i="8"/>
  <c r="Q15" i="8"/>
  <c r="Q14" i="8"/>
  <c r="Q13" i="8"/>
  <c r="Q12" i="8"/>
  <c r="Q11" i="8"/>
  <c r="Q10" i="8"/>
  <c r="Q9" i="8"/>
  <c r="N13" i="8"/>
  <c r="N9" i="8"/>
  <c r="P16" i="8"/>
  <c r="P15" i="8"/>
  <c r="P14" i="8"/>
  <c r="P13" i="8"/>
  <c r="P11" i="8"/>
  <c r="P10" i="8"/>
  <c r="P9" i="8"/>
  <c r="O10" i="8"/>
  <c r="S9" i="8"/>
  <c r="L12" i="8"/>
  <c r="O16" i="8"/>
  <c r="O12" i="8"/>
  <c r="W16" i="8"/>
  <c r="W15" i="8"/>
  <c r="W14" i="8"/>
  <c r="W13" i="8"/>
  <c r="W12" i="8"/>
  <c r="W11" i="8"/>
  <c r="W10" i="8"/>
  <c r="K15" i="8"/>
  <c r="I15" i="8"/>
  <c r="J15" i="8"/>
  <c r="L15" i="8"/>
  <c r="J14" i="8"/>
  <c r="K14" i="8"/>
  <c r="M14" i="8"/>
  <c r="K13" i="8"/>
  <c r="M13" i="8"/>
  <c r="J11" i="8"/>
  <c r="L11" i="8"/>
  <c r="I11" i="8"/>
  <c r="K11" i="8"/>
  <c r="J10" i="8"/>
  <c r="K10" i="8"/>
  <c r="L10" i="8"/>
  <c r="M10" i="8"/>
  <c r="M12" i="8"/>
  <c r="K12" i="8"/>
  <c r="I12" i="8"/>
  <c r="J12" i="8"/>
  <c r="I16" i="8"/>
  <c r="K16" i="8"/>
  <c r="L16" i="8"/>
  <c r="J16" i="8"/>
  <c r="H26" i="8"/>
  <c r="I9" i="8"/>
  <c r="M9" i="8"/>
  <c r="J9" i="8"/>
  <c r="H40" i="12" l="1"/>
  <c r="S15" i="12"/>
  <c r="S18" i="12" s="1"/>
  <c r="H20" i="12"/>
  <c r="W48" i="8"/>
  <c r="W49" i="8" s="1"/>
  <c r="W50" i="8" s="1"/>
  <c r="W55" i="8" s="1"/>
  <c r="R48" i="8"/>
  <c r="R49" i="8" s="1"/>
  <c r="R50" i="8" s="1"/>
  <c r="R55" i="8" s="1"/>
  <c r="O48" i="8"/>
  <c r="N48" i="8"/>
  <c r="N49" i="8" s="1"/>
  <c r="N50" i="8" s="1"/>
  <c r="N55" i="8" s="1"/>
  <c r="S48" i="8"/>
  <c r="J48" i="8"/>
  <c r="J49" i="8" s="1"/>
  <c r="J50" i="8" s="1"/>
  <c r="J55" i="8" s="1"/>
  <c r="I48" i="8"/>
  <c r="I49" i="8" s="1"/>
  <c r="I50" i="8" s="1"/>
  <c r="I51" i="8"/>
  <c r="K48" i="8"/>
  <c r="K49" i="8" s="1"/>
  <c r="K50" i="8" s="1"/>
  <c r="K55" i="8" s="1"/>
  <c r="M48" i="8"/>
  <c r="U48" i="8"/>
  <c r="P49" i="8"/>
  <c r="P50" i="8" s="1"/>
  <c r="P55" i="8" s="1"/>
  <c r="B29" i="8" l="1"/>
  <c r="J17" i="8"/>
  <c r="O17" i="8"/>
  <c r="Q17" i="8"/>
  <c r="P17" i="8"/>
  <c r="R17" i="8"/>
  <c r="L17" i="8"/>
  <c r="M17" i="8"/>
  <c r="S17" i="8"/>
  <c r="W17" i="8"/>
  <c r="V17" i="8"/>
  <c r="K17" i="8"/>
  <c r="N17" i="8"/>
  <c r="T17" i="8"/>
  <c r="U17" i="8"/>
  <c r="I55" i="8"/>
  <c r="S49" i="8"/>
  <c r="S50" i="8" s="1"/>
  <c r="S55" i="8" s="1"/>
  <c r="U49" i="8"/>
  <c r="U50" i="8" s="1"/>
  <c r="U55" i="8" s="1"/>
  <c r="O49" i="8"/>
  <c r="O50" i="8" s="1"/>
  <c r="O55" i="8" s="1"/>
  <c r="M49" i="8"/>
  <c r="M50" i="8" s="1"/>
  <c r="M55" i="8" s="1"/>
  <c r="F8" i="7"/>
  <c r="F18" i="7"/>
  <c r="B18" i="7"/>
  <c r="B8" i="7"/>
  <c r="J18" i="7"/>
  <c r="J8" i="7"/>
  <c r="B16" i="6"/>
  <c r="G41" i="6"/>
  <c r="G25" i="6"/>
  <c r="P5" i="6"/>
  <c r="P6" i="6"/>
  <c r="P3" i="6"/>
  <c r="P4" i="6"/>
  <c r="G38" i="6"/>
  <c r="U14" i="6"/>
  <c r="V14" i="6" s="1"/>
  <c r="U12" i="6"/>
  <c r="U5" i="6"/>
  <c r="V5" i="6" s="1"/>
  <c r="U3" i="6"/>
  <c r="V3" i="6" s="1"/>
  <c r="O12" i="6"/>
  <c r="P12" i="6" s="1"/>
  <c r="O5" i="6"/>
  <c r="O3" i="6"/>
  <c r="G16" i="6"/>
  <c r="G17" i="6" s="1"/>
  <c r="V6" i="6" s="1"/>
  <c r="N5" i="6"/>
  <c r="N3" i="6"/>
  <c r="V13" i="6"/>
  <c r="P13" i="6"/>
  <c r="V12" i="6"/>
  <c r="V4" i="6"/>
  <c r="G2" i="6"/>
  <c r="G13" i="6" s="1"/>
  <c r="S6" i="3"/>
  <c r="P4" i="3"/>
  <c r="B6" i="3"/>
  <c r="H14" i="2"/>
  <c r="B8" i="3"/>
  <c r="H8" i="3"/>
  <c r="H7" i="3"/>
  <c r="H6" i="3"/>
  <c r="H5" i="3"/>
  <c r="H4" i="3"/>
  <c r="D4" i="2"/>
  <c r="B6" i="2"/>
  <c r="B8" i="2" s="1"/>
  <c r="B12" i="2" s="1"/>
  <c r="B3" i="2"/>
  <c r="E30" i="1"/>
  <c r="E32" i="1"/>
  <c r="F32" i="1" s="1"/>
  <c r="F35" i="1" s="1"/>
  <c r="I23" i="1"/>
  <c r="I24" i="1"/>
  <c r="F25" i="1"/>
  <c r="I25" i="1" s="1"/>
  <c r="L37" i="1"/>
  <c r="L38" i="1" s="1"/>
  <c r="L36" i="1"/>
  <c r="L35" i="1"/>
  <c r="H32" i="1"/>
  <c r="H35" i="1"/>
  <c r="E25" i="1"/>
  <c r="E18" i="1"/>
  <c r="B9" i="1"/>
  <c r="C1" i="1"/>
  <c r="C3" i="1" s="1"/>
  <c r="C4" i="1" s="1"/>
  <c r="B3" i="1"/>
  <c r="B4" i="1" s="1"/>
  <c r="B7" i="1" s="1"/>
  <c r="S7" i="3" l="1"/>
  <c r="S19" i="8"/>
  <c r="S22" i="8"/>
  <c r="Q19" i="8"/>
  <c r="Q22" i="8"/>
  <c r="O22" i="8"/>
  <c r="O19" i="8"/>
  <c r="W19" i="8"/>
  <c r="W22" i="8"/>
  <c r="V22" i="8"/>
  <c r="V19" i="8"/>
  <c r="N22" i="8"/>
  <c r="N19" i="8"/>
  <c r="N20" i="8" s="1"/>
  <c r="N21" i="8" s="1"/>
  <c r="T22" i="8"/>
  <c r="T19" i="8"/>
  <c r="T20" i="8" s="1"/>
  <c r="T21" i="8" s="1"/>
  <c r="R19" i="8"/>
  <c r="R22" i="8"/>
  <c r="U22" i="8"/>
  <c r="U19" i="8"/>
  <c r="P19" i="8"/>
  <c r="P22" i="8"/>
  <c r="L22" i="8"/>
  <c r="L19" i="8"/>
  <c r="I22" i="8"/>
  <c r="I19" i="8"/>
  <c r="K22" i="8"/>
  <c r="K19" i="8"/>
  <c r="K20" i="8" s="1"/>
  <c r="K21" i="8" s="1"/>
  <c r="M22" i="8"/>
  <c r="M19" i="8"/>
  <c r="J22" i="8"/>
  <c r="J19" i="8"/>
  <c r="J20" i="8" s="1"/>
  <c r="J21" i="8" s="1"/>
  <c r="G42" i="6"/>
  <c r="P14" i="6" s="1"/>
  <c r="P15" i="6" s="1"/>
  <c r="V7" i="6"/>
  <c r="F37" i="1"/>
  <c r="F36" i="1"/>
  <c r="E35" i="1"/>
  <c r="E36" i="1" s="1"/>
  <c r="H39" i="1"/>
  <c r="H40" i="1" s="1"/>
  <c r="S8" i="3" l="1"/>
  <c r="N26" i="8"/>
  <c r="T26" i="8"/>
  <c r="J26" i="8"/>
  <c r="K26" i="8"/>
  <c r="W20" i="8"/>
  <c r="W21" i="8" s="1"/>
  <c r="W26" i="8" s="1"/>
  <c r="O20" i="8"/>
  <c r="O21" i="8" s="1"/>
  <c r="O26" i="8" s="1"/>
  <c r="R20" i="8"/>
  <c r="R21" i="8" s="1"/>
  <c r="R26" i="8" s="1"/>
  <c r="U20" i="8"/>
  <c r="U21" i="8" s="1"/>
  <c r="U26" i="8" s="1"/>
  <c r="P20" i="8"/>
  <c r="P21" i="8" s="1"/>
  <c r="P26" i="8" s="1"/>
  <c r="Q20" i="8"/>
  <c r="Q21" i="8" s="1"/>
  <c r="Q26" i="8" s="1"/>
  <c r="V20" i="8"/>
  <c r="V21" i="8" s="1"/>
  <c r="V26" i="8" s="1"/>
  <c r="S20" i="8"/>
  <c r="S21" i="8" s="1"/>
  <c r="S26" i="8" s="1"/>
  <c r="M20" i="8"/>
  <c r="M21" i="8" s="1"/>
  <c r="M26" i="8" s="1"/>
  <c r="I20" i="8"/>
  <c r="I21" i="8" s="1"/>
  <c r="I26" i="8" s="1"/>
  <c r="L20" i="8"/>
  <c r="L21" i="8" s="1"/>
  <c r="L26" i="8" s="1"/>
  <c r="V15" i="6"/>
  <c r="V16" i="6" s="1"/>
  <c r="P7" i="6"/>
  <c r="E37" i="1"/>
</calcChain>
</file>

<file path=xl/sharedStrings.xml><?xml version="1.0" encoding="utf-8"?>
<sst xmlns="http://schemas.openxmlformats.org/spreadsheetml/2006/main" count="596" uniqueCount="330">
  <si>
    <t>Q</t>
  </si>
  <si>
    <t>v</t>
  </si>
  <si>
    <t>A</t>
  </si>
  <si>
    <t>D</t>
  </si>
  <si>
    <t>densidad</t>
  </si>
  <si>
    <t>g</t>
  </si>
  <si>
    <t>t</t>
  </si>
  <si>
    <t>V 2-5</t>
  </si>
  <si>
    <t>V slop</t>
  </si>
  <si>
    <t>V total</t>
  </si>
  <si>
    <t>V 1</t>
  </si>
  <si>
    <t>V tanks</t>
  </si>
  <si>
    <t>t'</t>
  </si>
  <si>
    <t>Q por bomba</t>
  </si>
  <si>
    <t>Diametro</t>
  </si>
  <si>
    <t>Tubería 1</t>
  </si>
  <si>
    <t>Tubería 2</t>
  </si>
  <si>
    <t>Tubería 3</t>
  </si>
  <si>
    <t>Tubería 4</t>
  </si>
  <si>
    <t>Tubería 5</t>
  </si>
  <si>
    <t>Pérdidas de carga primaria</t>
  </si>
  <si>
    <t>Reynolds</t>
  </si>
  <si>
    <t>viscosidad</t>
  </si>
  <si>
    <t>Re</t>
  </si>
  <si>
    <t>Flujo turbulento</t>
  </si>
  <si>
    <t>f</t>
  </si>
  <si>
    <t>Longitud</t>
  </si>
  <si>
    <t>hf</t>
  </si>
  <si>
    <t>Pérdidas de carga secundaria</t>
  </si>
  <si>
    <t>k</t>
  </si>
  <si>
    <t>valcula</t>
  </si>
  <si>
    <t>codo 90º</t>
  </si>
  <si>
    <t>Volumen</t>
  </si>
  <si>
    <t>tiempo</t>
  </si>
  <si>
    <t>Diamtero</t>
  </si>
  <si>
    <t>m</t>
  </si>
  <si>
    <t>m3/h</t>
  </si>
  <si>
    <t>h</t>
  </si>
  <si>
    <t>m3</t>
  </si>
  <si>
    <t>hm</t>
  </si>
  <si>
    <t>Potencia</t>
  </si>
  <si>
    <t>a</t>
  </si>
  <si>
    <t>m/s</t>
  </si>
  <si>
    <t>rendimiento</t>
  </si>
  <si>
    <t>kg/m3</t>
  </si>
  <si>
    <t>m/s2</t>
  </si>
  <si>
    <t>m3/s</t>
  </si>
  <si>
    <t>acerco casco</t>
  </si>
  <si>
    <t>agua mar</t>
  </si>
  <si>
    <t>acero  tanque</t>
  </si>
  <si>
    <t>Resistencia (km^2/W)</t>
  </si>
  <si>
    <t>-</t>
  </si>
  <si>
    <t>Pr</t>
  </si>
  <si>
    <t>distance to tank</t>
  </si>
  <si>
    <t>Pa s = Kg/ms</t>
  </si>
  <si>
    <t>&gt;2300</t>
  </si>
  <si>
    <t>Turbulento</t>
  </si>
  <si>
    <t>cp</t>
  </si>
  <si>
    <t>m2/s</t>
  </si>
  <si>
    <t>J/KgK</t>
  </si>
  <si>
    <t>Nusset number</t>
  </si>
  <si>
    <t>aire exterior</t>
  </si>
  <si>
    <t>velocidad</t>
  </si>
  <si>
    <t>AGUA MAR</t>
  </si>
  <si>
    <t>AIRE EXTERIOR</t>
  </si>
  <si>
    <t>difusividad termica</t>
  </si>
  <si>
    <t>viscosidad cinematica</t>
  </si>
  <si>
    <t>Enero</t>
  </si>
  <si>
    <t>Estructura del Proyecto</t>
  </si>
  <si>
    <t>Febrero</t>
  </si>
  <si>
    <t>Marzo</t>
  </si>
  <si>
    <t>Abril</t>
  </si>
  <si>
    <t>Mayo</t>
  </si>
  <si>
    <t>Recogida de Información</t>
  </si>
  <si>
    <t>Estudio Metodología</t>
  </si>
  <si>
    <t>Estudio del sistema de tuberías</t>
  </si>
  <si>
    <t>Estudio del sistema de bombeo</t>
  </si>
  <si>
    <t>Estudio de la transmisión de calor en el tanque</t>
  </si>
  <si>
    <t>Cálculo de la tempera final del crudo con ANSYS</t>
  </si>
  <si>
    <t>Estudio de mejoras</t>
  </si>
  <si>
    <t>Estudio Medioambiental</t>
  </si>
  <si>
    <t>Estudio Económico</t>
  </si>
  <si>
    <t>Espesor del casco</t>
  </si>
  <si>
    <t>Espesor del tanque</t>
  </si>
  <si>
    <t>Coeficiente de conductividad térmica del acero</t>
  </si>
  <si>
    <t>mm</t>
  </si>
  <si>
    <t>W/mK</t>
  </si>
  <si>
    <t>Parte Inferior</t>
  </si>
  <si>
    <t>Parte superior</t>
  </si>
  <si>
    <t>Lateral aire</t>
  </si>
  <si>
    <t>Lateral agua</t>
  </si>
  <si>
    <t>K equivalente</t>
  </si>
  <si>
    <t>Espesor (m)</t>
  </si>
  <si>
    <t>Coef. Conductividad (W/mk)</t>
  </si>
  <si>
    <t>Viscosidad cinematica</t>
  </si>
  <si>
    <t>Difusividad Térmica</t>
  </si>
  <si>
    <t>W/Km^2</t>
  </si>
  <si>
    <t>Coeficiente de conductividad térmica del agua</t>
  </si>
  <si>
    <t>Coeficiente de conductividad térmica del aire</t>
  </si>
  <si>
    <t>gas inerte</t>
  </si>
  <si>
    <t>W/km2</t>
  </si>
  <si>
    <t>Laminar</t>
  </si>
  <si>
    <t>h1</t>
  </si>
  <si>
    <t>t1</t>
  </si>
  <si>
    <t>l1</t>
  </si>
  <si>
    <t>t2</t>
  </si>
  <si>
    <t>l2</t>
  </si>
  <si>
    <t>h2</t>
  </si>
  <si>
    <t>Parte inferior</t>
  </si>
  <si>
    <t>Proa</t>
  </si>
  <si>
    <t>Popa</t>
  </si>
  <si>
    <t>Año 0</t>
  </si>
  <si>
    <t>Año 1</t>
  </si>
  <si>
    <t>Año 2</t>
  </si>
  <si>
    <t>Año 3</t>
  </si>
  <si>
    <t>Año 4</t>
  </si>
  <si>
    <t>Año 5</t>
  </si>
  <si>
    <t>Quitar torreta y modulo de producción</t>
  </si>
  <si>
    <t>Compra bomba</t>
  </si>
  <si>
    <t>Compra tuberías</t>
  </si>
  <si>
    <t>Beneficio estimado por trayecto</t>
  </si>
  <si>
    <t>Trayectos anuales</t>
  </si>
  <si>
    <t>Sueldos</t>
  </si>
  <si>
    <t>Seguridad Social</t>
  </si>
  <si>
    <t>Ingresos</t>
  </si>
  <si>
    <t>Mantenimiento</t>
  </si>
  <si>
    <t>Amortización</t>
  </si>
  <si>
    <t>Costes Trayectos</t>
  </si>
  <si>
    <t>Plusvalía</t>
  </si>
  <si>
    <t>BAI</t>
  </si>
  <si>
    <t>IMP</t>
  </si>
  <si>
    <t>BDI</t>
  </si>
  <si>
    <t>Inversión</t>
  </si>
  <si>
    <t>FM</t>
  </si>
  <si>
    <t>FC</t>
  </si>
  <si>
    <t>Amortización bombas</t>
  </si>
  <si>
    <t>Amortización Tuberías</t>
  </si>
  <si>
    <t>precio inicial</t>
  </si>
  <si>
    <t>IM</t>
  </si>
  <si>
    <t>Rango</t>
  </si>
  <si>
    <t>Número Personas</t>
  </si>
  <si>
    <t>Piloto primera clase</t>
  </si>
  <si>
    <t>Piloto segunda clase</t>
  </si>
  <si>
    <t>Oficial de primera clase</t>
  </si>
  <si>
    <t>Jefe de maquinas</t>
  </si>
  <si>
    <t>Oficial de segunda clase</t>
  </si>
  <si>
    <t>Bombero</t>
  </si>
  <si>
    <t>Ayudantes de bombero</t>
  </si>
  <si>
    <t>Personal titulado de máquinas</t>
  </si>
  <si>
    <t>Mozo</t>
  </si>
  <si>
    <t>Marineros</t>
  </si>
  <si>
    <t>Engrasador</t>
  </si>
  <si>
    <t>Limpiador</t>
  </si>
  <si>
    <t>Salario anual</t>
  </si>
  <si>
    <t>Personal titulado de puente</t>
  </si>
  <si>
    <t>Calderetero</t>
  </si>
  <si>
    <t>Personal de maestranza y subalterno de máquinas</t>
  </si>
  <si>
    <t>Cocinero</t>
  </si>
  <si>
    <t>Camareros</t>
  </si>
  <si>
    <t>Marmitón</t>
  </si>
  <si>
    <t>Personal de fonda</t>
  </si>
  <si>
    <t>TOTAL</t>
  </si>
  <si>
    <t>Contramaestre</t>
  </si>
  <si>
    <t>Salario total por rango</t>
  </si>
  <si>
    <t>Salario + Seg. Social por rango</t>
  </si>
  <si>
    <t>Capitán</t>
  </si>
  <si>
    <t>vida util 30 años</t>
  </si>
  <si>
    <t>Alquiler del buque por dia</t>
  </si>
  <si>
    <t>Dias de uso anuales</t>
  </si>
  <si>
    <t>Mantenimiento y reparaciones del buque</t>
  </si>
  <si>
    <t>Aceite Lubricante</t>
  </si>
  <si>
    <t xml:space="preserve">Provisiones </t>
  </si>
  <si>
    <t>OPEC oil price annually 1960-2022</t>
  </si>
  <si>
    <t>Average annual OPEC crude oil price from 1960 to 2022 (in U.S. dollars per barrel)</t>
  </si>
  <si>
    <t>1960</t>
  </si>
  <si>
    <t>1.63</t>
  </si>
  <si>
    <t>1961</t>
  </si>
  <si>
    <t>1.57</t>
  </si>
  <si>
    <t>1962</t>
  </si>
  <si>
    <t>1.52</t>
  </si>
  <si>
    <t>1963</t>
  </si>
  <si>
    <t>1.5</t>
  </si>
  <si>
    <t>1964</t>
  </si>
  <si>
    <t>1.45</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</si>
  <si>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</si>
  <si>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</si>
  <si>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</si>
  <si>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</si>
  <si>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</si>
  <si>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</si>
  <si>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</si>
  <si>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</si>
  <si>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</si>
  <si>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</si>
  <si>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</si>
  <si>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</si>
  <si>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</si>
  <si>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</si>
  <si>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</si>
  <si>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</si>
  <si>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</si>
  <si>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</si>
  <si>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</si>
  <si>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</si>
  <si>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</si>
  <si>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</si>
  <si>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</si>
  <si>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</si>
  <si>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</si>
  <si>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</si>
  <si>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</si>
  <si>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</si>
  <si>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</si>
  <si>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</si>
  <si>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</si>
  <si>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</si>
  <si>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</si>
  <si>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</si>
  <si>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</si>
  <si>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</si>
  <si>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</si>
  <si>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</si>
  <si>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</si>
  <si>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</si>
  <si>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</si>
  <si>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</si>
  <si>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</si>
  <si>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</si>
  <si>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</si>
  <si>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</si>
  <si>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</si>
  <si>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</si>
  <si>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</si>
  <si>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</si>
  <si>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</si>
  <si>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</si>
  <si>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</si>
  <si>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</si>
  <si>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</si>
  <si>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</si>
  <si>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</si>
  <si>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</si>
  <si>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Statistic as Excel data file</t>
  </si>
  <si>
    <t>Access data</t>
  </si>
  <si>
    <t>Source</t>
  </si>
  <si>
    <t>Description</t>
  </si>
  <si>
    <t xml:space="preserve">The 2021 annual average OPEC oil price stands at 69.72 U.S. dollars per barrel. This is up from 41.47 U.S. dollars the previous year, which was only slightly higher than the average annual price during the 2016 oil crisis. The 2020 fall in prices was the result of a significant decline in transportation fuel demand and weakened economic prospects during the coronavirus pandemic. The abbreviation OPEC stands for Organization of the Petroleum Exporting Countries and as of June 2021 it includes Algeria, Angola, Congo, Equatorial Guinea, Gabon, Iraq, Iran, Kuwait, Libya, Nigeria, Saudi Arabia, Venezuela, and the United Arab Emirates. The aim of the OPEC is to coordinate the oil policies of its member states. It was founded in 1960 in Baghdad, Iraq.
 Benchmark crude oil prices 
The OPEC crude oil price is defined by the price of the so-called OPEC (Reference) basket. This basket is an average of prices of the various petroleum blends that are produced by the OPEC members. Some of these oil blends are, for example: Saharan Blend from Algeria, Basra Light from Iraq, Arab Light from Saudi Arabia, BCF 17 from Venezuela, et cetera. By increasing and decreasing its oil production, OPEC tries to keep the price between given maxima and minima. 
The OPEC basket is one of the most significant benchmarks for crude oil prices worldwide. The most important are UK Brent, West Texas Intermediate (WTI) , and Dubai Crude (Fateh). Because there are many types and grades of oil, such benchmarks are indispensable for referencing them on the global oil market. </t>
  </si>
  <si>
    <t>OPEC; en2x</t>
  </si>
  <si>
    <t>Conducted by</t>
  </si>
  <si>
    <t>OPEC</t>
  </si>
  <si>
    <t>Survey period</t>
  </si>
  <si>
    <t>1960 to 2022</t>
  </si>
  <si>
    <t>Region</t>
  </si>
  <si>
    <t>Worldwide</t>
  </si>
  <si>
    <t>Type of survey</t>
  </si>
  <si>
    <t>n.a.</t>
  </si>
  <si>
    <t>Number of respondents</t>
  </si>
  <si>
    <t>Age group</t>
  </si>
  <si>
    <t>Special characteristics</t>
  </si>
  <si>
    <t>Note</t>
  </si>
  <si>
    <t>The prices are annual averages of selected OPEC crude oils (OPEC basket). 
* As of January 2022.</t>
  </si>
  <si>
    <t>Publication</t>
  </si>
  <si>
    <t>Published by</t>
  </si>
  <si>
    <t>en2x</t>
  </si>
  <si>
    <t>Publication date</t>
  </si>
  <si>
    <t>February 2022</t>
  </si>
  <si>
    <t>Original source</t>
  </si>
  <si>
    <t>en2x.de</t>
  </si>
  <si>
    <t>ID</t>
  </si>
  <si>
    <t>262858</t>
  </si>
  <si>
    <t>Codos</t>
  </si>
  <si>
    <t>Año 6</t>
  </si>
  <si>
    <t>Año 7</t>
  </si>
  <si>
    <t>Año 8</t>
  </si>
  <si>
    <t>Año 9</t>
  </si>
  <si>
    <t>Año 10</t>
  </si>
  <si>
    <t>Año 11</t>
  </si>
  <si>
    <t>Año 12</t>
  </si>
  <si>
    <t>Año 13</t>
  </si>
  <si>
    <t>Año 14</t>
  </si>
  <si>
    <t>Año 15</t>
  </si>
  <si>
    <t>Precio Buque nuevo</t>
  </si>
  <si>
    <t>vida útil</t>
  </si>
  <si>
    <t>Precio inicial</t>
  </si>
  <si>
    <t>Amortizacion buque nuevo</t>
  </si>
  <si>
    <t xml:space="preserve"> </t>
  </si>
  <si>
    <t>vida util</t>
  </si>
  <si>
    <t>NOMBRE</t>
  </si>
  <si>
    <t>AÑO</t>
  </si>
  <si>
    <t>GRT</t>
  </si>
  <si>
    <t>Precio M$</t>
  </si>
  <si>
    <t>VICTORY 1</t>
  </si>
  <si>
    <t>OCEAN STELLAR</t>
  </si>
  <si>
    <t>RIDGEBURY ASTARI</t>
  </si>
  <si>
    <t>SRIRACHA EAGLE</t>
  </si>
  <si>
    <t>Junior G</t>
  </si>
  <si>
    <t>CHAFA</t>
  </si>
  <si>
    <t>PAVINOSPIRIT</t>
  </si>
  <si>
    <t>MAERSK PEARL</t>
  </si>
  <si>
    <t>PREM PRIDE</t>
  </si>
  <si>
    <t>ANKLESHWAR</t>
  </si>
  <si>
    <t>ZENO</t>
  </si>
  <si>
    <t>MOON SAFARI</t>
  </si>
  <si>
    <t>MAXSTAR</t>
  </si>
  <si>
    <t>BW CLYDE</t>
  </si>
  <si>
    <t>BW LARA</t>
  </si>
  <si>
    <t>ENERGY COMMANDER</t>
  </si>
  <si>
    <t>ALBUM</t>
  </si>
  <si>
    <t>PERICLES</t>
  </si>
  <si>
    <t>BRITISH SERIE</t>
  </si>
  <si>
    <t>MOSCOW UNIVERSITY</t>
  </si>
  <si>
    <t xml:space="preserve">Det Norske Veritas. El cual en DNV Part 4, Chapter 6 </t>
  </si>
  <si>
    <t xml:space="preserve">https://rules.dnv.com/docs/pdf/DNV/ru-ship/2017-01/DNVGL-RU-SHIP-Pt4Ch6.pdf </t>
  </si>
  <si>
    <t>espesor tuberias</t>
  </si>
  <si>
    <t>BOE número 53</t>
  </si>
  <si>
    <t>salarios</t>
  </si>
  <si>
    <t xml:space="preserve">https://www.boe.es/diario_boe/txt.php?id=BOE-A-2021-3350 </t>
  </si>
  <si>
    <t xml:space="preserve">https://www.imo.org/es/About/Conventions/Pages/International-Convention-for-the-Prevention-of-Pollution-from-Ships-(MARPOL).aspx </t>
  </si>
  <si>
    <t>MARPOL 73/78</t>
  </si>
  <si>
    <t>prevencion contaminantes</t>
  </si>
  <si>
    <t>Real Decreto 1627/1997</t>
  </si>
  <si>
    <t>construccion</t>
  </si>
  <si>
    <t>https://noticias.juridicas.com/base_datos/Laboral/rd1627-1997.html</t>
  </si>
  <si>
    <t>ROI</t>
  </si>
  <si>
    <t>Compañía de Seguros</t>
  </si>
  <si>
    <t>Impuesto de sociedades</t>
  </si>
  <si>
    <t>Flujo de Caja</t>
  </si>
  <si>
    <t>Tiempo</t>
  </si>
  <si>
    <t>kW</t>
  </si>
  <si>
    <t>salida de codo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</si>
</sst>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0.00\ &quot;€&quot;;[Red]\-#,##0.00\ &quot;€&quot;"/>
    <numFmt numFmtId="44" formatCode="_-* #,##0.00\ &quot;€&quot;_-;\-* #,##0.00\ &quot;€&quot;_-;_-* &quot;-&quot;??\ &quot;€&quot;_-;_-@_-"/>
    <numFmt numFmtId="43" formatCode="_-* #,##0.00_-;\-* #,##0.00_-;_-* &quot;-&quot;??_-;_-@_-"/>
    <numFmt numFmtId="164" formatCode="0.000"/>
    <numFmt numFmtId="165" formatCode="0.00000"/>
    <numFmt numFmtId="166" formatCode="0.0"/>
    <numFmt numFmtId="167" formatCode="_-[$$-409]* #,##0.00_ ;_-[$$-409]* \-#,##0.00\ ;_-[$$-409]* &quot;-&quot;??_ ;_-@_ "/>
    <numFmt numFmtId="168" formatCode="_-* #,##0.00\ [$€-C0A]_-;\-* #,##0.00\ [$€-C0A]_-;_-* &quot;-&quot;??\ [$€-C0A]_-;_-@_-"/>
    <numFmt numFmtId="169" formatCode="#,##0.##"/>
    <numFmt numFmtId="170" formatCode="#,##0.00\ &quot;€&quot;"/>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
      <name val="Calibri"/>
      <family val="2"/>
      <scheme val="minor"/>
    </font>
    <font>
      <u val="singleAccounting"/>
      <sz val="11"/>
      <color theme="1"/>
      <name val="Calibri"/>
      <family val="2"/>
      <scheme val="minor"/>
    </font>
    <font>
      <sz val="10"/>
      <color theme="1"/>
      <name val="Calibri"/>
      <family val="2"/>
      <scheme val="minor"/>
    </font>
    <font>
      <i/>
      <sz val="9"/>
      <color rgb="FF000000"/>
      <name val="Times New Roman"/>
      <family val="1"/>
    </font>
    <font>
      <sz val="9"/>
      <color rgb="FF000000"/>
      <name val="Times New Roman"/>
      <family val="1"/>
    </font>
    <font>
      <b/>
      <sz val="10"/>
      <name val="Arial"/>
      <family val="2"/>
    </font>
    <font>
      <u/>
      <sz val="10"/>
      <color rgb="FF0000FF"/>
      <name val="Arial"/>
      <family val="2"/>
    </font>
    <font>
      <i/>
      <sz val="10"/>
      <name val="Arial"/>
      <family val="2"/>
    </font>
    <font>
      <u/>
      <sz val="11"/>
      <color theme="10"/>
      <name val="Calibri"/>
      <family val="2"/>
      <scheme val="minor"/>
    </font>
    <font>
      <sz val="12"/>
      <color theme="1"/>
      <name val="Times New Roman"/>
      <family val="1"/>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FF"/>
        <bgColor indexed="64"/>
      </patternFill>
    </fill>
    <fill>
      <patternFill patternType="solid">
        <fgColor rgb="FFF2F2F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rgb="FF7F7F7F"/>
      </bottom>
      <diagonal/>
    </border>
    <border>
      <left/>
      <right style="medium">
        <color rgb="FF7F7F7F"/>
      </right>
      <top/>
      <bottom/>
      <diagonal/>
    </border>
    <border>
      <left/>
      <right/>
      <top style="medium">
        <color rgb="FF7F7F7F"/>
      </top>
      <bottom/>
      <diagonal/>
    </border>
    <border>
      <left/>
      <right style="medium">
        <color rgb="FF7F7F7F"/>
      </right>
      <top style="medium">
        <color rgb="FF7F7F7F"/>
      </top>
      <bottom/>
      <diagonal/>
    </border>
    <border>
      <left/>
      <right style="medium">
        <color rgb="FF7F7F7F"/>
      </right>
      <top/>
      <bottom style="medium">
        <color rgb="FF7F7F7F"/>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cellStyleXfs>
  <cellXfs count="106">
    <xf numFmtId="0" fontId="0" fillId="0" borderId="0" xfId="0"/>
    <xf numFmtId="10" fontId="0" fillId="0" borderId="0" xfId="1" applyNumberFormat="1" applyFont="1"/>
    <xf numFmtId="2" fontId="0" fillId="0" borderId="0" xfId="0" applyNumberFormat="1"/>
    <xf numFmtId="0" fontId="2" fillId="0" borderId="0" xfId="0" applyFont="1"/>
    <xf numFmtId="164"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Alignment="1"/>
    <xf numFmtId="0" fontId="0" fillId="0" borderId="0" xfId="0" applyAlignment="1">
      <alignment horizontal="center"/>
    </xf>
    <xf numFmtId="0" fontId="0" fillId="0" borderId="1"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3" borderId="1" xfId="0" applyFill="1" applyBorder="1" applyAlignment="1">
      <alignment wrapText="1"/>
    </xf>
    <xf numFmtId="0" fontId="0" fillId="4" borderId="1" xfId="0" applyFill="1" applyBorder="1"/>
    <xf numFmtId="0" fontId="4" fillId="0" borderId="0" xfId="0" applyFont="1"/>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horizontal="right"/>
    </xf>
    <xf numFmtId="2" fontId="0" fillId="0" borderId="1" xfId="0" applyNumberFormat="1"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xf numFmtId="11" fontId="0" fillId="0" borderId="1" xfId="0" applyNumberFormat="1" applyBorder="1"/>
    <xf numFmtId="11" fontId="0" fillId="0" borderId="1" xfId="0" applyNumberFormat="1" applyBorder="1" applyAlignment="1">
      <alignment horizontal="center"/>
    </xf>
    <xf numFmtId="0" fontId="0" fillId="0" borderId="1" xfId="0" applyNumberFormat="1" applyBorder="1"/>
    <xf numFmtId="2" fontId="0" fillId="0" borderId="1" xfId="0" applyNumberFormat="1" applyBorder="1"/>
    <xf numFmtId="0" fontId="0" fillId="0" borderId="0" xfId="0" applyBorder="1" applyAlignment="1">
      <alignment horizontal="left"/>
    </xf>
    <xf numFmtId="0" fontId="0" fillId="0" borderId="0" xfId="0" applyBorder="1"/>
    <xf numFmtId="2" fontId="0" fillId="0" borderId="0" xfId="0" applyNumberFormat="1" applyBorder="1"/>
    <xf numFmtId="0" fontId="0" fillId="0" borderId="0" xfId="0" applyBorder="1" applyAlignment="1">
      <alignment horizontal="center"/>
    </xf>
    <xf numFmtId="11" fontId="0" fillId="0" borderId="0" xfId="0" applyNumberFormat="1" applyBorder="1" applyAlignment="1">
      <alignment horizontal="center"/>
    </xf>
    <xf numFmtId="2" fontId="4" fillId="0" borderId="1" xfId="0" applyNumberFormat="1" applyFont="1" applyBorder="1"/>
    <xf numFmtId="0" fontId="0" fillId="0" borderId="2" xfId="0" applyFill="1" applyBorder="1"/>
    <xf numFmtId="0" fontId="4" fillId="0" borderId="1" xfId="0" applyFont="1" applyBorder="1" applyAlignment="1">
      <alignment horizontal="center"/>
    </xf>
    <xf numFmtId="0" fontId="0" fillId="0" borderId="0" xfId="0" applyFont="1" applyBorder="1" applyAlignment="1">
      <alignment vertical="center" wrapText="1"/>
    </xf>
    <xf numFmtId="0" fontId="0" fillId="0" borderId="0" xfId="0" applyFont="1" applyBorder="1" applyAlignment="1">
      <alignment horizontal="center" vertical="center" wrapText="1"/>
    </xf>
    <xf numFmtId="165" fontId="0" fillId="0" borderId="1" xfId="0" applyNumberFormat="1" applyBorder="1" applyAlignment="1">
      <alignment horizontal="center"/>
    </xf>
    <xf numFmtId="166" fontId="0" fillId="0" borderId="1" xfId="0" applyNumberFormat="1" applyBorder="1"/>
    <xf numFmtId="0" fontId="4" fillId="0" borderId="1" xfId="0" applyFont="1" applyBorder="1"/>
    <xf numFmtId="44" fontId="0" fillId="0" borderId="0" xfId="0" applyNumberFormat="1"/>
    <xf numFmtId="9" fontId="0" fillId="0" borderId="0" xfId="0" applyNumberFormat="1"/>
    <xf numFmtId="44" fontId="5" fillId="0" borderId="0" xfId="0" applyNumberFormat="1" applyFont="1"/>
    <xf numFmtId="0" fontId="0" fillId="0" borderId="0" xfId="0" applyNumberFormat="1"/>
    <xf numFmtId="44" fontId="0" fillId="0" borderId="1" xfId="0" applyNumberFormat="1" applyBorder="1"/>
    <xf numFmtId="0" fontId="0" fillId="0" borderId="0" xfId="0" applyFont="1"/>
    <xf numFmtId="167" fontId="0" fillId="0" borderId="0" xfId="0" applyNumberFormat="1"/>
    <xf numFmtId="0" fontId="7" fillId="6" borderId="3" xfId="0" applyFont="1" applyFill="1" applyBorder="1" applyAlignment="1">
      <alignment horizontal="center" vertical="center"/>
    </xf>
    <xf numFmtId="0" fontId="7" fillId="6" borderId="3"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0" xfId="0" applyFont="1" applyFill="1" applyAlignment="1">
      <alignment horizontal="right" vertical="center"/>
    </xf>
    <xf numFmtId="8" fontId="0" fillId="0" borderId="0" xfId="0" applyNumberFormat="1"/>
    <xf numFmtId="8" fontId="8" fillId="7" borderId="0" xfId="0" applyNumberFormat="1" applyFont="1" applyFill="1" applyAlignment="1">
      <alignment vertical="center"/>
    </xf>
    <xf numFmtId="0" fontId="8" fillId="0" borderId="0" xfId="0" applyFont="1" applyAlignment="1">
      <alignment horizontal="center" vertical="center" wrapText="1"/>
    </xf>
    <xf numFmtId="0" fontId="8" fillId="0" borderId="0" xfId="0" applyFont="1" applyAlignment="1">
      <alignment horizontal="right" vertical="center"/>
    </xf>
    <xf numFmtId="8" fontId="8" fillId="0" borderId="0" xfId="0" applyNumberFormat="1" applyFont="1" applyAlignment="1">
      <alignment vertical="center"/>
    </xf>
    <xf numFmtId="0" fontId="7" fillId="6" borderId="5" xfId="0" applyFont="1" applyFill="1" applyBorder="1" applyAlignment="1">
      <alignment horizontal="right" vertical="center"/>
    </xf>
    <xf numFmtId="0" fontId="7" fillId="6" borderId="5" xfId="0" applyFont="1" applyFill="1" applyBorder="1" applyAlignment="1">
      <alignment vertical="center"/>
    </xf>
    <xf numFmtId="8" fontId="7" fillId="6" borderId="5" xfId="0" applyNumberFormat="1" applyFont="1" applyFill="1" applyBorder="1" applyAlignment="1">
      <alignment vertical="center"/>
    </xf>
    <xf numFmtId="0" fontId="6" fillId="0" borderId="0" xfId="0" applyFont="1" applyFill="1" applyBorder="1" applyAlignment="1">
      <alignment horizontal="center" vertical="center" wrapText="1"/>
    </xf>
    <xf numFmtId="167" fontId="6" fillId="0" borderId="0" xfId="0" applyNumberFormat="1" applyFont="1" applyFill="1" applyBorder="1" applyAlignment="1">
      <alignment horizontal="center" vertical="center"/>
    </xf>
    <xf numFmtId="167"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168" fontId="6" fillId="0" borderId="0" xfId="0" applyNumberFormat="1" applyFont="1" applyFill="1" applyBorder="1" applyAlignment="1">
      <alignment vertical="center"/>
    </xf>
    <xf numFmtId="44" fontId="0" fillId="0" borderId="0" xfId="0" applyNumberFormat="1" applyBorder="1"/>
    <xf numFmtId="0" fontId="9"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2" fontId="0" fillId="0" borderId="0" xfId="0" applyNumberFormat="1" applyAlignment="1">
      <alignment horizontal="right" vertical="center"/>
    </xf>
    <xf numFmtId="0" fontId="0" fillId="0" borderId="0" xfId="0" applyAlignment="1">
      <alignment horizontal="right" vertical="center"/>
    </xf>
    <xf numFmtId="169" fontId="0" fillId="0" borderId="0" xfId="0" applyNumberFormat="1"/>
    <xf numFmtId="0" fontId="9" fillId="0" borderId="0" xfId="0" applyFont="1" applyAlignment="1">
      <alignment horizontal="left" vertical="center"/>
    </xf>
    <xf numFmtId="0" fontId="10" fillId="0" borderId="0" xfId="0" applyFont="1"/>
    <xf numFmtId="0" fontId="0" fillId="0" borderId="0" xfId="0"/>
    <xf numFmtId="0" fontId="11" fillId="0" borderId="0" xfId="0" applyFont="1" applyAlignment="1">
      <alignment horizontal="left" vertical="center"/>
    </xf>
    <xf numFmtId="0" fontId="0" fillId="0" borderId="0" xfId="0"/>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vertical="top" wrapText="1"/>
    </xf>
    <xf numFmtId="3" fontId="0" fillId="0" borderId="1" xfId="0" applyNumberFormat="1" applyBorder="1" applyAlignment="1">
      <alignment vertical="center" wrapText="1"/>
    </xf>
    <xf numFmtId="0" fontId="13" fillId="0" borderId="0" xfId="0" applyFont="1"/>
    <xf numFmtId="0" fontId="12" fillId="0" borderId="0" xfId="3" applyAlignment="1">
      <alignment vertical="center"/>
    </xf>
    <xf numFmtId="0" fontId="12" fillId="0" borderId="0" xfId="3"/>
    <xf numFmtId="0" fontId="0" fillId="0" borderId="0" xfId="0"/>
    <xf numFmtId="0" fontId="0" fillId="0" borderId="0" xfId="0"/>
    <xf numFmtId="170" fontId="0" fillId="0" borderId="0" xfId="0" applyNumberFormat="1"/>
    <xf numFmtId="170" fontId="0" fillId="0" borderId="1" xfId="0" applyNumberFormat="1" applyBorder="1"/>
    <xf numFmtId="0" fontId="0" fillId="0" borderId="0" xfId="0"/>
    <xf numFmtId="0" fontId="0" fillId="0" borderId="0" xfId="0" applyAlignment="1">
      <alignment horizontal="left" vertical="top" wrapText="1"/>
    </xf>
    <xf numFmtId="0" fontId="0" fillId="0" borderId="0" xfId="0"/>
    <xf numFmtId="0" fontId="2" fillId="0" borderId="0" xfId="0" applyFont="1" applyAlignment="1">
      <alignment horizontal="center"/>
    </xf>
    <xf numFmtId="0" fontId="0" fillId="0" borderId="0" xfId="0" applyAlignment="1">
      <alignment horizontal="center"/>
    </xf>
    <xf numFmtId="0" fontId="0" fillId="5" borderId="1" xfId="0" applyFill="1" applyBorder="1" applyAlignment="1">
      <alignment horizontal="center"/>
    </xf>
    <xf numFmtId="0" fontId="7" fillId="6" borderId="5"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6"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0" fillId="0" borderId="0" xfId="0" applyBorder="1" applyAlignment="1">
      <alignment horizontal="center"/>
    </xf>
    <xf numFmtId="43" fontId="6" fillId="0" borderId="0" xfId="2" applyFont="1" applyFill="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Alignment="1">
      <alignment vertical="top" wrapText="1"/>
    </xf>
    <xf numFmtId="0" fontId="0" fillId="0" borderId="1" xfId="0" applyBorder="1" applyAlignment="1">
      <alignment vertical="center" wrapText="1"/>
    </xf>
    <xf numFmtId="0" fontId="0" fillId="0" borderId="0" xfId="0" applyAlignment="1">
      <alignment vertical="center" wrapText="1"/>
    </xf>
  </cellXfs>
  <cellStyles count="4">
    <cellStyle name="Hipervínculo" xfId="3" builtinId="8"/>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Evolución del Precio medio de Petróleo </a:t>
            </a:r>
            <a:r>
              <a:rPr lang="es-ES" baseline="0"/>
              <a: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[1]Data!$B$26:$B$68</c:f>
              <c:strCache>
                <c:ptCount val="4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strCache>
            </c:strRef>
          </c:cat>
          <c:val>
            <c:numRef>
              <c:f>[1]Data!$C$26:$C$68</c:f>
              <c:numCache>
                <c:formatCode>General</c:formatCode>
                <c:ptCount val="43"/>
                <c:pt idx="0">
                  <c:v>35.520000000000003</c:v>
                </c:pt>
                <c:pt idx="1">
                  <c:v>34</c:v>
                </c:pt>
                <c:pt idx="2">
                  <c:v>32.380000000000003</c:v>
                </c:pt>
                <c:pt idx="3">
                  <c:v>29.04</c:v>
                </c:pt>
                <c:pt idx="4">
                  <c:v>28.2</c:v>
                </c:pt>
                <c:pt idx="5">
                  <c:v>27.01</c:v>
                </c:pt>
                <c:pt idx="6">
                  <c:v>13.53</c:v>
                </c:pt>
                <c:pt idx="7">
                  <c:v>17.73</c:v>
                </c:pt>
                <c:pt idx="8">
                  <c:v>14.24</c:v>
                </c:pt>
                <c:pt idx="9">
                  <c:v>17.309999999999999</c:v>
                </c:pt>
                <c:pt idx="10">
                  <c:v>22.26</c:v>
                </c:pt>
                <c:pt idx="11">
                  <c:v>18.62</c:v>
                </c:pt>
                <c:pt idx="12">
                  <c:v>18.440000000000001</c:v>
                </c:pt>
                <c:pt idx="13">
                  <c:v>16.329999999999998</c:v>
                </c:pt>
                <c:pt idx="14">
                  <c:v>15.53</c:v>
                </c:pt>
                <c:pt idx="15">
                  <c:v>16.86</c:v>
                </c:pt>
                <c:pt idx="16">
                  <c:v>20.29</c:v>
                </c:pt>
                <c:pt idx="17">
                  <c:v>18.86</c:v>
                </c:pt>
                <c:pt idx="18">
                  <c:v>12.28</c:v>
                </c:pt>
                <c:pt idx="19">
                  <c:v>17.440000000000001</c:v>
                </c:pt>
                <c:pt idx="20">
                  <c:v>27.6</c:v>
                </c:pt>
                <c:pt idx="21">
                  <c:v>23.12</c:v>
                </c:pt>
                <c:pt idx="22">
                  <c:v>24.36</c:v>
                </c:pt>
                <c:pt idx="23">
                  <c:v>28.1</c:v>
                </c:pt>
                <c:pt idx="24">
                  <c:v>36.049999999999997</c:v>
                </c:pt>
                <c:pt idx="25">
                  <c:v>50.59</c:v>
                </c:pt>
                <c:pt idx="26">
                  <c:v>61</c:v>
                </c:pt>
                <c:pt idx="27">
                  <c:v>69.040000000000006</c:v>
                </c:pt>
                <c:pt idx="28">
                  <c:v>94.1</c:v>
                </c:pt>
                <c:pt idx="29">
                  <c:v>60.86</c:v>
                </c:pt>
                <c:pt idx="30">
                  <c:v>77.38</c:v>
                </c:pt>
                <c:pt idx="31">
                  <c:v>107.46</c:v>
                </c:pt>
                <c:pt idx="32">
                  <c:v>109.45</c:v>
                </c:pt>
                <c:pt idx="33">
                  <c:v>105.87</c:v>
                </c:pt>
                <c:pt idx="34">
                  <c:v>96.29</c:v>
                </c:pt>
                <c:pt idx="35">
                  <c:v>49.49</c:v>
                </c:pt>
                <c:pt idx="36">
                  <c:v>40.76</c:v>
                </c:pt>
                <c:pt idx="37">
                  <c:v>52.51</c:v>
                </c:pt>
                <c:pt idx="38">
                  <c:v>69.78</c:v>
                </c:pt>
                <c:pt idx="39">
                  <c:v>64.040000000000006</c:v>
                </c:pt>
                <c:pt idx="40">
                  <c:v>41.47</c:v>
                </c:pt>
                <c:pt idx="41">
                  <c:v>69.72</c:v>
                </c:pt>
                <c:pt idx="42">
                  <c:v>85.41</c:v>
                </c:pt>
              </c:numCache>
            </c:numRef>
          </c:val>
          <c:extLst>
            <c:ext xmlns:c16="http://schemas.microsoft.com/office/drawing/2014/chart" uri="{C3380CC4-5D6E-409C-BE32-E72D297353CC}">
              <c16:uniqueId val="{00000000-F964-425C-A11D-FEED494BA09C}"/>
            </c:ext>
          </c:extLst>
        </c:ser>
        <c:dLbls>
          <c:showLegendKey val="0"/>
          <c:showVal val="0"/>
          <c:showCatName val="0"/>
          <c:showSerName val="0"/>
          <c:showPercent val="0"/>
          <c:showBubbleSize val="0"/>
        </c:dLbls>
        <c:gapWidth val="219"/>
        <c:overlap val="-27"/>
        <c:axId val="591402040"/>
        <c:axId val="591403680"/>
      </c:barChart>
      <c:catAx>
        <c:axId val="59140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1403680"/>
        <c:crosses val="autoZero"/>
        <c:auto val="1"/>
        <c:lblAlgn val="ctr"/>
        <c:lblOffset val="100"/>
        <c:noMultiLvlLbl val="0"/>
      </c:catAx>
      <c:valAx>
        <c:axId val="59140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1402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vs 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Modificación de buque</c:v>
          </c:tx>
          <c:spPr>
            <a:solidFill>
              <a:schemeClr val="accent1"/>
            </a:solidFill>
            <a:ln>
              <a:noFill/>
            </a:ln>
            <a:effectLst/>
          </c:spPr>
          <c:invertIfNegative val="0"/>
          <c:cat>
            <c:numRef>
              <c:f>Hoja1!$G$49:$G$63</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Hoja1!$H$49:$H$63</c:f>
              <c:numCache>
                <c:formatCode>0.00</c:formatCode>
                <c:ptCount val="15"/>
                <c:pt idx="0">
                  <c:v>-0.74606300280672078</c:v>
                </c:pt>
                <c:pt idx="1">
                  <c:v>-0.49212600561344155</c:v>
                </c:pt>
                <c:pt idx="2">
                  <c:v>-0.23818900842016236</c:v>
                </c:pt>
                <c:pt idx="3">
                  <c:v>1.5747988773116849E-2</c:v>
                </c:pt>
                <c:pt idx="4">
                  <c:v>0.26968498596639617</c:v>
                </c:pt>
                <c:pt idx="5">
                  <c:v>0.52362198315967523</c:v>
                </c:pt>
                <c:pt idx="6">
                  <c:v>0.77755898035295434</c:v>
                </c:pt>
                <c:pt idx="7">
                  <c:v>1.0314959775462338</c:v>
                </c:pt>
                <c:pt idx="8">
                  <c:v>1.285432974739513</c:v>
                </c:pt>
                <c:pt idx="9">
                  <c:v>1.5393699719327925</c:v>
                </c:pt>
                <c:pt idx="10">
                  <c:v>1.7933069691260712</c:v>
                </c:pt>
                <c:pt idx="11">
                  <c:v>2.0472439663193507</c:v>
                </c:pt>
                <c:pt idx="12">
                  <c:v>2.3011809635126297</c:v>
                </c:pt>
                <c:pt idx="13">
                  <c:v>2.5551179607059087</c:v>
                </c:pt>
                <c:pt idx="14">
                  <c:v>2.8090549578991881</c:v>
                </c:pt>
              </c:numCache>
            </c:numRef>
          </c:val>
          <c:extLst>
            <c:ext xmlns:c16="http://schemas.microsoft.com/office/drawing/2014/chart" uri="{C3380CC4-5D6E-409C-BE32-E72D297353CC}">
              <c16:uniqueId val="{00000000-3094-4099-996B-ADCB31959E83}"/>
            </c:ext>
          </c:extLst>
        </c:ser>
        <c:ser>
          <c:idx val="1"/>
          <c:order val="1"/>
          <c:tx>
            <c:v>Compra de buque</c:v>
          </c:tx>
          <c:spPr>
            <a:solidFill>
              <a:schemeClr val="accent2"/>
            </a:solidFill>
            <a:ln>
              <a:noFill/>
            </a:ln>
            <a:effectLst/>
          </c:spPr>
          <c:invertIfNegative val="0"/>
          <c:val>
            <c:numRef>
              <c:f>Hoja1!$I$49:$I$63</c:f>
              <c:numCache>
                <c:formatCode>0.00</c:formatCode>
                <c:ptCount val="15"/>
                <c:pt idx="0">
                  <c:v>-0.90201559030303025</c:v>
                </c:pt>
                <c:pt idx="1">
                  <c:v>-0.8040311806060606</c:v>
                </c:pt>
                <c:pt idx="2">
                  <c:v>-0.70604677090909107</c:v>
                </c:pt>
                <c:pt idx="3">
                  <c:v>-0.60806236121212132</c:v>
                </c:pt>
                <c:pt idx="4">
                  <c:v>-0.51007795151515167</c:v>
                </c:pt>
                <c:pt idx="5">
                  <c:v>-0.41209354181818203</c:v>
                </c:pt>
                <c:pt idx="6">
                  <c:v>-0.31410913212121239</c:v>
                </c:pt>
                <c:pt idx="7">
                  <c:v>-0.21612472242424272</c:v>
                </c:pt>
                <c:pt idx="8">
                  <c:v>-0.118140312727273</c:v>
                </c:pt>
                <c:pt idx="9">
                  <c:v>-2.0155903030303308E-2</c:v>
                </c:pt>
                <c:pt idx="10">
                  <c:v>7.7828506666666228E-2</c:v>
                </c:pt>
                <c:pt idx="11">
                  <c:v>0.17581291636363594</c:v>
                </c:pt>
                <c:pt idx="12">
                  <c:v>0.27379732606060564</c:v>
                </c:pt>
                <c:pt idx="13">
                  <c:v>0.37178173575757517</c:v>
                </c:pt>
                <c:pt idx="14">
                  <c:v>0.46976614545454487</c:v>
                </c:pt>
              </c:numCache>
            </c:numRef>
          </c:val>
          <c:extLst>
            <c:ext xmlns:c16="http://schemas.microsoft.com/office/drawing/2014/chart" uri="{C3380CC4-5D6E-409C-BE32-E72D297353CC}">
              <c16:uniqueId val="{00000003-3094-4099-996B-ADCB31959E83}"/>
            </c:ext>
          </c:extLst>
        </c:ser>
        <c:dLbls>
          <c:showLegendKey val="0"/>
          <c:showVal val="0"/>
          <c:showCatName val="0"/>
          <c:showSerName val="0"/>
          <c:showPercent val="0"/>
          <c:showBubbleSize val="0"/>
        </c:dLbls>
        <c:gapWidth val="219"/>
        <c:overlap val="-27"/>
        <c:axId val="511566072"/>
        <c:axId val="511566400"/>
      </c:barChart>
      <c:catAx>
        <c:axId val="511566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a:t>
                </a:r>
                <a:r>
                  <a:rPr lang="es-ES" baseline="0"/>
                  <a:t> (años)</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1566400"/>
        <c:crosses val="autoZero"/>
        <c:auto val="1"/>
        <c:lblAlgn val="ctr"/>
        <c:lblOffset val="100"/>
        <c:noMultiLvlLbl val="0"/>
      </c:catAx>
      <c:valAx>
        <c:axId val="51156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aseline="0"/>
                  <a:t>ROI</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156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mn-lt"/>
              </a:rPr>
              <a:t>precio petroleros m$ (año/DWT)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plotArea>
      <c:layout/>
      <c:bubbleChart>
        <c:varyColors val="0"/>
        <c:ser>
          <c:idx val="0"/>
          <c:order val="0"/>
          <c:tx>
            <c:v>TANKER PRICES</c:v>
          </c:tx>
          <c:spPr>
            <a:pattFill prst="ltUpDiag">
              <a:fgClr>
                <a:schemeClr val="accent1"/>
              </a:fgClr>
              <a:bgClr>
                <a:schemeClr val="accent1">
                  <a:lumMod val="20000"/>
                  <a:lumOff val="80000"/>
                </a:schemeClr>
              </a:bgClr>
            </a:pattFill>
            <a:ln w="9525" cap="flat" cmpd="sng" algn="ctr">
              <a:solidFill>
                <a:schemeClr val="accent1">
                  <a:alpha val="75000"/>
                </a:schemeClr>
              </a:solidFill>
            </a:ln>
            <a:effectLst>
              <a:innerShdw blurRad="114300">
                <a:schemeClr val="accent1">
                  <a:alpha val="7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[2]Hoja1!$E$5:$E$27</c:f>
              <c:numCache>
                <c:formatCode>General</c:formatCode>
                <c:ptCount val="23"/>
                <c:pt idx="0">
                  <c:v>54916</c:v>
                </c:pt>
                <c:pt idx="2">
                  <c:v>30971</c:v>
                </c:pt>
                <c:pt idx="3">
                  <c:v>78845</c:v>
                </c:pt>
                <c:pt idx="5">
                  <c:v>53639</c:v>
                </c:pt>
                <c:pt idx="6">
                  <c:v>39307</c:v>
                </c:pt>
                <c:pt idx="7">
                  <c:v>78845</c:v>
                </c:pt>
                <c:pt idx="8">
                  <c:v>57949</c:v>
                </c:pt>
                <c:pt idx="9">
                  <c:v>61764</c:v>
                </c:pt>
                <c:pt idx="10">
                  <c:v>61764</c:v>
                </c:pt>
                <c:pt idx="11">
                  <c:v>80130</c:v>
                </c:pt>
                <c:pt idx="12">
                  <c:v>85000</c:v>
                </c:pt>
                <c:pt idx="13">
                  <c:v>56291</c:v>
                </c:pt>
                <c:pt idx="14">
                  <c:v>22181</c:v>
                </c:pt>
                <c:pt idx="15">
                  <c:v>42011</c:v>
                </c:pt>
                <c:pt idx="16">
                  <c:v>42011</c:v>
                </c:pt>
                <c:pt idx="17">
                  <c:v>42172</c:v>
                </c:pt>
                <c:pt idx="19">
                  <c:v>57190</c:v>
                </c:pt>
                <c:pt idx="20">
                  <c:v>63661</c:v>
                </c:pt>
                <c:pt idx="21">
                  <c:v>29214</c:v>
                </c:pt>
                <c:pt idx="22">
                  <c:v>56076</c:v>
                </c:pt>
              </c:numCache>
            </c:numRef>
          </c:xVal>
          <c:yVal>
            <c:numRef>
              <c:f>[2]Hoja1!$D$5:$D$27</c:f>
              <c:numCache>
                <c:formatCode>General</c:formatCode>
                <c:ptCount val="23"/>
                <c:pt idx="0">
                  <c:v>2009</c:v>
                </c:pt>
                <c:pt idx="2">
                  <c:v>2005</c:v>
                </c:pt>
                <c:pt idx="3">
                  <c:v>2002</c:v>
                </c:pt>
                <c:pt idx="5">
                  <c:v>1996</c:v>
                </c:pt>
                <c:pt idx="6">
                  <c:v>2005</c:v>
                </c:pt>
                <c:pt idx="7">
                  <c:v>2001</c:v>
                </c:pt>
                <c:pt idx="8">
                  <c:v>1997</c:v>
                </c:pt>
                <c:pt idx="9">
                  <c:v>2005</c:v>
                </c:pt>
                <c:pt idx="10">
                  <c:v>1999</c:v>
                </c:pt>
                <c:pt idx="11">
                  <c:v>1994</c:v>
                </c:pt>
                <c:pt idx="12">
                  <c:v>2003</c:v>
                </c:pt>
                <c:pt idx="13">
                  <c:v>2000</c:v>
                </c:pt>
                <c:pt idx="14">
                  <c:v>1999</c:v>
                </c:pt>
                <c:pt idx="15">
                  <c:v>2004</c:v>
                </c:pt>
                <c:pt idx="16">
                  <c:v>2004</c:v>
                </c:pt>
                <c:pt idx="17">
                  <c:v>2004</c:v>
                </c:pt>
                <c:pt idx="19">
                  <c:v>2003</c:v>
                </c:pt>
                <c:pt idx="20">
                  <c:v>2003</c:v>
                </c:pt>
                <c:pt idx="21">
                  <c:v>2005</c:v>
                </c:pt>
                <c:pt idx="22">
                  <c:v>1999</c:v>
                </c:pt>
              </c:numCache>
            </c:numRef>
          </c:yVal>
          <c:bubbleSize>
            <c:numRef>
              <c:f>[2]Hoja1!$F$5:$F$27</c:f>
              <c:numCache>
                <c:formatCode>General</c:formatCode>
                <c:ptCount val="23"/>
                <c:pt idx="0">
                  <c:v>17</c:v>
                </c:pt>
                <c:pt idx="2">
                  <c:v>12.5</c:v>
                </c:pt>
                <c:pt idx="3">
                  <c:v>17.850000000000001</c:v>
                </c:pt>
                <c:pt idx="5">
                  <c:v>5.5</c:v>
                </c:pt>
                <c:pt idx="6">
                  <c:v>11</c:v>
                </c:pt>
                <c:pt idx="7">
                  <c:v>20</c:v>
                </c:pt>
                <c:pt idx="8">
                  <c:v>10</c:v>
                </c:pt>
                <c:pt idx="9">
                  <c:v>19</c:v>
                </c:pt>
                <c:pt idx="10">
                  <c:v>8.75</c:v>
                </c:pt>
                <c:pt idx="11">
                  <c:v>9.5</c:v>
                </c:pt>
                <c:pt idx="12">
                  <c:v>18</c:v>
                </c:pt>
                <c:pt idx="13">
                  <c:v>11</c:v>
                </c:pt>
                <c:pt idx="14">
                  <c:v>5.75</c:v>
                </c:pt>
                <c:pt idx="15">
                  <c:v>10.75</c:v>
                </c:pt>
                <c:pt idx="16">
                  <c:v>10.75</c:v>
                </c:pt>
                <c:pt idx="17">
                  <c:v>11</c:v>
                </c:pt>
                <c:pt idx="19">
                  <c:v>13.5</c:v>
                </c:pt>
                <c:pt idx="20">
                  <c:v>15.5</c:v>
                </c:pt>
                <c:pt idx="21">
                  <c:v>12</c:v>
                </c:pt>
                <c:pt idx="22">
                  <c:v>9.5</c:v>
                </c:pt>
              </c:numCache>
            </c:numRef>
          </c:bubbleSize>
          <c:bubble3D val="1"/>
          <c:extLst>
            <c:ext xmlns:c16="http://schemas.microsoft.com/office/drawing/2014/chart" uri="{C3380CC4-5D6E-409C-BE32-E72D297353CC}">
              <c16:uniqueId val="{00000000-9482-437E-827A-1EEF62A05BE7}"/>
            </c:ext>
          </c:extLst>
        </c:ser>
        <c:dLbls>
          <c:dLblPos val="ctr"/>
          <c:showLegendKey val="0"/>
          <c:showVal val="1"/>
          <c:showCatName val="0"/>
          <c:showSerName val="0"/>
          <c:showPercent val="0"/>
          <c:showBubbleSize val="0"/>
        </c:dLbls>
        <c:bubbleScale val="50"/>
        <c:showNegBubbles val="0"/>
        <c:axId val="1551706431"/>
        <c:axId val="1551719327"/>
      </c:bubbleChart>
      <c:valAx>
        <c:axId val="1551706431"/>
        <c:scaling>
          <c:orientation val="minMax"/>
          <c:max val="90000"/>
          <c:min val="20000"/>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s-ES"/>
                  <a:t>DWT</a:t>
                </a:r>
                <a:r>
                  <a:rPr lang="es-ES" baseline="0"/>
                  <a:t> (t)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1719327"/>
        <c:crosses val="autoZero"/>
        <c:crossBetween val="midCat"/>
      </c:valAx>
      <c:valAx>
        <c:axId val="15517193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s-ES"/>
                  <a:t>Año</a:t>
                </a:r>
                <a:r>
                  <a:rPr lang="es-ES" baseline="0"/>
                  <a:t> de Fabricación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17064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0">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ph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18436</xdr:colOff>
      <xdr:row>24</xdr:row>
      <xdr:rowOff>84804</xdr:rowOff>
    </xdr:from>
    <xdr:to>
      <xdr:col>18</xdr:col>
      <xdr:colOff>479322</xdr:colOff>
      <xdr:row>53</xdr:row>
      <xdr:rowOff>12291</xdr:rowOff>
    </xdr:to>
    <xdr:graphicFrame macro="">
      <xdr:nvGraphicFramePr>
        <xdr:cNvPr id="2" name="Chart 1">
          <a:extLst>
            <a:ext uri="{FF2B5EF4-FFF2-40B4-BE49-F238E27FC236}">
              <a16:creationId xmlns:a16="http://schemas.microsoft.com/office/drawing/2014/main" id="{937E0A6E-D00C-4E03-85FB-08888791C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735106</xdr:colOff>
      <xdr:row>42</xdr:row>
      <xdr:rowOff>170329</xdr:rowOff>
    </xdr:from>
    <xdr:to>
      <xdr:col>20</xdr:col>
      <xdr:colOff>277904</xdr:colOff>
      <xdr:row>64</xdr:row>
      <xdr:rowOff>125505</xdr:rowOff>
    </xdr:to>
    <xdr:graphicFrame macro="">
      <xdr:nvGraphicFramePr>
        <xdr:cNvPr id="2" name="Gráfico 1">
          <a:extLst>
            <a:ext uri="{FF2B5EF4-FFF2-40B4-BE49-F238E27FC236}">
              <a16:creationId xmlns:a16="http://schemas.microsoft.com/office/drawing/2014/main" id="{101CC508-F443-88B7-8283-6944AF28D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3</xdr:row>
      <xdr:rowOff>133350</xdr:rowOff>
    </xdr:from>
    <xdr:to>
      <xdr:col>15</xdr:col>
      <xdr:colOff>342900</xdr:colOff>
      <xdr:row>21</xdr:row>
      <xdr:rowOff>7620</xdr:rowOff>
    </xdr:to>
    <xdr:graphicFrame macro="">
      <xdr:nvGraphicFramePr>
        <xdr:cNvPr id="2" name="Gráfico 1">
          <a:extLst>
            <a:ext uri="{FF2B5EF4-FFF2-40B4-BE49-F238E27FC236}">
              <a16:creationId xmlns:a16="http://schemas.microsoft.com/office/drawing/2014/main" id="{5395F4AE-B2FC-43A4-9720-FF31F102B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dri/Documents/ICAI/Grado/TFG/ANEXOS%20-%20TFG/Precio%20del%20Barril%20-%20Statis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dri/Downloads/Buques%20en%20ven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ata"/>
    </sheetNames>
    <sheetDataSet>
      <sheetData sheetId="0"/>
      <sheetData sheetId="1">
        <row r="26">
          <cell r="B26" t="str">
            <v>1980</v>
          </cell>
          <cell r="C26">
            <v>35.520000000000003</v>
          </cell>
        </row>
        <row r="27">
          <cell r="B27" t="str">
            <v>1981</v>
          </cell>
          <cell r="C27">
            <v>34</v>
          </cell>
        </row>
        <row r="28">
          <cell r="B28" t="str">
            <v>1982</v>
          </cell>
          <cell r="C28">
            <v>32.380000000000003</v>
          </cell>
        </row>
        <row r="29">
          <cell r="B29" t="str">
            <v>1983</v>
          </cell>
          <cell r="C29">
            <v>29.04</v>
          </cell>
        </row>
        <row r="30">
          <cell r="B30" t="str">
            <v>1984</v>
          </cell>
          <cell r="C30">
            <v>28.2</v>
          </cell>
        </row>
        <row r="31">
          <cell r="B31" t="str">
            <v>1985</v>
          </cell>
          <cell r="C31">
            <v>27.01</v>
          </cell>
        </row>
        <row r="32">
          <cell r="B32" t="str">
            <v>1986</v>
          </cell>
          <cell r="C32">
            <v>13.53</v>
          </cell>
        </row>
        <row r="33">
          <cell r="B33" t="str">
            <v>1987</v>
          </cell>
          <cell r="C33">
            <v>17.73</v>
          </cell>
        </row>
        <row r="34">
          <cell r="B34" t="str">
            <v>1988</v>
          </cell>
          <cell r="C34">
            <v>14.24</v>
          </cell>
        </row>
        <row r="35">
          <cell r="B35" t="str">
            <v>1989</v>
          </cell>
          <cell r="C35">
            <v>17.309999999999999</v>
          </cell>
        </row>
        <row r="36">
          <cell r="B36" t="str">
            <v>1990</v>
          </cell>
          <cell r="C36">
            <v>22.26</v>
          </cell>
        </row>
        <row r="37">
          <cell r="B37" t="str">
            <v>1991</v>
          </cell>
          <cell r="C37">
            <v>18.62</v>
          </cell>
        </row>
        <row r="38">
          <cell r="B38" t="str">
            <v>1992</v>
          </cell>
          <cell r="C38">
            <v>18.440000000000001</v>
          </cell>
        </row>
        <row r="39">
          <cell r="B39" t="str">
            <v>1993</v>
          </cell>
          <cell r="C39">
            <v>16.329999999999998</v>
          </cell>
        </row>
        <row r="40">
          <cell r="B40" t="str">
            <v>1994</v>
          </cell>
          <cell r="C40">
            <v>15.53</v>
          </cell>
        </row>
        <row r="41">
          <cell r="B41" t="str">
            <v>1995</v>
          </cell>
          <cell r="C41">
            <v>16.86</v>
          </cell>
        </row>
        <row r="42">
          <cell r="B42" t="str">
            <v>1996</v>
          </cell>
          <cell r="C42">
            <v>20.29</v>
          </cell>
        </row>
        <row r="43">
          <cell r="B43" t="str">
            <v>1997</v>
          </cell>
          <cell r="C43">
            <v>18.86</v>
          </cell>
        </row>
        <row r="44">
          <cell r="B44" t="str">
            <v>1998</v>
          </cell>
          <cell r="C44">
            <v>12.28</v>
          </cell>
        </row>
        <row r="45">
          <cell r="B45" t="str">
            <v>1999</v>
          </cell>
          <cell r="C45">
            <v>17.440000000000001</v>
          </cell>
        </row>
        <row r="46">
          <cell r="B46" t="str">
            <v>2000</v>
          </cell>
          <cell r="C46">
            <v>27.6</v>
          </cell>
        </row>
        <row r="47">
          <cell r="B47" t="str">
            <v>2001</v>
          </cell>
          <cell r="C47">
            <v>23.12</v>
          </cell>
        </row>
        <row r="48">
          <cell r="B48" t="str">
            <v>2002</v>
          </cell>
          <cell r="C48">
            <v>24.36</v>
          </cell>
        </row>
        <row r="49">
          <cell r="B49" t="str">
            <v>2003</v>
          </cell>
          <cell r="C49">
            <v>28.1</v>
          </cell>
        </row>
        <row r="50">
          <cell r="B50" t="str">
            <v>2004</v>
          </cell>
          <cell r="C50">
            <v>36.049999999999997</v>
          </cell>
        </row>
        <row r="51">
          <cell r="B51" t="str">
            <v>2005</v>
          </cell>
          <cell r="C51">
            <v>50.59</v>
          </cell>
        </row>
        <row r="52">
          <cell r="B52" t="str">
            <v>2006</v>
          </cell>
          <cell r="C52">
            <v>61</v>
          </cell>
        </row>
        <row r="53">
          <cell r="B53" t="str">
            <v>2007</v>
          </cell>
          <cell r="C53">
            <v>69.040000000000006</v>
          </cell>
        </row>
        <row r="54">
          <cell r="B54" t="str">
            <v>2008</v>
          </cell>
          <cell r="C54">
            <v>94.1</v>
          </cell>
        </row>
        <row r="55">
          <cell r="B55" t="str">
            <v>2009</v>
          </cell>
          <cell r="C55">
            <v>60.86</v>
          </cell>
        </row>
        <row r="56">
          <cell r="B56" t="str">
            <v>2010</v>
          </cell>
          <cell r="C56">
            <v>77.38</v>
          </cell>
        </row>
        <row r="57">
          <cell r="B57" t="str">
            <v>2011</v>
          </cell>
          <cell r="C57">
            <v>107.46</v>
          </cell>
        </row>
        <row r="58">
          <cell r="B58" t="str">
            <v>2012</v>
          </cell>
          <cell r="C58">
            <v>109.45</v>
          </cell>
        </row>
        <row r="59">
          <cell r="B59" t="str">
            <v>2013</v>
          </cell>
          <cell r="C59">
            <v>105.87</v>
          </cell>
        </row>
        <row r="60">
          <cell r="B60" t="str">
            <v>2014</v>
          </cell>
          <cell r="C60">
            <v>96.29</v>
          </cell>
        </row>
        <row r="61">
          <cell r="B61" t="str">
            <v>2015</v>
          </cell>
          <cell r="C61">
            <v>49.49</v>
          </cell>
        </row>
        <row r="62">
          <cell r="B62" t="str">
            <v>2016</v>
          </cell>
          <cell r="C62">
            <v>40.76</v>
          </cell>
        </row>
        <row r="63">
          <cell r="B63" t="str">
            <v>2017</v>
          </cell>
          <cell r="C63">
            <v>52.51</v>
          </cell>
        </row>
        <row r="64">
          <cell r="B64" t="str">
            <v>2018</v>
          </cell>
          <cell r="C64">
            <v>69.78</v>
          </cell>
        </row>
        <row r="65">
          <cell r="B65" t="str">
            <v>2019</v>
          </cell>
          <cell r="C65">
            <v>64.040000000000006</v>
          </cell>
        </row>
        <row r="66">
          <cell r="B66" t="str">
            <v>2020</v>
          </cell>
          <cell r="C66">
            <v>41.47</v>
          </cell>
        </row>
        <row r="67">
          <cell r="B67" t="str">
            <v>2021</v>
          </cell>
          <cell r="C67">
            <v>69.72</v>
          </cell>
        </row>
        <row r="68">
          <cell r="B68" t="str">
            <v>2022*</v>
          </cell>
          <cell r="C68">
            <v>85.41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D5">
            <v>2009</v>
          </cell>
          <cell r="E5">
            <v>54916</v>
          </cell>
          <cell r="F5">
            <v>17</v>
          </cell>
        </row>
        <row r="6">
          <cell r="D6"/>
          <cell r="E6"/>
          <cell r="F6"/>
        </row>
        <row r="7">
          <cell r="D7">
            <v>2005</v>
          </cell>
          <cell r="E7">
            <v>30971</v>
          </cell>
          <cell r="F7">
            <v>12.5</v>
          </cell>
        </row>
        <row r="8">
          <cell r="D8">
            <v>2002</v>
          </cell>
          <cell r="E8">
            <v>78845</v>
          </cell>
          <cell r="F8">
            <v>17.850000000000001</v>
          </cell>
        </row>
        <row r="9">
          <cell r="D9"/>
          <cell r="E9"/>
          <cell r="F9"/>
        </row>
        <row r="10">
          <cell r="D10">
            <v>1996</v>
          </cell>
          <cell r="E10">
            <v>53639</v>
          </cell>
          <cell r="F10">
            <v>5.5</v>
          </cell>
        </row>
        <row r="11">
          <cell r="D11">
            <v>2005</v>
          </cell>
          <cell r="E11">
            <v>39307</v>
          </cell>
          <cell r="F11">
            <v>11</v>
          </cell>
        </row>
        <row r="12">
          <cell r="D12">
            <v>2001</v>
          </cell>
          <cell r="E12">
            <v>78845</v>
          </cell>
          <cell r="F12">
            <v>20</v>
          </cell>
        </row>
        <row r="13">
          <cell r="D13">
            <v>1997</v>
          </cell>
          <cell r="E13">
            <v>57949</v>
          </cell>
          <cell r="F13">
            <v>10</v>
          </cell>
        </row>
        <row r="14">
          <cell r="D14">
            <v>2005</v>
          </cell>
          <cell r="E14">
            <v>61764</v>
          </cell>
          <cell r="F14">
            <v>19</v>
          </cell>
        </row>
        <row r="15">
          <cell r="D15">
            <v>1999</v>
          </cell>
          <cell r="E15">
            <v>61764</v>
          </cell>
          <cell r="F15">
            <v>8.75</v>
          </cell>
        </row>
        <row r="16">
          <cell r="D16">
            <v>1994</v>
          </cell>
          <cell r="E16">
            <v>80130</v>
          </cell>
          <cell r="F16">
            <v>9.5</v>
          </cell>
        </row>
        <row r="17">
          <cell r="D17">
            <v>2003</v>
          </cell>
          <cell r="E17">
            <v>85000</v>
          </cell>
          <cell r="F17">
            <v>18</v>
          </cell>
        </row>
        <row r="18">
          <cell r="D18">
            <v>2000</v>
          </cell>
          <cell r="E18">
            <v>56291</v>
          </cell>
          <cell r="F18">
            <v>11</v>
          </cell>
        </row>
        <row r="19">
          <cell r="D19">
            <v>1999</v>
          </cell>
          <cell r="E19">
            <v>22181</v>
          </cell>
          <cell r="F19">
            <v>5.75</v>
          </cell>
        </row>
        <row r="20">
          <cell r="D20">
            <v>2004</v>
          </cell>
          <cell r="E20">
            <v>42011</v>
          </cell>
          <cell r="F20">
            <v>10.75</v>
          </cell>
        </row>
        <row r="21">
          <cell r="D21">
            <v>2004</v>
          </cell>
          <cell r="E21">
            <v>42011</v>
          </cell>
          <cell r="F21">
            <v>10.75</v>
          </cell>
        </row>
        <row r="22">
          <cell r="D22">
            <v>2004</v>
          </cell>
          <cell r="E22">
            <v>42172</v>
          </cell>
          <cell r="F22">
            <v>11</v>
          </cell>
        </row>
        <row r="23">
          <cell r="D23"/>
          <cell r="E23"/>
          <cell r="F23"/>
        </row>
        <row r="24">
          <cell r="D24">
            <v>2003</v>
          </cell>
          <cell r="E24">
            <v>57190</v>
          </cell>
          <cell r="F24">
            <v>13.5</v>
          </cell>
        </row>
        <row r="25">
          <cell r="D25">
            <v>2003</v>
          </cell>
          <cell r="E25">
            <v>63661</v>
          </cell>
          <cell r="F25">
            <v>15.5</v>
          </cell>
        </row>
        <row r="26">
          <cell r="D26">
            <v>2005</v>
          </cell>
          <cell r="E26">
            <v>29214</v>
          </cell>
          <cell r="F26">
            <v>12</v>
          </cell>
        </row>
        <row r="27">
          <cell r="D27">
            <v>1999</v>
          </cell>
          <cell r="E27">
            <v>56076</v>
          </cell>
          <cell r="F27">
            <v>9.5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tatista.com/statistics/262858/change-in-opec-crude-oil-prices-since-196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imo.org/es/About/Conventions/Pages/International-Convention-for-the-Prevention-of-Pollution-from-Ships-(MARPOL).aspx" TargetMode="External"/><Relationship Id="rId2" Type="http://schemas.openxmlformats.org/officeDocument/2006/relationships/hyperlink" Target="https://www.boe.es/diario_boe/txt.php?id=BOE-A-2021-3350" TargetMode="External"/><Relationship Id="rId1" Type="http://schemas.openxmlformats.org/officeDocument/2006/relationships/hyperlink" Target="https://rules.dnv.com/docs/pdf/DNV/ru-ship/2017-01/DNVGL-RU-SHIP-Pt4Ch6.pdf" TargetMode="External"/><Relationship Id="rId5" Type="http://schemas.openxmlformats.org/officeDocument/2006/relationships/printerSettings" Target="../printerSettings/printerSettings6.bin"/><Relationship Id="rId4" Type="http://schemas.openxmlformats.org/officeDocument/2006/relationships/hyperlink" Target="https://noticias.juridicas.com/base_datos/Laboral/rd1627-199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720F0-AB11-43D8-9A0A-17FAD3BA699C}">
  <dimension ref="A1:F10"/>
  <sheetViews>
    <sheetView workbookViewId="0">
      <selection activeCell="S10" sqref="S10"/>
    </sheetView>
  </sheetViews>
  <sheetFormatPr baseColWidth="10" defaultColWidth="8.88671875" defaultRowHeight="14.4" x14ac:dyDescent="0.3"/>
  <cols>
    <col min="1" max="1" width="20.5546875" customWidth="1"/>
    <col min="2" max="3" width="12.77734375" customWidth="1"/>
    <col min="4" max="4" width="12.44140625" customWidth="1"/>
    <col min="5" max="5" width="12.88671875" customWidth="1"/>
    <col min="6" max="6" width="13.21875" customWidth="1"/>
  </cols>
  <sheetData>
    <row r="1" spans="1:6" x14ac:dyDescent="0.3">
      <c r="A1" s="11" t="s">
        <v>68</v>
      </c>
      <c r="B1" s="10" t="s">
        <v>67</v>
      </c>
      <c r="C1" s="10" t="s">
        <v>69</v>
      </c>
      <c r="D1" s="10" t="s">
        <v>70</v>
      </c>
      <c r="E1" s="10" t="s">
        <v>71</v>
      </c>
      <c r="F1" s="10" t="s">
        <v>72</v>
      </c>
    </row>
    <row r="2" spans="1:6" ht="28.8" x14ac:dyDescent="0.3">
      <c r="A2" s="12" t="s">
        <v>73</v>
      </c>
      <c r="B2" s="13"/>
      <c r="C2" s="13"/>
      <c r="D2" s="9"/>
      <c r="E2" s="9"/>
      <c r="F2" s="9"/>
    </row>
    <row r="3" spans="1:6" x14ac:dyDescent="0.3">
      <c r="A3" s="12" t="s">
        <v>74</v>
      </c>
      <c r="B3" s="13"/>
      <c r="C3" s="13"/>
      <c r="D3" s="9"/>
      <c r="E3" s="9"/>
      <c r="F3" s="9"/>
    </row>
    <row r="4" spans="1:6" ht="28.8" x14ac:dyDescent="0.3">
      <c r="A4" s="12" t="s">
        <v>75</v>
      </c>
      <c r="B4" s="9"/>
      <c r="C4" s="13"/>
      <c r="D4" s="13"/>
      <c r="E4" s="9"/>
      <c r="F4" s="9"/>
    </row>
    <row r="5" spans="1:6" ht="28.8" x14ac:dyDescent="0.3">
      <c r="A5" s="12" t="s">
        <v>76</v>
      </c>
      <c r="B5" s="9"/>
      <c r="C5" s="13"/>
      <c r="D5" s="13"/>
      <c r="E5" s="9"/>
      <c r="F5" s="9"/>
    </row>
    <row r="6" spans="1:6" ht="43.2" x14ac:dyDescent="0.3">
      <c r="A6" s="12" t="s">
        <v>77</v>
      </c>
      <c r="B6" s="9"/>
      <c r="C6" s="9"/>
      <c r="D6" s="13"/>
      <c r="E6" s="13"/>
      <c r="F6" s="9"/>
    </row>
    <row r="7" spans="1:6" ht="43.2" x14ac:dyDescent="0.3">
      <c r="A7" s="12" t="s">
        <v>78</v>
      </c>
      <c r="B7" s="9"/>
      <c r="C7" s="9"/>
      <c r="D7" s="13"/>
      <c r="E7" s="13"/>
      <c r="F7" s="9"/>
    </row>
    <row r="8" spans="1:6" x14ac:dyDescent="0.3">
      <c r="A8" s="12" t="s">
        <v>79</v>
      </c>
      <c r="B8" s="9"/>
      <c r="C8" s="9"/>
      <c r="D8" s="9"/>
      <c r="E8" s="13"/>
      <c r="F8" s="13"/>
    </row>
    <row r="9" spans="1:6" x14ac:dyDescent="0.3">
      <c r="A9" s="12" t="s">
        <v>81</v>
      </c>
      <c r="B9" s="9"/>
      <c r="C9" s="9"/>
      <c r="D9" s="9"/>
      <c r="E9" s="13"/>
      <c r="F9" s="13"/>
    </row>
    <row r="10" spans="1:6" ht="28.8" x14ac:dyDescent="0.3">
      <c r="A10" s="12" t="s">
        <v>80</v>
      </c>
      <c r="B10" s="9"/>
      <c r="C10" s="9"/>
      <c r="D10" s="9"/>
      <c r="E10" s="13"/>
      <c r="F10" s="1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9C5B1-3C86-45EC-B2A3-EFA669F49511}">
  <dimension ref="A1:W63"/>
  <sheetViews>
    <sheetView topLeftCell="M1" zoomScale="85" zoomScaleNormal="85" workbookViewId="0">
      <selection activeCell="B12" sqref="B12"/>
    </sheetView>
  </sheetViews>
  <sheetFormatPr baseColWidth="10" defaultRowHeight="14.4" x14ac:dyDescent="0.3"/>
  <cols>
    <col min="1" max="1" width="34.6640625" bestFit="1" customWidth="1"/>
    <col min="2" max="2" width="12.109375" bestFit="1" customWidth="1"/>
    <col min="7" max="7" width="36.21875" bestFit="1" customWidth="1"/>
    <col min="9" max="9" width="12.109375" bestFit="1" customWidth="1"/>
  </cols>
  <sheetData>
    <row r="1" spans="1:23" x14ac:dyDescent="0.3">
      <c r="A1" s="83"/>
      <c r="B1" s="39"/>
      <c r="C1" s="83"/>
      <c r="D1" s="83"/>
      <c r="E1" s="39"/>
    </row>
    <row r="2" spans="1:23" x14ac:dyDescent="0.3">
      <c r="A2" s="83" t="s">
        <v>281</v>
      </c>
      <c r="B2" s="39">
        <f>11000000/$D$5</f>
        <v>11000</v>
      </c>
      <c r="C2" s="83"/>
      <c r="D2" s="83"/>
      <c r="E2" s="39"/>
    </row>
    <row r="3" spans="1:23" x14ac:dyDescent="0.3">
      <c r="A3" s="83"/>
      <c r="B3" s="39"/>
      <c r="C3" s="83"/>
      <c r="D3" s="83"/>
      <c r="E3" s="39"/>
    </row>
    <row r="4" spans="1:23" x14ac:dyDescent="0.3">
      <c r="A4" s="83" t="s">
        <v>117</v>
      </c>
      <c r="B4" s="39">
        <f>2000000/$D$5</f>
        <v>2000</v>
      </c>
      <c r="C4" s="83"/>
      <c r="D4" s="83"/>
      <c r="E4" s="39"/>
      <c r="G4" s="9"/>
      <c r="H4" s="9" t="s">
        <v>111</v>
      </c>
      <c r="I4" s="9" t="s">
        <v>112</v>
      </c>
      <c r="J4" s="9" t="s">
        <v>113</v>
      </c>
      <c r="K4" s="9" t="s">
        <v>114</v>
      </c>
      <c r="L4" s="9" t="s">
        <v>115</v>
      </c>
      <c r="M4" s="9" t="s">
        <v>116</v>
      </c>
      <c r="N4" s="9" t="s">
        <v>271</v>
      </c>
      <c r="O4" s="9" t="s">
        <v>272</v>
      </c>
      <c r="P4" s="9" t="s">
        <v>273</v>
      </c>
      <c r="Q4" s="9" t="s">
        <v>274</v>
      </c>
      <c r="R4" s="9" t="s">
        <v>275</v>
      </c>
      <c r="S4" s="9" t="s">
        <v>276</v>
      </c>
      <c r="T4" s="9" t="s">
        <v>277</v>
      </c>
      <c r="U4" s="9" t="s">
        <v>278</v>
      </c>
      <c r="V4" s="9" t="s">
        <v>279</v>
      </c>
      <c r="W4" s="9" t="s">
        <v>280</v>
      </c>
    </row>
    <row r="5" spans="1:23" x14ac:dyDescent="0.3">
      <c r="A5" s="83" t="s">
        <v>118</v>
      </c>
      <c r="B5" s="39">
        <f>3000000/$D$5</f>
        <v>3000</v>
      </c>
      <c r="C5" s="83"/>
      <c r="D5" s="83">
        <v>1000</v>
      </c>
      <c r="E5" s="39"/>
      <c r="G5" s="9" t="s">
        <v>124</v>
      </c>
      <c r="H5" s="86"/>
      <c r="I5" s="86">
        <f>$B$12*$B$10</f>
        <v>3888</v>
      </c>
      <c r="J5" s="86">
        <f t="shared" ref="J5:W5" si="0">$B$12*$B$10</f>
        <v>3888</v>
      </c>
      <c r="K5" s="86">
        <f t="shared" si="0"/>
        <v>3888</v>
      </c>
      <c r="L5" s="86">
        <f t="shared" si="0"/>
        <v>3888</v>
      </c>
      <c r="M5" s="86">
        <f t="shared" si="0"/>
        <v>3888</v>
      </c>
      <c r="N5" s="86">
        <f t="shared" si="0"/>
        <v>3888</v>
      </c>
      <c r="O5" s="86">
        <f t="shared" si="0"/>
        <v>3888</v>
      </c>
      <c r="P5" s="86">
        <f t="shared" si="0"/>
        <v>3888</v>
      </c>
      <c r="Q5" s="86">
        <f t="shared" si="0"/>
        <v>3888</v>
      </c>
      <c r="R5" s="86">
        <f t="shared" si="0"/>
        <v>3888</v>
      </c>
      <c r="S5" s="86">
        <f t="shared" si="0"/>
        <v>3888</v>
      </c>
      <c r="T5" s="86">
        <f t="shared" si="0"/>
        <v>3888</v>
      </c>
      <c r="U5" s="86">
        <f t="shared" si="0"/>
        <v>3888</v>
      </c>
      <c r="V5" s="86">
        <f t="shared" si="0"/>
        <v>3888</v>
      </c>
      <c r="W5" s="86">
        <f t="shared" si="0"/>
        <v>3888</v>
      </c>
    </row>
    <row r="6" spans="1:23" x14ac:dyDescent="0.3">
      <c r="A6" s="83" t="s">
        <v>119</v>
      </c>
      <c r="B6" s="39">
        <f>1500000/$D$5</f>
        <v>1500</v>
      </c>
      <c r="C6" s="83"/>
      <c r="D6" s="83"/>
      <c r="E6" s="39"/>
      <c r="G6" s="9" t="str">
        <f>A11</f>
        <v>Mantenimiento y reparaciones del buque</v>
      </c>
      <c r="H6" s="86"/>
      <c r="I6" s="86">
        <f>-$B$11*0.1</f>
        <v>-100</v>
      </c>
      <c r="J6" s="86">
        <f t="shared" ref="J6:K6" si="1">-$B$11*0.1</f>
        <v>-100</v>
      </c>
      <c r="K6" s="86">
        <f t="shared" si="1"/>
        <v>-100</v>
      </c>
      <c r="L6" s="86">
        <f t="shared" ref="L6:T6" si="2">-$B$11</f>
        <v>-1000</v>
      </c>
      <c r="M6" s="86">
        <f>-$B$11*0.1</f>
        <v>-100</v>
      </c>
      <c r="N6" s="86">
        <f>-$B$11*0.1</f>
        <v>-100</v>
      </c>
      <c r="O6" s="86">
        <f t="shared" ref="O6" si="3">-$B$11*0.1</f>
        <v>-100</v>
      </c>
      <c r="P6" s="86">
        <f t="shared" si="2"/>
        <v>-1000</v>
      </c>
      <c r="Q6" s="86">
        <f t="shared" ref="Q6:R6" si="4">-$B$11*0.1</f>
        <v>-100</v>
      </c>
      <c r="R6" s="86">
        <f t="shared" si="4"/>
        <v>-100</v>
      </c>
      <c r="S6" s="86">
        <f>-$B$11*0.1</f>
        <v>-100</v>
      </c>
      <c r="T6" s="86">
        <f t="shared" si="2"/>
        <v>-1000</v>
      </c>
      <c r="U6" s="86">
        <f>-$B$11*0.1</f>
        <v>-100</v>
      </c>
      <c r="V6" s="86">
        <f t="shared" ref="V6:W6" si="5">-$B$11*0.1</f>
        <v>-100</v>
      </c>
      <c r="W6" s="86">
        <f t="shared" si="5"/>
        <v>-100</v>
      </c>
    </row>
    <row r="7" spans="1:23" x14ac:dyDescent="0.3">
      <c r="A7" s="83"/>
      <c r="B7" s="39"/>
      <c r="C7" s="83"/>
      <c r="D7" s="83"/>
      <c r="E7" s="39"/>
      <c r="G7" s="9" t="str">
        <f>A13</f>
        <v>Sueldos</v>
      </c>
      <c r="H7" s="86"/>
      <c r="I7" s="86">
        <f>-$B$13</f>
        <v>-1000.63497</v>
      </c>
      <c r="J7" s="86">
        <f t="shared" ref="J7:W7" si="6">-$B$13</f>
        <v>-1000.63497</v>
      </c>
      <c r="K7" s="86">
        <f t="shared" si="6"/>
        <v>-1000.63497</v>
      </c>
      <c r="L7" s="86">
        <f t="shared" si="6"/>
        <v>-1000.63497</v>
      </c>
      <c r="M7" s="86">
        <f t="shared" si="6"/>
        <v>-1000.63497</v>
      </c>
      <c r="N7" s="86">
        <f t="shared" si="6"/>
        <v>-1000.63497</v>
      </c>
      <c r="O7" s="86">
        <f t="shared" si="6"/>
        <v>-1000.63497</v>
      </c>
      <c r="P7" s="86">
        <f t="shared" si="6"/>
        <v>-1000.63497</v>
      </c>
      <c r="Q7" s="86">
        <f t="shared" si="6"/>
        <v>-1000.63497</v>
      </c>
      <c r="R7" s="86">
        <f t="shared" si="6"/>
        <v>-1000.63497</v>
      </c>
      <c r="S7" s="86">
        <f t="shared" si="6"/>
        <v>-1000.63497</v>
      </c>
      <c r="T7" s="86">
        <f t="shared" si="6"/>
        <v>-1000.63497</v>
      </c>
      <c r="U7" s="86">
        <f t="shared" si="6"/>
        <v>-1000.63497</v>
      </c>
      <c r="V7" s="86">
        <f t="shared" si="6"/>
        <v>-1000.63497</v>
      </c>
      <c r="W7" s="86">
        <f t="shared" si="6"/>
        <v>-1000.63497</v>
      </c>
    </row>
    <row r="8" spans="1:23" x14ac:dyDescent="0.3">
      <c r="A8" s="83"/>
      <c r="B8" s="39"/>
      <c r="C8" s="83"/>
      <c r="D8" s="83"/>
      <c r="E8" s="39"/>
      <c r="G8" s="9" t="str">
        <f t="shared" ref="G8:G11" si="7">A14</f>
        <v>Seguridad Social</v>
      </c>
      <c r="H8" s="86"/>
      <c r="I8" s="86">
        <f>-$B$14</f>
        <v>-320.20319000000001</v>
      </c>
      <c r="J8" s="86">
        <f t="shared" ref="J8:W8" si="8">-$B$14</f>
        <v>-320.20319000000001</v>
      </c>
      <c r="K8" s="86">
        <f t="shared" si="8"/>
        <v>-320.20319000000001</v>
      </c>
      <c r="L8" s="86">
        <f t="shared" si="8"/>
        <v>-320.20319000000001</v>
      </c>
      <c r="M8" s="86">
        <f t="shared" si="8"/>
        <v>-320.20319000000001</v>
      </c>
      <c r="N8" s="86">
        <f t="shared" si="8"/>
        <v>-320.20319000000001</v>
      </c>
      <c r="O8" s="86">
        <f t="shared" si="8"/>
        <v>-320.20319000000001</v>
      </c>
      <c r="P8" s="86">
        <f t="shared" si="8"/>
        <v>-320.20319000000001</v>
      </c>
      <c r="Q8" s="86">
        <f t="shared" si="8"/>
        <v>-320.20319000000001</v>
      </c>
      <c r="R8" s="86">
        <f t="shared" si="8"/>
        <v>-320.20319000000001</v>
      </c>
      <c r="S8" s="86">
        <f t="shared" si="8"/>
        <v>-320.20319000000001</v>
      </c>
      <c r="T8" s="86">
        <f t="shared" si="8"/>
        <v>-320.20319000000001</v>
      </c>
      <c r="U8" s="86">
        <f t="shared" si="8"/>
        <v>-320.20319000000001</v>
      </c>
      <c r="V8" s="86">
        <f t="shared" si="8"/>
        <v>-320.20319000000001</v>
      </c>
      <c r="W8" s="86">
        <f t="shared" si="8"/>
        <v>-320.20319000000001</v>
      </c>
    </row>
    <row r="9" spans="1:23" x14ac:dyDescent="0.3">
      <c r="A9" s="83" t="s">
        <v>121</v>
      </c>
      <c r="B9" s="42">
        <f>12*4*0.85</f>
        <v>40.799999999999997</v>
      </c>
      <c r="C9" s="83"/>
      <c r="D9" s="83"/>
      <c r="E9" s="39"/>
      <c r="G9" s="9" t="str">
        <f t="shared" si="7"/>
        <v>Aceite Lubricante</v>
      </c>
      <c r="H9" s="86"/>
      <c r="I9" s="86">
        <f>-$B$15</f>
        <v>-6</v>
      </c>
      <c r="J9" s="86">
        <f t="shared" ref="J9:W9" si="9">-$B$15</f>
        <v>-6</v>
      </c>
      <c r="K9" s="86">
        <f t="shared" si="9"/>
        <v>-6</v>
      </c>
      <c r="L9" s="86">
        <f t="shared" si="9"/>
        <v>-6</v>
      </c>
      <c r="M9" s="86">
        <f t="shared" si="9"/>
        <v>-6</v>
      </c>
      <c r="N9" s="86">
        <f t="shared" si="9"/>
        <v>-6</v>
      </c>
      <c r="O9" s="86">
        <f t="shared" si="9"/>
        <v>-6</v>
      </c>
      <c r="P9" s="86">
        <f t="shared" si="9"/>
        <v>-6</v>
      </c>
      <c r="Q9" s="86">
        <f t="shared" si="9"/>
        <v>-6</v>
      </c>
      <c r="R9" s="86">
        <f t="shared" si="9"/>
        <v>-6</v>
      </c>
      <c r="S9" s="86">
        <f t="shared" si="9"/>
        <v>-6</v>
      </c>
      <c r="T9" s="86">
        <f t="shared" si="9"/>
        <v>-6</v>
      </c>
      <c r="U9" s="86">
        <f t="shared" si="9"/>
        <v>-6</v>
      </c>
      <c r="V9" s="86">
        <f t="shared" si="9"/>
        <v>-6</v>
      </c>
      <c r="W9" s="86">
        <f t="shared" si="9"/>
        <v>-6</v>
      </c>
    </row>
    <row r="10" spans="1:23" x14ac:dyDescent="0.3">
      <c r="A10" s="83" t="s">
        <v>168</v>
      </c>
      <c r="B10" s="2">
        <f>5*4*12*0.9</f>
        <v>216</v>
      </c>
      <c r="C10" s="83"/>
      <c r="D10" s="83" t="s">
        <v>270</v>
      </c>
      <c r="E10" s="39">
        <f>15*150/D5</f>
        <v>2.25</v>
      </c>
      <c r="G10" s="9" t="str">
        <f t="shared" si="7"/>
        <v xml:space="preserve">Provisiones </v>
      </c>
      <c r="H10" s="86"/>
      <c r="I10" s="86">
        <f>-$B$16</f>
        <v>-50</v>
      </c>
      <c r="J10" s="86">
        <f t="shared" ref="J10:W10" si="10">-$B$16</f>
        <v>-50</v>
      </c>
      <c r="K10" s="86">
        <f t="shared" si="10"/>
        <v>-50</v>
      </c>
      <c r="L10" s="86">
        <f t="shared" si="10"/>
        <v>-50</v>
      </c>
      <c r="M10" s="86">
        <f t="shared" si="10"/>
        <v>-50</v>
      </c>
      <c r="N10" s="86">
        <f t="shared" si="10"/>
        <v>-50</v>
      </c>
      <c r="O10" s="86">
        <f t="shared" si="10"/>
        <v>-50</v>
      </c>
      <c r="P10" s="86">
        <f t="shared" si="10"/>
        <v>-50</v>
      </c>
      <c r="Q10" s="86">
        <f t="shared" si="10"/>
        <v>-50</v>
      </c>
      <c r="R10" s="86">
        <f t="shared" si="10"/>
        <v>-50</v>
      </c>
      <c r="S10" s="86">
        <f t="shared" si="10"/>
        <v>-50</v>
      </c>
      <c r="T10" s="86">
        <f t="shared" si="10"/>
        <v>-50</v>
      </c>
      <c r="U10" s="86">
        <f t="shared" si="10"/>
        <v>-50</v>
      </c>
      <c r="V10" s="86">
        <f t="shared" si="10"/>
        <v>-50</v>
      </c>
      <c r="W10" s="86">
        <f t="shared" si="10"/>
        <v>-50</v>
      </c>
    </row>
    <row r="11" spans="1:23" x14ac:dyDescent="0.3">
      <c r="A11" s="83" t="s">
        <v>169</v>
      </c>
      <c r="B11" s="39">
        <f>1000000/$D$5</f>
        <v>1000</v>
      </c>
      <c r="C11" s="83"/>
      <c r="D11" s="83"/>
      <c r="E11" s="39"/>
      <c r="G11" s="9" t="str">
        <f t="shared" si="7"/>
        <v>Compañía de Seguros</v>
      </c>
      <c r="H11" s="86"/>
      <c r="I11" s="86">
        <f>-$B$17</f>
        <v>-600</v>
      </c>
      <c r="J11" s="86">
        <f t="shared" ref="J11:W11" si="11">-$B$17</f>
        <v>-600</v>
      </c>
      <c r="K11" s="86">
        <f t="shared" si="11"/>
        <v>-600</v>
      </c>
      <c r="L11" s="86">
        <f t="shared" si="11"/>
        <v>-600</v>
      </c>
      <c r="M11" s="86">
        <f t="shared" si="11"/>
        <v>-600</v>
      </c>
      <c r="N11" s="86">
        <f t="shared" si="11"/>
        <v>-600</v>
      </c>
      <c r="O11" s="86">
        <f t="shared" si="11"/>
        <v>-600</v>
      </c>
      <c r="P11" s="86">
        <f t="shared" si="11"/>
        <v>-600</v>
      </c>
      <c r="Q11" s="86">
        <f t="shared" si="11"/>
        <v>-600</v>
      </c>
      <c r="R11" s="86">
        <f t="shared" si="11"/>
        <v>-600</v>
      </c>
      <c r="S11" s="86">
        <f t="shared" si="11"/>
        <v>-600</v>
      </c>
      <c r="T11" s="86">
        <f t="shared" si="11"/>
        <v>-600</v>
      </c>
      <c r="U11" s="86">
        <f t="shared" si="11"/>
        <v>-600</v>
      </c>
      <c r="V11" s="86">
        <f t="shared" si="11"/>
        <v>-600</v>
      </c>
      <c r="W11" s="86">
        <f t="shared" si="11"/>
        <v>-600</v>
      </c>
    </row>
    <row r="12" spans="1:23" x14ac:dyDescent="0.3">
      <c r="A12" s="83" t="s">
        <v>167</v>
      </c>
      <c r="B12" s="39">
        <f>18000/$D$5</f>
        <v>18</v>
      </c>
      <c r="C12" s="83"/>
      <c r="D12" s="83"/>
      <c r="E12" s="39"/>
      <c r="G12" s="9" t="s">
        <v>126</v>
      </c>
      <c r="H12" s="86"/>
      <c r="I12" s="86">
        <f>-$B$26-$B$32</f>
        <v>-160</v>
      </c>
      <c r="J12" s="86">
        <f t="shared" ref="J12:W12" si="12">-$B$26-$B$32</f>
        <v>-160</v>
      </c>
      <c r="K12" s="86">
        <f t="shared" si="12"/>
        <v>-160</v>
      </c>
      <c r="L12" s="86">
        <f t="shared" si="12"/>
        <v>-160</v>
      </c>
      <c r="M12" s="86">
        <f t="shared" si="12"/>
        <v>-160</v>
      </c>
      <c r="N12" s="86">
        <f t="shared" si="12"/>
        <v>-160</v>
      </c>
      <c r="O12" s="86">
        <f t="shared" si="12"/>
        <v>-160</v>
      </c>
      <c r="P12" s="86">
        <f t="shared" si="12"/>
        <v>-160</v>
      </c>
      <c r="Q12" s="86">
        <f t="shared" si="12"/>
        <v>-160</v>
      </c>
      <c r="R12" s="86">
        <f t="shared" si="12"/>
        <v>-160</v>
      </c>
      <c r="S12" s="86">
        <f t="shared" si="12"/>
        <v>-160</v>
      </c>
      <c r="T12" s="86">
        <f t="shared" si="12"/>
        <v>-160</v>
      </c>
      <c r="U12" s="86">
        <f t="shared" si="12"/>
        <v>-160</v>
      </c>
      <c r="V12" s="86">
        <f t="shared" si="12"/>
        <v>-160</v>
      </c>
      <c r="W12" s="86">
        <f t="shared" si="12"/>
        <v>-160</v>
      </c>
    </row>
    <row r="13" spans="1:23" x14ac:dyDescent="0.3">
      <c r="A13" s="83" t="s">
        <v>122</v>
      </c>
      <c r="B13" s="50">
        <f>'Sueldos y Seguridad Social'!N21/$D$5</f>
        <v>1000.63497</v>
      </c>
      <c r="C13" s="83"/>
      <c r="D13" s="83"/>
      <c r="E13" s="39"/>
      <c r="G13" s="9" t="s">
        <v>129</v>
      </c>
      <c r="H13" s="86">
        <f>SUM(H5:H12)</f>
        <v>0</v>
      </c>
      <c r="I13" s="86">
        <f>SUM(I5:I12)</f>
        <v>1651.1618399999998</v>
      </c>
      <c r="J13" s="86">
        <f t="shared" ref="J13:W13" si="13">SUM(J5:J12)</f>
        <v>1651.1618399999998</v>
      </c>
      <c r="K13" s="86">
        <f t="shared" si="13"/>
        <v>1651.1618399999998</v>
      </c>
      <c r="L13" s="86">
        <f t="shared" si="13"/>
        <v>751.16183999999998</v>
      </c>
      <c r="M13" s="86">
        <f t="shared" si="13"/>
        <v>1651.1618399999998</v>
      </c>
      <c r="N13" s="86">
        <f t="shared" si="13"/>
        <v>1651.1618399999998</v>
      </c>
      <c r="O13" s="86">
        <f t="shared" si="13"/>
        <v>1651.1618399999998</v>
      </c>
      <c r="P13" s="86">
        <f t="shared" si="13"/>
        <v>751.16183999999998</v>
      </c>
      <c r="Q13" s="86">
        <f t="shared" si="13"/>
        <v>1651.1618399999998</v>
      </c>
      <c r="R13" s="86">
        <f t="shared" si="13"/>
        <v>1651.1618399999998</v>
      </c>
      <c r="S13" s="86">
        <f t="shared" si="13"/>
        <v>1651.1618399999998</v>
      </c>
      <c r="T13" s="86">
        <f t="shared" si="13"/>
        <v>751.16183999999998</v>
      </c>
      <c r="U13" s="86">
        <f t="shared" si="13"/>
        <v>1651.1618399999998</v>
      </c>
      <c r="V13" s="86">
        <f t="shared" si="13"/>
        <v>1651.1618399999998</v>
      </c>
      <c r="W13" s="86">
        <f t="shared" si="13"/>
        <v>1651.1618399999998</v>
      </c>
    </row>
    <row r="14" spans="1:23" x14ac:dyDescent="0.3">
      <c r="A14" s="83" t="s">
        <v>123</v>
      </c>
      <c r="B14" s="50">
        <f>'Sueldos y Seguridad Social'!O21/$D$5</f>
        <v>320.20319000000001</v>
      </c>
      <c r="C14" s="83"/>
      <c r="D14" s="83"/>
      <c r="E14" s="39"/>
      <c r="G14" s="9" t="s">
        <v>325</v>
      </c>
      <c r="H14" s="86">
        <f>-H13*$B$19</f>
        <v>0</v>
      </c>
      <c r="I14" s="86">
        <f>-I13*$B$19</f>
        <v>-412.79045999999994</v>
      </c>
      <c r="J14" s="86">
        <f t="shared" ref="J14:W14" si="14">-J13*$B$19</f>
        <v>-412.79045999999994</v>
      </c>
      <c r="K14" s="86">
        <f t="shared" si="14"/>
        <v>-412.79045999999994</v>
      </c>
      <c r="L14" s="86">
        <f t="shared" si="14"/>
        <v>-187.79046</v>
      </c>
      <c r="M14" s="86">
        <f t="shared" si="14"/>
        <v>-412.79045999999994</v>
      </c>
      <c r="N14" s="86">
        <f t="shared" si="14"/>
        <v>-412.79045999999994</v>
      </c>
      <c r="O14" s="86">
        <f t="shared" si="14"/>
        <v>-412.79045999999994</v>
      </c>
      <c r="P14" s="86">
        <f t="shared" si="14"/>
        <v>-187.79046</v>
      </c>
      <c r="Q14" s="86">
        <f t="shared" si="14"/>
        <v>-412.79045999999994</v>
      </c>
      <c r="R14" s="86">
        <f t="shared" si="14"/>
        <v>-412.79045999999994</v>
      </c>
      <c r="S14" s="86">
        <f t="shared" si="14"/>
        <v>-412.79045999999994</v>
      </c>
      <c r="T14" s="86">
        <f t="shared" si="14"/>
        <v>-187.79046</v>
      </c>
      <c r="U14" s="86">
        <f t="shared" si="14"/>
        <v>-412.79045999999994</v>
      </c>
      <c r="V14" s="86">
        <f t="shared" si="14"/>
        <v>-412.79045999999994</v>
      </c>
      <c r="W14" s="86">
        <f t="shared" si="14"/>
        <v>-412.79045999999994</v>
      </c>
    </row>
    <row r="15" spans="1:23" x14ac:dyDescent="0.3">
      <c r="A15" s="83" t="s">
        <v>170</v>
      </c>
      <c r="B15" s="39">
        <f>6000/$D$5</f>
        <v>6</v>
      </c>
      <c r="C15" s="83"/>
      <c r="D15" s="83"/>
      <c r="E15" s="39"/>
      <c r="G15" s="9" t="s">
        <v>131</v>
      </c>
      <c r="H15" s="86">
        <f>SUM(H13:H14)</f>
        <v>0</v>
      </c>
      <c r="I15" s="86">
        <f>SUM(I13:I14)</f>
        <v>1238.3713799999998</v>
      </c>
      <c r="J15" s="86">
        <f t="shared" ref="J15:W15" si="15">SUM(J13:J14)</f>
        <v>1238.3713799999998</v>
      </c>
      <c r="K15" s="86">
        <f t="shared" si="15"/>
        <v>1238.3713799999998</v>
      </c>
      <c r="L15" s="86">
        <f t="shared" si="15"/>
        <v>563.37138000000004</v>
      </c>
      <c r="M15" s="86">
        <f t="shared" si="15"/>
        <v>1238.3713799999998</v>
      </c>
      <c r="N15" s="86">
        <f t="shared" si="15"/>
        <v>1238.3713799999998</v>
      </c>
      <c r="O15" s="86">
        <f t="shared" si="15"/>
        <v>1238.3713799999998</v>
      </c>
      <c r="P15" s="86">
        <f t="shared" si="15"/>
        <v>563.37138000000004</v>
      </c>
      <c r="Q15" s="86">
        <f t="shared" si="15"/>
        <v>1238.3713799999998</v>
      </c>
      <c r="R15" s="86">
        <f t="shared" si="15"/>
        <v>1238.3713799999998</v>
      </c>
      <c r="S15" s="86">
        <f t="shared" si="15"/>
        <v>1238.3713799999998</v>
      </c>
      <c r="T15" s="86">
        <f t="shared" si="15"/>
        <v>563.37138000000004</v>
      </c>
      <c r="U15" s="86">
        <f t="shared" si="15"/>
        <v>1238.3713799999998</v>
      </c>
      <c r="V15" s="86">
        <f t="shared" si="15"/>
        <v>1238.3713799999998</v>
      </c>
      <c r="W15" s="86">
        <f t="shared" si="15"/>
        <v>1238.3713799999998</v>
      </c>
    </row>
    <row r="16" spans="1:23" x14ac:dyDescent="0.3">
      <c r="A16" s="83" t="s">
        <v>171</v>
      </c>
      <c r="B16" s="39">
        <f>50000/$D$5</f>
        <v>50</v>
      </c>
      <c r="C16" s="83"/>
      <c r="D16" s="83"/>
      <c r="E16" s="39"/>
      <c r="G16" s="9" t="s">
        <v>126</v>
      </c>
      <c r="H16" s="86"/>
      <c r="I16" s="86">
        <f>-I12</f>
        <v>160</v>
      </c>
      <c r="J16" s="86">
        <f t="shared" ref="J16:W16" si="16">-J12</f>
        <v>160</v>
      </c>
      <c r="K16" s="86">
        <f t="shared" si="16"/>
        <v>160</v>
      </c>
      <c r="L16" s="86">
        <f t="shared" si="16"/>
        <v>160</v>
      </c>
      <c r="M16" s="86">
        <f t="shared" si="16"/>
        <v>160</v>
      </c>
      <c r="N16" s="86">
        <f t="shared" si="16"/>
        <v>160</v>
      </c>
      <c r="O16" s="86">
        <f t="shared" si="16"/>
        <v>160</v>
      </c>
      <c r="P16" s="86">
        <f t="shared" si="16"/>
        <v>160</v>
      </c>
      <c r="Q16" s="86">
        <f t="shared" si="16"/>
        <v>160</v>
      </c>
      <c r="R16" s="86">
        <f t="shared" si="16"/>
        <v>160</v>
      </c>
      <c r="S16" s="86">
        <f t="shared" si="16"/>
        <v>160</v>
      </c>
      <c r="T16" s="86">
        <f t="shared" si="16"/>
        <v>160</v>
      </c>
      <c r="U16" s="86">
        <f t="shared" si="16"/>
        <v>160</v>
      </c>
      <c r="V16" s="86">
        <f t="shared" si="16"/>
        <v>160</v>
      </c>
      <c r="W16" s="86">
        <f t="shared" si="16"/>
        <v>160</v>
      </c>
    </row>
    <row r="17" spans="1:23" x14ac:dyDescent="0.3">
      <c r="A17" s="83" t="s">
        <v>324</v>
      </c>
      <c r="B17" s="39">
        <f>600000/$D$5</f>
        <v>600</v>
      </c>
      <c r="C17" s="83"/>
      <c r="D17" s="83"/>
      <c r="E17" s="39"/>
      <c r="G17" s="9" t="s">
        <v>132</v>
      </c>
      <c r="H17" s="86">
        <f>-B4-B5-B6-E10</f>
        <v>-6502.25</v>
      </c>
      <c r="I17" s="86"/>
      <c r="J17" s="86"/>
      <c r="K17" s="86"/>
      <c r="L17" s="86"/>
      <c r="M17" s="86"/>
      <c r="N17" s="86"/>
      <c r="O17" s="86"/>
      <c r="P17" s="86"/>
      <c r="Q17" s="86"/>
      <c r="R17" s="86"/>
      <c r="S17" s="86"/>
      <c r="T17" s="86"/>
      <c r="U17" s="86"/>
      <c r="V17" s="86"/>
      <c r="W17" s="86"/>
    </row>
    <row r="18" spans="1:23" x14ac:dyDescent="0.3">
      <c r="A18" s="83"/>
      <c r="B18" s="39"/>
      <c r="C18" s="83"/>
      <c r="D18" s="83"/>
      <c r="E18" s="39"/>
      <c r="G18" s="9" t="s">
        <v>326</v>
      </c>
      <c r="H18" s="86">
        <f>SUM(H15:H17)</f>
        <v>-6502.25</v>
      </c>
      <c r="I18" s="86">
        <f>SUM(I15:I17)</f>
        <v>1398.3713799999998</v>
      </c>
      <c r="J18" s="86">
        <f t="shared" ref="J18:W18" si="17">SUM(J15:J17)</f>
        <v>1398.3713799999998</v>
      </c>
      <c r="K18" s="86">
        <f t="shared" si="17"/>
        <v>1398.3713799999998</v>
      </c>
      <c r="L18" s="86">
        <f t="shared" si="17"/>
        <v>723.37138000000004</v>
      </c>
      <c r="M18" s="86">
        <f t="shared" si="17"/>
        <v>1398.3713799999998</v>
      </c>
      <c r="N18" s="86">
        <f t="shared" si="17"/>
        <v>1398.3713799999998</v>
      </c>
      <c r="O18" s="86">
        <f t="shared" si="17"/>
        <v>1398.3713799999998</v>
      </c>
      <c r="P18" s="86">
        <f t="shared" si="17"/>
        <v>723.37138000000004</v>
      </c>
      <c r="Q18" s="86">
        <f t="shared" si="17"/>
        <v>1398.3713799999998</v>
      </c>
      <c r="R18" s="86">
        <f t="shared" si="17"/>
        <v>1398.3713799999998</v>
      </c>
      <c r="S18" s="86">
        <f t="shared" si="17"/>
        <v>1398.3713799999998</v>
      </c>
      <c r="T18" s="86">
        <f t="shared" si="17"/>
        <v>723.37138000000004</v>
      </c>
      <c r="U18" s="86">
        <f t="shared" si="17"/>
        <v>1398.3713799999998</v>
      </c>
      <c r="V18" s="86">
        <f t="shared" si="17"/>
        <v>1398.3713799999998</v>
      </c>
      <c r="W18" s="86">
        <f t="shared" si="17"/>
        <v>1398.3713799999998</v>
      </c>
    </row>
    <row r="19" spans="1:23" x14ac:dyDescent="0.3">
      <c r="A19" s="83" t="s">
        <v>138</v>
      </c>
      <c r="B19" s="40">
        <v>0.25</v>
      </c>
      <c r="C19" s="83"/>
      <c r="D19" s="83"/>
      <c r="E19" s="39"/>
    </row>
    <row r="20" spans="1:23" x14ac:dyDescent="0.3">
      <c r="A20" s="83"/>
      <c r="B20" s="39"/>
      <c r="C20" s="83"/>
      <c r="D20" s="83"/>
      <c r="E20" s="39"/>
      <c r="G20" s="9" t="s">
        <v>323</v>
      </c>
      <c r="H20" s="25">
        <f>(SUM(I13:W13)+H17)/-H17</f>
        <v>2.3938140797416283</v>
      </c>
      <c r="J20" s="85"/>
    </row>
    <row r="21" spans="1:23" x14ac:dyDescent="0.3">
      <c r="A21" s="83" t="s">
        <v>284</v>
      </c>
      <c r="B21" s="39">
        <f>B23/B22</f>
        <v>733.33333333333337</v>
      </c>
      <c r="C21" s="83"/>
      <c r="D21" s="83"/>
      <c r="E21" s="39"/>
    </row>
    <row r="22" spans="1:23" x14ac:dyDescent="0.3">
      <c r="A22" s="83" t="s">
        <v>282</v>
      </c>
      <c r="B22" s="2">
        <v>15</v>
      </c>
      <c r="C22" s="83" t="s">
        <v>285</v>
      </c>
      <c r="D22" s="83"/>
      <c r="E22" s="39"/>
    </row>
    <row r="23" spans="1:23" x14ac:dyDescent="0.3">
      <c r="A23" s="83" t="s">
        <v>283</v>
      </c>
      <c r="B23" s="39">
        <f>B2</f>
        <v>11000</v>
      </c>
      <c r="C23" s="83"/>
      <c r="D23" s="83"/>
      <c r="E23" s="39"/>
    </row>
    <row r="24" spans="1:23" x14ac:dyDescent="0.3">
      <c r="A24" s="83"/>
      <c r="B24" s="39">
        <f>B23-B21*15</f>
        <v>0</v>
      </c>
      <c r="C24" s="83"/>
      <c r="D24" s="83"/>
      <c r="E24" s="39"/>
      <c r="G24" s="9"/>
      <c r="H24" s="9" t="s">
        <v>111</v>
      </c>
      <c r="I24" s="9" t="s">
        <v>112</v>
      </c>
      <c r="J24" s="9" t="s">
        <v>113</v>
      </c>
      <c r="K24" s="9" t="s">
        <v>114</v>
      </c>
      <c r="L24" s="9" t="s">
        <v>115</v>
      </c>
      <c r="M24" s="9" t="s">
        <v>116</v>
      </c>
      <c r="N24" s="9" t="s">
        <v>271</v>
      </c>
      <c r="O24" s="9" t="s">
        <v>272</v>
      </c>
      <c r="P24" s="9" t="s">
        <v>273</v>
      </c>
      <c r="Q24" s="9" t="s">
        <v>274</v>
      </c>
      <c r="R24" s="9" t="s">
        <v>275</v>
      </c>
      <c r="S24" s="9" t="s">
        <v>276</v>
      </c>
      <c r="T24" s="9" t="s">
        <v>277</v>
      </c>
      <c r="U24" s="9" t="s">
        <v>278</v>
      </c>
      <c r="V24" s="9" t="s">
        <v>279</v>
      </c>
      <c r="W24" s="9" t="s">
        <v>280</v>
      </c>
    </row>
    <row r="25" spans="1:23" x14ac:dyDescent="0.3">
      <c r="A25" s="83"/>
      <c r="B25" s="39"/>
      <c r="C25" s="83"/>
      <c r="D25" s="83"/>
      <c r="E25" s="39"/>
      <c r="G25" s="9" t="s">
        <v>124</v>
      </c>
      <c r="H25" s="86"/>
      <c r="I25" s="86">
        <f>$B$12*$B$10</f>
        <v>3888</v>
      </c>
      <c r="J25" s="86">
        <f t="shared" ref="J25:W25" si="18">$B$12*$B$10</f>
        <v>3888</v>
      </c>
      <c r="K25" s="86">
        <f t="shared" si="18"/>
        <v>3888</v>
      </c>
      <c r="L25" s="86">
        <f t="shared" si="18"/>
        <v>3888</v>
      </c>
      <c r="M25" s="86">
        <f t="shared" si="18"/>
        <v>3888</v>
      </c>
      <c r="N25" s="86">
        <f t="shared" si="18"/>
        <v>3888</v>
      </c>
      <c r="O25" s="86">
        <f t="shared" si="18"/>
        <v>3888</v>
      </c>
      <c r="P25" s="86">
        <f t="shared" si="18"/>
        <v>3888</v>
      </c>
      <c r="Q25" s="86">
        <f t="shared" si="18"/>
        <v>3888</v>
      </c>
      <c r="R25" s="86">
        <f t="shared" si="18"/>
        <v>3888</v>
      </c>
      <c r="S25" s="86">
        <f t="shared" si="18"/>
        <v>3888</v>
      </c>
      <c r="T25" s="86">
        <f t="shared" si="18"/>
        <v>3888</v>
      </c>
      <c r="U25" s="86">
        <f t="shared" si="18"/>
        <v>3888</v>
      </c>
      <c r="V25" s="86">
        <f t="shared" si="18"/>
        <v>3888</v>
      </c>
      <c r="W25" s="86">
        <f t="shared" si="18"/>
        <v>3888</v>
      </c>
    </row>
    <row r="26" spans="1:23" x14ac:dyDescent="0.3">
      <c r="A26" s="83" t="s">
        <v>135</v>
      </c>
      <c r="B26" s="39">
        <f>B28/30</f>
        <v>100</v>
      </c>
      <c r="C26" s="83"/>
      <c r="D26" s="83"/>
      <c r="E26" s="39"/>
      <c r="G26" s="9" t="str">
        <f>A11</f>
        <v>Mantenimiento y reparaciones del buque</v>
      </c>
      <c r="H26" s="86"/>
      <c r="I26" s="86">
        <f>-$B$11*0.1</f>
        <v>-100</v>
      </c>
      <c r="J26" s="86">
        <f t="shared" ref="J26:K26" si="19">-$B$11*0.1</f>
        <v>-100</v>
      </c>
      <c r="K26" s="86">
        <f t="shared" si="19"/>
        <v>-100</v>
      </c>
      <c r="L26" s="86">
        <f t="shared" ref="L26:T26" si="20">-$B$11</f>
        <v>-1000</v>
      </c>
      <c r="M26" s="86">
        <f>-$B$11*0.1</f>
        <v>-100</v>
      </c>
      <c r="N26" s="86">
        <f>-$B$11*0.1</f>
        <v>-100</v>
      </c>
      <c r="O26" s="86">
        <f t="shared" ref="O26" si="21">-$B$11*0.1</f>
        <v>-100</v>
      </c>
      <c r="P26" s="86">
        <f t="shared" si="20"/>
        <v>-1000</v>
      </c>
      <c r="Q26" s="86">
        <f t="shared" ref="Q26:R26" si="22">-$B$11*0.1</f>
        <v>-100</v>
      </c>
      <c r="R26" s="86">
        <f t="shared" si="22"/>
        <v>-100</v>
      </c>
      <c r="S26" s="86">
        <f>-$B$11*0.1</f>
        <v>-100</v>
      </c>
      <c r="T26" s="86">
        <f t="shared" si="20"/>
        <v>-1000</v>
      </c>
      <c r="U26" s="86">
        <f>-$B$11*0.1</f>
        <v>-100</v>
      </c>
      <c r="V26" s="86">
        <f t="shared" ref="V26:W26" si="23">-$B$11*0.1</f>
        <v>-100</v>
      </c>
      <c r="W26" s="86">
        <f t="shared" si="23"/>
        <v>-100</v>
      </c>
    </row>
    <row r="27" spans="1:23" x14ac:dyDescent="0.3">
      <c r="A27" s="83" t="s">
        <v>166</v>
      </c>
      <c r="B27" s="39"/>
      <c r="C27" s="83"/>
      <c r="D27" s="83"/>
      <c r="E27" s="39"/>
      <c r="G27" s="9" t="str">
        <f>A13</f>
        <v>Sueldos</v>
      </c>
      <c r="H27" s="86"/>
      <c r="I27" s="86">
        <f>-$B$13</f>
        <v>-1000.63497</v>
      </c>
      <c r="J27" s="86">
        <f t="shared" ref="J27:W27" si="24">-$B$13</f>
        <v>-1000.63497</v>
      </c>
      <c r="K27" s="86">
        <f t="shared" si="24"/>
        <v>-1000.63497</v>
      </c>
      <c r="L27" s="86">
        <f t="shared" si="24"/>
        <v>-1000.63497</v>
      </c>
      <c r="M27" s="86">
        <f t="shared" si="24"/>
        <v>-1000.63497</v>
      </c>
      <c r="N27" s="86">
        <f t="shared" si="24"/>
        <v>-1000.63497</v>
      </c>
      <c r="O27" s="86">
        <f t="shared" si="24"/>
        <v>-1000.63497</v>
      </c>
      <c r="P27" s="86">
        <f t="shared" si="24"/>
        <v>-1000.63497</v>
      </c>
      <c r="Q27" s="86">
        <f t="shared" si="24"/>
        <v>-1000.63497</v>
      </c>
      <c r="R27" s="86">
        <f t="shared" si="24"/>
        <v>-1000.63497</v>
      </c>
      <c r="S27" s="86">
        <f t="shared" si="24"/>
        <v>-1000.63497</v>
      </c>
      <c r="T27" s="86">
        <f t="shared" si="24"/>
        <v>-1000.63497</v>
      </c>
      <c r="U27" s="86">
        <f t="shared" si="24"/>
        <v>-1000.63497</v>
      </c>
      <c r="V27" s="86">
        <f t="shared" si="24"/>
        <v>-1000.63497</v>
      </c>
      <c r="W27" s="86">
        <f t="shared" si="24"/>
        <v>-1000.63497</v>
      </c>
    </row>
    <row r="28" spans="1:23" x14ac:dyDescent="0.3">
      <c r="A28" s="83" t="s">
        <v>137</v>
      </c>
      <c r="B28" s="39">
        <f>B5</f>
        <v>3000</v>
      </c>
      <c r="C28" s="83"/>
      <c r="D28" s="83"/>
      <c r="E28" s="39"/>
      <c r="G28" s="9" t="str">
        <f t="shared" ref="G28:G31" si="25">A14</f>
        <v>Seguridad Social</v>
      </c>
      <c r="H28" s="86"/>
      <c r="I28" s="86">
        <f>-$B$14</f>
        <v>-320.20319000000001</v>
      </c>
      <c r="J28" s="86">
        <f t="shared" ref="J28:W28" si="26">-$B$14</f>
        <v>-320.20319000000001</v>
      </c>
      <c r="K28" s="86">
        <f t="shared" si="26"/>
        <v>-320.20319000000001</v>
      </c>
      <c r="L28" s="86">
        <f t="shared" si="26"/>
        <v>-320.20319000000001</v>
      </c>
      <c r="M28" s="86">
        <f t="shared" si="26"/>
        <v>-320.20319000000001</v>
      </c>
      <c r="N28" s="86">
        <f t="shared" si="26"/>
        <v>-320.20319000000001</v>
      </c>
      <c r="O28" s="86">
        <f t="shared" si="26"/>
        <v>-320.20319000000001</v>
      </c>
      <c r="P28" s="86">
        <f t="shared" si="26"/>
        <v>-320.20319000000001</v>
      </c>
      <c r="Q28" s="86">
        <f t="shared" si="26"/>
        <v>-320.20319000000001</v>
      </c>
      <c r="R28" s="86">
        <f t="shared" si="26"/>
        <v>-320.20319000000001</v>
      </c>
      <c r="S28" s="86">
        <f t="shared" si="26"/>
        <v>-320.20319000000001</v>
      </c>
      <c r="T28" s="86">
        <f t="shared" si="26"/>
        <v>-320.20319000000001</v>
      </c>
      <c r="U28" s="86">
        <f t="shared" si="26"/>
        <v>-320.20319000000001</v>
      </c>
      <c r="V28" s="86">
        <f t="shared" si="26"/>
        <v>-320.20319000000001</v>
      </c>
      <c r="W28" s="86">
        <f t="shared" si="26"/>
        <v>-320.20319000000001</v>
      </c>
    </row>
    <row r="29" spans="1:23" x14ac:dyDescent="0.3">
      <c r="A29" s="83"/>
      <c r="B29" s="39">
        <f>B28-B26*15</f>
        <v>1500</v>
      </c>
      <c r="C29" s="83"/>
      <c r="D29" s="83"/>
      <c r="E29" s="39"/>
      <c r="G29" s="9" t="str">
        <f t="shared" si="25"/>
        <v>Aceite Lubricante</v>
      </c>
      <c r="H29" s="86"/>
      <c r="I29" s="86">
        <f>-$B$15</f>
        <v>-6</v>
      </c>
      <c r="J29" s="86">
        <f t="shared" ref="J29:W29" si="27">-$B$15</f>
        <v>-6</v>
      </c>
      <c r="K29" s="86">
        <f t="shared" si="27"/>
        <v>-6</v>
      </c>
      <c r="L29" s="86">
        <f t="shared" si="27"/>
        <v>-6</v>
      </c>
      <c r="M29" s="86">
        <f t="shared" si="27"/>
        <v>-6</v>
      </c>
      <c r="N29" s="86">
        <f t="shared" si="27"/>
        <v>-6</v>
      </c>
      <c r="O29" s="86">
        <f t="shared" si="27"/>
        <v>-6</v>
      </c>
      <c r="P29" s="86">
        <f t="shared" si="27"/>
        <v>-6</v>
      </c>
      <c r="Q29" s="86">
        <f t="shared" si="27"/>
        <v>-6</v>
      </c>
      <c r="R29" s="86">
        <f t="shared" si="27"/>
        <v>-6</v>
      </c>
      <c r="S29" s="86">
        <f t="shared" si="27"/>
        <v>-6</v>
      </c>
      <c r="T29" s="86">
        <f t="shared" si="27"/>
        <v>-6</v>
      </c>
      <c r="U29" s="86">
        <f t="shared" si="27"/>
        <v>-6</v>
      </c>
      <c r="V29" s="86">
        <f t="shared" si="27"/>
        <v>-6</v>
      </c>
      <c r="W29" s="86">
        <f t="shared" si="27"/>
        <v>-6</v>
      </c>
    </row>
    <row r="30" spans="1:23" x14ac:dyDescent="0.3">
      <c r="A30" s="83"/>
      <c r="B30" s="39"/>
      <c r="C30" s="83"/>
      <c r="D30" s="83"/>
      <c r="E30" s="39"/>
      <c r="G30" s="9" t="str">
        <f t="shared" si="25"/>
        <v xml:space="preserve">Provisiones </v>
      </c>
      <c r="H30" s="86"/>
      <c r="I30" s="86">
        <f>-$B$16</f>
        <v>-50</v>
      </c>
      <c r="J30" s="86">
        <f t="shared" ref="J30:W30" si="28">-$B$16</f>
        <v>-50</v>
      </c>
      <c r="K30" s="86">
        <f t="shared" si="28"/>
        <v>-50</v>
      </c>
      <c r="L30" s="86">
        <f t="shared" si="28"/>
        <v>-50</v>
      </c>
      <c r="M30" s="86">
        <f t="shared" si="28"/>
        <v>-50</v>
      </c>
      <c r="N30" s="86">
        <f t="shared" si="28"/>
        <v>-50</v>
      </c>
      <c r="O30" s="86">
        <f t="shared" si="28"/>
        <v>-50</v>
      </c>
      <c r="P30" s="86">
        <f t="shared" si="28"/>
        <v>-50</v>
      </c>
      <c r="Q30" s="86">
        <f t="shared" si="28"/>
        <v>-50</v>
      </c>
      <c r="R30" s="86">
        <f t="shared" si="28"/>
        <v>-50</v>
      </c>
      <c r="S30" s="86">
        <f t="shared" si="28"/>
        <v>-50</v>
      </c>
      <c r="T30" s="86">
        <f t="shared" si="28"/>
        <v>-50</v>
      </c>
      <c r="U30" s="86">
        <f t="shared" si="28"/>
        <v>-50</v>
      </c>
      <c r="V30" s="86">
        <f t="shared" si="28"/>
        <v>-50</v>
      </c>
      <c r="W30" s="86">
        <f t="shared" si="28"/>
        <v>-50</v>
      </c>
    </row>
    <row r="31" spans="1:23" x14ac:dyDescent="0.3">
      <c r="A31" s="83"/>
      <c r="B31" s="39"/>
      <c r="C31" s="83"/>
      <c r="D31" s="83"/>
      <c r="E31" s="39"/>
      <c r="G31" s="9" t="str">
        <f t="shared" si="25"/>
        <v>Compañía de Seguros</v>
      </c>
      <c r="H31" s="86"/>
      <c r="I31" s="86">
        <f>-$B$17</f>
        <v>-600</v>
      </c>
      <c r="J31" s="86">
        <f t="shared" ref="J31:W31" si="29">-$B$17</f>
        <v>-600</v>
      </c>
      <c r="K31" s="86">
        <f t="shared" si="29"/>
        <v>-600</v>
      </c>
      <c r="L31" s="86">
        <f t="shared" si="29"/>
        <v>-600</v>
      </c>
      <c r="M31" s="86">
        <f t="shared" si="29"/>
        <v>-600</v>
      </c>
      <c r="N31" s="86">
        <f t="shared" si="29"/>
        <v>-600</v>
      </c>
      <c r="O31" s="86">
        <f t="shared" si="29"/>
        <v>-600</v>
      </c>
      <c r="P31" s="86">
        <f t="shared" si="29"/>
        <v>-600</v>
      </c>
      <c r="Q31" s="86">
        <f t="shared" si="29"/>
        <v>-600</v>
      </c>
      <c r="R31" s="86">
        <f t="shared" si="29"/>
        <v>-600</v>
      </c>
      <c r="S31" s="86">
        <f t="shared" si="29"/>
        <v>-600</v>
      </c>
      <c r="T31" s="86">
        <f t="shared" si="29"/>
        <v>-600</v>
      </c>
      <c r="U31" s="86">
        <f t="shared" si="29"/>
        <v>-600</v>
      </c>
      <c r="V31" s="86">
        <f t="shared" si="29"/>
        <v>-600</v>
      </c>
      <c r="W31" s="86">
        <f t="shared" si="29"/>
        <v>-600</v>
      </c>
    </row>
    <row r="32" spans="1:23" x14ac:dyDescent="0.3">
      <c r="A32" s="83" t="s">
        <v>136</v>
      </c>
      <c r="B32" s="39">
        <f>B34/B33</f>
        <v>60</v>
      </c>
      <c r="C32" s="83"/>
      <c r="D32" s="83"/>
      <c r="E32" s="39"/>
      <c r="G32" s="9" t="s">
        <v>126</v>
      </c>
      <c r="H32" s="86"/>
      <c r="I32" s="86">
        <f>-$B$21</f>
        <v>-733.33333333333337</v>
      </c>
      <c r="J32" s="86">
        <f t="shared" ref="J32:W32" si="30">-$B$21</f>
        <v>-733.33333333333337</v>
      </c>
      <c r="K32" s="86">
        <f t="shared" si="30"/>
        <v>-733.33333333333337</v>
      </c>
      <c r="L32" s="86">
        <f t="shared" si="30"/>
        <v>-733.33333333333337</v>
      </c>
      <c r="M32" s="86">
        <f t="shared" si="30"/>
        <v>-733.33333333333337</v>
      </c>
      <c r="N32" s="86">
        <f t="shared" si="30"/>
        <v>-733.33333333333337</v>
      </c>
      <c r="O32" s="86">
        <f t="shared" si="30"/>
        <v>-733.33333333333337</v>
      </c>
      <c r="P32" s="86">
        <f t="shared" si="30"/>
        <v>-733.33333333333337</v>
      </c>
      <c r="Q32" s="86">
        <f t="shared" si="30"/>
        <v>-733.33333333333337</v>
      </c>
      <c r="R32" s="86">
        <f t="shared" si="30"/>
        <v>-733.33333333333337</v>
      </c>
      <c r="S32" s="86">
        <f t="shared" si="30"/>
        <v>-733.33333333333337</v>
      </c>
      <c r="T32" s="86">
        <f t="shared" si="30"/>
        <v>-733.33333333333337</v>
      </c>
      <c r="U32" s="86">
        <f t="shared" si="30"/>
        <v>-733.33333333333337</v>
      </c>
      <c r="V32" s="86">
        <f t="shared" si="30"/>
        <v>-733.33333333333337</v>
      </c>
      <c r="W32" s="86">
        <f t="shared" si="30"/>
        <v>-733.33333333333337</v>
      </c>
    </row>
    <row r="33" spans="1:23" x14ac:dyDescent="0.3">
      <c r="A33" s="83" t="s">
        <v>286</v>
      </c>
      <c r="B33" s="2">
        <v>25</v>
      </c>
      <c r="C33" s="83"/>
      <c r="D33" s="83"/>
      <c r="E33" s="39"/>
      <c r="G33" s="9" t="s">
        <v>129</v>
      </c>
      <c r="H33" s="86">
        <f>SUM(H25:H32)</f>
        <v>0</v>
      </c>
      <c r="I33" s="86">
        <f>SUM(I25:I32)</f>
        <v>1077.8285066666663</v>
      </c>
      <c r="J33" s="86">
        <f t="shared" ref="J33" si="31">SUM(J25:J32)</f>
        <v>1077.8285066666663</v>
      </c>
      <c r="K33" s="86">
        <f t="shared" ref="K33" si="32">SUM(K25:K32)</f>
        <v>1077.8285066666663</v>
      </c>
      <c r="L33" s="86">
        <f t="shared" ref="L33" si="33">SUM(L25:L32)</f>
        <v>177.82850666666661</v>
      </c>
      <c r="M33" s="86">
        <f t="shared" ref="M33" si="34">SUM(M25:M32)</f>
        <v>1077.8285066666663</v>
      </c>
      <c r="N33" s="86">
        <f t="shared" ref="N33" si="35">SUM(N25:N32)</f>
        <v>1077.8285066666663</v>
      </c>
      <c r="O33" s="86">
        <f t="shared" ref="O33" si="36">SUM(O25:O32)</f>
        <v>1077.8285066666663</v>
      </c>
      <c r="P33" s="86">
        <f t="shared" ref="P33" si="37">SUM(P25:P32)</f>
        <v>177.82850666666661</v>
      </c>
      <c r="Q33" s="86">
        <f t="shared" ref="Q33" si="38">SUM(Q25:Q32)</f>
        <v>1077.8285066666663</v>
      </c>
      <c r="R33" s="86">
        <f t="shared" ref="R33" si="39">SUM(R25:R32)</f>
        <v>1077.8285066666663</v>
      </c>
      <c r="S33" s="86">
        <f t="shared" ref="S33" si="40">SUM(S25:S32)</f>
        <v>1077.8285066666663</v>
      </c>
      <c r="T33" s="86">
        <f t="shared" ref="T33" si="41">SUM(T25:T32)</f>
        <v>177.82850666666661</v>
      </c>
      <c r="U33" s="86">
        <f t="shared" ref="U33" si="42">SUM(U25:U32)</f>
        <v>1077.8285066666663</v>
      </c>
      <c r="V33" s="86">
        <f t="shared" ref="V33" si="43">SUM(V25:V32)</f>
        <v>1077.8285066666663</v>
      </c>
      <c r="W33" s="86">
        <f t="shared" ref="W33" si="44">SUM(W25:W32)</f>
        <v>1077.8285066666663</v>
      </c>
    </row>
    <row r="34" spans="1:23" x14ac:dyDescent="0.3">
      <c r="A34" s="83" t="s">
        <v>137</v>
      </c>
      <c r="B34" s="39">
        <f>B6</f>
        <v>1500</v>
      </c>
      <c r="C34" s="83"/>
      <c r="D34" s="83"/>
      <c r="E34" s="39"/>
      <c r="G34" s="9" t="s">
        <v>325</v>
      </c>
      <c r="H34" s="86">
        <f>-H33*$B$19</f>
        <v>0</v>
      </c>
      <c r="I34" s="86">
        <f>-I33*$B$19</f>
        <v>-269.45712666666657</v>
      </c>
      <c r="J34" s="86">
        <f t="shared" ref="J34" si="45">-J33*$B$19</f>
        <v>-269.45712666666657</v>
      </c>
      <c r="K34" s="86">
        <f t="shared" ref="K34" si="46">-K33*$B$19</f>
        <v>-269.45712666666657</v>
      </c>
      <c r="L34" s="86">
        <f t="shared" ref="L34" si="47">-L33*$B$19</f>
        <v>-44.457126666666653</v>
      </c>
      <c r="M34" s="86">
        <f t="shared" ref="M34" si="48">-M33*$B$19</f>
        <v>-269.45712666666657</v>
      </c>
      <c r="N34" s="86">
        <f t="shared" ref="N34" si="49">-N33*$B$19</f>
        <v>-269.45712666666657</v>
      </c>
      <c r="O34" s="86">
        <f t="shared" ref="O34" si="50">-O33*$B$19</f>
        <v>-269.45712666666657</v>
      </c>
      <c r="P34" s="86">
        <f t="shared" ref="P34" si="51">-P33*$B$19</f>
        <v>-44.457126666666653</v>
      </c>
      <c r="Q34" s="86">
        <f t="shared" ref="Q34" si="52">-Q33*$B$19</f>
        <v>-269.45712666666657</v>
      </c>
      <c r="R34" s="86">
        <f t="shared" ref="R34" si="53">-R33*$B$19</f>
        <v>-269.45712666666657</v>
      </c>
      <c r="S34" s="86">
        <f t="shared" ref="S34" si="54">-S33*$B$19</f>
        <v>-269.45712666666657</v>
      </c>
      <c r="T34" s="86">
        <f t="shared" ref="T34" si="55">-T33*$B$19</f>
        <v>-44.457126666666653</v>
      </c>
      <c r="U34" s="86">
        <f t="shared" ref="U34" si="56">-U33*$B$19</f>
        <v>-269.45712666666657</v>
      </c>
      <c r="V34" s="86">
        <f t="shared" ref="V34" si="57">-V33*$B$19</f>
        <v>-269.45712666666657</v>
      </c>
      <c r="W34" s="86">
        <f t="shared" ref="W34" si="58">-W33*$B$19</f>
        <v>-269.45712666666657</v>
      </c>
    </row>
    <row r="35" spans="1:23" ht="16.2" x14ac:dyDescent="0.45">
      <c r="A35" s="83"/>
      <c r="B35" s="39">
        <f>B34-B32*15</f>
        <v>600</v>
      </c>
      <c r="C35" s="83"/>
      <c r="D35" s="83"/>
      <c r="E35" s="41"/>
      <c r="G35" s="9" t="s">
        <v>131</v>
      </c>
      <c r="H35" s="86">
        <f>SUM(H33:H34)</f>
        <v>0</v>
      </c>
      <c r="I35" s="86">
        <f>SUM(I33:I34)</f>
        <v>808.3713799999997</v>
      </c>
      <c r="J35" s="86">
        <f t="shared" ref="J35" si="59">SUM(J33:J34)</f>
        <v>808.3713799999997</v>
      </c>
      <c r="K35" s="86">
        <f t="shared" ref="K35" si="60">SUM(K33:K34)</f>
        <v>808.3713799999997</v>
      </c>
      <c r="L35" s="86">
        <f t="shared" ref="L35" si="61">SUM(L33:L34)</f>
        <v>133.37137999999996</v>
      </c>
      <c r="M35" s="86">
        <f t="shared" ref="M35" si="62">SUM(M33:M34)</f>
        <v>808.3713799999997</v>
      </c>
      <c r="N35" s="86">
        <f t="shared" ref="N35" si="63">SUM(N33:N34)</f>
        <v>808.3713799999997</v>
      </c>
      <c r="O35" s="86">
        <f t="shared" ref="O35" si="64">SUM(O33:O34)</f>
        <v>808.3713799999997</v>
      </c>
      <c r="P35" s="86">
        <f t="shared" ref="P35" si="65">SUM(P33:P34)</f>
        <v>133.37137999999996</v>
      </c>
      <c r="Q35" s="86">
        <f t="shared" ref="Q35" si="66">SUM(Q33:Q34)</f>
        <v>808.3713799999997</v>
      </c>
      <c r="R35" s="86">
        <f t="shared" ref="R35" si="67">SUM(R33:R34)</f>
        <v>808.3713799999997</v>
      </c>
      <c r="S35" s="86">
        <f t="shared" ref="S35" si="68">SUM(S33:S34)</f>
        <v>808.3713799999997</v>
      </c>
      <c r="T35" s="86">
        <f t="shared" ref="T35" si="69">SUM(T33:T34)</f>
        <v>133.37137999999996</v>
      </c>
      <c r="U35" s="86">
        <f t="shared" ref="U35" si="70">SUM(U33:U34)</f>
        <v>808.3713799999997</v>
      </c>
      <c r="V35" s="86">
        <f t="shared" ref="V35" si="71">SUM(V33:V34)</f>
        <v>808.3713799999997</v>
      </c>
      <c r="W35" s="86">
        <f t="shared" ref="W35" si="72">SUM(W33:W34)</f>
        <v>808.3713799999997</v>
      </c>
    </row>
    <row r="36" spans="1:23" x14ac:dyDescent="0.3">
      <c r="G36" s="9" t="s">
        <v>126</v>
      </c>
      <c r="H36" s="86"/>
      <c r="I36" s="86">
        <f>-I32</f>
        <v>733.33333333333337</v>
      </c>
      <c r="J36" s="86">
        <f t="shared" ref="J36:W36" si="73">-J32</f>
        <v>733.33333333333337</v>
      </c>
      <c r="K36" s="86">
        <f t="shared" si="73"/>
        <v>733.33333333333337</v>
      </c>
      <c r="L36" s="86">
        <f t="shared" si="73"/>
        <v>733.33333333333337</v>
      </c>
      <c r="M36" s="86">
        <f t="shared" si="73"/>
        <v>733.33333333333337</v>
      </c>
      <c r="N36" s="86">
        <f t="shared" si="73"/>
        <v>733.33333333333337</v>
      </c>
      <c r="O36" s="86">
        <f t="shared" si="73"/>
        <v>733.33333333333337</v>
      </c>
      <c r="P36" s="86">
        <f t="shared" si="73"/>
        <v>733.33333333333337</v>
      </c>
      <c r="Q36" s="86">
        <f t="shared" si="73"/>
        <v>733.33333333333337</v>
      </c>
      <c r="R36" s="86">
        <f t="shared" si="73"/>
        <v>733.33333333333337</v>
      </c>
      <c r="S36" s="86">
        <f t="shared" si="73"/>
        <v>733.33333333333337</v>
      </c>
      <c r="T36" s="86">
        <f t="shared" si="73"/>
        <v>733.33333333333337</v>
      </c>
      <c r="U36" s="86">
        <f t="shared" si="73"/>
        <v>733.33333333333337</v>
      </c>
      <c r="V36" s="86">
        <f t="shared" si="73"/>
        <v>733.33333333333337</v>
      </c>
      <c r="W36" s="86">
        <f t="shared" si="73"/>
        <v>733.33333333333337</v>
      </c>
    </row>
    <row r="37" spans="1:23" x14ac:dyDescent="0.3">
      <c r="G37" s="9" t="s">
        <v>132</v>
      </c>
      <c r="H37" s="86">
        <f>-B2</f>
        <v>-11000</v>
      </c>
      <c r="I37" s="86"/>
      <c r="J37" s="86"/>
      <c r="K37" s="86"/>
      <c r="L37" s="86"/>
      <c r="M37" s="86"/>
      <c r="N37" s="86"/>
      <c r="O37" s="86"/>
      <c r="P37" s="86"/>
      <c r="Q37" s="86"/>
      <c r="R37" s="86"/>
      <c r="S37" s="86"/>
      <c r="T37" s="86"/>
      <c r="U37" s="86"/>
      <c r="V37" s="86"/>
      <c r="W37" s="86"/>
    </row>
    <row r="38" spans="1:23" x14ac:dyDescent="0.3">
      <c r="G38" s="9" t="s">
        <v>326</v>
      </c>
      <c r="H38" s="86">
        <f>SUM(H35:H37)</f>
        <v>-11000</v>
      </c>
      <c r="I38" s="86">
        <f>SUM(I35:I37)</f>
        <v>1541.7047133333331</v>
      </c>
      <c r="J38" s="86">
        <f t="shared" ref="J38" si="74">SUM(J35:J37)</f>
        <v>1541.7047133333331</v>
      </c>
      <c r="K38" s="86">
        <f t="shared" ref="K38" si="75">SUM(K35:K37)</f>
        <v>1541.7047133333331</v>
      </c>
      <c r="L38" s="86">
        <f t="shared" ref="L38" si="76">SUM(L35:L37)</f>
        <v>866.7047133333333</v>
      </c>
      <c r="M38" s="86">
        <f t="shared" ref="M38" si="77">SUM(M35:M37)</f>
        <v>1541.7047133333331</v>
      </c>
      <c r="N38" s="86">
        <f t="shared" ref="N38" si="78">SUM(N35:N37)</f>
        <v>1541.7047133333331</v>
      </c>
      <c r="O38" s="86">
        <f t="shared" ref="O38" si="79">SUM(O35:O37)</f>
        <v>1541.7047133333331</v>
      </c>
      <c r="P38" s="86">
        <f t="shared" ref="P38" si="80">SUM(P35:P37)</f>
        <v>866.7047133333333</v>
      </c>
      <c r="Q38" s="86">
        <f t="shared" ref="Q38" si="81">SUM(Q35:Q37)</f>
        <v>1541.7047133333331</v>
      </c>
      <c r="R38" s="86">
        <f t="shared" ref="R38" si="82">SUM(R35:R37)</f>
        <v>1541.7047133333331</v>
      </c>
      <c r="S38" s="86">
        <f t="shared" ref="S38" si="83">SUM(S35:S37)</f>
        <v>1541.7047133333331</v>
      </c>
      <c r="T38" s="86">
        <f t="shared" ref="T38" si="84">SUM(T35:T37)</f>
        <v>866.7047133333333</v>
      </c>
      <c r="U38" s="86">
        <f t="shared" ref="U38" si="85">SUM(U35:U37)</f>
        <v>1541.7047133333331</v>
      </c>
      <c r="V38" s="86">
        <f t="shared" ref="V38" si="86">SUM(V35:V37)</f>
        <v>1541.7047133333331</v>
      </c>
      <c r="W38" s="86">
        <f t="shared" ref="W38" si="87">SUM(W35:W37)</f>
        <v>1541.7047133333331</v>
      </c>
    </row>
    <row r="40" spans="1:23" x14ac:dyDescent="0.3">
      <c r="G40" s="9" t="s">
        <v>323</v>
      </c>
      <c r="H40" s="25">
        <f>(SUM(I33:W33)+H37)/-H37</f>
        <v>0.22431159999999992</v>
      </c>
      <c r="I40" s="85"/>
    </row>
    <row r="48" spans="1:23" x14ac:dyDescent="0.3">
      <c r="G48" t="s">
        <v>327</v>
      </c>
    </row>
    <row r="49" spans="7:9" x14ac:dyDescent="0.3">
      <c r="G49">
        <v>1</v>
      </c>
      <c r="H49" s="2">
        <f>($I$13*G49+$H$17)/-$H$17</f>
        <v>-0.74606300280672078</v>
      </c>
      <c r="I49" s="2">
        <f>($I$33*G49+$H$37)/-$H$37</f>
        <v>-0.90201559030303025</v>
      </c>
    </row>
    <row r="50" spans="7:9" x14ac:dyDescent="0.3">
      <c r="G50">
        <v>2</v>
      </c>
      <c r="H50" s="2">
        <f t="shared" ref="H50:H63" si="88">($I$13*G50+$H$17)/-$H$17</f>
        <v>-0.49212600561344155</v>
      </c>
      <c r="I50" s="2">
        <f t="shared" ref="I50:I63" si="89">($I$33*G50+$H$37)/-$H$37</f>
        <v>-0.8040311806060606</v>
      </c>
    </row>
    <row r="51" spans="7:9" x14ac:dyDescent="0.3">
      <c r="G51" s="84">
        <v>3</v>
      </c>
      <c r="H51" s="2">
        <f t="shared" si="88"/>
        <v>-0.23818900842016236</v>
      </c>
      <c r="I51" s="2">
        <f t="shared" si="89"/>
        <v>-0.70604677090909107</v>
      </c>
    </row>
    <row r="52" spans="7:9" x14ac:dyDescent="0.3">
      <c r="G52" s="84">
        <v>4</v>
      </c>
      <c r="H52" s="2">
        <f t="shared" si="88"/>
        <v>1.5747988773116849E-2</v>
      </c>
      <c r="I52" s="2">
        <f t="shared" si="89"/>
        <v>-0.60806236121212132</v>
      </c>
    </row>
    <row r="53" spans="7:9" x14ac:dyDescent="0.3">
      <c r="G53" s="84">
        <v>5</v>
      </c>
      <c r="H53" s="2">
        <f t="shared" si="88"/>
        <v>0.26968498596639617</v>
      </c>
      <c r="I53" s="2">
        <f t="shared" si="89"/>
        <v>-0.51007795151515167</v>
      </c>
    </row>
    <row r="54" spans="7:9" x14ac:dyDescent="0.3">
      <c r="G54" s="84">
        <v>6</v>
      </c>
      <c r="H54" s="2">
        <f t="shared" si="88"/>
        <v>0.52362198315967523</v>
      </c>
      <c r="I54" s="2">
        <f t="shared" si="89"/>
        <v>-0.41209354181818203</v>
      </c>
    </row>
    <row r="55" spans="7:9" x14ac:dyDescent="0.3">
      <c r="G55" s="84">
        <v>7</v>
      </c>
      <c r="H55" s="2">
        <f t="shared" si="88"/>
        <v>0.77755898035295434</v>
      </c>
      <c r="I55" s="2">
        <f t="shared" si="89"/>
        <v>-0.31410913212121239</v>
      </c>
    </row>
    <row r="56" spans="7:9" x14ac:dyDescent="0.3">
      <c r="G56" s="84">
        <v>8</v>
      </c>
      <c r="H56" s="2">
        <f t="shared" si="88"/>
        <v>1.0314959775462338</v>
      </c>
      <c r="I56" s="2">
        <f t="shared" si="89"/>
        <v>-0.21612472242424272</v>
      </c>
    </row>
    <row r="57" spans="7:9" x14ac:dyDescent="0.3">
      <c r="G57" s="84">
        <v>9</v>
      </c>
      <c r="H57" s="2">
        <f t="shared" si="88"/>
        <v>1.285432974739513</v>
      </c>
      <c r="I57" s="2">
        <f t="shared" si="89"/>
        <v>-0.118140312727273</v>
      </c>
    </row>
    <row r="58" spans="7:9" x14ac:dyDescent="0.3">
      <c r="G58" s="84">
        <v>10</v>
      </c>
      <c r="H58" s="2">
        <f t="shared" si="88"/>
        <v>1.5393699719327925</v>
      </c>
      <c r="I58" s="2">
        <f t="shared" si="89"/>
        <v>-2.0155903030303308E-2</v>
      </c>
    </row>
    <row r="59" spans="7:9" x14ac:dyDescent="0.3">
      <c r="G59" s="84">
        <v>11</v>
      </c>
      <c r="H59" s="2">
        <f t="shared" si="88"/>
        <v>1.7933069691260712</v>
      </c>
      <c r="I59" s="2">
        <f t="shared" si="89"/>
        <v>7.7828506666666228E-2</v>
      </c>
    </row>
    <row r="60" spans="7:9" x14ac:dyDescent="0.3">
      <c r="G60" s="84">
        <v>12</v>
      </c>
      <c r="H60" s="2">
        <f t="shared" si="88"/>
        <v>2.0472439663193507</v>
      </c>
      <c r="I60" s="2">
        <f t="shared" si="89"/>
        <v>0.17581291636363594</v>
      </c>
    </row>
    <row r="61" spans="7:9" x14ac:dyDescent="0.3">
      <c r="G61" s="84">
        <v>13</v>
      </c>
      <c r="H61" s="2">
        <f t="shared" si="88"/>
        <v>2.3011809635126297</v>
      </c>
      <c r="I61" s="2">
        <f t="shared" si="89"/>
        <v>0.27379732606060564</v>
      </c>
    </row>
    <row r="62" spans="7:9" x14ac:dyDescent="0.3">
      <c r="G62" s="84">
        <v>14</v>
      </c>
      <c r="H62" s="2">
        <f t="shared" si="88"/>
        <v>2.5551179607059087</v>
      </c>
      <c r="I62" s="2">
        <f t="shared" si="89"/>
        <v>0.37178173575757517</v>
      </c>
    </row>
    <row r="63" spans="7:9" x14ac:dyDescent="0.3">
      <c r="G63" s="84">
        <v>15</v>
      </c>
      <c r="H63" s="2">
        <f t="shared" si="88"/>
        <v>2.8090549578991881</v>
      </c>
      <c r="I63" s="2">
        <f t="shared" si="89"/>
        <v>0.46976614545454487</v>
      </c>
    </row>
  </sheetData>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A1C8-2881-43FA-B3AC-D1DCD269FE79}">
  <dimension ref="B4:F31"/>
  <sheetViews>
    <sheetView workbookViewId="0">
      <selection activeCell="Q7" sqref="Q7"/>
    </sheetView>
  </sheetViews>
  <sheetFormatPr baseColWidth="10" defaultRowHeight="14.4" x14ac:dyDescent="0.3"/>
  <cols>
    <col min="1" max="16384" width="11.5546875" style="75"/>
  </cols>
  <sheetData>
    <row r="4" spans="2:6" x14ac:dyDescent="0.3">
      <c r="B4" s="76"/>
      <c r="C4" s="77" t="s">
        <v>287</v>
      </c>
      <c r="D4" s="77" t="s">
        <v>288</v>
      </c>
      <c r="E4" s="77" t="s">
        <v>289</v>
      </c>
      <c r="F4" s="77" t="s">
        <v>290</v>
      </c>
    </row>
    <row r="5" spans="2:6" x14ac:dyDescent="0.3">
      <c r="B5" s="105"/>
      <c r="C5" s="77"/>
      <c r="D5" s="104">
        <v>2009</v>
      </c>
      <c r="E5" s="104">
        <v>54916</v>
      </c>
      <c r="F5" s="104">
        <v>17</v>
      </c>
    </row>
    <row r="6" spans="2:6" x14ac:dyDescent="0.3">
      <c r="B6" s="105"/>
      <c r="C6" s="77" t="s">
        <v>291</v>
      </c>
      <c r="D6" s="104"/>
      <c r="E6" s="104"/>
      <c r="F6" s="104"/>
    </row>
    <row r="7" spans="2:6" ht="28.8" x14ac:dyDescent="0.3">
      <c r="B7" s="78"/>
      <c r="C7" s="77" t="s">
        <v>292</v>
      </c>
      <c r="D7" s="77">
        <v>2005</v>
      </c>
      <c r="E7" s="77">
        <v>30971</v>
      </c>
      <c r="F7" s="77">
        <v>12.5</v>
      </c>
    </row>
    <row r="8" spans="2:6" x14ac:dyDescent="0.3">
      <c r="B8" s="103"/>
      <c r="C8" s="77"/>
      <c r="D8" s="104">
        <v>2002</v>
      </c>
      <c r="E8" s="104">
        <v>78845</v>
      </c>
      <c r="F8" s="104">
        <v>17.850000000000001</v>
      </c>
    </row>
    <row r="9" spans="2:6" ht="28.8" x14ac:dyDescent="0.3">
      <c r="B9" s="103"/>
      <c r="C9" s="77" t="s">
        <v>293</v>
      </c>
      <c r="D9" s="104"/>
      <c r="E9" s="104"/>
      <c r="F9" s="104"/>
    </row>
    <row r="10" spans="2:6" ht="28.8" x14ac:dyDescent="0.3">
      <c r="B10" s="78"/>
      <c r="C10" s="77" t="s">
        <v>294</v>
      </c>
      <c r="D10" s="77">
        <v>1996</v>
      </c>
      <c r="E10" s="77">
        <v>53639</v>
      </c>
      <c r="F10" s="77">
        <v>5.5</v>
      </c>
    </row>
    <row r="11" spans="2:6" x14ac:dyDescent="0.3">
      <c r="B11" s="78"/>
      <c r="C11" s="77" t="s">
        <v>295</v>
      </c>
      <c r="D11" s="77">
        <v>2005</v>
      </c>
      <c r="E11" s="77">
        <v>39307</v>
      </c>
      <c r="F11" s="77">
        <v>11</v>
      </c>
    </row>
    <row r="12" spans="2:6" x14ac:dyDescent="0.3">
      <c r="B12" s="78"/>
      <c r="C12" s="77" t="s">
        <v>296</v>
      </c>
      <c r="D12" s="77">
        <v>2001</v>
      </c>
      <c r="E12" s="79">
        <v>78845</v>
      </c>
      <c r="F12" s="77">
        <v>20</v>
      </c>
    </row>
    <row r="13" spans="2:6" ht="28.8" x14ac:dyDescent="0.3">
      <c r="B13" s="78"/>
      <c r="C13" s="77" t="s">
        <v>297</v>
      </c>
      <c r="D13" s="77">
        <v>1997</v>
      </c>
      <c r="E13" s="77">
        <v>57949</v>
      </c>
      <c r="F13" s="77">
        <v>10</v>
      </c>
    </row>
    <row r="14" spans="2:6" ht="28.8" x14ac:dyDescent="0.3">
      <c r="B14" s="78"/>
      <c r="C14" s="77" t="s">
        <v>298</v>
      </c>
      <c r="D14" s="77">
        <v>2005</v>
      </c>
      <c r="E14" s="77">
        <v>61764</v>
      </c>
      <c r="F14" s="77">
        <v>19</v>
      </c>
    </row>
    <row r="15" spans="2:6" x14ac:dyDescent="0.3">
      <c r="B15" s="78"/>
      <c r="C15" s="77" t="s">
        <v>299</v>
      </c>
      <c r="D15" s="77">
        <v>1999</v>
      </c>
      <c r="E15" s="77">
        <v>61764</v>
      </c>
      <c r="F15" s="77">
        <v>8.75</v>
      </c>
    </row>
    <row r="16" spans="2:6" ht="28.8" x14ac:dyDescent="0.3">
      <c r="B16" s="78"/>
      <c r="C16" s="77" t="s">
        <v>300</v>
      </c>
      <c r="D16" s="77">
        <v>1994</v>
      </c>
      <c r="E16" s="77">
        <v>80130</v>
      </c>
      <c r="F16" s="77">
        <v>9.5</v>
      </c>
    </row>
    <row r="17" spans="2:6" x14ac:dyDescent="0.3">
      <c r="B17" s="78"/>
      <c r="C17" s="77" t="s">
        <v>301</v>
      </c>
      <c r="D17" s="77">
        <v>2003</v>
      </c>
      <c r="E17" s="77">
        <v>85000</v>
      </c>
      <c r="F17" s="77">
        <v>18</v>
      </c>
    </row>
    <row r="18" spans="2:6" ht="28.8" x14ac:dyDescent="0.3">
      <c r="B18" s="78"/>
      <c r="C18" s="77" t="s">
        <v>302</v>
      </c>
      <c r="D18" s="77">
        <v>2000</v>
      </c>
      <c r="E18" s="77">
        <v>56291</v>
      </c>
      <c r="F18" s="77">
        <v>11</v>
      </c>
    </row>
    <row r="19" spans="2:6" x14ac:dyDescent="0.3">
      <c r="B19" s="78"/>
      <c r="C19" s="77" t="s">
        <v>303</v>
      </c>
      <c r="D19" s="77">
        <v>1999</v>
      </c>
      <c r="E19" s="77">
        <v>22181</v>
      </c>
      <c r="F19" s="77">
        <v>5.75</v>
      </c>
    </row>
    <row r="20" spans="2:6" x14ac:dyDescent="0.3">
      <c r="B20" s="78"/>
      <c r="C20" s="77" t="s">
        <v>304</v>
      </c>
      <c r="D20" s="77">
        <v>2004</v>
      </c>
      <c r="E20" s="77">
        <v>42011</v>
      </c>
      <c r="F20" s="77">
        <v>10.75</v>
      </c>
    </row>
    <row r="21" spans="2:6" x14ac:dyDescent="0.3">
      <c r="B21" s="78"/>
      <c r="C21" s="77" t="s">
        <v>305</v>
      </c>
      <c r="D21" s="77">
        <v>2004</v>
      </c>
      <c r="E21" s="77">
        <v>42011</v>
      </c>
      <c r="F21" s="77">
        <v>10.75</v>
      </c>
    </row>
    <row r="22" spans="2:6" x14ac:dyDescent="0.3">
      <c r="B22" s="103"/>
      <c r="C22" s="77"/>
      <c r="D22" s="104">
        <v>2004</v>
      </c>
      <c r="E22" s="104">
        <v>42172</v>
      </c>
      <c r="F22" s="104">
        <v>11</v>
      </c>
    </row>
    <row r="23" spans="2:6" ht="43.2" x14ac:dyDescent="0.3">
      <c r="B23" s="103"/>
      <c r="C23" s="77" t="s">
        <v>306</v>
      </c>
      <c r="D23" s="104"/>
      <c r="E23" s="104"/>
      <c r="F23" s="104"/>
    </row>
    <row r="24" spans="2:6" x14ac:dyDescent="0.3">
      <c r="B24" s="78"/>
      <c r="C24" s="77" t="s">
        <v>307</v>
      </c>
      <c r="D24" s="77">
        <v>2003</v>
      </c>
      <c r="E24" s="77">
        <v>57190</v>
      </c>
      <c r="F24" s="77">
        <v>13.5</v>
      </c>
    </row>
    <row r="25" spans="2:6" x14ac:dyDescent="0.3">
      <c r="B25" s="78"/>
      <c r="C25" s="77" t="s">
        <v>308</v>
      </c>
      <c r="D25" s="77">
        <v>2003</v>
      </c>
      <c r="E25" s="77">
        <v>63661</v>
      </c>
      <c r="F25" s="77">
        <v>15.5</v>
      </c>
    </row>
    <row r="26" spans="2:6" ht="28.8" x14ac:dyDescent="0.3">
      <c r="B26" s="78"/>
      <c r="C26" s="77" t="s">
        <v>309</v>
      </c>
      <c r="D26" s="77">
        <v>2005</v>
      </c>
      <c r="E26" s="77">
        <v>29214</v>
      </c>
      <c r="F26" s="77">
        <v>12</v>
      </c>
    </row>
    <row r="27" spans="2:6" ht="28.8" x14ac:dyDescent="0.3">
      <c r="B27" s="78"/>
      <c r="C27" s="77" t="s">
        <v>310</v>
      </c>
      <c r="D27" s="77">
        <v>1999</v>
      </c>
      <c r="E27" s="77">
        <v>56076</v>
      </c>
      <c r="F27" s="77">
        <v>9.5</v>
      </c>
    </row>
    <row r="28" spans="2:6" x14ac:dyDescent="0.3">
      <c r="B28" s="76"/>
      <c r="C28" s="76"/>
      <c r="D28" s="76"/>
      <c r="E28" s="76"/>
      <c r="F28" s="76"/>
    </row>
    <row r="29" spans="2:6" x14ac:dyDescent="0.3">
      <c r="B29" s="76"/>
      <c r="C29" s="76"/>
      <c r="D29" s="76"/>
      <c r="E29" s="76"/>
      <c r="F29" s="76"/>
    </row>
    <row r="30" spans="2:6" x14ac:dyDescent="0.3">
      <c r="B30" s="76"/>
      <c r="C30" s="76"/>
      <c r="D30" s="76"/>
      <c r="E30" s="76"/>
      <c r="F30" s="76"/>
    </row>
    <row r="31" spans="2:6" x14ac:dyDescent="0.3">
      <c r="B31" s="76"/>
      <c r="C31" s="76"/>
      <c r="D31" s="76"/>
      <c r="E31" s="76"/>
      <c r="F31" s="76"/>
    </row>
  </sheetData>
  <mergeCells count="12">
    <mergeCell ref="B22:B23"/>
    <mergeCell ref="D22:D23"/>
    <mergeCell ref="E22:E23"/>
    <mergeCell ref="F22:F23"/>
    <mergeCell ref="B5:B6"/>
    <mergeCell ref="D5:D6"/>
    <mergeCell ref="E5:E6"/>
    <mergeCell ref="F5:F6"/>
    <mergeCell ref="B8:B9"/>
    <mergeCell ref="D8:D9"/>
    <mergeCell ref="E8:E9"/>
    <mergeCell ref="F8:F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00FA2-11CA-4C59-84FE-CCFBC6346A4B}">
  <dimension ref="B3:O275"/>
  <sheetViews>
    <sheetView zoomScale="70" zoomScaleNormal="70" workbookViewId="0">
      <selection activeCell="E73" sqref="E72:E73"/>
    </sheetView>
  </sheetViews>
  <sheetFormatPr baseColWidth="10" defaultColWidth="9.109375" defaultRowHeight="14.4" x14ac:dyDescent="0.3"/>
  <cols>
    <col min="2" max="2" width="100.6640625" customWidth="1"/>
    <col min="3" max="3" width="6.88671875" style="2" customWidth="1"/>
  </cols>
  <sheetData>
    <row r="3" spans="2:3" x14ac:dyDescent="0.3">
      <c r="B3" s="65" t="s">
        <v>172</v>
      </c>
    </row>
    <row r="4" spans="2:3" x14ac:dyDescent="0.3">
      <c r="B4" s="66" t="s">
        <v>173</v>
      </c>
    </row>
    <row r="6" spans="2:3" x14ac:dyDescent="0.3">
      <c r="B6" s="67" t="s">
        <v>174</v>
      </c>
      <c r="C6" s="68" t="s">
        <v>175</v>
      </c>
    </row>
    <row r="7" spans="2:3" x14ac:dyDescent="0.3">
      <c r="B7" s="67" t="s">
        <v>176</v>
      </c>
      <c r="C7" s="68" t="s">
        <v>177</v>
      </c>
    </row>
    <row r="8" spans="2:3" x14ac:dyDescent="0.3">
      <c r="B8" s="67" t="s">
        <v>178</v>
      </c>
      <c r="C8" s="68" t="s">
        <v>179</v>
      </c>
    </row>
    <row r="9" spans="2:3" x14ac:dyDescent="0.3">
      <c r="B9" s="67" t="s">
        <v>180</v>
      </c>
      <c r="C9" s="68" t="s">
        <v>181</v>
      </c>
    </row>
    <row r="10" spans="2:3" x14ac:dyDescent="0.3">
      <c r="B10" s="67" t="s">
        <v>182</v>
      </c>
      <c r="C10" s="68" t="s">
        <v>183</v>
      </c>
    </row>
    <row r="11" spans="2:3" ht="14.4" customHeight="1" x14ac:dyDescent="0.3">
      <c r="B11" s="67" t="s">
        <v>184</v>
      </c>
      <c r="C11" s="69">
        <v>1.42</v>
      </c>
    </row>
    <row r="12" spans="2:3" x14ac:dyDescent="0.3">
      <c r="B12" s="67" t="s">
        <v>185</v>
      </c>
      <c r="C12" s="69">
        <v>1.36</v>
      </c>
    </row>
    <row r="13" spans="2:3" x14ac:dyDescent="0.3">
      <c r="B13" s="67" t="s">
        <v>186</v>
      </c>
      <c r="C13" s="69">
        <v>1.33</v>
      </c>
    </row>
    <row r="14" spans="2:3" x14ac:dyDescent="0.3">
      <c r="B14" s="67" t="s">
        <v>187</v>
      </c>
      <c r="C14" s="69">
        <v>1.32</v>
      </c>
    </row>
    <row r="15" spans="2:3" x14ac:dyDescent="0.3">
      <c r="B15" s="67" t="s">
        <v>188</v>
      </c>
      <c r="C15" s="69">
        <v>1.27</v>
      </c>
    </row>
    <row r="16" spans="2:3" x14ac:dyDescent="0.3">
      <c r="B16" s="67" t="s">
        <v>189</v>
      </c>
      <c r="C16" s="69">
        <v>1.21</v>
      </c>
    </row>
    <row r="17" spans="2:4" x14ac:dyDescent="0.3">
      <c r="B17" s="67" t="s">
        <v>190</v>
      </c>
      <c r="C17" s="69">
        <v>1.7</v>
      </c>
    </row>
    <row r="18" spans="2:4" x14ac:dyDescent="0.3">
      <c r="B18" s="67" t="s">
        <v>191</v>
      </c>
      <c r="C18" s="69">
        <v>1.82</v>
      </c>
    </row>
    <row r="19" spans="2:4" x14ac:dyDescent="0.3">
      <c r="B19" s="67" t="s">
        <v>192</v>
      </c>
      <c r="C19" s="69">
        <v>2.7</v>
      </c>
    </row>
    <row r="20" spans="2:4" x14ac:dyDescent="0.3">
      <c r="B20" s="67" t="s">
        <v>193</v>
      </c>
      <c r="C20" s="69">
        <v>11</v>
      </c>
    </row>
    <row r="21" spans="2:4" x14ac:dyDescent="0.3">
      <c r="B21" s="67" t="s">
        <v>194</v>
      </c>
      <c r="C21" s="69">
        <v>10.43</v>
      </c>
    </row>
    <row r="22" spans="2:4" x14ac:dyDescent="0.3">
      <c r="B22" s="67" t="s">
        <v>195</v>
      </c>
      <c r="C22" s="69">
        <v>11.6</v>
      </c>
    </row>
    <row r="23" spans="2:4" x14ac:dyDescent="0.3">
      <c r="B23" s="67" t="s">
        <v>196</v>
      </c>
      <c r="C23" s="69">
        <v>12.5</v>
      </c>
    </row>
    <row r="24" spans="2:4" x14ac:dyDescent="0.3">
      <c r="B24" s="67" t="s">
        <v>197</v>
      </c>
      <c r="C24" s="69">
        <v>12.79</v>
      </c>
    </row>
    <row r="25" spans="2:4" x14ac:dyDescent="0.3">
      <c r="B25" s="67" t="s">
        <v>198</v>
      </c>
      <c r="C25" s="69">
        <v>29.19</v>
      </c>
    </row>
    <row r="26" spans="2:4" x14ac:dyDescent="0.3">
      <c r="B26" s="67" t="s">
        <v>199</v>
      </c>
      <c r="C26" s="69">
        <v>35.520000000000003</v>
      </c>
      <c r="D26" s="70">
        <f>AVERAGE(C26:C35)</f>
        <v>24.895999999999997</v>
      </c>
    </row>
    <row r="27" spans="2:4" x14ac:dyDescent="0.3">
      <c r="B27" s="67" t="s">
        <v>200</v>
      </c>
      <c r="C27" s="69">
        <v>34</v>
      </c>
    </row>
    <row r="28" spans="2:4" x14ac:dyDescent="0.3">
      <c r="B28" s="67" t="s">
        <v>201</v>
      </c>
      <c r="C28" s="69">
        <v>32.380000000000003</v>
      </c>
    </row>
    <row r="29" spans="2:4" x14ac:dyDescent="0.3">
      <c r="B29" s="67" t="s">
        <v>202</v>
      </c>
      <c r="C29" s="69">
        <v>29.04</v>
      </c>
    </row>
    <row r="30" spans="2:4" x14ac:dyDescent="0.3">
      <c r="B30" s="67" t="s">
        <v>203</v>
      </c>
      <c r="C30" s="69">
        <v>28.2</v>
      </c>
    </row>
    <row r="31" spans="2:4" x14ac:dyDescent="0.3">
      <c r="B31" s="67" t="s">
        <v>204</v>
      </c>
      <c r="C31" s="69">
        <v>27.01</v>
      </c>
    </row>
    <row r="32" spans="2:4" x14ac:dyDescent="0.3">
      <c r="B32" s="67" t="s">
        <v>205</v>
      </c>
      <c r="C32" s="69">
        <v>13.53</v>
      </c>
    </row>
    <row r="33" spans="2:4" x14ac:dyDescent="0.3">
      <c r="B33" s="67" t="s">
        <v>206</v>
      </c>
      <c r="C33" s="69">
        <v>17.73</v>
      </c>
    </row>
    <row r="34" spans="2:4" x14ac:dyDescent="0.3">
      <c r="B34" s="67" t="s">
        <v>207</v>
      </c>
      <c r="C34" s="69">
        <v>14.24</v>
      </c>
    </row>
    <row r="35" spans="2:4" x14ac:dyDescent="0.3">
      <c r="B35" s="67" t="s">
        <v>208</v>
      </c>
      <c r="C35" s="69">
        <v>17.309999999999999</v>
      </c>
    </row>
    <row r="36" spans="2:4" x14ac:dyDescent="0.3">
      <c r="B36" s="67" t="s">
        <v>209</v>
      </c>
      <c r="C36" s="69">
        <v>22.26</v>
      </c>
      <c r="D36" s="70">
        <f>AVERAGE(C36:C45)</f>
        <v>17.690999999999999</v>
      </c>
    </row>
    <row r="37" spans="2:4" x14ac:dyDescent="0.3">
      <c r="B37" s="67" t="s">
        <v>210</v>
      </c>
      <c r="C37" s="69">
        <v>18.62</v>
      </c>
    </row>
    <row r="38" spans="2:4" x14ac:dyDescent="0.3">
      <c r="B38" s="67" t="s">
        <v>211</v>
      </c>
      <c r="C38" s="69">
        <v>18.440000000000001</v>
      </c>
    </row>
    <row r="39" spans="2:4" x14ac:dyDescent="0.3">
      <c r="B39" s="67" t="s">
        <v>212</v>
      </c>
      <c r="C39" s="69">
        <v>16.329999999999998</v>
      </c>
    </row>
    <row r="40" spans="2:4" x14ac:dyDescent="0.3">
      <c r="B40" s="67" t="s">
        <v>213</v>
      </c>
      <c r="C40" s="69">
        <v>15.53</v>
      </c>
    </row>
    <row r="41" spans="2:4" x14ac:dyDescent="0.3">
      <c r="B41" s="67" t="s">
        <v>214</v>
      </c>
      <c r="C41" s="69">
        <v>16.86</v>
      </c>
    </row>
    <row r="42" spans="2:4" x14ac:dyDescent="0.3">
      <c r="B42" s="67" t="s">
        <v>215</v>
      </c>
      <c r="C42" s="69">
        <v>20.29</v>
      </c>
    </row>
    <row r="43" spans="2:4" x14ac:dyDescent="0.3">
      <c r="B43" s="67" t="s">
        <v>216</v>
      </c>
      <c r="C43" s="69">
        <v>18.86</v>
      </c>
    </row>
    <row r="44" spans="2:4" x14ac:dyDescent="0.3">
      <c r="B44" s="67" t="s">
        <v>217</v>
      </c>
      <c r="C44" s="69">
        <v>12.28</v>
      </c>
    </row>
    <row r="45" spans="2:4" x14ac:dyDescent="0.3">
      <c r="B45" s="67" t="s">
        <v>218</v>
      </c>
      <c r="C45" s="69">
        <v>17.440000000000001</v>
      </c>
    </row>
    <row r="46" spans="2:4" x14ac:dyDescent="0.3">
      <c r="B46" s="67" t="s">
        <v>219</v>
      </c>
      <c r="C46" s="69">
        <v>27.6</v>
      </c>
    </row>
    <row r="47" spans="2:4" x14ac:dyDescent="0.3">
      <c r="B47" s="67" t="s">
        <v>220</v>
      </c>
      <c r="C47" s="69">
        <v>23.12</v>
      </c>
    </row>
    <row r="48" spans="2:4" x14ac:dyDescent="0.3">
      <c r="B48" s="67" t="s">
        <v>221</v>
      </c>
      <c r="C48" s="69">
        <v>24.36</v>
      </c>
    </row>
    <row r="49" spans="2:3" x14ac:dyDescent="0.3">
      <c r="B49" s="67" t="s">
        <v>222</v>
      </c>
      <c r="C49" s="69">
        <v>28.1</v>
      </c>
    </row>
    <row r="50" spans="2:3" x14ac:dyDescent="0.3">
      <c r="B50" s="67" t="s">
        <v>223</v>
      </c>
      <c r="C50" s="69">
        <v>36.049999999999997</v>
      </c>
    </row>
    <row r="51" spans="2:3" x14ac:dyDescent="0.3">
      <c r="B51" s="67" t="s">
        <v>224</v>
      </c>
      <c r="C51" s="69">
        <v>50.59</v>
      </c>
    </row>
    <row r="52" spans="2:3" x14ac:dyDescent="0.3">
      <c r="B52" s="67" t="s">
        <v>225</v>
      </c>
      <c r="C52" s="69">
        <v>61</v>
      </c>
    </row>
    <row r="53" spans="2:3" x14ac:dyDescent="0.3">
      <c r="B53" s="67" t="s">
        <v>226</v>
      </c>
      <c r="C53" s="69">
        <v>69.040000000000006</v>
      </c>
    </row>
    <row r="54" spans="2:3" x14ac:dyDescent="0.3">
      <c r="B54" s="67" t="s">
        <v>227</v>
      </c>
      <c r="C54" s="69">
        <v>94.1</v>
      </c>
    </row>
    <row r="55" spans="2:3" x14ac:dyDescent="0.3">
      <c r="B55" s="67" t="s">
        <v>228</v>
      </c>
      <c r="C55" s="69">
        <v>60.86</v>
      </c>
    </row>
    <row r="56" spans="2:3" x14ac:dyDescent="0.3">
      <c r="B56" s="67" t="s">
        <v>229</v>
      </c>
      <c r="C56" s="69">
        <v>77.38</v>
      </c>
    </row>
    <row r="57" spans="2:3" x14ac:dyDescent="0.3">
      <c r="B57" s="67" t="s">
        <v>230</v>
      </c>
      <c r="C57" s="69">
        <v>107.46</v>
      </c>
    </row>
    <row r="58" spans="2:3" ht="14.4" customHeight="1" x14ac:dyDescent="0.3">
      <c r="B58" s="67" t="s">
        <v>231</v>
      </c>
      <c r="C58" s="69">
        <v>109.45</v>
      </c>
    </row>
    <row r="59" spans="2:3" x14ac:dyDescent="0.3">
      <c r="B59" s="67" t="s">
        <v>232</v>
      </c>
      <c r="C59" s="69">
        <v>105.87</v>
      </c>
    </row>
    <row r="60" spans="2:3" x14ac:dyDescent="0.3">
      <c r="B60" s="67" t="s">
        <v>233</v>
      </c>
      <c r="C60" s="69">
        <v>96.29</v>
      </c>
    </row>
    <row r="61" spans="2:3" x14ac:dyDescent="0.3">
      <c r="B61" s="67" t="s">
        <v>234</v>
      </c>
      <c r="C61" s="69">
        <v>49.49</v>
      </c>
    </row>
    <row r="62" spans="2:3" x14ac:dyDescent="0.3">
      <c r="B62" s="67" t="s">
        <v>235</v>
      </c>
      <c r="C62" s="69">
        <v>40.76</v>
      </c>
    </row>
    <row r="63" spans="2:3" x14ac:dyDescent="0.3">
      <c r="B63" s="67" t="s">
        <v>236</v>
      </c>
      <c r="C63" s="69">
        <v>52.51</v>
      </c>
    </row>
    <row r="64" spans="2:3" x14ac:dyDescent="0.3">
      <c r="B64" s="67" t="s">
        <v>237</v>
      </c>
      <c r="C64" s="69">
        <v>69.78</v>
      </c>
    </row>
    <row r="65" spans="2:15" x14ac:dyDescent="0.3">
      <c r="B65" s="67" t="s">
        <v>238</v>
      </c>
      <c r="C65" s="69">
        <v>64.040000000000006</v>
      </c>
    </row>
    <row r="66" spans="2:15" x14ac:dyDescent="0.3">
      <c r="B66" s="67" t="s">
        <v>239</v>
      </c>
      <c r="C66" s="69">
        <v>41.47</v>
      </c>
    </row>
    <row r="67" spans="2:15" x14ac:dyDescent="0.3">
      <c r="B67" s="67" t="s">
        <v>240</v>
      </c>
      <c r="C67" s="69">
        <v>69.72</v>
      </c>
    </row>
    <row r="68" spans="2:15" x14ac:dyDescent="0.3">
      <c r="B68" s="67" t="s">
        <v>241</v>
      </c>
      <c r="C68" s="69">
        <v>85.41</v>
      </c>
    </row>
    <row r="70" spans="2:15" x14ac:dyDescent="0.3">
      <c r="G70" s="71" t="s">
        <v>242</v>
      </c>
    </row>
    <row r="71" spans="2:15" x14ac:dyDescent="0.3">
      <c r="G71" s="67" t="s">
        <v>173</v>
      </c>
    </row>
    <row r="72" spans="2:15" x14ac:dyDescent="0.3">
      <c r="G72" s="72" t="s">
        <v>243</v>
      </c>
    </row>
    <row r="75" spans="2:15" x14ac:dyDescent="0.3">
      <c r="G75" s="71" t="s">
        <v>244</v>
      </c>
      <c r="J75" s="71" t="s">
        <v>245</v>
      </c>
    </row>
    <row r="76" spans="2:15" x14ac:dyDescent="0.3">
      <c r="J76" s="88" t="s">
        <v>246</v>
      </c>
      <c r="K76" s="89"/>
      <c r="L76" s="89"/>
      <c r="M76" s="89"/>
      <c r="N76" s="89"/>
      <c r="O76" s="89"/>
    </row>
    <row r="77" spans="2:15" x14ac:dyDescent="0.3">
      <c r="G77" s="67" t="s">
        <v>244</v>
      </c>
      <c r="H77" s="67" t="s">
        <v>247</v>
      </c>
      <c r="J77" s="89"/>
      <c r="K77" s="89"/>
      <c r="L77" s="89"/>
      <c r="M77" s="89"/>
      <c r="N77" s="89"/>
      <c r="O77" s="89"/>
    </row>
    <row r="78" spans="2:15" x14ac:dyDescent="0.3">
      <c r="G78" s="67" t="s">
        <v>248</v>
      </c>
      <c r="H78" s="67" t="s">
        <v>249</v>
      </c>
      <c r="J78" s="89"/>
      <c r="K78" s="89"/>
      <c r="L78" s="89"/>
      <c r="M78" s="89"/>
      <c r="N78" s="89"/>
      <c r="O78" s="89"/>
    </row>
    <row r="79" spans="2:15" x14ac:dyDescent="0.3">
      <c r="G79" s="67" t="s">
        <v>250</v>
      </c>
      <c r="H79" s="67" t="s">
        <v>251</v>
      </c>
      <c r="J79" s="89"/>
      <c r="K79" s="89"/>
      <c r="L79" s="89"/>
      <c r="M79" s="89"/>
      <c r="N79" s="89"/>
      <c r="O79" s="89"/>
    </row>
    <row r="80" spans="2:15" x14ac:dyDescent="0.3">
      <c r="G80" s="67" t="s">
        <v>252</v>
      </c>
      <c r="H80" s="67" t="s">
        <v>253</v>
      </c>
      <c r="J80" s="89"/>
      <c r="K80" s="89"/>
      <c r="L80" s="89"/>
      <c r="M80" s="89"/>
      <c r="N80" s="89"/>
      <c r="O80" s="89"/>
    </row>
    <row r="81" spans="7:15" x14ac:dyDescent="0.3">
      <c r="G81" s="67" t="s">
        <v>254</v>
      </c>
      <c r="H81" s="74" t="s">
        <v>255</v>
      </c>
      <c r="J81" s="89"/>
      <c r="K81" s="89"/>
      <c r="L81" s="89"/>
      <c r="M81" s="89"/>
      <c r="N81" s="89"/>
      <c r="O81" s="89"/>
    </row>
    <row r="82" spans="7:15" x14ac:dyDescent="0.3">
      <c r="G82" s="67" t="s">
        <v>256</v>
      </c>
      <c r="H82" s="74" t="s">
        <v>255</v>
      </c>
      <c r="J82" s="89"/>
      <c r="K82" s="89"/>
      <c r="L82" s="89"/>
      <c r="M82" s="89"/>
      <c r="N82" s="89"/>
      <c r="O82" s="89"/>
    </row>
    <row r="83" spans="7:15" x14ac:dyDescent="0.3">
      <c r="G83" s="67" t="s">
        <v>257</v>
      </c>
      <c r="H83" s="74" t="s">
        <v>255</v>
      </c>
      <c r="J83" s="89"/>
      <c r="K83" s="89"/>
      <c r="L83" s="89"/>
      <c r="M83" s="89"/>
      <c r="N83" s="89"/>
      <c r="O83" s="89"/>
    </row>
    <row r="84" spans="7:15" x14ac:dyDescent="0.3">
      <c r="G84" s="67" t="s">
        <v>258</v>
      </c>
      <c r="H84" s="74" t="s">
        <v>255</v>
      </c>
      <c r="J84" s="89"/>
      <c r="K84" s="89"/>
      <c r="L84" s="89"/>
      <c r="M84" s="89"/>
      <c r="N84" s="89"/>
      <c r="O84" s="89"/>
    </row>
    <row r="85" spans="7:15" ht="187.2" x14ac:dyDescent="0.3">
      <c r="G85" s="66" t="s">
        <v>259</v>
      </c>
      <c r="H85" s="66" t="s">
        <v>260</v>
      </c>
      <c r="J85" s="89"/>
      <c r="K85" s="89"/>
      <c r="L85" s="89"/>
      <c r="M85" s="89"/>
      <c r="N85" s="89"/>
      <c r="O85" s="89"/>
    </row>
    <row r="86" spans="7:15" x14ac:dyDescent="0.3">
      <c r="J86" s="89"/>
      <c r="K86" s="89"/>
      <c r="L86" s="89"/>
      <c r="M86" s="89"/>
      <c r="N86" s="89"/>
      <c r="O86" s="89"/>
    </row>
    <row r="87" spans="7:15" x14ac:dyDescent="0.3">
      <c r="G87" s="71" t="s">
        <v>261</v>
      </c>
      <c r="J87" s="89"/>
      <c r="K87" s="89"/>
      <c r="L87" s="89"/>
      <c r="M87" s="89"/>
      <c r="N87" s="89"/>
      <c r="O87" s="89"/>
    </row>
    <row r="88" spans="7:15" x14ac:dyDescent="0.3">
      <c r="J88" s="89"/>
      <c r="K88" s="89"/>
      <c r="L88" s="89"/>
      <c r="M88" s="89"/>
      <c r="N88" s="89"/>
      <c r="O88" s="89"/>
    </row>
    <row r="89" spans="7:15" x14ac:dyDescent="0.3">
      <c r="G89" s="67" t="s">
        <v>262</v>
      </c>
      <c r="H89" s="67" t="s">
        <v>263</v>
      </c>
      <c r="J89" s="89"/>
      <c r="K89" s="89"/>
      <c r="L89" s="89"/>
      <c r="M89" s="89"/>
      <c r="N89" s="89"/>
      <c r="O89" s="89"/>
    </row>
    <row r="90" spans="7:15" x14ac:dyDescent="0.3">
      <c r="G90" s="67" t="s">
        <v>264</v>
      </c>
      <c r="H90" s="67" t="s">
        <v>265</v>
      </c>
      <c r="J90" s="89"/>
      <c r="K90" s="89"/>
      <c r="L90" s="89"/>
      <c r="M90" s="89"/>
      <c r="N90" s="89"/>
      <c r="O90" s="89"/>
    </row>
    <row r="91" spans="7:15" x14ac:dyDescent="0.3">
      <c r="G91" s="67" t="s">
        <v>266</v>
      </c>
      <c r="H91" s="67" t="s">
        <v>267</v>
      </c>
      <c r="J91" s="89"/>
      <c r="K91" s="89"/>
      <c r="L91" s="89"/>
      <c r="M91" s="89"/>
      <c r="N91" s="89"/>
      <c r="O91" s="89"/>
    </row>
    <row r="92" spans="7:15" x14ac:dyDescent="0.3">
      <c r="G92" s="67" t="s">
        <v>268</v>
      </c>
      <c r="H92" s="72" t="s">
        <v>269</v>
      </c>
      <c r="J92" s="89"/>
      <c r="K92" s="89"/>
      <c r="L92" s="89"/>
      <c r="M92" s="89"/>
      <c r="N92" s="89"/>
      <c r="O92" s="89"/>
    </row>
    <row r="93" spans="7:15" x14ac:dyDescent="0.3">
      <c r="J93" s="89"/>
      <c r="K93" s="89"/>
      <c r="L93" s="89"/>
      <c r="M93" s="89"/>
      <c r="N93" s="89"/>
      <c r="O93" s="89"/>
    </row>
    <row r="94" spans="7:15" x14ac:dyDescent="0.3">
      <c r="J94" s="89"/>
      <c r="K94" s="89"/>
      <c r="L94" s="89"/>
      <c r="M94" s="89"/>
      <c r="N94" s="89"/>
      <c r="O94" s="89"/>
    </row>
    <row r="95" spans="7:15" x14ac:dyDescent="0.3">
      <c r="J95" s="89"/>
      <c r="K95" s="89"/>
      <c r="L95" s="89"/>
      <c r="M95" s="89"/>
      <c r="N95" s="89"/>
      <c r="O95" s="89"/>
    </row>
    <row r="96" spans="7:15" x14ac:dyDescent="0.3">
      <c r="J96" s="89"/>
      <c r="K96" s="89"/>
      <c r="L96" s="89"/>
      <c r="M96" s="89"/>
      <c r="N96" s="89"/>
      <c r="O96" s="89"/>
    </row>
    <row r="97" spans="10:15" x14ac:dyDescent="0.3">
      <c r="J97" s="89"/>
      <c r="K97" s="89"/>
      <c r="L97" s="89"/>
      <c r="M97" s="89"/>
      <c r="N97" s="89"/>
      <c r="O97" s="89"/>
    </row>
    <row r="98" spans="10:15" x14ac:dyDescent="0.3">
      <c r="J98" s="89"/>
      <c r="K98" s="89"/>
      <c r="L98" s="89"/>
      <c r="M98" s="89"/>
      <c r="N98" s="89"/>
      <c r="O98" s="89"/>
    </row>
    <row r="99" spans="10:15" x14ac:dyDescent="0.3">
      <c r="J99" s="89"/>
      <c r="K99" s="89"/>
      <c r="L99" s="89"/>
      <c r="M99" s="89"/>
      <c r="N99" s="89"/>
      <c r="O99" s="89"/>
    </row>
    <row r="100" spans="10:15" x14ac:dyDescent="0.3">
      <c r="J100" s="89"/>
      <c r="K100" s="89"/>
      <c r="L100" s="89"/>
      <c r="M100" s="89"/>
      <c r="N100" s="89"/>
      <c r="O100" s="89"/>
    </row>
    <row r="101" spans="10:15" x14ac:dyDescent="0.3">
      <c r="J101" s="89"/>
      <c r="K101" s="89"/>
      <c r="L101" s="89"/>
      <c r="M101" s="89"/>
      <c r="N101" s="89"/>
      <c r="O101" s="89"/>
    </row>
    <row r="102" spans="10:15" x14ac:dyDescent="0.3">
      <c r="J102" s="89"/>
      <c r="K102" s="89"/>
      <c r="L102" s="89"/>
      <c r="M102" s="89"/>
      <c r="N102" s="89"/>
      <c r="O102" s="89"/>
    </row>
    <row r="103" spans="10:15" x14ac:dyDescent="0.3">
      <c r="J103" s="89"/>
      <c r="K103" s="89"/>
      <c r="L103" s="89"/>
      <c r="M103" s="89"/>
      <c r="N103" s="89"/>
      <c r="O103" s="89"/>
    </row>
    <row r="104" spans="10:15" x14ac:dyDescent="0.3">
      <c r="J104" s="89"/>
      <c r="K104" s="89"/>
      <c r="L104" s="89"/>
      <c r="M104" s="89"/>
      <c r="N104" s="89"/>
      <c r="O104" s="89"/>
    </row>
    <row r="105" spans="10:15" x14ac:dyDescent="0.3">
      <c r="J105" s="89"/>
      <c r="K105" s="89"/>
      <c r="L105" s="89"/>
      <c r="M105" s="89"/>
      <c r="N105" s="89"/>
      <c r="O105" s="89"/>
    </row>
    <row r="106" spans="10:15" x14ac:dyDescent="0.3">
      <c r="J106" s="89"/>
      <c r="K106" s="89"/>
      <c r="L106" s="89"/>
      <c r="M106" s="89"/>
      <c r="N106" s="89"/>
      <c r="O106" s="89"/>
    </row>
    <row r="107" spans="10:15" x14ac:dyDescent="0.3">
      <c r="J107" s="89"/>
      <c r="K107" s="89"/>
      <c r="L107" s="89"/>
      <c r="M107" s="89"/>
      <c r="N107" s="89"/>
      <c r="O107" s="89"/>
    </row>
    <row r="108" spans="10:15" x14ac:dyDescent="0.3">
      <c r="J108" s="89"/>
      <c r="K108" s="89"/>
      <c r="L108" s="89"/>
      <c r="M108" s="89"/>
      <c r="N108" s="89"/>
      <c r="O108" s="89"/>
    </row>
    <row r="109" spans="10:15" x14ac:dyDescent="0.3">
      <c r="J109" s="89"/>
      <c r="K109" s="89"/>
      <c r="L109" s="89"/>
      <c r="M109" s="89"/>
      <c r="N109" s="89"/>
      <c r="O109" s="89"/>
    </row>
    <row r="110" spans="10:15" x14ac:dyDescent="0.3">
      <c r="J110" s="89"/>
      <c r="K110" s="89"/>
      <c r="L110" s="89"/>
      <c r="M110" s="89"/>
      <c r="N110" s="89"/>
      <c r="O110" s="89"/>
    </row>
    <row r="111" spans="10:15" x14ac:dyDescent="0.3">
      <c r="J111" s="89"/>
      <c r="K111" s="89"/>
      <c r="L111" s="89"/>
      <c r="M111" s="89"/>
      <c r="N111" s="89"/>
      <c r="O111" s="89"/>
    </row>
    <row r="112" spans="10:15" x14ac:dyDescent="0.3">
      <c r="J112" s="89"/>
      <c r="K112" s="89"/>
      <c r="L112" s="89"/>
      <c r="M112" s="89"/>
      <c r="N112" s="89"/>
      <c r="O112" s="89"/>
    </row>
    <row r="113" spans="10:15" x14ac:dyDescent="0.3">
      <c r="J113" s="89"/>
      <c r="K113" s="89"/>
      <c r="L113" s="89"/>
      <c r="M113" s="89"/>
      <c r="N113" s="89"/>
      <c r="O113" s="89"/>
    </row>
    <row r="114" spans="10:15" x14ac:dyDescent="0.3">
      <c r="J114" s="89"/>
      <c r="K114" s="89"/>
      <c r="L114" s="89"/>
      <c r="M114" s="89"/>
      <c r="N114" s="89"/>
      <c r="O114" s="89"/>
    </row>
    <row r="115" spans="10:15" x14ac:dyDescent="0.3">
      <c r="J115" s="89"/>
      <c r="K115" s="89"/>
      <c r="L115" s="89"/>
      <c r="M115" s="89"/>
      <c r="N115" s="89"/>
      <c r="O115" s="89"/>
    </row>
    <row r="116" spans="10:15" x14ac:dyDescent="0.3">
      <c r="J116" s="89"/>
      <c r="K116" s="89"/>
      <c r="L116" s="89"/>
      <c r="M116" s="89"/>
      <c r="N116" s="89"/>
      <c r="O116" s="89"/>
    </row>
    <row r="117" spans="10:15" x14ac:dyDescent="0.3">
      <c r="J117" s="89"/>
      <c r="K117" s="89"/>
      <c r="L117" s="89"/>
      <c r="M117" s="89"/>
      <c r="N117" s="89"/>
      <c r="O117" s="89"/>
    </row>
    <row r="118" spans="10:15" x14ac:dyDescent="0.3">
      <c r="J118" s="89"/>
      <c r="K118" s="89"/>
      <c r="L118" s="89"/>
      <c r="M118" s="89"/>
      <c r="N118" s="89"/>
      <c r="O118" s="89"/>
    </row>
    <row r="119" spans="10:15" x14ac:dyDescent="0.3">
      <c r="J119" s="89"/>
      <c r="K119" s="89"/>
      <c r="L119" s="89"/>
      <c r="M119" s="89"/>
      <c r="N119" s="89"/>
      <c r="O119" s="89"/>
    </row>
    <row r="120" spans="10:15" x14ac:dyDescent="0.3">
      <c r="J120" s="89"/>
      <c r="K120" s="89"/>
      <c r="L120" s="89"/>
      <c r="M120" s="89"/>
      <c r="N120" s="89"/>
      <c r="O120" s="89"/>
    </row>
    <row r="121" spans="10:15" x14ac:dyDescent="0.3">
      <c r="J121" s="89"/>
      <c r="K121" s="89"/>
      <c r="L121" s="89"/>
      <c r="M121" s="89"/>
      <c r="N121" s="89"/>
      <c r="O121" s="89"/>
    </row>
    <row r="122" spans="10:15" x14ac:dyDescent="0.3">
      <c r="J122" s="89"/>
      <c r="K122" s="89"/>
      <c r="L122" s="89"/>
      <c r="M122" s="89"/>
      <c r="N122" s="89"/>
      <c r="O122" s="89"/>
    </row>
    <row r="123" spans="10:15" x14ac:dyDescent="0.3">
      <c r="J123" s="89"/>
      <c r="K123" s="89"/>
      <c r="L123" s="89"/>
      <c r="M123" s="89"/>
      <c r="N123" s="89"/>
      <c r="O123" s="89"/>
    </row>
    <row r="124" spans="10:15" x14ac:dyDescent="0.3">
      <c r="J124" s="89"/>
      <c r="K124" s="89"/>
      <c r="L124" s="89"/>
      <c r="M124" s="89"/>
      <c r="N124" s="89"/>
      <c r="O124" s="89"/>
    </row>
    <row r="125" spans="10:15" x14ac:dyDescent="0.3">
      <c r="J125" s="89"/>
      <c r="K125" s="89"/>
      <c r="L125" s="89"/>
      <c r="M125" s="89"/>
      <c r="N125" s="89"/>
      <c r="O125" s="89"/>
    </row>
    <row r="126" spans="10:15" x14ac:dyDescent="0.3">
      <c r="J126" s="89"/>
      <c r="K126" s="89"/>
      <c r="L126" s="89"/>
      <c r="M126" s="89"/>
      <c r="N126" s="89"/>
      <c r="O126" s="89"/>
    </row>
    <row r="127" spans="10:15" x14ac:dyDescent="0.3">
      <c r="J127" s="89"/>
      <c r="K127" s="89"/>
      <c r="L127" s="89"/>
      <c r="M127" s="89"/>
      <c r="N127" s="89"/>
      <c r="O127" s="89"/>
    </row>
    <row r="128" spans="10:15" x14ac:dyDescent="0.3">
      <c r="J128" s="89"/>
      <c r="K128" s="89"/>
      <c r="L128" s="89"/>
      <c r="M128" s="89"/>
      <c r="N128" s="89"/>
      <c r="O128" s="89"/>
    </row>
    <row r="129" spans="10:15" x14ac:dyDescent="0.3">
      <c r="J129" s="89"/>
      <c r="K129" s="89"/>
      <c r="L129" s="89"/>
      <c r="M129" s="89"/>
      <c r="N129" s="89"/>
      <c r="O129" s="89"/>
    </row>
    <row r="130" spans="10:15" x14ac:dyDescent="0.3">
      <c r="J130" s="89"/>
      <c r="K130" s="89"/>
      <c r="L130" s="89"/>
      <c r="M130" s="89"/>
      <c r="N130" s="89"/>
      <c r="O130" s="89"/>
    </row>
    <row r="131" spans="10:15" x14ac:dyDescent="0.3">
      <c r="J131" s="89"/>
      <c r="K131" s="89"/>
      <c r="L131" s="89"/>
      <c r="M131" s="89"/>
      <c r="N131" s="89"/>
      <c r="O131" s="89"/>
    </row>
    <row r="132" spans="10:15" x14ac:dyDescent="0.3">
      <c r="J132" s="89"/>
      <c r="K132" s="89"/>
      <c r="L132" s="89"/>
      <c r="M132" s="89"/>
      <c r="N132" s="89"/>
      <c r="O132" s="89"/>
    </row>
    <row r="133" spans="10:15" x14ac:dyDescent="0.3">
      <c r="J133" s="89"/>
      <c r="K133" s="89"/>
      <c r="L133" s="89"/>
      <c r="M133" s="89"/>
      <c r="N133" s="89"/>
      <c r="O133" s="89"/>
    </row>
    <row r="134" spans="10:15" x14ac:dyDescent="0.3">
      <c r="J134" s="89"/>
      <c r="K134" s="89"/>
      <c r="L134" s="89"/>
      <c r="M134" s="89"/>
      <c r="N134" s="89"/>
      <c r="O134" s="89"/>
    </row>
    <row r="135" spans="10:15" x14ac:dyDescent="0.3">
      <c r="J135" s="89"/>
      <c r="K135" s="89"/>
      <c r="L135" s="89"/>
      <c r="M135" s="89"/>
      <c r="N135" s="89"/>
      <c r="O135" s="89"/>
    </row>
    <row r="136" spans="10:15" x14ac:dyDescent="0.3">
      <c r="J136" s="89"/>
      <c r="K136" s="89"/>
      <c r="L136" s="89"/>
      <c r="M136" s="89"/>
      <c r="N136" s="89"/>
      <c r="O136" s="89"/>
    </row>
    <row r="137" spans="10:15" x14ac:dyDescent="0.3">
      <c r="J137" s="89"/>
      <c r="K137" s="89"/>
      <c r="L137" s="89"/>
      <c r="M137" s="89"/>
      <c r="N137" s="89"/>
      <c r="O137" s="89"/>
    </row>
    <row r="138" spans="10:15" x14ac:dyDescent="0.3">
      <c r="J138" s="89"/>
      <c r="K138" s="89"/>
      <c r="L138" s="89"/>
      <c r="M138" s="89"/>
      <c r="N138" s="89"/>
      <c r="O138" s="89"/>
    </row>
    <row r="139" spans="10:15" x14ac:dyDescent="0.3">
      <c r="J139" s="89"/>
      <c r="K139" s="89"/>
      <c r="L139" s="89"/>
      <c r="M139" s="89"/>
      <c r="N139" s="89"/>
      <c r="O139" s="89"/>
    </row>
    <row r="140" spans="10:15" x14ac:dyDescent="0.3">
      <c r="J140" s="89"/>
      <c r="K140" s="89"/>
      <c r="L140" s="89"/>
      <c r="M140" s="89"/>
      <c r="N140" s="89"/>
      <c r="O140" s="89"/>
    </row>
    <row r="141" spans="10:15" x14ac:dyDescent="0.3">
      <c r="J141" s="89"/>
      <c r="K141" s="89"/>
      <c r="L141" s="89"/>
      <c r="M141" s="89"/>
      <c r="N141" s="89"/>
      <c r="O141" s="89"/>
    </row>
    <row r="142" spans="10:15" x14ac:dyDescent="0.3">
      <c r="J142" s="89"/>
      <c r="K142" s="89"/>
      <c r="L142" s="89"/>
      <c r="M142" s="89"/>
      <c r="N142" s="89"/>
      <c r="O142" s="89"/>
    </row>
    <row r="143" spans="10:15" x14ac:dyDescent="0.3">
      <c r="J143" s="89"/>
      <c r="K143" s="89"/>
      <c r="L143" s="89"/>
      <c r="M143" s="89"/>
      <c r="N143" s="89"/>
      <c r="O143" s="89"/>
    </row>
    <row r="144" spans="10:15" x14ac:dyDescent="0.3">
      <c r="J144" s="89"/>
      <c r="K144" s="89"/>
      <c r="L144" s="89"/>
      <c r="M144" s="89"/>
      <c r="N144" s="89"/>
      <c r="O144" s="89"/>
    </row>
    <row r="145" spans="10:15" x14ac:dyDescent="0.3">
      <c r="J145" s="89"/>
      <c r="K145" s="89"/>
      <c r="L145" s="89"/>
      <c r="M145" s="89"/>
      <c r="N145" s="89"/>
      <c r="O145" s="89"/>
    </row>
    <row r="146" spans="10:15" x14ac:dyDescent="0.3">
      <c r="J146" s="89"/>
      <c r="K146" s="89"/>
      <c r="L146" s="89"/>
      <c r="M146" s="89"/>
      <c r="N146" s="89"/>
      <c r="O146" s="89"/>
    </row>
    <row r="147" spans="10:15" x14ac:dyDescent="0.3">
      <c r="J147" s="89"/>
      <c r="K147" s="89"/>
      <c r="L147" s="89"/>
      <c r="M147" s="89"/>
      <c r="N147" s="89"/>
      <c r="O147" s="89"/>
    </row>
    <row r="148" spans="10:15" x14ac:dyDescent="0.3">
      <c r="J148" s="89"/>
      <c r="K148" s="89"/>
      <c r="L148" s="89"/>
      <c r="M148" s="89"/>
      <c r="N148" s="89"/>
      <c r="O148" s="89"/>
    </row>
    <row r="149" spans="10:15" x14ac:dyDescent="0.3">
      <c r="J149" s="89"/>
      <c r="K149" s="89"/>
      <c r="L149" s="89"/>
      <c r="M149" s="89"/>
      <c r="N149" s="89"/>
      <c r="O149" s="89"/>
    </row>
    <row r="150" spans="10:15" x14ac:dyDescent="0.3">
      <c r="J150" s="89"/>
      <c r="K150" s="89"/>
      <c r="L150" s="89"/>
      <c r="M150" s="89"/>
      <c r="N150" s="89"/>
      <c r="O150" s="89"/>
    </row>
    <row r="151" spans="10:15" x14ac:dyDescent="0.3">
      <c r="J151" s="89"/>
      <c r="K151" s="89"/>
      <c r="L151" s="89"/>
      <c r="M151" s="89"/>
      <c r="N151" s="89"/>
      <c r="O151" s="89"/>
    </row>
    <row r="152" spans="10:15" x14ac:dyDescent="0.3">
      <c r="J152" s="89"/>
      <c r="K152" s="89"/>
      <c r="L152" s="89"/>
      <c r="M152" s="89"/>
      <c r="N152" s="89"/>
      <c r="O152" s="89"/>
    </row>
    <row r="153" spans="10:15" x14ac:dyDescent="0.3">
      <c r="J153" s="89"/>
      <c r="K153" s="89"/>
      <c r="L153" s="89"/>
      <c r="M153" s="89"/>
      <c r="N153" s="89"/>
      <c r="O153" s="89"/>
    </row>
    <row r="154" spans="10:15" x14ac:dyDescent="0.3">
      <c r="J154" s="89"/>
      <c r="K154" s="89"/>
      <c r="L154" s="89"/>
      <c r="M154" s="89"/>
      <c r="N154" s="89"/>
      <c r="O154" s="89"/>
    </row>
    <row r="155" spans="10:15" x14ac:dyDescent="0.3">
      <c r="J155" s="89"/>
      <c r="K155" s="89"/>
      <c r="L155" s="89"/>
      <c r="M155" s="89"/>
      <c r="N155" s="89"/>
      <c r="O155" s="89"/>
    </row>
    <row r="156" spans="10:15" x14ac:dyDescent="0.3">
      <c r="J156" s="89"/>
      <c r="K156" s="89"/>
      <c r="L156" s="89"/>
      <c r="M156" s="89"/>
      <c r="N156" s="89"/>
      <c r="O156" s="89"/>
    </row>
    <row r="157" spans="10:15" x14ac:dyDescent="0.3">
      <c r="J157" s="89"/>
      <c r="K157" s="89"/>
      <c r="L157" s="89"/>
      <c r="M157" s="89"/>
      <c r="N157" s="89"/>
      <c r="O157" s="89"/>
    </row>
    <row r="158" spans="10:15" x14ac:dyDescent="0.3">
      <c r="J158" s="89"/>
      <c r="K158" s="89"/>
      <c r="L158" s="89"/>
      <c r="M158" s="89"/>
      <c r="N158" s="89"/>
      <c r="O158" s="89"/>
    </row>
    <row r="159" spans="10:15" x14ac:dyDescent="0.3">
      <c r="J159" s="89"/>
      <c r="K159" s="89"/>
      <c r="L159" s="89"/>
      <c r="M159" s="89"/>
      <c r="N159" s="89"/>
      <c r="O159" s="89"/>
    </row>
    <row r="160" spans="10:15" x14ac:dyDescent="0.3">
      <c r="J160" s="89"/>
      <c r="K160" s="89"/>
      <c r="L160" s="89"/>
      <c r="M160" s="89"/>
      <c r="N160" s="89"/>
      <c r="O160" s="89"/>
    </row>
    <row r="161" spans="10:15" x14ac:dyDescent="0.3">
      <c r="J161" s="89"/>
      <c r="K161" s="89"/>
      <c r="L161" s="89"/>
      <c r="M161" s="89"/>
      <c r="N161" s="89"/>
      <c r="O161" s="89"/>
    </row>
    <row r="162" spans="10:15" x14ac:dyDescent="0.3">
      <c r="J162" s="89"/>
      <c r="K162" s="89"/>
      <c r="L162" s="89"/>
      <c r="M162" s="89"/>
      <c r="N162" s="89"/>
      <c r="O162" s="89"/>
    </row>
    <row r="163" spans="10:15" x14ac:dyDescent="0.3">
      <c r="J163" s="89"/>
      <c r="K163" s="89"/>
      <c r="L163" s="89"/>
      <c r="M163" s="89"/>
      <c r="N163" s="89"/>
      <c r="O163" s="89"/>
    </row>
    <row r="164" spans="10:15" x14ac:dyDescent="0.3">
      <c r="J164" s="89"/>
      <c r="K164" s="89"/>
      <c r="L164" s="89"/>
      <c r="M164" s="89"/>
      <c r="N164" s="89"/>
      <c r="O164" s="89"/>
    </row>
    <row r="165" spans="10:15" x14ac:dyDescent="0.3">
      <c r="J165" s="89"/>
      <c r="K165" s="89"/>
      <c r="L165" s="89"/>
      <c r="M165" s="89"/>
      <c r="N165" s="89"/>
      <c r="O165" s="89"/>
    </row>
    <row r="166" spans="10:15" x14ac:dyDescent="0.3">
      <c r="J166" s="89"/>
      <c r="K166" s="89"/>
      <c r="L166" s="89"/>
      <c r="M166" s="89"/>
      <c r="N166" s="89"/>
      <c r="O166" s="89"/>
    </row>
    <row r="167" spans="10:15" x14ac:dyDescent="0.3">
      <c r="J167" s="89"/>
      <c r="K167" s="89"/>
      <c r="L167" s="89"/>
      <c r="M167" s="89"/>
      <c r="N167" s="89"/>
      <c r="O167" s="89"/>
    </row>
    <row r="168" spans="10:15" x14ac:dyDescent="0.3">
      <c r="J168" s="89"/>
      <c r="K168" s="89"/>
      <c r="L168" s="89"/>
      <c r="M168" s="89"/>
      <c r="N168" s="89"/>
      <c r="O168" s="89"/>
    </row>
    <row r="169" spans="10:15" x14ac:dyDescent="0.3">
      <c r="J169" s="89"/>
      <c r="K169" s="89"/>
      <c r="L169" s="89"/>
      <c r="M169" s="89"/>
      <c r="N169" s="89"/>
      <c r="O169" s="89"/>
    </row>
    <row r="170" spans="10:15" x14ac:dyDescent="0.3">
      <c r="J170" s="89"/>
      <c r="K170" s="89"/>
      <c r="L170" s="89"/>
      <c r="M170" s="89"/>
      <c r="N170" s="89"/>
      <c r="O170" s="89"/>
    </row>
    <row r="171" spans="10:15" x14ac:dyDescent="0.3">
      <c r="J171" s="89"/>
      <c r="K171" s="89"/>
      <c r="L171" s="89"/>
      <c r="M171" s="89"/>
      <c r="N171" s="89"/>
      <c r="O171" s="89"/>
    </row>
    <row r="172" spans="10:15" x14ac:dyDescent="0.3">
      <c r="J172" s="89"/>
      <c r="K172" s="89"/>
      <c r="L172" s="89"/>
      <c r="M172" s="89"/>
      <c r="N172" s="89"/>
      <c r="O172" s="89"/>
    </row>
    <row r="173" spans="10:15" x14ac:dyDescent="0.3">
      <c r="J173" s="89"/>
      <c r="K173" s="89"/>
      <c r="L173" s="89"/>
      <c r="M173" s="89"/>
      <c r="N173" s="89"/>
      <c r="O173" s="89"/>
    </row>
    <row r="174" spans="10:15" x14ac:dyDescent="0.3">
      <c r="J174" s="89"/>
      <c r="K174" s="89"/>
      <c r="L174" s="89"/>
      <c r="M174" s="89"/>
      <c r="N174" s="89"/>
      <c r="O174" s="89"/>
    </row>
    <row r="175" spans="10:15" x14ac:dyDescent="0.3">
      <c r="J175" s="89"/>
      <c r="K175" s="89"/>
      <c r="L175" s="89"/>
      <c r="M175" s="89"/>
      <c r="N175" s="89"/>
      <c r="O175" s="89"/>
    </row>
    <row r="176" spans="10:15" x14ac:dyDescent="0.3">
      <c r="J176" s="89"/>
      <c r="K176" s="89"/>
      <c r="L176" s="89"/>
      <c r="M176" s="89"/>
      <c r="N176" s="89"/>
      <c r="O176" s="89"/>
    </row>
    <row r="177" spans="10:15" x14ac:dyDescent="0.3">
      <c r="J177" s="89"/>
      <c r="K177" s="89"/>
      <c r="L177" s="89"/>
      <c r="M177" s="89"/>
      <c r="N177" s="89"/>
      <c r="O177" s="89"/>
    </row>
    <row r="178" spans="10:15" x14ac:dyDescent="0.3">
      <c r="J178" s="89"/>
      <c r="K178" s="89"/>
      <c r="L178" s="89"/>
      <c r="M178" s="89"/>
      <c r="N178" s="89"/>
      <c r="O178" s="89"/>
    </row>
    <row r="179" spans="10:15" x14ac:dyDescent="0.3">
      <c r="J179" s="89"/>
      <c r="K179" s="89"/>
      <c r="L179" s="89"/>
      <c r="M179" s="89"/>
      <c r="N179" s="89"/>
      <c r="O179" s="89"/>
    </row>
    <row r="180" spans="10:15" x14ac:dyDescent="0.3">
      <c r="J180" s="89"/>
      <c r="K180" s="89"/>
      <c r="L180" s="89"/>
      <c r="M180" s="89"/>
      <c r="N180" s="89"/>
      <c r="O180" s="89"/>
    </row>
    <row r="181" spans="10:15" x14ac:dyDescent="0.3">
      <c r="J181" s="89"/>
      <c r="K181" s="89"/>
      <c r="L181" s="89"/>
      <c r="M181" s="89"/>
      <c r="N181" s="89"/>
      <c r="O181" s="89"/>
    </row>
    <row r="182" spans="10:15" x14ac:dyDescent="0.3">
      <c r="J182" s="89"/>
      <c r="K182" s="89"/>
      <c r="L182" s="89"/>
      <c r="M182" s="89"/>
      <c r="N182" s="89"/>
      <c r="O182" s="89"/>
    </row>
    <row r="183" spans="10:15" x14ac:dyDescent="0.3">
      <c r="J183" s="89"/>
      <c r="K183" s="89"/>
      <c r="L183" s="89"/>
      <c r="M183" s="89"/>
      <c r="N183" s="89"/>
      <c r="O183" s="89"/>
    </row>
    <row r="184" spans="10:15" x14ac:dyDescent="0.3">
      <c r="J184" s="89"/>
      <c r="K184" s="89"/>
      <c r="L184" s="89"/>
      <c r="M184" s="89"/>
      <c r="N184" s="89"/>
      <c r="O184" s="89"/>
    </row>
    <row r="185" spans="10:15" x14ac:dyDescent="0.3">
      <c r="J185" s="89"/>
      <c r="K185" s="89"/>
      <c r="L185" s="89"/>
      <c r="M185" s="89"/>
      <c r="N185" s="89"/>
      <c r="O185" s="89"/>
    </row>
    <row r="186" spans="10:15" x14ac:dyDescent="0.3">
      <c r="J186" s="89"/>
      <c r="K186" s="89"/>
      <c r="L186" s="89"/>
      <c r="M186" s="89"/>
      <c r="N186" s="89"/>
      <c r="O186" s="89"/>
    </row>
    <row r="187" spans="10:15" x14ac:dyDescent="0.3">
      <c r="J187" s="89"/>
      <c r="K187" s="89"/>
      <c r="L187" s="89"/>
      <c r="M187" s="89"/>
      <c r="N187" s="89"/>
      <c r="O187" s="89"/>
    </row>
    <row r="188" spans="10:15" x14ac:dyDescent="0.3">
      <c r="J188" s="89"/>
      <c r="K188" s="89"/>
      <c r="L188" s="89"/>
      <c r="M188" s="89"/>
      <c r="N188" s="89"/>
      <c r="O188" s="89"/>
    </row>
    <row r="189" spans="10:15" x14ac:dyDescent="0.3">
      <c r="J189" s="89"/>
      <c r="K189" s="89"/>
      <c r="L189" s="89"/>
      <c r="M189" s="89"/>
      <c r="N189" s="89"/>
      <c r="O189" s="89"/>
    </row>
    <row r="190" spans="10:15" x14ac:dyDescent="0.3">
      <c r="J190" s="89"/>
      <c r="K190" s="89"/>
      <c r="L190" s="89"/>
      <c r="M190" s="89"/>
      <c r="N190" s="89"/>
      <c r="O190" s="89"/>
    </row>
    <row r="191" spans="10:15" x14ac:dyDescent="0.3">
      <c r="J191" s="89"/>
      <c r="K191" s="89"/>
      <c r="L191" s="89"/>
      <c r="M191" s="89"/>
      <c r="N191" s="89"/>
      <c r="O191" s="89"/>
    </row>
    <row r="192" spans="10:15" x14ac:dyDescent="0.3">
      <c r="J192" s="89"/>
      <c r="K192" s="89"/>
      <c r="L192" s="89"/>
      <c r="M192" s="89"/>
      <c r="N192" s="89"/>
      <c r="O192" s="89"/>
    </row>
    <row r="193" spans="10:15" x14ac:dyDescent="0.3">
      <c r="J193" s="89"/>
      <c r="K193" s="89"/>
      <c r="L193" s="89"/>
      <c r="M193" s="89"/>
      <c r="N193" s="89"/>
      <c r="O193" s="89"/>
    </row>
    <row r="194" spans="10:15" x14ac:dyDescent="0.3">
      <c r="J194" s="89"/>
      <c r="K194" s="89"/>
      <c r="L194" s="89"/>
      <c r="M194" s="89"/>
      <c r="N194" s="89"/>
      <c r="O194" s="89"/>
    </row>
    <row r="195" spans="10:15" x14ac:dyDescent="0.3">
      <c r="J195" s="89"/>
      <c r="K195" s="89"/>
      <c r="L195" s="89"/>
      <c r="M195" s="89"/>
      <c r="N195" s="89"/>
      <c r="O195" s="89"/>
    </row>
    <row r="196" spans="10:15" x14ac:dyDescent="0.3">
      <c r="J196" s="89"/>
      <c r="K196" s="89"/>
      <c r="L196" s="89"/>
      <c r="M196" s="89"/>
      <c r="N196" s="89"/>
      <c r="O196" s="89"/>
    </row>
    <row r="197" spans="10:15" x14ac:dyDescent="0.3">
      <c r="J197" s="89"/>
      <c r="K197" s="89"/>
      <c r="L197" s="89"/>
      <c r="M197" s="89"/>
      <c r="N197" s="89"/>
      <c r="O197" s="89"/>
    </row>
    <row r="198" spans="10:15" x14ac:dyDescent="0.3">
      <c r="J198" s="89"/>
      <c r="K198" s="89"/>
      <c r="L198" s="89"/>
      <c r="M198" s="89"/>
      <c r="N198" s="89"/>
      <c r="O198" s="89"/>
    </row>
    <row r="199" spans="10:15" x14ac:dyDescent="0.3">
      <c r="J199" s="89"/>
      <c r="K199" s="89"/>
      <c r="L199" s="89"/>
      <c r="M199" s="89"/>
      <c r="N199" s="89"/>
      <c r="O199" s="89"/>
    </row>
    <row r="200" spans="10:15" x14ac:dyDescent="0.3">
      <c r="J200" s="89"/>
      <c r="K200" s="89"/>
      <c r="L200" s="89"/>
      <c r="M200" s="89"/>
      <c r="N200" s="89"/>
      <c r="O200" s="89"/>
    </row>
    <row r="201" spans="10:15" x14ac:dyDescent="0.3">
      <c r="J201" s="89"/>
      <c r="K201" s="89"/>
      <c r="L201" s="89"/>
      <c r="M201" s="89"/>
      <c r="N201" s="89"/>
      <c r="O201" s="89"/>
    </row>
    <row r="202" spans="10:15" x14ac:dyDescent="0.3">
      <c r="J202" s="89"/>
      <c r="K202" s="89"/>
      <c r="L202" s="89"/>
      <c r="M202" s="89"/>
      <c r="N202" s="89"/>
      <c r="O202" s="89"/>
    </row>
    <row r="203" spans="10:15" x14ac:dyDescent="0.3">
      <c r="J203" s="89"/>
      <c r="K203" s="89"/>
      <c r="L203" s="89"/>
      <c r="M203" s="89"/>
      <c r="N203" s="89"/>
      <c r="O203" s="89"/>
    </row>
    <row r="204" spans="10:15" x14ac:dyDescent="0.3">
      <c r="J204" s="89"/>
      <c r="K204" s="89"/>
      <c r="L204" s="89"/>
      <c r="M204" s="89"/>
      <c r="N204" s="89"/>
      <c r="O204" s="89"/>
    </row>
    <row r="205" spans="10:15" x14ac:dyDescent="0.3">
      <c r="J205" s="89"/>
      <c r="K205" s="89"/>
      <c r="L205" s="89"/>
      <c r="M205" s="89"/>
      <c r="N205" s="89"/>
      <c r="O205" s="89"/>
    </row>
    <row r="206" spans="10:15" x14ac:dyDescent="0.3">
      <c r="J206" s="89"/>
      <c r="K206" s="89"/>
      <c r="L206" s="89"/>
      <c r="M206" s="89"/>
      <c r="N206" s="89"/>
      <c r="O206" s="89"/>
    </row>
    <row r="207" spans="10:15" x14ac:dyDescent="0.3">
      <c r="J207" s="89"/>
      <c r="K207" s="89"/>
      <c r="L207" s="89"/>
      <c r="M207" s="89"/>
      <c r="N207" s="89"/>
      <c r="O207" s="89"/>
    </row>
    <row r="208" spans="10:15" x14ac:dyDescent="0.3">
      <c r="J208" s="89"/>
      <c r="K208" s="89"/>
      <c r="L208" s="89"/>
      <c r="M208" s="89"/>
      <c r="N208" s="89"/>
      <c r="O208" s="89"/>
    </row>
    <row r="209" spans="10:15" x14ac:dyDescent="0.3">
      <c r="J209" s="89"/>
      <c r="K209" s="89"/>
      <c r="L209" s="89"/>
      <c r="M209" s="89"/>
      <c r="N209" s="89"/>
      <c r="O209" s="89"/>
    </row>
    <row r="210" spans="10:15" x14ac:dyDescent="0.3">
      <c r="J210" s="89"/>
      <c r="K210" s="89"/>
      <c r="L210" s="89"/>
      <c r="M210" s="89"/>
      <c r="N210" s="89"/>
      <c r="O210" s="89"/>
    </row>
    <row r="211" spans="10:15" x14ac:dyDescent="0.3">
      <c r="J211" s="89"/>
      <c r="K211" s="89"/>
      <c r="L211" s="89"/>
      <c r="M211" s="89"/>
      <c r="N211" s="89"/>
      <c r="O211" s="89"/>
    </row>
    <row r="212" spans="10:15" x14ac:dyDescent="0.3">
      <c r="J212" s="89"/>
      <c r="K212" s="89"/>
      <c r="L212" s="89"/>
      <c r="M212" s="89"/>
      <c r="N212" s="89"/>
      <c r="O212" s="89"/>
    </row>
    <row r="213" spans="10:15" x14ac:dyDescent="0.3">
      <c r="J213" s="89"/>
      <c r="K213" s="89"/>
      <c r="L213" s="89"/>
      <c r="M213" s="89"/>
      <c r="N213" s="89"/>
      <c r="O213" s="89"/>
    </row>
    <row r="214" spans="10:15" x14ac:dyDescent="0.3">
      <c r="J214" s="89"/>
      <c r="K214" s="89"/>
      <c r="L214" s="89"/>
      <c r="M214" s="89"/>
      <c r="N214" s="89"/>
      <c r="O214" s="89"/>
    </row>
    <row r="215" spans="10:15" x14ac:dyDescent="0.3">
      <c r="J215" s="89"/>
      <c r="K215" s="89"/>
      <c r="L215" s="89"/>
      <c r="M215" s="89"/>
      <c r="N215" s="89"/>
      <c r="O215" s="89"/>
    </row>
    <row r="216" spans="10:15" x14ac:dyDescent="0.3">
      <c r="J216" s="89"/>
      <c r="K216" s="89"/>
      <c r="L216" s="89"/>
      <c r="M216" s="89"/>
      <c r="N216" s="89"/>
      <c r="O216" s="89"/>
    </row>
    <row r="217" spans="10:15" x14ac:dyDescent="0.3">
      <c r="J217" s="89"/>
      <c r="K217" s="89"/>
      <c r="L217" s="89"/>
      <c r="M217" s="89"/>
      <c r="N217" s="89"/>
      <c r="O217" s="89"/>
    </row>
    <row r="218" spans="10:15" x14ac:dyDescent="0.3">
      <c r="J218" s="89"/>
      <c r="K218" s="89"/>
      <c r="L218" s="89"/>
      <c r="M218" s="89"/>
      <c r="N218" s="89"/>
      <c r="O218" s="89"/>
    </row>
    <row r="219" spans="10:15" x14ac:dyDescent="0.3">
      <c r="J219" s="89"/>
      <c r="K219" s="89"/>
      <c r="L219" s="89"/>
      <c r="M219" s="89"/>
      <c r="N219" s="89"/>
      <c r="O219" s="89"/>
    </row>
    <row r="220" spans="10:15" x14ac:dyDescent="0.3">
      <c r="J220" s="89"/>
      <c r="K220" s="89"/>
      <c r="L220" s="89"/>
      <c r="M220" s="89"/>
      <c r="N220" s="89"/>
      <c r="O220" s="89"/>
    </row>
    <row r="221" spans="10:15" x14ac:dyDescent="0.3">
      <c r="J221" s="89"/>
      <c r="K221" s="89"/>
      <c r="L221" s="89"/>
      <c r="M221" s="89"/>
      <c r="N221" s="89"/>
      <c r="O221" s="89"/>
    </row>
    <row r="222" spans="10:15" x14ac:dyDescent="0.3">
      <c r="J222" s="89"/>
      <c r="K222" s="89"/>
      <c r="L222" s="89"/>
      <c r="M222" s="89"/>
      <c r="N222" s="89"/>
      <c r="O222" s="89"/>
    </row>
    <row r="223" spans="10:15" x14ac:dyDescent="0.3">
      <c r="J223" s="89"/>
      <c r="K223" s="89"/>
      <c r="L223" s="89"/>
      <c r="M223" s="89"/>
      <c r="N223" s="89"/>
      <c r="O223" s="89"/>
    </row>
    <row r="224" spans="10:15" x14ac:dyDescent="0.3">
      <c r="J224" s="89"/>
      <c r="K224" s="89"/>
      <c r="L224" s="89"/>
      <c r="M224" s="89"/>
      <c r="N224" s="89"/>
      <c r="O224" s="89"/>
    </row>
    <row r="225" spans="10:15" x14ac:dyDescent="0.3">
      <c r="J225" s="89"/>
      <c r="K225" s="89"/>
      <c r="L225" s="89"/>
      <c r="M225" s="89"/>
      <c r="N225" s="89"/>
      <c r="O225" s="89"/>
    </row>
    <row r="226" spans="10:15" x14ac:dyDescent="0.3">
      <c r="J226" s="89"/>
      <c r="K226" s="89"/>
      <c r="L226" s="89"/>
      <c r="M226" s="89"/>
      <c r="N226" s="89"/>
      <c r="O226" s="89"/>
    </row>
    <row r="227" spans="10:15" x14ac:dyDescent="0.3">
      <c r="J227" s="89"/>
      <c r="K227" s="89"/>
      <c r="L227" s="89"/>
      <c r="M227" s="89"/>
      <c r="N227" s="89"/>
      <c r="O227" s="89"/>
    </row>
    <row r="228" spans="10:15" x14ac:dyDescent="0.3">
      <c r="J228" s="89"/>
      <c r="K228" s="89"/>
      <c r="L228" s="89"/>
      <c r="M228" s="89"/>
      <c r="N228" s="89"/>
      <c r="O228" s="89"/>
    </row>
    <row r="229" spans="10:15" x14ac:dyDescent="0.3">
      <c r="J229" s="89"/>
      <c r="K229" s="89"/>
      <c r="L229" s="89"/>
      <c r="M229" s="89"/>
      <c r="N229" s="89"/>
      <c r="O229" s="89"/>
    </row>
    <row r="230" spans="10:15" x14ac:dyDescent="0.3">
      <c r="J230" s="89"/>
      <c r="K230" s="89"/>
      <c r="L230" s="89"/>
      <c r="M230" s="89"/>
      <c r="N230" s="89"/>
      <c r="O230" s="89"/>
    </row>
    <row r="231" spans="10:15" x14ac:dyDescent="0.3">
      <c r="J231" s="89"/>
      <c r="K231" s="89"/>
      <c r="L231" s="89"/>
      <c r="M231" s="89"/>
      <c r="N231" s="89"/>
      <c r="O231" s="89"/>
    </row>
    <row r="232" spans="10:15" x14ac:dyDescent="0.3">
      <c r="J232" s="89"/>
      <c r="K232" s="89"/>
      <c r="L232" s="89"/>
      <c r="M232" s="89"/>
      <c r="N232" s="89"/>
      <c r="O232" s="89"/>
    </row>
    <row r="233" spans="10:15" x14ac:dyDescent="0.3">
      <c r="J233" s="89"/>
      <c r="K233" s="89"/>
      <c r="L233" s="89"/>
      <c r="M233" s="89"/>
      <c r="N233" s="89"/>
      <c r="O233" s="89"/>
    </row>
    <row r="234" spans="10:15" x14ac:dyDescent="0.3">
      <c r="J234" s="89"/>
      <c r="K234" s="89"/>
      <c r="L234" s="89"/>
      <c r="M234" s="89"/>
      <c r="N234" s="89"/>
      <c r="O234" s="89"/>
    </row>
    <row r="235" spans="10:15" x14ac:dyDescent="0.3">
      <c r="J235" s="89"/>
      <c r="K235" s="89"/>
      <c r="L235" s="89"/>
      <c r="M235" s="89"/>
      <c r="N235" s="89"/>
      <c r="O235" s="89"/>
    </row>
    <row r="236" spans="10:15" x14ac:dyDescent="0.3">
      <c r="J236" s="89"/>
      <c r="K236" s="89"/>
      <c r="L236" s="89"/>
      <c r="M236" s="89"/>
      <c r="N236" s="89"/>
      <c r="O236" s="89"/>
    </row>
    <row r="237" spans="10:15" x14ac:dyDescent="0.3">
      <c r="J237" s="89"/>
      <c r="K237" s="89"/>
      <c r="L237" s="89"/>
      <c r="M237" s="89"/>
      <c r="N237" s="89"/>
      <c r="O237" s="89"/>
    </row>
    <row r="238" spans="10:15" x14ac:dyDescent="0.3">
      <c r="J238" s="89"/>
      <c r="K238" s="89"/>
      <c r="L238" s="89"/>
      <c r="M238" s="89"/>
      <c r="N238" s="89"/>
      <c r="O238" s="89"/>
    </row>
    <row r="239" spans="10:15" x14ac:dyDescent="0.3">
      <c r="J239" s="89"/>
      <c r="K239" s="89"/>
      <c r="L239" s="89"/>
      <c r="M239" s="89"/>
      <c r="N239" s="89"/>
      <c r="O239" s="89"/>
    </row>
    <row r="240" spans="10:15" x14ac:dyDescent="0.3">
      <c r="J240" s="89"/>
      <c r="K240" s="89"/>
      <c r="L240" s="89"/>
      <c r="M240" s="89"/>
      <c r="N240" s="89"/>
      <c r="O240" s="89"/>
    </row>
    <row r="241" spans="10:15" x14ac:dyDescent="0.3">
      <c r="J241" s="89"/>
      <c r="K241" s="89"/>
      <c r="L241" s="89"/>
      <c r="M241" s="89"/>
      <c r="N241" s="89"/>
      <c r="O241" s="89"/>
    </row>
    <row r="242" spans="10:15" x14ac:dyDescent="0.3">
      <c r="J242" s="89"/>
      <c r="K242" s="89"/>
      <c r="L242" s="89"/>
      <c r="M242" s="89"/>
      <c r="N242" s="89"/>
      <c r="O242" s="89"/>
    </row>
    <row r="243" spans="10:15" x14ac:dyDescent="0.3">
      <c r="J243" s="89"/>
      <c r="K243" s="89"/>
      <c r="L243" s="89"/>
      <c r="M243" s="89"/>
      <c r="N243" s="89"/>
      <c r="O243" s="89"/>
    </row>
    <row r="244" spans="10:15" x14ac:dyDescent="0.3">
      <c r="J244" s="89"/>
      <c r="K244" s="89"/>
      <c r="L244" s="89"/>
      <c r="M244" s="89"/>
      <c r="N244" s="89"/>
      <c r="O244" s="89"/>
    </row>
    <row r="245" spans="10:15" x14ac:dyDescent="0.3">
      <c r="J245" s="89"/>
      <c r="K245" s="89"/>
      <c r="L245" s="89"/>
      <c r="M245" s="89"/>
      <c r="N245" s="89"/>
      <c r="O245" s="89"/>
    </row>
    <row r="246" spans="10:15" x14ac:dyDescent="0.3">
      <c r="J246" s="89"/>
      <c r="K246" s="89"/>
      <c r="L246" s="89"/>
      <c r="M246" s="89"/>
      <c r="N246" s="89"/>
      <c r="O246" s="89"/>
    </row>
    <row r="247" spans="10:15" x14ac:dyDescent="0.3">
      <c r="J247" s="89"/>
      <c r="K247" s="89"/>
      <c r="L247" s="89"/>
      <c r="M247" s="89"/>
      <c r="N247" s="89"/>
      <c r="O247" s="89"/>
    </row>
    <row r="248" spans="10:15" x14ac:dyDescent="0.3">
      <c r="J248" s="89"/>
      <c r="K248" s="89"/>
      <c r="L248" s="89"/>
      <c r="M248" s="89"/>
      <c r="N248" s="89"/>
      <c r="O248" s="89"/>
    </row>
    <row r="249" spans="10:15" x14ac:dyDescent="0.3">
      <c r="J249" s="89"/>
      <c r="K249" s="89"/>
      <c r="L249" s="89"/>
      <c r="M249" s="89"/>
      <c r="N249" s="89"/>
      <c r="O249" s="89"/>
    </row>
    <row r="250" spans="10:15" x14ac:dyDescent="0.3">
      <c r="J250" s="89"/>
      <c r="K250" s="89"/>
      <c r="L250" s="89"/>
      <c r="M250" s="89"/>
      <c r="N250" s="89"/>
      <c r="O250" s="89"/>
    </row>
    <row r="251" spans="10:15" x14ac:dyDescent="0.3">
      <c r="J251" s="89"/>
      <c r="K251" s="89"/>
      <c r="L251" s="89"/>
      <c r="M251" s="89"/>
      <c r="N251" s="89"/>
      <c r="O251" s="89"/>
    </row>
    <row r="252" spans="10:15" x14ac:dyDescent="0.3">
      <c r="J252" s="89"/>
      <c r="K252" s="89"/>
      <c r="L252" s="89"/>
      <c r="M252" s="89"/>
      <c r="N252" s="89"/>
      <c r="O252" s="89"/>
    </row>
    <row r="253" spans="10:15" x14ac:dyDescent="0.3">
      <c r="J253" s="89"/>
      <c r="K253" s="89"/>
      <c r="L253" s="89"/>
      <c r="M253" s="89"/>
      <c r="N253" s="89"/>
      <c r="O253" s="89"/>
    </row>
    <row r="254" spans="10:15" x14ac:dyDescent="0.3">
      <c r="J254" s="89"/>
      <c r="K254" s="89"/>
      <c r="L254" s="89"/>
      <c r="M254" s="89"/>
      <c r="N254" s="89"/>
      <c r="O254" s="89"/>
    </row>
    <row r="255" spans="10:15" x14ac:dyDescent="0.3">
      <c r="J255" s="89"/>
      <c r="K255" s="89"/>
      <c r="L255" s="89"/>
      <c r="M255" s="89"/>
      <c r="N255" s="89"/>
      <c r="O255" s="89"/>
    </row>
    <row r="256" spans="10:15" x14ac:dyDescent="0.3">
      <c r="J256" s="89"/>
      <c r="K256" s="89"/>
      <c r="L256" s="89"/>
      <c r="M256" s="89"/>
      <c r="N256" s="89"/>
      <c r="O256" s="89"/>
    </row>
    <row r="257" spans="10:15" x14ac:dyDescent="0.3">
      <c r="J257" s="89"/>
      <c r="K257" s="89"/>
      <c r="L257" s="89"/>
      <c r="M257" s="89"/>
      <c r="N257" s="89"/>
      <c r="O257" s="89"/>
    </row>
    <row r="258" spans="10:15" x14ac:dyDescent="0.3">
      <c r="J258" s="89"/>
      <c r="K258" s="89"/>
      <c r="L258" s="89"/>
      <c r="M258" s="89"/>
      <c r="N258" s="89"/>
      <c r="O258" s="89"/>
    </row>
    <row r="259" spans="10:15" x14ac:dyDescent="0.3">
      <c r="J259" s="89"/>
      <c r="K259" s="89"/>
      <c r="L259" s="89"/>
      <c r="M259" s="89"/>
      <c r="N259" s="89"/>
      <c r="O259" s="89"/>
    </row>
    <row r="260" spans="10:15" x14ac:dyDescent="0.3">
      <c r="J260" s="89"/>
      <c r="K260" s="89"/>
      <c r="L260" s="89"/>
      <c r="M260" s="89"/>
      <c r="N260" s="89"/>
      <c r="O260" s="89"/>
    </row>
    <row r="261" spans="10:15" x14ac:dyDescent="0.3">
      <c r="J261" s="89"/>
      <c r="K261" s="89"/>
      <c r="L261" s="89"/>
      <c r="M261" s="89"/>
      <c r="N261" s="89"/>
      <c r="O261" s="89"/>
    </row>
    <row r="262" spans="10:15" x14ac:dyDescent="0.3">
      <c r="J262" s="89"/>
      <c r="K262" s="89"/>
      <c r="L262" s="89"/>
      <c r="M262" s="89"/>
      <c r="N262" s="89"/>
      <c r="O262" s="89"/>
    </row>
    <row r="263" spans="10:15" x14ac:dyDescent="0.3">
      <c r="J263" s="89"/>
      <c r="K263" s="89"/>
      <c r="L263" s="89"/>
      <c r="M263" s="89"/>
      <c r="N263" s="89"/>
      <c r="O263" s="89"/>
    </row>
    <row r="264" spans="10:15" x14ac:dyDescent="0.3">
      <c r="J264" s="89"/>
      <c r="K264" s="89"/>
      <c r="L264" s="89"/>
      <c r="M264" s="89"/>
      <c r="N264" s="89"/>
      <c r="O264" s="89"/>
    </row>
    <row r="265" spans="10:15" x14ac:dyDescent="0.3">
      <c r="J265" s="89"/>
      <c r="K265" s="89"/>
      <c r="L265" s="89"/>
      <c r="M265" s="89"/>
      <c r="N265" s="89"/>
      <c r="O265" s="89"/>
    </row>
    <row r="266" spans="10:15" x14ac:dyDescent="0.3">
      <c r="J266" s="89"/>
      <c r="K266" s="89"/>
      <c r="L266" s="89"/>
      <c r="M266" s="89"/>
      <c r="N266" s="89"/>
      <c r="O266" s="89"/>
    </row>
    <row r="267" spans="10:15" x14ac:dyDescent="0.3">
      <c r="J267" s="89"/>
      <c r="K267" s="89"/>
      <c r="L267" s="89"/>
      <c r="M267" s="89"/>
      <c r="N267" s="89"/>
      <c r="O267" s="89"/>
    </row>
    <row r="268" spans="10:15" x14ac:dyDescent="0.3">
      <c r="J268" s="89"/>
      <c r="K268" s="89"/>
      <c r="L268" s="89"/>
      <c r="M268" s="89"/>
      <c r="N268" s="89"/>
      <c r="O268" s="89"/>
    </row>
    <row r="269" spans="10:15" x14ac:dyDescent="0.3">
      <c r="J269" s="89"/>
      <c r="K269" s="89"/>
      <c r="L269" s="89"/>
      <c r="M269" s="89"/>
      <c r="N269" s="89"/>
      <c r="O269" s="89"/>
    </row>
    <row r="270" spans="10:15" x14ac:dyDescent="0.3">
      <c r="J270" s="89"/>
      <c r="K270" s="89"/>
      <c r="L270" s="89"/>
      <c r="M270" s="89"/>
      <c r="N270" s="89"/>
      <c r="O270" s="89"/>
    </row>
    <row r="271" spans="10:15" x14ac:dyDescent="0.3">
      <c r="J271" s="89"/>
      <c r="K271" s="89"/>
      <c r="L271" s="89"/>
      <c r="M271" s="89"/>
      <c r="N271" s="89"/>
      <c r="O271" s="89"/>
    </row>
    <row r="272" spans="10:15" x14ac:dyDescent="0.3">
      <c r="J272" s="89"/>
      <c r="K272" s="89"/>
      <c r="L272" s="89"/>
      <c r="M272" s="89"/>
      <c r="N272" s="89"/>
      <c r="O272" s="89"/>
    </row>
    <row r="273" spans="10:15" x14ac:dyDescent="0.3">
      <c r="J273" s="89"/>
      <c r="K273" s="89"/>
      <c r="L273" s="89"/>
      <c r="M273" s="89"/>
      <c r="N273" s="89"/>
      <c r="O273" s="89"/>
    </row>
    <row r="274" spans="10:15" x14ac:dyDescent="0.3">
      <c r="J274" s="89"/>
      <c r="K274" s="89"/>
      <c r="L274" s="89"/>
      <c r="M274" s="89"/>
      <c r="N274" s="89"/>
      <c r="O274" s="89"/>
    </row>
    <row r="275" spans="10:15" x14ac:dyDescent="0.3">
      <c r="J275" s="89"/>
      <c r="K275" s="89"/>
      <c r="L275" s="89"/>
      <c r="M275" s="89"/>
      <c r="N275" s="89"/>
      <c r="O275" s="89"/>
    </row>
  </sheetData>
  <mergeCells count="1">
    <mergeCell ref="J76:O275"/>
  </mergeCells>
  <hyperlinks>
    <hyperlink ref="G72" location="Data!A1" display="Access data" xr:uid="{00BC1E25-BBEB-4732-BA2B-D1B3FC4415D2}"/>
    <hyperlink ref="H92" r:id="rId1" xr:uid="{ACAD58DC-825B-4332-80A2-916E679BBE6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12FC-8A2D-4C55-A860-E4E8D285F286}">
  <dimension ref="A1:Q40"/>
  <sheetViews>
    <sheetView workbookViewId="0">
      <selection activeCell="K12" sqref="K12"/>
    </sheetView>
  </sheetViews>
  <sheetFormatPr baseColWidth="10" defaultColWidth="8.88671875" defaultRowHeight="14.4" x14ac:dyDescent="0.3"/>
  <cols>
    <col min="2" max="2" width="11" bestFit="1" customWidth="1"/>
    <col min="3" max="3" width="12" bestFit="1" customWidth="1"/>
    <col min="5" max="5" width="12.109375" bestFit="1" customWidth="1"/>
    <col min="6" max="6" width="11" bestFit="1" customWidth="1"/>
  </cols>
  <sheetData>
    <row r="1" spans="1:17" x14ac:dyDescent="0.3">
      <c r="A1" t="s">
        <v>0</v>
      </c>
      <c r="B1">
        <v>5053</v>
      </c>
      <c r="C1">
        <f>5000</f>
        <v>5000</v>
      </c>
    </row>
    <row r="2" spans="1:17" x14ac:dyDescent="0.3">
      <c r="A2" t="s">
        <v>1</v>
      </c>
      <c r="B2">
        <v>4</v>
      </c>
      <c r="C2">
        <v>4</v>
      </c>
    </row>
    <row r="3" spans="1:17" x14ac:dyDescent="0.3">
      <c r="A3" t="s">
        <v>2</v>
      </c>
      <c r="B3">
        <f>B1/B2/3600</f>
        <v>0.35090277777777779</v>
      </c>
      <c r="C3">
        <f>C1/C2/3600</f>
        <v>0.34722222222222221</v>
      </c>
    </row>
    <row r="4" spans="1:17" x14ac:dyDescent="0.3">
      <c r="A4" t="s">
        <v>3</v>
      </c>
      <c r="B4">
        <f>(B3*4/PI())^(1/2)</f>
        <v>0.66841850140767478</v>
      </c>
      <c r="C4">
        <f>(C3*4/PI())^(1/2)</f>
        <v>0.66490380066905452</v>
      </c>
    </row>
    <row r="5" spans="1:17" x14ac:dyDescent="0.3">
      <c r="Q5" s="1"/>
    </row>
    <row r="7" spans="1:17" x14ac:dyDescent="0.3">
      <c r="A7" t="s">
        <v>6</v>
      </c>
      <c r="B7">
        <f>9*(0.5+0.001*B4*1000)</f>
        <v>10.515766512669074</v>
      </c>
      <c r="J7" s="1"/>
    </row>
    <row r="9" spans="1:17" x14ac:dyDescent="0.3">
      <c r="A9" t="s">
        <v>3</v>
      </c>
      <c r="B9">
        <f>5053/5</f>
        <v>1010.6</v>
      </c>
    </row>
    <row r="14" spans="1:17" x14ac:dyDescent="0.3">
      <c r="E14">
        <v>28</v>
      </c>
    </row>
    <row r="15" spans="1:17" x14ac:dyDescent="0.3">
      <c r="E15">
        <v>24</v>
      </c>
    </row>
    <row r="16" spans="1:17" x14ac:dyDescent="0.3">
      <c r="E16">
        <v>17.100000000000001</v>
      </c>
    </row>
    <row r="18" spans="4:9" x14ac:dyDescent="0.3">
      <c r="D18" t="s">
        <v>7</v>
      </c>
      <c r="E18">
        <f>E14*E15*E16</f>
        <v>11491.2</v>
      </c>
    </row>
    <row r="21" spans="4:9" x14ac:dyDescent="0.3">
      <c r="E21">
        <v>28</v>
      </c>
    </row>
    <row r="22" spans="4:9" x14ac:dyDescent="0.3">
      <c r="E22">
        <v>16</v>
      </c>
    </row>
    <row r="23" spans="4:9" x14ac:dyDescent="0.3">
      <c r="E23">
        <v>17.100000000000001</v>
      </c>
      <c r="H23" t="s">
        <v>11</v>
      </c>
      <c r="I23">
        <f>(E18*4+F25)</f>
        <v>51860.315700000006</v>
      </c>
    </row>
    <row r="24" spans="4:9" x14ac:dyDescent="0.3">
      <c r="I24">
        <f>I23*0.95</f>
        <v>49267.299915000003</v>
      </c>
    </row>
    <row r="25" spans="4:9" x14ac:dyDescent="0.3">
      <c r="D25" t="s">
        <v>10</v>
      </c>
      <c r="E25">
        <f>E21*E22*E23</f>
        <v>7660.8000000000011</v>
      </c>
      <c r="F25">
        <f>E21*8.2*E23+9.53*7.8*E23+5.235*7.8*E23</f>
        <v>5895.5156999999999</v>
      </c>
      <c r="I25">
        <f>I23*0.98</f>
        <v>50823.109386000004</v>
      </c>
    </row>
    <row r="28" spans="4:9" x14ac:dyDescent="0.3">
      <c r="E28">
        <v>28</v>
      </c>
    </row>
    <row r="29" spans="4:9" x14ac:dyDescent="0.3">
      <c r="E29">
        <v>9.6</v>
      </c>
      <c r="F29">
        <v>8.6</v>
      </c>
    </row>
    <row r="30" spans="4:9" x14ac:dyDescent="0.3">
      <c r="E30">
        <f>10.1-3.8</f>
        <v>6.3</v>
      </c>
    </row>
    <row r="32" spans="4:9" x14ac:dyDescent="0.3">
      <c r="D32" t="s">
        <v>8</v>
      </c>
      <c r="E32">
        <f>E28*E29*E30</f>
        <v>1693.44</v>
      </c>
      <c r="F32">
        <f>E32*0.98</f>
        <v>1659.5712000000001</v>
      </c>
      <c r="H32">
        <f>1750/0.98</f>
        <v>1785.7142857142858</v>
      </c>
    </row>
    <row r="35" spans="4:12" x14ac:dyDescent="0.3">
      <c r="D35" t="s">
        <v>9</v>
      </c>
      <c r="E35">
        <f>E18*4+E25+E32</f>
        <v>55319.040000000008</v>
      </c>
      <c r="F35">
        <f>F32+F25+E18*4</f>
        <v>53519.886900000005</v>
      </c>
      <c r="H35">
        <f>48100/0.98</f>
        <v>49081.632653061228</v>
      </c>
      <c r="L35">
        <f>8.2*28*17.1</f>
        <v>3926.16</v>
      </c>
    </row>
    <row r="36" spans="4:12" x14ac:dyDescent="0.3">
      <c r="E36">
        <f>E35*0.95</f>
        <v>52553.088000000003</v>
      </c>
      <c r="F36">
        <f>F35*0.95</f>
        <v>50843.892555000006</v>
      </c>
      <c r="L36">
        <f>13.078*7.8*17.1</f>
        <v>1744.3436400000001</v>
      </c>
    </row>
    <row r="37" spans="4:12" x14ac:dyDescent="0.3">
      <c r="E37">
        <f>0.98*E35</f>
        <v>54212.659200000009</v>
      </c>
      <c r="F37">
        <f>F35*0.98</f>
        <v>52449.489162000005</v>
      </c>
      <c r="L37">
        <f>7.461*7.8</f>
        <v>58.195799999999998</v>
      </c>
    </row>
    <row r="38" spans="4:12" x14ac:dyDescent="0.3">
      <c r="L38">
        <f>L37+L36+L35</f>
        <v>5728.6994400000003</v>
      </c>
    </row>
    <row r="39" spans="4:12" x14ac:dyDescent="0.3">
      <c r="H39">
        <f>L38+E18*4+E32</f>
        <v>53386.939440000002</v>
      </c>
    </row>
    <row r="40" spans="4:12" x14ac:dyDescent="0.3">
      <c r="H40">
        <f>0.98*H39</f>
        <v>52319.200651200001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E219-28C9-4A13-A168-EC41FA695535}">
  <dimension ref="A1:I14"/>
  <sheetViews>
    <sheetView workbookViewId="0">
      <selection activeCell="H14" sqref="H14"/>
    </sheetView>
  </sheetViews>
  <sheetFormatPr baseColWidth="10" defaultColWidth="8.88671875" defaultRowHeight="14.4" x14ac:dyDescent="0.3"/>
  <cols>
    <col min="1" max="1" width="11.6640625" bestFit="1" customWidth="1"/>
  </cols>
  <sheetData>
    <row r="1" spans="1:9" x14ac:dyDescent="0.3">
      <c r="A1" t="s">
        <v>32</v>
      </c>
      <c r="B1">
        <v>48100</v>
      </c>
      <c r="C1" t="s">
        <v>38</v>
      </c>
    </row>
    <row r="2" spans="1:9" x14ac:dyDescent="0.3">
      <c r="A2" t="s">
        <v>0</v>
      </c>
      <c r="B2">
        <v>5000</v>
      </c>
      <c r="C2" t="s">
        <v>36</v>
      </c>
    </row>
    <row r="3" spans="1:9" x14ac:dyDescent="0.3">
      <c r="A3" t="s">
        <v>33</v>
      </c>
      <c r="B3">
        <f>B1/B2</f>
        <v>9.6199999999999992</v>
      </c>
      <c r="C3" t="s">
        <v>37</v>
      </c>
    </row>
    <row r="4" spans="1:9" x14ac:dyDescent="0.3">
      <c r="D4" s="1">
        <f>(B6-B2)/B2</f>
        <v>0.20250000000000001</v>
      </c>
    </row>
    <row r="5" spans="1:9" x14ac:dyDescent="0.3">
      <c r="A5" t="s">
        <v>12</v>
      </c>
      <c r="B5">
        <v>8</v>
      </c>
      <c r="C5" t="s">
        <v>37</v>
      </c>
    </row>
    <row r="6" spans="1:9" x14ac:dyDescent="0.3">
      <c r="A6" t="s">
        <v>0</v>
      </c>
      <c r="B6">
        <f>B1/B5</f>
        <v>6012.5</v>
      </c>
      <c r="C6" t="s">
        <v>36</v>
      </c>
    </row>
    <row r="8" spans="1:9" x14ac:dyDescent="0.3">
      <c r="A8" t="s">
        <v>13</v>
      </c>
      <c r="B8">
        <f>B6/5</f>
        <v>1202.5</v>
      </c>
      <c r="C8" t="s">
        <v>36</v>
      </c>
    </row>
    <row r="10" spans="1:9" x14ac:dyDescent="0.3">
      <c r="G10" t="s">
        <v>1</v>
      </c>
      <c r="H10">
        <v>4</v>
      </c>
    </row>
    <row r="12" spans="1:9" x14ac:dyDescent="0.3">
      <c r="A12" t="s">
        <v>14</v>
      </c>
      <c r="B12">
        <f>SQRT(B8/3600/PI())</f>
        <v>0.32607413869650714</v>
      </c>
      <c r="C12" t="s">
        <v>35</v>
      </c>
      <c r="G12" t="s">
        <v>34</v>
      </c>
      <c r="H12">
        <v>0.33976000000000001</v>
      </c>
      <c r="I12" t="s">
        <v>35</v>
      </c>
    </row>
    <row r="14" spans="1:9" x14ac:dyDescent="0.3">
      <c r="G14" t="s">
        <v>0</v>
      </c>
      <c r="H14">
        <f>PI()*H12*H12/4*H10*3600</f>
        <v>1305.560101642744</v>
      </c>
      <c r="I14"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D7FB-FCBB-417F-9ED3-B435B20FAA09}">
  <dimension ref="A1:T20"/>
  <sheetViews>
    <sheetView tabSelected="1" workbookViewId="0">
      <selection activeCell="S8" sqref="S4:S8"/>
    </sheetView>
  </sheetViews>
  <sheetFormatPr baseColWidth="10" defaultColWidth="8.88671875" defaultRowHeight="14.4" x14ac:dyDescent="0.3"/>
  <cols>
    <col min="16" max="16" width="9.5546875" bestFit="1" customWidth="1"/>
  </cols>
  <sheetData>
    <row r="1" spans="1:20" x14ac:dyDescent="0.3">
      <c r="A1" s="3" t="s">
        <v>21</v>
      </c>
      <c r="G1" s="90" t="s">
        <v>20</v>
      </c>
      <c r="H1" s="90"/>
      <c r="I1" s="90"/>
      <c r="O1" s="90" t="s">
        <v>28</v>
      </c>
      <c r="P1" s="90"/>
      <c r="Q1" s="90"/>
    </row>
    <row r="3" spans="1:20" x14ac:dyDescent="0.3">
      <c r="A3" t="s">
        <v>4</v>
      </c>
      <c r="B3">
        <v>870</v>
      </c>
      <c r="C3" t="s">
        <v>44</v>
      </c>
      <c r="H3" t="s">
        <v>26</v>
      </c>
      <c r="K3" t="s">
        <v>27</v>
      </c>
      <c r="P3" t="s">
        <v>29</v>
      </c>
      <c r="R3" s="91" t="s">
        <v>39</v>
      </c>
      <c r="S3" s="91"/>
    </row>
    <row r="4" spans="1:20" x14ac:dyDescent="0.3">
      <c r="A4" t="s">
        <v>22</v>
      </c>
      <c r="B4">
        <v>0.17399999999999999</v>
      </c>
      <c r="G4" t="s">
        <v>15</v>
      </c>
      <c r="H4">
        <f>184.4+17.1</f>
        <v>201.5</v>
      </c>
      <c r="J4" t="s">
        <v>15</v>
      </c>
      <c r="K4" s="2">
        <f>$H$12*H4*$B$5*$B$5/(2*$H$14*$B$6)</f>
        <v>16.879097003653357</v>
      </c>
      <c r="L4" t="s">
        <v>35</v>
      </c>
      <c r="O4" t="s">
        <v>30</v>
      </c>
      <c r="P4" s="4">
        <f>78/350</f>
        <v>0.22285714285714286</v>
      </c>
      <c r="R4" t="s">
        <v>15</v>
      </c>
      <c r="S4" s="2">
        <f>(P4*B5*B5/(2*9.81)+P5*B5*B5/(2*9.81))*3 + 2*(P6*B5*B5/(2*9.81))</f>
        <v>3.3994466288044269</v>
      </c>
      <c r="T4" t="s">
        <v>35</v>
      </c>
    </row>
    <row r="5" spans="1:20" x14ac:dyDescent="0.3">
      <c r="A5" t="s">
        <v>1</v>
      </c>
      <c r="B5">
        <v>4</v>
      </c>
      <c r="C5" t="s">
        <v>42</v>
      </c>
      <c r="G5" t="s">
        <v>16</v>
      </c>
      <c r="H5">
        <f>145.5+17.1</f>
        <v>162.6</v>
      </c>
      <c r="J5" t="s">
        <v>16</v>
      </c>
      <c r="K5" s="2">
        <f t="shared" ref="K5:K8" si="0">$H$12*H5*$B$5*$B$5/(2*$H$14*$B$6)</f>
        <v>13.62055172602499</v>
      </c>
      <c r="L5" t="s">
        <v>35</v>
      </c>
      <c r="O5" t="s">
        <v>31</v>
      </c>
      <c r="P5">
        <v>0.5</v>
      </c>
      <c r="R5" t="s">
        <v>16</v>
      </c>
      <c r="S5" s="2">
        <f>S4</f>
        <v>3.3994466288044269</v>
      </c>
      <c r="T5" t="s">
        <v>35</v>
      </c>
    </row>
    <row r="6" spans="1:20" x14ac:dyDescent="0.3">
      <c r="A6" t="s">
        <v>3</v>
      </c>
      <c r="B6">
        <f>Caudales!H12</f>
        <v>0.33976000000000001</v>
      </c>
      <c r="C6" t="s">
        <v>35</v>
      </c>
      <c r="G6" t="s">
        <v>17</v>
      </c>
      <c r="H6">
        <f xml:space="preserve"> 17.1+120.93</f>
        <v>138.03</v>
      </c>
      <c r="J6" t="s">
        <v>17</v>
      </c>
      <c r="K6" s="2">
        <f t="shared" si="0"/>
        <v>11.562390865579516</v>
      </c>
      <c r="L6" t="s">
        <v>35</v>
      </c>
      <c r="O6" t="s">
        <v>329</v>
      </c>
      <c r="P6">
        <v>1</v>
      </c>
      <c r="R6" t="s">
        <v>17</v>
      </c>
      <c r="S6" s="2">
        <f t="shared" ref="S6:S8" si="1">S5</f>
        <v>3.3994466288044269</v>
      </c>
      <c r="T6" t="s">
        <v>35</v>
      </c>
    </row>
    <row r="7" spans="1:20" x14ac:dyDescent="0.3">
      <c r="G7" t="s">
        <v>18</v>
      </c>
      <c r="H7">
        <f>17.1+97.2</f>
        <v>114.30000000000001</v>
      </c>
      <c r="J7" t="s">
        <v>18</v>
      </c>
      <c r="K7" s="2">
        <f t="shared" si="0"/>
        <v>9.5745944789954276</v>
      </c>
      <c r="L7" t="s">
        <v>35</v>
      </c>
      <c r="R7" t="s">
        <v>18</v>
      </c>
      <c r="S7" s="2">
        <f t="shared" si="1"/>
        <v>3.3994466288044269</v>
      </c>
      <c r="T7" t="s">
        <v>35</v>
      </c>
    </row>
    <row r="8" spans="1:20" x14ac:dyDescent="0.3">
      <c r="A8" t="s">
        <v>23</v>
      </c>
      <c r="B8">
        <f>B3*B5*B6/B4</f>
        <v>6795.2000000000007</v>
      </c>
      <c r="G8" t="s">
        <v>19</v>
      </c>
      <c r="H8">
        <f>17.1+73.8</f>
        <v>90.9</v>
      </c>
      <c r="J8" t="s">
        <v>19</v>
      </c>
      <c r="K8" s="2">
        <f t="shared" si="0"/>
        <v>7.6144412785711664</v>
      </c>
      <c r="L8" t="s">
        <v>35</v>
      </c>
      <c r="R8" t="s">
        <v>19</v>
      </c>
      <c r="S8" s="2">
        <f t="shared" si="1"/>
        <v>3.3994466288044269</v>
      </c>
      <c r="T8" t="s">
        <v>35</v>
      </c>
    </row>
    <row r="9" spans="1:20" x14ac:dyDescent="0.3">
      <c r="A9" t="s">
        <v>24</v>
      </c>
    </row>
    <row r="12" spans="1:20" x14ac:dyDescent="0.3">
      <c r="A12" t="s">
        <v>5</v>
      </c>
      <c r="B12">
        <v>9.81</v>
      </c>
      <c r="C12" t="s">
        <v>45</v>
      </c>
      <c r="G12" t="s">
        <v>25</v>
      </c>
      <c r="H12">
        <v>3.49E-2</v>
      </c>
    </row>
    <row r="13" spans="1:20" x14ac:dyDescent="0.3">
      <c r="A13" t="s">
        <v>41</v>
      </c>
      <c r="B13">
        <v>17.100000000000001</v>
      </c>
      <c r="C13" t="s">
        <v>35</v>
      </c>
    </row>
    <row r="14" spans="1:20" x14ac:dyDescent="0.3">
      <c r="G14" t="s">
        <v>5</v>
      </c>
      <c r="H14">
        <v>9.81</v>
      </c>
      <c r="L14" s="90" t="s">
        <v>40</v>
      </c>
      <c r="M14" s="90"/>
      <c r="N14" s="90"/>
    </row>
    <row r="15" spans="1:20" x14ac:dyDescent="0.3">
      <c r="A15" t="s">
        <v>0</v>
      </c>
      <c r="B15">
        <f>Caudales!H14/3600</f>
        <v>0.36265558378965113</v>
      </c>
      <c r="C15" t="s">
        <v>46</v>
      </c>
    </row>
    <row r="16" spans="1:20" x14ac:dyDescent="0.3">
      <c r="A16" t="s">
        <v>43</v>
      </c>
      <c r="B16">
        <v>0.8</v>
      </c>
      <c r="L16" t="s">
        <v>15</v>
      </c>
      <c r="M16" s="4">
        <f>($B$3*$B$12*($B$13+K4+S4+71.4))*$B$15/$B$16*10^-3</f>
        <v>420.85828556954982</v>
      </c>
      <c r="N16" t="s">
        <v>328</v>
      </c>
    </row>
    <row r="17" spans="12:14" x14ac:dyDescent="0.3">
      <c r="L17" t="s">
        <v>16</v>
      </c>
      <c r="M17" s="4">
        <f t="shared" ref="M17:M20" si="2">($B$3*$B$12*($B$13+K5+S5+71.4))*$B$15/$B$16*10^-3</f>
        <v>408.25115062180606</v>
      </c>
      <c r="N17" s="87" t="s">
        <v>328</v>
      </c>
    </row>
    <row r="18" spans="12:14" x14ac:dyDescent="0.3">
      <c r="L18" t="s">
        <v>17</v>
      </c>
      <c r="M18" s="4">
        <f t="shared" si="2"/>
        <v>400.2882378797479</v>
      </c>
      <c r="N18" s="87" t="s">
        <v>328</v>
      </c>
    </row>
    <row r="19" spans="12:14" x14ac:dyDescent="0.3">
      <c r="L19" t="s">
        <v>18</v>
      </c>
      <c r="M19" s="4">
        <f t="shared" si="2"/>
        <v>392.59756147075143</v>
      </c>
      <c r="N19" s="87" t="s">
        <v>328</v>
      </c>
    </row>
    <row r="20" spans="12:14" x14ac:dyDescent="0.3">
      <c r="L20" t="s">
        <v>19</v>
      </c>
      <c r="M20" s="4">
        <f t="shared" si="2"/>
        <v>385.01383504974365</v>
      </c>
      <c r="N20" s="87" t="s">
        <v>328</v>
      </c>
    </row>
  </sheetData>
  <mergeCells count="4">
    <mergeCell ref="G1:I1"/>
    <mergeCell ref="O1:Q1"/>
    <mergeCell ref="R3:S3"/>
    <mergeCell ref="L14:N14"/>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40F1-90FD-414F-AB2A-C259AD401DB6}">
  <dimension ref="A1:W44"/>
  <sheetViews>
    <sheetView workbookViewId="0">
      <selection activeCell="B16" sqref="A10:B16"/>
    </sheetView>
  </sheetViews>
  <sheetFormatPr baseColWidth="10" defaultRowHeight="14.4" x14ac:dyDescent="0.3"/>
  <cols>
    <col min="1" max="1" width="43.109375" bestFit="1" customWidth="1"/>
    <col min="6" max="6" width="18.77734375" bestFit="1" customWidth="1"/>
    <col min="15" max="15" width="24.44140625" bestFit="1" customWidth="1"/>
    <col min="16" max="16" width="18.77734375" bestFit="1" customWidth="1"/>
    <col min="21" max="21" width="24.44140625" bestFit="1" customWidth="1"/>
    <col min="22" max="22" width="18.77734375" bestFit="1" customWidth="1"/>
  </cols>
  <sheetData>
    <row r="1" spans="1:23" x14ac:dyDescent="0.3">
      <c r="A1" s="15" t="s">
        <v>82</v>
      </c>
      <c r="B1" s="16">
        <v>14.5</v>
      </c>
      <c r="C1" s="9" t="s">
        <v>85</v>
      </c>
      <c r="F1" s="92" t="s">
        <v>63</v>
      </c>
      <c r="G1" s="92"/>
      <c r="H1" s="92"/>
      <c r="M1" s="92" t="s">
        <v>87</v>
      </c>
      <c r="N1" s="92"/>
      <c r="O1" s="92"/>
      <c r="P1" s="92"/>
      <c r="S1" s="92" t="s">
        <v>90</v>
      </c>
      <c r="T1" s="92"/>
      <c r="U1" s="92"/>
      <c r="V1" s="92"/>
    </row>
    <row r="2" spans="1:23" x14ac:dyDescent="0.3">
      <c r="A2" s="15" t="s">
        <v>83</v>
      </c>
      <c r="B2" s="16">
        <v>14.5</v>
      </c>
      <c r="C2" s="9" t="s">
        <v>85</v>
      </c>
      <c r="F2" s="17" t="s">
        <v>62</v>
      </c>
      <c r="G2" s="18">
        <f>18520/3600</f>
        <v>5.1444444444444448</v>
      </c>
      <c r="H2" s="19" t="s">
        <v>42</v>
      </c>
      <c r="I2" s="5"/>
      <c r="M2" s="20"/>
      <c r="N2" s="20" t="s">
        <v>92</v>
      </c>
      <c r="O2" s="20" t="s">
        <v>93</v>
      </c>
      <c r="P2" s="20" t="s">
        <v>50</v>
      </c>
      <c r="S2" s="20"/>
      <c r="T2" s="20" t="s">
        <v>92</v>
      </c>
      <c r="U2" s="20" t="s">
        <v>93</v>
      </c>
      <c r="V2" s="20" t="s">
        <v>50</v>
      </c>
    </row>
    <row r="3" spans="1:23" ht="16.2" customHeight="1" x14ac:dyDescent="0.3">
      <c r="A3" s="15" t="s">
        <v>84</v>
      </c>
      <c r="B3" s="16">
        <v>58.1</v>
      </c>
      <c r="C3" s="9" t="s">
        <v>86</v>
      </c>
      <c r="F3" s="17" t="s">
        <v>4</v>
      </c>
      <c r="G3" s="20">
        <v>1025</v>
      </c>
      <c r="H3" s="19" t="s">
        <v>44</v>
      </c>
      <c r="I3" s="5"/>
      <c r="M3" s="19" t="s">
        <v>49</v>
      </c>
      <c r="N3" s="20">
        <f>B1/1000</f>
        <v>1.4500000000000001E-2</v>
      </c>
      <c r="O3" s="20">
        <f>B3</f>
        <v>58.1</v>
      </c>
      <c r="P3" s="36">
        <f>N3/O3</f>
        <v>2.4956970740103271E-4</v>
      </c>
      <c r="S3" s="19" t="s">
        <v>49</v>
      </c>
      <c r="T3" s="20">
        <v>1.4500000000000001E-2</v>
      </c>
      <c r="U3" s="20">
        <f>B3</f>
        <v>58.1</v>
      </c>
      <c r="V3" s="20">
        <f>T3/U3</f>
        <v>2.4956970740103271E-4</v>
      </c>
    </row>
    <row r="4" spans="1:23" ht="16.2" customHeight="1" x14ac:dyDescent="0.3">
      <c r="A4" s="15" t="s">
        <v>97</v>
      </c>
      <c r="B4" s="16">
        <v>2.5999999999999999E-2</v>
      </c>
      <c r="C4" s="9" t="s">
        <v>86</v>
      </c>
      <c r="F4" s="17" t="s">
        <v>22</v>
      </c>
      <c r="G4" s="20">
        <v>1.89E-3</v>
      </c>
      <c r="H4" s="19" t="s">
        <v>54</v>
      </c>
      <c r="I4" s="8"/>
      <c r="M4" s="19" t="s">
        <v>99</v>
      </c>
      <c r="N4" s="20">
        <v>2.2799999999999998</v>
      </c>
      <c r="O4" s="20">
        <v>2.4E-2</v>
      </c>
      <c r="P4" s="20">
        <f>N4/O4</f>
        <v>94.999999999999986</v>
      </c>
      <c r="S4" s="19" t="s">
        <v>99</v>
      </c>
      <c r="T4" s="20">
        <v>0.34200000000000003</v>
      </c>
      <c r="U4" s="20">
        <v>2.4E-2</v>
      </c>
      <c r="V4" s="20">
        <f t="shared" ref="V4:V5" si="0">T4/U4</f>
        <v>14.25</v>
      </c>
    </row>
    <row r="5" spans="1:23" ht="15" customHeight="1" x14ac:dyDescent="0.3">
      <c r="A5" s="15" t="s">
        <v>98</v>
      </c>
      <c r="B5" s="16">
        <v>2.5440000000000001E-2</v>
      </c>
      <c r="C5" s="9" t="s">
        <v>86</v>
      </c>
      <c r="F5" s="17" t="s">
        <v>53</v>
      </c>
      <c r="G5" s="20">
        <v>60</v>
      </c>
      <c r="H5" s="19" t="s">
        <v>35</v>
      </c>
      <c r="I5" s="8"/>
      <c r="M5" s="19" t="s">
        <v>47</v>
      </c>
      <c r="N5" s="20">
        <f>B2/1000</f>
        <v>1.4500000000000001E-2</v>
      </c>
      <c r="O5" s="20">
        <f>B3</f>
        <v>58.1</v>
      </c>
      <c r="P5" s="36">
        <f>N5/O5</f>
        <v>2.4956970740103271E-4</v>
      </c>
      <c r="S5" s="19" t="s">
        <v>47</v>
      </c>
      <c r="T5" s="20">
        <v>1.4500000000000001E-2</v>
      </c>
      <c r="U5" s="20">
        <f>B3</f>
        <v>58.1</v>
      </c>
      <c r="V5" s="20">
        <f t="shared" si="0"/>
        <v>2.4956970740103271E-4</v>
      </c>
    </row>
    <row r="6" spans="1:23" ht="15" customHeight="1" x14ac:dyDescent="0.3">
      <c r="A6" s="34"/>
      <c r="B6" s="35"/>
      <c r="C6" s="27"/>
      <c r="F6" s="19"/>
      <c r="G6" s="20"/>
      <c r="H6" s="20"/>
      <c r="I6" s="8"/>
      <c r="M6" s="19" t="s">
        <v>48</v>
      </c>
      <c r="N6" s="20" t="s">
        <v>51</v>
      </c>
      <c r="O6" s="20">
        <v>0.56000000000000005</v>
      </c>
      <c r="P6" s="36">
        <f>1/G17</f>
        <v>2.9421338706915828E-4</v>
      </c>
      <c r="S6" s="19" t="s">
        <v>48</v>
      </c>
      <c r="T6" s="20" t="s">
        <v>51</v>
      </c>
      <c r="U6" s="20">
        <v>0.56000000000000005</v>
      </c>
      <c r="V6" s="23">
        <f>1/G17</f>
        <v>2.9421338706915828E-4</v>
      </c>
    </row>
    <row r="7" spans="1:23" x14ac:dyDescent="0.3">
      <c r="F7" s="9" t="s">
        <v>94</v>
      </c>
      <c r="G7" s="22">
        <v>1.7910000000000001E-6</v>
      </c>
      <c r="H7" s="9" t="s">
        <v>58</v>
      </c>
      <c r="I7" s="8"/>
      <c r="M7" s="19" t="s">
        <v>91</v>
      </c>
      <c r="N7" s="20" t="s">
        <v>51</v>
      </c>
      <c r="O7" s="9" t="s">
        <v>51</v>
      </c>
      <c r="P7" s="25">
        <f>1/SUM(P3:P6)</f>
        <v>1.0526227884080159E-2</v>
      </c>
      <c r="Q7" s="32" t="s">
        <v>96</v>
      </c>
      <c r="S7" s="19" t="s">
        <v>91</v>
      </c>
      <c r="T7" s="20" t="s">
        <v>51</v>
      </c>
      <c r="U7" s="9" t="s">
        <v>51</v>
      </c>
      <c r="V7" s="31">
        <f>1/SUM(V3:V6)</f>
        <v>7.0171531874987744E-2</v>
      </c>
      <c r="W7" s="32" t="s">
        <v>96</v>
      </c>
    </row>
    <row r="8" spans="1:23" x14ac:dyDescent="0.3">
      <c r="F8" s="9" t="s">
        <v>95</v>
      </c>
      <c r="G8" s="22">
        <v>1.3300000000000001E-7</v>
      </c>
      <c r="H8" s="9" t="s">
        <v>58</v>
      </c>
      <c r="I8" s="8"/>
    </row>
    <row r="9" spans="1:23" x14ac:dyDescent="0.3">
      <c r="F9" s="9" t="s">
        <v>57</v>
      </c>
      <c r="G9" s="22">
        <v>4220</v>
      </c>
      <c r="H9" s="9" t="s">
        <v>59</v>
      </c>
      <c r="I9" s="8"/>
      <c r="U9" s="14"/>
    </row>
    <row r="10" spans="1:23" x14ac:dyDescent="0.3">
      <c r="A10" t="s">
        <v>103</v>
      </c>
      <c r="B10">
        <v>1.2E-2</v>
      </c>
      <c r="F10" s="19"/>
      <c r="G10" s="20"/>
      <c r="H10" s="20"/>
      <c r="I10" s="8"/>
      <c r="M10" s="92" t="s">
        <v>88</v>
      </c>
      <c r="N10" s="92"/>
      <c r="O10" s="92"/>
      <c r="P10" s="92"/>
      <c r="S10" s="92" t="s">
        <v>89</v>
      </c>
      <c r="T10" s="92"/>
      <c r="U10" s="92"/>
      <c r="V10" s="92"/>
    </row>
    <row r="11" spans="1:23" x14ac:dyDescent="0.3">
      <c r="A11" t="s">
        <v>104</v>
      </c>
      <c r="B11">
        <v>58.1</v>
      </c>
      <c r="F11" s="19"/>
      <c r="G11" s="20"/>
      <c r="H11" s="20"/>
      <c r="I11" s="8"/>
      <c r="M11" s="20"/>
      <c r="N11" s="20" t="s">
        <v>92</v>
      </c>
      <c r="O11" s="20" t="s">
        <v>93</v>
      </c>
      <c r="P11" s="20" t="s">
        <v>50</v>
      </c>
      <c r="S11" s="20"/>
      <c r="T11" s="20" t="s">
        <v>92</v>
      </c>
      <c r="U11" s="20" t="s">
        <v>93</v>
      </c>
      <c r="V11" s="20" t="s">
        <v>50</v>
      </c>
    </row>
    <row r="12" spans="1:23" x14ac:dyDescent="0.3">
      <c r="A12" t="s">
        <v>102</v>
      </c>
      <c r="B12">
        <v>8.1300000000000008</v>
      </c>
      <c r="E12" s="14"/>
      <c r="F12" s="19" t="s">
        <v>52</v>
      </c>
      <c r="G12" s="24">
        <v>17.47</v>
      </c>
      <c r="H12" s="9"/>
      <c r="M12" s="19" t="s">
        <v>49</v>
      </c>
      <c r="N12" s="20">
        <v>2.1000000000000001E-2</v>
      </c>
      <c r="O12" s="20">
        <f>B3</f>
        <v>58.1</v>
      </c>
      <c r="P12" s="20">
        <f>N12/O12</f>
        <v>3.6144578313253013E-4</v>
      </c>
      <c r="S12" s="19" t="s">
        <v>49</v>
      </c>
      <c r="T12" s="20">
        <v>1.4500000000000001E-2</v>
      </c>
      <c r="U12" s="20">
        <f>B3</f>
        <v>58.1</v>
      </c>
      <c r="V12" s="20">
        <f>T12/U12</f>
        <v>2.4956970740103271E-4</v>
      </c>
    </row>
    <row r="13" spans="1:23" x14ac:dyDescent="0.3">
      <c r="A13" t="s">
        <v>105</v>
      </c>
      <c r="B13">
        <v>1.2E-2</v>
      </c>
      <c r="F13" s="19" t="s">
        <v>23</v>
      </c>
      <c r="G13" s="22">
        <f>G3*G2*G5/G4</f>
        <v>167398589.06525573</v>
      </c>
      <c r="H13" s="9" t="s">
        <v>55</v>
      </c>
      <c r="I13" t="s">
        <v>56</v>
      </c>
      <c r="M13" s="19" t="s">
        <v>99</v>
      </c>
      <c r="N13" s="20">
        <v>0.34200000000000003</v>
      </c>
      <c r="O13" s="20">
        <v>2.4E-2</v>
      </c>
      <c r="P13" s="20">
        <f t="shared" ref="P13" si="1">N13/O13</f>
        <v>14.25</v>
      </c>
      <c r="S13" s="19" t="s">
        <v>99</v>
      </c>
      <c r="T13" s="20">
        <v>0.34200000000000003</v>
      </c>
      <c r="U13" s="20">
        <v>2.4E-2</v>
      </c>
      <c r="V13" s="20">
        <f t="shared" ref="V13:V14" si="2">T13/U13</f>
        <v>14.25</v>
      </c>
    </row>
    <row r="14" spans="1:23" x14ac:dyDescent="0.3">
      <c r="A14" t="s">
        <v>106</v>
      </c>
      <c r="B14">
        <v>58.1</v>
      </c>
      <c r="F14" s="9"/>
      <c r="G14" s="9"/>
      <c r="H14" s="9"/>
      <c r="M14" s="19" t="s">
        <v>61</v>
      </c>
      <c r="N14" s="20" t="s">
        <v>51</v>
      </c>
      <c r="O14" s="20">
        <v>2.4E-2</v>
      </c>
      <c r="P14" s="23">
        <f>1/G42</f>
        <v>23.899717988728515</v>
      </c>
      <c r="S14" s="19" t="s">
        <v>47</v>
      </c>
      <c r="T14" s="20">
        <v>1.4500000000000001E-2</v>
      </c>
      <c r="U14" s="20">
        <f>B3</f>
        <v>58.1</v>
      </c>
      <c r="V14" s="20">
        <f t="shared" si="2"/>
        <v>2.4956970740103271E-4</v>
      </c>
    </row>
    <row r="15" spans="1:23" x14ac:dyDescent="0.3">
      <c r="A15" t="s">
        <v>107</v>
      </c>
      <c r="B15">
        <v>1250</v>
      </c>
      <c r="F15" s="21"/>
      <c r="G15" s="21"/>
      <c r="H15" s="21"/>
      <c r="I15" s="7"/>
      <c r="M15" s="19" t="s">
        <v>91</v>
      </c>
      <c r="N15" s="20" t="s">
        <v>51</v>
      </c>
      <c r="O15" s="9" t="s">
        <v>51</v>
      </c>
      <c r="P15" s="25">
        <f>1/SUM(P12:P14)</f>
        <v>2.6212265212097345E-2</v>
      </c>
      <c r="Q15" s="32" t="s">
        <v>96</v>
      </c>
      <c r="S15" s="19" t="s">
        <v>61</v>
      </c>
      <c r="T15" s="20" t="s">
        <v>51</v>
      </c>
      <c r="U15" s="20">
        <v>0.56000000000000005</v>
      </c>
      <c r="V15" s="23">
        <f>G42</f>
        <v>4.1841497898494694E-2</v>
      </c>
    </row>
    <row r="16" spans="1:23" x14ac:dyDescent="0.3">
      <c r="A16" t="s">
        <v>29</v>
      </c>
      <c r="B16">
        <f>1/(B10/B11+1/B12+B13/B14+1/B15)</f>
        <v>8.0506021624691915</v>
      </c>
      <c r="F16" s="20" t="s">
        <v>60</v>
      </c>
      <c r="G16" s="18">
        <f xml:space="preserve"> 0.037*G13^(4/5)*G12^(1/3)</f>
        <v>364167.172031747</v>
      </c>
      <c r="H16" s="20"/>
      <c r="I16" s="8"/>
      <c r="M16" s="26"/>
      <c r="N16" s="27"/>
      <c r="O16" s="27"/>
      <c r="P16" s="28"/>
      <c r="S16" s="19" t="s">
        <v>91</v>
      </c>
      <c r="T16" s="33" t="s">
        <v>51</v>
      </c>
      <c r="U16" s="9" t="s">
        <v>51</v>
      </c>
      <c r="V16" s="25">
        <f>1/SUM(V12:V15)</f>
        <v>6.9967545930809963E-2</v>
      </c>
      <c r="W16" s="32" t="s">
        <v>96</v>
      </c>
    </row>
    <row r="17" spans="6:23" x14ac:dyDescent="0.3">
      <c r="F17" s="19" t="s">
        <v>37</v>
      </c>
      <c r="G17" s="18">
        <f>G16*O6/G5</f>
        <v>3398.8936056296388</v>
      </c>
      <c r="H17" s="20" t="s">
        <v>100</v>
      </c>
      <c r="I17" s="8"/>
    </row>
    <row r="18" spans="6:23" x14ac:dyDescent="0.3">
      <c r="F18" s="26"/>
      <c r="G18" s="29"/>
      <c r="H18" s="29"/>
      <c r="I18" s="8"/>
    </row>
    <row r="19" spans="6:23" x14ac:dyDescent="0.3">
      <c r="F19" s="26"/>
      <c r="G19" s="30"/>
      <c r="H19" s="29"/>
      <c r="I19" s="8"/>
      <c r="T19" s="14"/>
    </row>
    <row r="20" spans="6:23" x14ac:dyDescent="0.3">
      <c r="F20" s="6"/>
      <c r="G20" s="8"/>
      <c r="H20" s="8"/>
      <c r="I20" s="8"/>
      <c r="W20" s="14"/>
    </row>
    <row r="24" spans="6:23" x14ac:dyDescent="0.3">
      <c r="F24" s="92" t="s">
        <v>64</v>
      </c>
      <c r="G24" s="92"/>
      <c r="H24" s="92"/>
    </row>
    <row r="25" spans="6:23" x14ac:dyDescent="0.3">
      <c r="F25" s="17" t="s">
        <v>62</v>
      </c>
      <c r="G25" s="18">
        <f>18520/3600</f>
        <v>5.1444444444444448</v>
      </c>
      <c r="H25" s="19" t="s">
        <v>42</v>
      </c>
    </row>
    <row r="26" spans="6:23" x14ac:dyDescent="0.3">
      <c r="F26" s="17" t="s">
        <v>4</v>
      </c>
      <c r="G26" s="20">
        <v>1.3080000000000001</v>
      </c>
      <c r="H26" s="19" t="s">
        <v>44</v>
      </c>
    </row>
    <row r="27" spans="6:23" x14ac:dyDescent="0.3">
      <c r="F27" s="17" t="s">
        <v>22</v>
      </c>
      <c r="G27" s="20">
        <v>1.7000000000000001E-2</v>
      </c>
      <c r="H27" s="19" t="s">
        <v>54</v>
      </c>
    </row>
    <row r="28" spans="6:23" x14ac:dyDescent="0.3">
      <c r="F28" s="17" t="s">
        <v>53</v>
      </c>
      <c r="G28" s="20">
        <v>60</v>
      </c>
      <c r="H28" s="19" t="s">
        <v>35</v>
      </c>
    </row>
    <row r="29" spans="6:23" x14ac:dyDescent="0.3">
      <c r="F29" s="19"/>
      <c r="G29" s="20"/>
      <c r="H29" s="20"/>
    </row>
    <row r="30" spans="6:23" x14ac:dyDescent="0.3">
      <c r="F30" s="9"/>
      <c r="G30" s="9"/>
      <c r="H30" s="9"/>
    </row>
    <row r="31" spans="6:23" x14ac:dyDescent="0.3">
      <c r="F31" s="21"/>
      <c r="G31" s="21"/>
      <c r="H31" s="21"/>
    </row>
    <row r="32" spans="6:23" x14ac:dyDescent="0.3">
      <c r="F32" s="9" t="s">
        <v>66</v>
      </c>
      <c r="G32" s="9">
        <v>1.2989999999999999</v>
      </c>
      <c r="H32" s="9" t="s">
        <v>58</v>
      </c>
    </row>
    <row r="33" spans="6:9" x14ac:dyDescent="0.3">
      <c r="F33" s="9" t="s">
        <v>65</v>
      </c>
      <c r="G33" s="9">
        <v>1.8240000000000001</v>
      </c>
      <c r="H33" s="9" t="s">
        <v>58</v>
      </c>
    </row>
    <row r="34" spans="6:9" x14ac:dyDescent="0.3">
      <c r="F34" s="9" t="s">
        <v>57</v>
      </c>
      <c r="G34" s="9">
        <v>1006</v>
      </c>
      <c r="H34" s="9" t="s">
        <v>59</v>
      </c>
    </row>
    <row r="35" spans="6:9" x14ac:dyDescent="0.3">
      <c r="F35" s="19"/>
      <c r="G35" s="20"/>
      <c r="H35" s="20"/>
    </row>
    <row r="36" spans="6:9" x14ac:dyDescent="0.3">
      <c r="F36" s="19"/>
      <c r="G36" s="20"/>
      <c r="H36" s="20"/>
    </row>
    <row r="37" spans="6:9" x14ac:dyDescent="0.3">
      <c r="F37" s="19" t="s">
        <v>52</v>
      </c>
      <c r="G37" s="9">
        <v>0.71199999999999997</v>
      </c>
      <c r="H37" s="9"/>
    </row>
    <row r="38" spans="6:9" x14ac:dyDescent="0.3">
      <c r="F38" s="19" t="s">
        <v>23</v>
      </c>
      <c r="G38" s="22">
        <f>G26*G25*G28/G27</f>
        <v>23749.176470588238</v>
      </c>
      <c r="H38" s="9" t="s">
        <v>55</v>
      </c>
      <c r="I38" t="s">
        <v>101</v>
      </c>
    </row>
    <row r="39" spans="6:9" x14ac:dyDescent="0.3">
      <c r="F39" s="9"/>
      <c r="G39" s="9"/>
      <c r="H39" s="9"/>
    </row>
    <row r="40" spans="6:9" x14ac:dyDescent="0.3">
      <c r="F40" s="21"/>
      <c r="G40" s="21"/>
      <c r="H40" s="21"/>
    </row>
    <row r="41" spans="6:9" x14ac:dyDescent="0.3">
      <c r="F41" s="20" t="s">
        <v>60</v>
      </c>
      <c r="G41" s="18">
        <f xml:space="preserve"> 0.037*G38^(4/5)*G37^(1/3)</f>
        <v>104.60374474623673</v>
      </c>
      <c r="H41" s="20"/>
    </row>
    <row r="42" spans="6:9" x14ac:dyDescent="0.3">
      <c r="F42" s="19" t="s">
        <v>37</v>
      </c>
      <c r="G42" s="18">
        <f>G41*O14/G28</f>
        <v>4.1841497898494694E-2</v>
      </c>
      <c r="H42" s="20" t="s">
        <v>100</v>
      </c>
    </row>
    <row r="43" spans="6:9" x14ac:dyDescent="0.3">
      <c r="F43" s="26"/>
      <c r="G43" s="29"/>
      <c r="H43" s="29"/>
    </row>
    <row r="44" spans="6:9" x14ac:dyDescent="0.3">
      <c r="F44" s="26"/>
      <c r="G44" s="29"/>
      <c r="H44" s="29"/>
    </row>
  </sheetData>
  <sheetProtection algorithmName="SHA-512" hashValue="sbVjOwV6N3RbrKs41xQM62EtHWT23N7IplE9LL2jMWh0nsLpBz1Hhw9/QYYoH9JsRAdgssiiTDmhliZhEBXiCQ==" saltValue="ULf17cXjcC+UMaaFHe16fA==" spinCount="100000" sheet="1" objects="1" scenarios="1" selectLockedCells="1" selectUnlockedCells="1"/>
  <mergeCells count="6">
    <mergeCell ref="F1:H1"/>
    <mergeCell ref="F24:H24"/>
    <mergeCell ref="M1:P1"/>
    <mergeCell ref="S1:V1"/>
    <mergeCell ref="M10:P10"/>
    <mergeCell ref="S10:V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6E53-5C79-4A39-9B47-76C3B767C294}">
  <dimension ref="A1:K18"/>
  <sheetViews>
    <sheetView workbookViewId="0">
      <selection activeCell="B4" sqref="B4"/>
    </sheetView>
  </sheetViews>
  <sheetFormatPr baseColWidth="10" defaultRowHeight="14.4" x14ac:dyDescent="0.3"/>
  <sheetData>
    <row r="1" spans="1:11" x14ac:dyDescent="0.3">
      <c r="A1" s="92" t="s">
        <v>108</v>
      </c>
      <c r="B1" s="92"/>
      <c r="E1" s="92" t="s">
        <v>88</v>
      </c>
      <c r="F1" s="92"/>
      <c r="I1" s="92" t="s">
        <v>89</v>
      </c>
      <c r="J1" s="92"/>
    </row>
    <row r="2" spans="1:11" x14ac:dyDescent="0.3">
      <c r="A2" s="9" t="s">
        <v>103</v>
      </c>
      <c r="B2" s="9">
        <v>1.2E-2</v>
      </c>
      <c r="E2" s="9" t="s">
        <v>102</v>
      </c>
      <c r="F2" s="9">
        <v>8.1300000000000008</v>
      </c>
      <c r="I2" s="9" t="s">
        <v>103</v>
      </c>
      <c r="J2" s="9">
        <v>1.2E-2</v>
      </c>
    </row>
    <row r="3" spans="1:11" x14ac:dyDescent="0.3">
      <c r="A3" s="9" t="s">
        <v>104</v>
      </c>
      <c r="B3" s="9">
        <v>58.1</v>
      </c>
      <c r="E3" s="9" t="s">
        <v>103</v>
      </c>
      <c r="F3" s="9">
        <v>1.2E-2</v>
      </c>
      <c r="I3" s="9" t="s">
        <v>104</v>
      </c>
      <c r="J3" s="9">
        <v>58.1</v>
      </c>
    </row>
    <row r="4" spans="1:11" x14ac:dyDescent="0.3">
      <c r="A4" s="9" t="s">
        <v>102</v>
      </c>
      <c r="B4" s="38">
        <v>8.1300000000000008</v>
      </c>
      <c r="E4" s="9" t="s">
        <v>104</v>
      </c>
      <c r="F4" s="9">
        <v>58.1</v>
      </c>
      <c r="I4" s="9" t="s">
        <v>102</v>
      </c>
      <c r="J4" s="9">
        <v>17.5</v>
      </c>
    </row>
    <row r="5" spans="1:11" x14ac:dyDescent="0.3">
      <c r="A5" s="9" t="s">
        <v>105</v>
      </c>
      <c r="B5" s="9">
        <v>1.2E-2</v>
      </c>
      <c r="E5" s="9" t="s">
        <v>107</v>
      </c>
      <c r="F5" s="9">
        <v>29</v>
      </c>
      <c r="I5" s="9" t="s">
        <v>105</v>
      </c>
      <c r="J5" s="9">
        <v>1.2E-2</v>
      </c>
    </row>
    <row r="6" spans="1:11" x14ac:dyDescent="0.3">
      <c r="A6" s="9" t="s">
        <v>106</v>
      </c>
      <c r="B6" s="9">
        <v>58.1</v>
      </c>
      <c r="E6" s="9"/>
      <c r="F6" s="9"/>
      <c r="I6" s="9" t="s">
        <v>106</v>
      </c>
      <c r="J6" s="9">
        <v>58.1</v>
      </c>
    </row>
    <row r="7" spans="1:11" x14ac:dyDescent="0.3">
      <c r="A7" s="9" t="s">
        <v>107</v>
      </c>
      <c r="B7" s="9">
        <v>1250</v>
      </c>
      <c r="E7" s="9"/>
      <c r="F7" s="9"/>
      <c r="I7" s="9" t="s">
        <v>107</v>
      </c>
      <c r="J7" s="9">
        <v>29</v>
      </c>
    </row>
    <row r="8" spans="1:11" x14ac:dyDescent="0.3">
      <c r="A8" s="9" t="s">
        <v>29</v>
      </c>
      <c r="B8" s="37">
        <f>1/(B2/B3+1/B4+B5/B6+1/B7)</f>
        <v>8.0506021624691915</v>
      </c>
      <c r="C8">
        <v>8</v>
      </c>
      <c r="E8" s="9" t="s">
        <v>29</v>
      </c>
      <c r="F8" s="37">
        <f>1/(1/F2+F3/F4+1/F5)</f>
        <v>6.3415349408178088</v>
      </c>
      <c r="G8">
        <v>6.4</v>
      </c>
      <c r="I8" s="9" t="s">
        <v>29</v>
      </c>
      <c r="J8" s="37">
        <f>1/(J2/J3+1/J4+J5/J6+1/J7)</f>
        <v>10.864995228146199</v>
      </c>
      <c r="K8">
        <v>10.5</v>
      </c>
    </row>
    <row r="11" spans="1:11" x14ac:dyDescent="0.3">
      <c r="A11" s="92" t="s">
        <v>109</v>
      </c>
      <c r="B11" s="92"/>
      <c r="E11" s="92" t="s">
        <v>110</v>
      </c>
      <c r="F11" s="92"/>
      <c r="I11" s="92" t="s">
        <v>90</v>
      </c>
      <c r="J11" s="92"/>
    </row>
    <row r="12" spans="1:11" x14ac:dyDescent="0.3">
      <c r="A12" s="9" t="s">
        <v>103</v>
      </c>
      <c r="B12" s="9">
        <v>1.2E-2</v>
      </c>
      <c r="E12" s="9" t="s">
        <v>103</v>
      </c>
      <c r="F12" s="9">
        <v>1.2E-2</v>
      </c>
      <c r="I12" s="9" t="s">
        <v>103</v>
      </c>
      <c r="J12" s="9">
        <v>1.2E-2</v>
      </c>
    </row>
    <row r="13" spans="1:11" x14ac:dyDescent="0.3">
      <c r="A13" s="9" t="s">
        <v>104</v>
      </c>
      <c r="B13" s="9">
        <v>58.1</v>
      </c>
      <c r="E13" s="9" t="s">
        <v>104</v>
      </c>
      <c r="F13" s="9">
        <v>58.1</v>
      </c>
      <c r="I13" s="9" t="s">
        <v>104</v>
      </c>
      <c r="J13" s="9">
        <v>58.1</v>
      </c>
    </row>
    <row r="14" spans="1:11" x14ac:dyDescent="0.3">
      <c r="A14" s="9" t="s">
        <v>102</v>
      </c>
      <c r="B14" s="9">
        <v>8.1300000000000008</v>
      </c>
      <c r="E14" s="9" t="s">
        <v>102</v>
      </c>
      <c r="F14" s="9">
        <v>8.1300000000000008</v>
      </c>
      <c r="I14" s="9" t="s">
        <v>102</v>
      </c>
      <c r="J14" s="9">
        <v>17.5</v>
      </c>
    </row>
    <row r="15" spans="1:11" x14ac:dyDescent="0.3">
      <c r="A15" s="9" t="s">
        <v>107</v>
      </c>
      <c r="B15" s="9">
        <v>17.5</v>
      </c>
      <c r="E15" s="9" t="s">
        <v>107</v>
      </c>
      <c r="F15" s="9">
        <v>17.5</v>
      </c>
      <c r="I15" s="9" t="s">
        <v>105</v>
      </c>
      <c r="J15" s="9">
        <v>1.2E-2</v>
      </c>
    </row>
    <row r="16" spans="1:11" x14ac:dyDescent="0.3">
      <c r="A16" s="9"/>
      <c r="B16" s="9"/>
      <c r="E16" s="9"/>
      <c r="F16" s="9"/>
      <c r="I16" s="9" t="s">
        <v>106</v>
      </c>
      <c r="J16" s="9">
        <v>58.1</v>
      </c>
    </row>
    <row r="17" spans="1:11" x14ac:dyDescent="0.3">
      <c r="A17" s="9"/>
      <c r="B17" s="9"/>
      <c r="E17" s="9"/>
      <c r="F17" s="9"/>
      <c r="I17" s="9" t="s">
        <v>107</v>
      </c>
      <c r="J17" s="9">
        <v>1250</v>
      </c>
    </row>
    <row r="18" spans="1:11" x14ac:dyDescent="0.3">
      <c r="A18" s="9" t="s">
        <v>29</v>
      </c>
      <c r="B18" s="37">
        <f>1/(B12/B13+1/B14+1/B15)</f>
        <v>5.5447547551824679</v>
      </c>
      <c r="C18">
        <v>5.6</v>
      </c>
      <c r="E18" s="9" t="s">
        <v>29</v>
      </c>
      <c r="F18" s="37">
        <f>1/(F12/F13+1/F14+1/F15)</f>
        <v>5.5447547551824679</v>
      </c>
      <c r="G18">
        <v>5.6</v>
      </c>
      <c r="I18" s="9" t="s">
        <v>29</v>
      </c>
      <c r="J18" s="37">
        <f>1/(J12/J13+1/J14+J15/J16+1/J17)</f>
        <v>17.136216700880112</v>
      </c>
      <c r="K18">
        <v>16</v>
      </c>
    </row>
  </sheetData>
  <mergeCells count="6">
    <mergeCell ref="A1:B1"/>
    <mergeCell ref="E1:F1"/>
    <mergeCell ref="I1:J1"/>
    <mergeCell ref="I11:J11"/>
    <mergeCell ref="E11:F11"/>
    <mergeCell ref="A11:B1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FC89-F4FD-46F8-9947-52D843AA8278}">
  <dimension ref="A3:P22"/>
  <sheetViews>
    <sheetView topLeftCell="D2" workbookViewId="0">
      <selection activeCell="P21" sqref="J3:P21"/>
    </sheetView>
  </sheetViews>
  <sheetFormatPr baseColWidth="10" defaultRowHeight="14.4" x14ac:dyDescent="0.3"/>
  <cols>
    <col min="2" max="2" width="15.21875" customWidth="1"/>
    <col min="3" max="3" width="10.77734375" customWidth="1"/>
    <col min="4" max="4" width="11.77734375" style="45" bestFit="1" customWidth="1"/>
    <col min="5" max="5" width="14.21875" style="45" customWidth="1"/>
    <col min="6" max="6" width="14.109375" bestFit="1" customWidth="1"/>
    <col min="7" max="7" width="16.88671875" customWidth="1"/>
  </cols>
  <sheetData>
    <row r="3" spans="1:16" ht="36.6" thickBot="1" x14ac:dyDescent="0.35">
      <c r="A3" s="98"/>
      <c r="B3" s="98"/>
      <c r="C3" s="58"/>
      <c r="D3" s="59"/>
      <c r="E3" s="60"/>
      <c r="F3" s="61"/>
      <c r="G3" s="58"/>
      <c r="J3" s="94" t="s">
        <v>139</v>
      </c>
      <c r="K3" s="94"/>
      <c r="L3" s="47" t="s">
        <v>140</v>
      </c>
      <c r="M3" s="46" t="s">
        <v>153</v>
      </c>
      <c r="N3" s="47" t="s">
        <v>163</v>
      </c>
      <c r="O3" s="46" t="s">
        <v>123</v>
      </c>
      <c r="P3" s="47" t="s">
        <v>164</v>
      </c>
    </row>
    <row r="4" spans="1:16" x14ac:dyDescent="0.3">
      <c r="A4" s="102"/>
      <c r="B4" s="58"/>
      <c r="C4" s="62"/>
      <c r="D4" s="63"/>
      <c r="E4" s="63"/>
      <c r="F4" s="63"/>
      <c r="G4" s="63"/>
      <c r="J4" s="95" t="s">
        <v>154</v>
      </c>
      <c r="K4" s="48" t="s">
        <v>165</v>
      </c>
      <c r="L4" s="49">
        <v>1</v>
      </c>
      <c r="M4" s="51">
        <v>58059.82</v>
      </c>
      <c r="N4" s="51">
        <v>58059.82</v>
      </c>
      <c r="O4" s="51">
        <v>18579.14</v>
      </c>
      <c r="P4" s="51">
        <v>76638.960000000006</v>
      </c>
    </row>
    <row r="5" spans="1:16" ht="24" x14ac:dyDescent="0.3">
      <c r="A5" s="102"/>
      <c r="B5" s="58"/>
      <c r="C5" s="62"/>
      <c r="D5" s="63"/>
      <c r="E5" s="63"/>
      <c r="F5" s="63"/>
      <c r="G5" s="63"/>
      <c r="J5" s="96"/>
      <c r="K5" s="52" t="s">
        <v>141</v>
      </c>
      <c r="L5" s="53">
        <v>1</v>
      </c>
      <c r="M5" s="54">
        <v>48825.34</v>
      </c>
      <c r="N5" s="54">
        <v>48825.34</v>
      </c>
      <c r="O5" s="54">
        <v>15624.11</v>
      </c>
      <c r="P5" s="54">
        <v>64449.45</v>
      </c>
    </row>
    <row r="6" spans="1:16" ht="24" x14ac:dyDescent="0.3">
      <c r="A6" s="102"/>
      <c r="B6" s="58"/>
      <c r="C6" s="62"/>
      <c r="D6" s="63"/>
      <c r="E6" s="63"/>
      <c r="F6" s="63"/>
      <c r="G6" s="63"/>
      <c r="J6" s="96"/>
      <c r="K6" s="48" t="s">
        <v>142</v>
      </c>
      <c r="L6" s="49">
        <v>2</v>
      </c>
      <c r="M6" s="51">
        <v>40968.089999999997</v>
      </c>
      <c r="N6" s="51">
        <v>81936.179999999993</v>
      </c>
      <c r="O6" s="51">
        <v>26219.58</v>
      </c>
      <c r="P6" s="51">
        <v>108155.76</v>
      </c>
    </row>
    <row r="7" spans="1:16" ht="24" x14ac:dyDescent="0.3">
      <c r="A7" s="101"/>
      <c r="B7" s="58"/>
      <c r="C7" s="62"/>
      <c r="D7" s="63"/>
      <c r="E7" s="63"/>
      <c r="F7" s="63"/>
      <c r="G7" s="63"/>
      <c r="J7" s="96" t="s">
        <v>148</v>
      </c>
      <c r="K7" s="52" t="s">
        <v>144</v>
      </c>
      <c r="L7" s="53">
        <v>1</v>
      </c>
      <c r="M7" s="54">
        <v>53429.61</v>
      </c>
      <c r="N7" s="54">
        <v>53429.61</v>
      </c>
      <c r="O7" s="54">
        <v>17097.48</v>
      </c>
      <c r="P7" s="54">
        <v>70527.09</v>
      </c>
    </row>
    <row r="8" spans="1:16" ht="24" x14ac:dyDescent="0.3">
      <c r="A8" s="101"/>
      <c r="B8" s="58"/>
      <c r="C8" s="62"/>
      <c r="D8" s="63"/>
      <c r="E8" s="63"/>
      <c r="F8" s="63"/>
      <c r="G8" s="63"/>
      <c r="J8" s="96"/>
      <c r="K8" s="48" t="s">
        <v>143</v>
      </c>
      <c r="L8" s="49">
        <v>1</v>
      </c>
      <c r="M8" s="51">
        <v>44262.04</v>
      </c>
      <c r="N8" s="51">
        <v>44262.04</v>
      </c>
      <c r="O8" s="51">
        <v>14163.85</v>
      </c>
      <c r="P8" s="51">
        <v>58425.89</v>
      </c>
    </row>
    <row r="9" spans="1:16" ht="24" x14ac:dyDescent="0.3">
      <c r="A9" s="101"/>
      <c r="B9" s="58"/>
      <c r="C9" s="62"/>
      <c r="D9" s="63"/>
      <c r="E9" s="63"/>
      <c r="F9" s="63"/>
      <c r="G9" s="63"/>
      <c r="J9" s="96"/>
      <c r="K9" s="52" t="s">
        <v>145</v>
      </c>
      <c r="L9" s="53">
        <v>2</v>
      </c>
      <c r="M9" s="54">
        <v>39745.629999999997</v>
      </c>
      <c r="N9" s="54">
        <v>79491.259999999995</v>
      </c>
      <c r="O9" s="54">
        <v>25437.200000000001</v>
      </c>
      <c r="P9" s="54">
        <v>104928.46</v>
      </c>
    </row>
    <row r="10" spans="1:16" x14ac:dyDescent="0.3">
      <c r="A10" s="102"/>
      <c r="B10" s="58"/>
      <c r="C10" s="62"/>
      <c r="D10" s="63"/>
      <c r="E10" s="63"/>
      <c r="F10" s="63"/>
      <c r="G10" s="63"/>
      <c r="I10" s="14"/>
      <c r="J10" s="96" t="s">
        <v>156</v>
      </c>
      <c r="K10" s="48" t="s">
        <v>146</v>
      </c>
      <c r="L10" s="49">
        <v>1</v>
      </c>
      <c r="M10" s="51">
        <v>30863.53</v>
      </c>
      <c r="N10" s="51">
        <v>30863.53</v>
      </c>
      <c r="O10" s="51">
        <v>9876.33</v>
      </c>
      <c r="P10" s="51">
        <v>40739.86</v>
      </c>
    </row>
    <row r="11" spans="1:16" ht="24" x14ac:dyDescent="0.3">
      <c r="A11" s="102"/>
      <c r="B11" s="58"/>
      <c r="C11" s="62"/>
      <c r="D11" s="63"/>
      <c r="E11" s="63"/>
      <c r="F11" s="63"/>
      <c r="G11" s="63"/>
      <c r="J11" s="96"/>
      <c r="K11" s="52" t="s">
        <v>147</v>
      </c>
      <c r="L11" s="53">
        <v>2</v>
      </c>
      <c r="M11" s="54">
        <v>22100.32</v>
      </c>
      <c r="N11" s="54">
        <v>44200.639999999999</v>
      </c>
      <c r="O11" s="54">
        <v>14144.2</v>
      </c>
      <c r="P11" s="54">
        <v>58344.84</v>
      </c>
    </row>
    <row r="12" spans="1:16" ht="18" customHeight="1" x14ac:dyDescent="0.3">
      <c r="A12" s="102"/>
      <c r="B12" s="58"/>
      <c r="C12" s="62"/>
      <c r="D12" s="63"/>
      <c r="E12" s="63"/>
      <c r="F12" s="63"/>
      <c r="G12" s="63"/>
      <c r="J12" s="96"/>
      <c r="K12" s="48" t="s">
        <v>155</v>
      </c>
      <c r="L12" s="49">
        <v>1</v>
      </c>
      <c r="M12" s="51">
        <v>29876.38</v>
      </c>
      <c r="N12" s="51">
        <v>29876.38</v>
      </c>
      <c r="O12" s="51">
        <v>9560.44</v>
      </c>
      <c r="P12" s="51">
        <v>39436.82</v>
      </c>
    </row>
    <row r="13" spans="1:16" ht="15" customHeight="1" x14ac:dyDescent="0.3">
      <c r="A13" s="102"/>
      <c r="B13" s="58"/>
      <c r="C13" s="62"/>
      <c r="D13" s="63"/>
      <c r="E13" s="63"/>
      <c r="F13" s="63"/>
      <c r="G13" s="63"/>
      <c r="J13" s="96"/>
      <c r="K13" s="52" t="s">
        <v>151</v>
      </c>
      <c r="L13" s="53">
        <v>4</v>
      </c>
      <c r="M13" s="54">
        <v>29876.38</v>
      </c>
      <c r="N13" s="54">
        <v>119505.52</v>
      </c>
      <c r="O13" s="54">
        <v>38241.769999999997</v>
      </c>
      <c r="P13" s="54">
        <v>157747.29</v>
      </c>
    </row>
    <row r="14" spans="1:16" ht="19.2" customHeight="1" x14ac:dyDescent="0.3">
      <c r="A14" s="102"/>
      <c r="B14" s="58"/>
      <c r="C14" s="62"/>
      <c r="D14" s="63"/>
      <c r="E14" s="63"/>
      <c r="F14" s="63"/>
      <c r="G14" s="63"/>
      <c r="J14" s="96"/>
      <c r="K14" s="48" t="s">
        <v>152</v>
      </c>
      <c r="L14" s="49">
        <v>5</v>
      </c>
      <c r="M14" s="51">
        <v>29876.38</v>
      </c>
      <c r="N14" s="51">
        <v>149381.9</v>
      </c>
      <c r="O14" s="51">
        <v>47802.21</v>
      </c>
      <c r="P14" s="51">
        <v>197184.11</v>
      </c>
    </row>
    <row r="15" spans="1:16" ht="13.8" customHeight="1" x14ac:dyDescent="0.3">
      <c r="A15" s="102"/>
      <c r="B15" s="58"/>
      <c r="C15" s="62"/>
      <c r="D15" s="63"/>
      <c r="E15" s="63"/>
      <c r="F15" s="63"/>
      <c r="G15" s="63"/>
      <c r="J15" s="96"/>
      <c r="K15" s="52" t="s">
        <v>162</v>
      </c>
      <c r="L15" s="53">
        <v>1</v>
      </c>
      <c r="M15" s="54">
        <v>31745.69</v>
      </c>
      <c r="N15" s="54">
        <v>31745.69</v>
      </c>
      <c r="O15" s="54">
        <v>10158.620000000001</v>
      </c>
      <c r="P15" s="54">
        <v>41904.31</v>
      </c>
    </row>
    <row r="16" spans="1:16" ht="14.4" customHeight="1" x14ac:dyDescent="0.3">
      <c r="A16" s="102"/>
      <c r="B16" s="58"/>
      <c r="C16" s="62"/>
      <c r="D16" s="63"/>
      <c r="E16" s="63"/>
      <c r="F16" s="63"/>
      <c r="G16" s="63"/>
      <c r="J16" s="96"/>
      <c r="K16" s="48" t="s">
        <v>150</v>
      </c>
      <c r="L16" s="49">
        <v>3</v>
      </c>
      <c r="M16" s="51">
        <v>29876.38</v>
      </c>
      <c r="N16" s="51">
        <v>89629.14</v>
      </c>
      <c r="O16" s="51">
        <v>28681.32</v>
      </c>
      <c r="P16" s="51">
        <v>118310.46</v>
      </c>
    </row>
    <row r="17" spans="1:16" ht="14.4" customHeight="1" x14ac:dyDescent="0.3">
      <c r="A17" s="102"/>
      <c r="B17" s="58"/>
      <c r="C17" s="62"/>
      <c r="D17" s="63"/>
      <c r="E17" s="63"/>
      <c r="F17" s="63"/>
      <c r="G17" s="63"/>
      <c r="J17" s="96"/>
      <c r="K17" s="52" t="s">
        <v>149</v>
      </c>
      <c r="L17" s="53">
        <v>1</v>
      </c>
      <c r="M17" s="54">
        <v>24146.66</v>
      </c>
      <c r="N17" s="54">
        <v>24146.66</v>
      </c>
      <c r="O17" s="54">
        <v>7726.93</v>
      </c>
      <c r="P17" s="54">
        <v>31873.59</v>
      </c>
    </row>
    <row r="18" spans="1:16" x14ac:dyDescent="0.3">
      <c r="A18" s="102"/>
      <c r="B18" s="58"/>
      <c r="C18" s="62"/>
      <c r="D18" s="63"/>
      <c r="E18" s="63"/>
      <c r="F18" s="63"/>
      <c r="G18" s="63"/>
      <c r="J18" s="96" t="s">
        <v>160</v>
      </c>
      <c r="K18" s="48" t="s">
        <v>157</v>
      </c>
      <c r="L18" s="49">
        <v>1</v>
      </c>
      <c r="M18" s="51">
        <v>32820.019999999997</v>
      </c>
      <c r="N18" s="51">
        <v>32820.019999999997</v>
      </c>
      <c r="O18" s="51">
        <v>10502.41</v>
      </c>
      <c r="P18" s="51">
        <v>43322.43</v>
      </c>
    </row>
    <row r="19" spans="1:16" x14ac:dyDescent="0.3">
      <c r="A19" s="102"/>
      <c r="B19" s="58"/>
      <c r="C19" s="62"/>
      <c r="D19" s="63"/>
      <c r="E19" s="63"/>
      <c r="F19" s="63"/>
      <c r="G19" s="63"/>
      <c r="J19" s="96"/>
      <c r="K19" s="52" t="s">
        <v>159</v>
      </c>
      <c r="L19" s="53">
        <v>1</v>
      </c>
      <c r="M19" s="54">
        <v>28129.64</v>
      </c>
      <c r="N19" s="54">
        <v>28129.64</v>
      </c>
      <c r="O19" s="54">
        <v>9001.48</v>
      </c>
      <c r="P19" s="54">
        <v>37131.120000000003</v>
      </c>
    </row>
    <row r="20" spans="1:16" ht="15" thickBot="1" x14ac:dyDescent="0.35">
      <c r="A20" s="102"/>
      <c r="B20" s="58"/>
      <c r="C20" s="62"/>
      <c r="D20" s="63"/>
      <c r="E20" s="63"/>
      <c r="F20" s="63"/>
      <c r="G20" s="63"/>
      <c r="J20" s="97"/>
      <c r="K20" s="48" t="s">
        <v>158</v>
      </c>
      <c r="L20" s="49">
        <v>2</v>
      </c>
      <c r="M20" s="51">
        <v>27165.8</v>
      </c>
      <c r="N20" s="51">
        <v>54331.6</v>
      </c>
      <c r="O20" s="51">
        <v>17386.11</v>
      </c>
      <c r="P20" s="51">
        <v>71717.710000000006</v>
      </c>
    </row>
    <row r="21" spans="1:16" x14ac:dyDescent="0.3">
      <c r="A21" s="99"/>
      <c r="B21" s="99"/>
      <c r="C21" s="62"/>
      <c r="D21" s="63"/>
      <c r="E21" s="63"/>
      <c r="F21" s="63"/>
      <c r="G21" s="63"/>
      <c r="J21" s="93" t="s">
        <v>161</v>
      </c>
      <c r="K21" s="93"/>
      <c r="L21" s="55">
        <v>30</v>
      </c>
      <c r="M21" s="56"/>
      <c r="N21" s="57">
        <v>1000634.97</v>
      </c>
      <c r="O21" s="57">
        <v>320203.19</v>
      </c>
      <c r="P21" s="57">
        <v>1320838.1599999999</v>
      </c>
    </row>
    <row r="22" spans="1:16" x14ac:dyDescent="0.3">
      <c r="A22" s="100"/>
      <c r="B22" s="100"/>
    </row>
  </sheetData>
  <mergeCells count="13">
    <mergeCell ref="A3:B3"/>
    <mergeCell ref="A21:B21"/>
    <mergeCell ref="A22:B22"/>
    <mergeCell ref="A7:A9"/>
    <mergeCell ref="A4:A6"/>
    <mergeCell ref="A18:A20"/>
    <mergeCell ref="A10:A17"/>
    <mergeCell ref="J21:K21"/>
    <mergeCell ref="J3:K3"/>
    <mergeCell ref="J4:J6"/>
    <mergeCell ref="J7:J9"/>
    <mergeCell ref="J10:J17"/>
    <mergeCell ref="J18:J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E9B2-C0BF-44EC-9D1D-0A5BA82813C6}">
  <dimension ref="A1:W57"/>
  <sheetViews>
    <sheetView topLeftCell="A7" zoomScale="70" zoomScaleNormal="70" workbookViewId="0">
      <selection activeCell="H28" sqref="H28"/>
    </sheetView>
  </sheetViews>
  <sheetFormatPr baseColWidth="10" defaultRowHeight="14.4" x14ac:dyDescent="0.3"/>
  <cols>
    <col min="1" max="1" width="34.6640625" bestFit="1" customWidth="1"/>
    <col min="2" max="2" width="15.33203125" style="39" bestFit="1" customWidth="1"/>
    <col min="5" max="5" width="15.33203125" style="39" bestFit="1" customWidth="1"/>
    <col min="7" max="7" width="18.6640625" bestFit="1" customWidth="1"/>
    <col min="8" max="8" width="24.5546875" bestFit="1" customWidth="1"/>
    <col min="9" max="13" width="16.44140625" bestFit="1" customWidth="1"/>
    <col min="14" max="22" width="13.77734375" bestFit="1" customWidth="1"/>
    <col min="23" max="23" width="14.33203125" bestFit="1" customWidth="1"/>
  </cols>
  <sheetData>
    <row r="1" spans="1:23" s="73" customFormat="1" x14ac:dyDescent="0.3">
      <c r="B1" s="39"/>
      <c r="E1" s="39"/>
    </row>
    <row r="2" spans="1:23" s="73" customFormat="1" x14ac:dyDescent="0.3">
      <c r="A2" s="73" t="s">
        <v>281</v>
      </c>
      <c r="B2" s="39">
        <f>11000000/$D$5</f>
        <v>11000</v>
      </c>
      <c r="E2" s="39"/>
    </row>
    <row r="3" spans="1:23" s="73" customFormat="1" ht="15.6" x14ac:dyDescent="0.3">
      <c r="B3" s="39"/>
      <c r="E3" s="39"/>
      <c r="H3" s="73" t="s">
        <v>313</v>
      </c>
      <c r="I3" s="80" t="s">
        <v>311</v>
      </c>
      <c r="J3" s="81" t="s">
        <v>312</v>
      </c>
    </row>
    <row r="4" spans="1:23" ht="15.6" x14ac:dyDescent="0.3">
      <c r="A4" t="s">
        <v>117</v>
      </c>
      <c r="B4" s="39">
        <f>2000000/$D$5</f>
        <v>2000</v>
      </c>
      <c r="H4" t="s">
        <v>315</v>
      </c>
      <c r="I4" s="80" t="s">
        <v>314</v>
      </c>
      <c r="J4" s="81" t="s">
        <v>316</v>
      </c>
    </row>
    <row r="5" spans="1:23" x14ac:dyDescent="0.3">
      <c r="A5" t="s">
        <v>118</v>
      </c>
      <c r="B5" s="39">
        <f>3000000/$D$5</f>
        <v>3000</v>
      </c>
      <c r="D5">
        <v>1000</v>
      </c>
      <c r="H5" t="s">
        <v>319</v>
      </c>
      <c r="I5" t="s">
        <v>318</v>
      </c>
      <c r="J5" s="82" t="s">
        <v>317</v>
      </c>
    </row>
    <row r="6" spans="1:23" ht="15.6" x14ac:dyDescent="0.3">
      <c r="A6" t="s">
        <v>119</v>
      </c>
      <c r="B6" s="39">
        <f>1500000/$D$5</f>
        <v>1500</v>
      </c>
      <c r="H6" t="s">
        <v>321</v>
      </c>
      <c r="I6" s="80" t="s">
        <v>320</v>
      </c>
      <c r="J6" s="82" t="s">
        <v>322</v>
      </c>
    </row>
    <row r="8" spans="1:23" x14ac:dyDescent="0.3">
      <c r="A8" t="s">
        <v>120</v>
      </c>
      <c r="B8" s="39">
        <f>302540*85*0.93/$D$5</f>
        <v>23915.787</v>
      </c>
      <c r="G8" s="9"/>
      <c r="H8" s="9" t="s">
        <v>111</v>
      </c>
      <c r="I8" s="9" t="s">
        <v>112</v>
      </c>
      <c r="J8" s="9" t="s">
        <v>113</v>
      </c>
      <c r="K8" s="9" t="s">
        <v>114</v>
      </c>
      <c r="L8" s="9" t="s">
        <v>115</v>
      </c>
      <c r="M8" s="9" t="s">
        <v>116</v>
      </c>
      <c r="N8" s="9" t="s">
        <v>271</v>
      </c>
      <c r="O8" s="9" t="s">
        <v>272</v>
      </c>
      <c r="P8" s="9" t="s">
        <v>273</v>
      </c>
      <c r="Q8" s="9" t="s">
        <v>274</v>
      </c>
      <c r="R8" s="9" t="s">
        <v>275</v>
      </c>
      <c r="S8" s="9" t="s">
        <v>276</v>
      </c>
      <c r="T8" s="9" t="s">
        <v>277</v>
      </c>
      <c r="U8" s="9" t="s">
        <v>278</v>
      </c>
      <c r="V8" s="9" t="s">
        <v>279</v>
      </c>
      <c r="W8" s="9" t="s">
        <v>280</v>
      </c>
    </row>
    <row r="9" spans="1:23" x14ac:dyDescent="0.3">
      <c r="A9" t="s">
        <v>121</v>
      </c>
      <c r="B9" s="42">
        <f>12*4*0.75</f>
        <v>36</v>
      </c>
      <c r="G9" s="9" t="s">
        <v>124</v>
      </c>
      <c r="H9" s="43"/>
      <c r="I9" s="43">
        <f>$B$8*$B$9</f>
        <v>860968.33200000005</v>
      </c>
      <c r="J9" s="43">
        <f>$B$8*$B$9</f>
        <v>860968.33200000005</v>
      </c>
      <c r="K9" s="43">
        <f t="shared" ref="K9:W9" si="0">$B$8*$B$9</f>
        <v>860968.33200000005</v>
      </c>
      <c r="L9" s="43">
        <f t="shared" si="0"/>
        <v>860968.33200000005</v>
      </c>
      <c r="M9" s="43">
        <f t="shared" si="0"/>
        <v>860968.33200000005</v>
      </c>
      <c r="N9" s="43">
        <f t="shared" si="0"/>
        <v>860968.33200000005</v>
      </c>
      <c r="O9" s="43">
        <f t="shared" si="0"/>
        <v>860968.33200000005</v>
      </c>
      <c r="P9" s="43">
        <f t="shared" si="0"/>
        <v>860968.33200000005</v>
      </c>
      <c r="Q9" s="43">
        <f t="shared" si="0"/>
        <v>860968.33200000005</v>
      </c>
      <c r="R9" s="43">
        <f t="shared" si="0"/>
        <v>860968.33200000005</v>
      </c>
      <c r="S9" s="43">
        <f t="shared" si="0"/>
        <v>860968.33200000005</v>
      </c>
      <c r="T9" s="43">
        <f t="shared" si="0"/>
        <v>860968.33200000005</v>
      </c>
      <c r="U9" s="43">
        <f t="shared" si="0"/>
        <v>860968.33200000005</v>
      </c>
      <c r="V9" s="43">
        <f t="shared" si="0"/>
        <v>860968.33200000005</v>
      </c>
      <c r="W9" s="43">
        <f t="shared" si="0"/>
        <v>860968.33200000005</v>
      </c>
    </row>
    <row r="10" spans="1:23" x14ac:dyDescent="0.3">
      <c r="A10" t="s">
        <v>168</v>
      </c>
      <c r="B10" s="2">
        <f>5*4*12*0.75</f>
        <v>180</v>
      </c>
      <c r="D10" t="s">
        <v>270</v>
      </c>
      <c r="E10" s="39">
        <f>15*150/D5</f>
        <v>2.25</v>
      </c>
      <c r="G10" s="9" t="s">
        <v>122</v>
      </c>
      <c r="H10" s="43"/>
      <c r="I10" s="43">
        <f>-$B$13</f>
        <v>-1000.63497</v>
      </c>
      <c r="J10" s="43">
        <f t="shared" ref="J10:W10" si="1">-$B$13</f>
        <v>-1000.63497</v>
      </c>
      <c r="K10" s="43">
        <f t="shared" si="1"/>
        <v>-1000.63497</v>
      </c>
      <c r="L10" s="43">
        <f t="shared" si="1"/>
        <v>-1000.63497</v>
      </c>
      <c r="M10" s="43">
        <f t="shared" si="1"/>
        <v>-1000.63497</v>
      </c>
      <c r="N10" s="43">
        <f t="shared" si="1"/>
        <v>-1000.63497</v>
      </c>
      <c r="O10" s="43">
        <f t="shared" si="1"/>
        <v>-1000.63497</v>
      </c>
      <c r="P10" s="43">
        <f t="shared" si="1"/>
        <v>-1000.63497</v>
      </c>
      <c r="Q10" s="43">
        <f t="shared" si="1"/>
        <v>-1000.63497</v>
      </c>
      <c r="R10" s="43">
        <f t="shared" si="1"/>
        <v>-1000.63497</v>
      </c>
      <c r="S10" s="43">
        <f t="shared" si="1"/>
        <v>-1000.63497</v>
      </c>
      <c r="T10" s="43">
        <f t="shared" si="1"/>
        <v>-1000.63497</v>
      </c>
      <c r="U10" s="43">
        <f t="shared" si="1"/>
        <v>-1000.63497</v>
      </c>
      <c r="V10" s="43">
        <f t="shared" si="1"/>
        <v>-1000.63497</v>
      </c>
      <c r="W10" s="43">
        <f t="shared" si="1"/>
        <v>-1000.63497</v>
      </c>
    </row>
    <row r="11" spans="1:23" x14ac:dyDescent="0.3">
      <c r="A11" t="s">
        <v>169</v>
      </c>
      <c r="B11" s="39">
        <f>5000000/$D$5</f>
        <v>5000</v>
      </c>
      <c r="G11" s="9" t="s">
        <v>123</v>
      </c>
      <c r="H11" s="43"/>
      <c r="I11" s="43">
        <f>-$B$14</f>
        <v>-320.20319000000001</v>
      </c>
      <c r="J11" s="43">
        <f t="shared" ref="J11:W11" si="2">-$B$14</f>
        <v>-320.20319000000001</v>
      </c>
      <c r="K11" s="43">
        <f t="shared" si="2"/>
        <v>-320.20319000000001</v>
      </c>
      <c r="L11" s="43">
        <f t="shared" si="2"/>
        <v>-320.20319000000001</v>
      </c>
      <c r="M11" s="43">
        <f t="shared" si="2"/>
        <v>-320.20319000000001</v>
      </c>
      <c r="N11" s="43">
        <f t="shared" si="2"/>
        <v>-320.20319000000001</v>
      </c>
      <c r="O11" s="43">
        <f t="shared" si="2"/>
        <v>-320.20319000000001</v>
      </c>
      <c r="P11" s="43">
        <f t="shared" si="2"/>
        <v>-320.20319000000001</v>
      </c>
      <c r="Q11" s="43">
        <f t="shared" si="2"/>
        <v>-320.20319000000001</v>
      </c>
      <c r="R11" s="43">
        <f t="shared" si="2"/>
        <v>-320.20319000000001</v>
      </c>
      <c r="S11" s="43">
        <f t="shared" si="2"/>
        <v>-320.20319000000001</v>
      </c>
      <c r="T11" s="43">
        <f t="shared" si="2"/>
        <v>-320.20319000000001</v>
      </c>
      <c r="U11" s="43">
        <f t="shared" si="2"/>
        <v>-320.20319000000001</v>
      </c>
      <c r="V11" s="43">
        <f t="shared" si="2"/>
        <v>-320.20319000000001</v>
      </c>
      <c r="W11" s="43">
        <f t="shared" si="2"/>
        <v>-320.20319000000001</v>
      </c>
    </row>
    <row r="12" spans="1:23" x14ac:dyDescent="0.3">
      <c r="A12" t="s">
        <v>167</v>
      </c>
      <c r="B12" s="39">
        <f>18000/$D$5</f>
        <v>18</v>
      </c>
      <c r="G12" s="9" t="s">
        <v>127</v>
      </c>
      <c r="H12" s="43"/>
      <c r="I12" s="43">
        <f>-$B$12*$B$10</f>
        <v>-3240</v>
      </c>
      <c r="J12" s="43">
        <f t="shared" ref="J12:W12" si="3">-$B$12*$B$10</f>
        <v>-3240</v>
      </c>
      <c r="K12" s="43">
        <f t="shared" si="3"/>
        <v>-3240</v>
      </c>
      <c r="L12" s="43">
        <f t="shared" si="3"/>
        <v>-3240</v>
      </c>
      <c r="M12" s="43">
        <f t="shared" si="3"/>
        <v>-3240</v>
      </c>
      <c r="N12" s="43">
        <f t="shared" si="3"/>
        <v>-3240</v>
      </c>
      <c r="O12" s="43">
        <f t="shared" si="3"/>
        <v>-3240</v>
      </c>
      <c r="P12" s="43">
        <f t="shared" si="3"/>
        <v>-3240</v>
      </c>
      <c r="Q12" s="43">
        <f t="shared" si="3"/>
        <v>-3240</v>
      </c>
      <c r="R12" s="43">
        <f t="shared" si="3"/>
        <v>-3240</v>
      </c>
      <c r="S12" s="43">
        <f t="shared" si="3"/>
        <v>-3240</v>
      </c>
      <c r="T12" s="43">
        <f t="shared" si="3"/>
        <v>-3240</v>
      </c>
      <c r="U12" s="43">
        <f t="shared" si="3"/>
        <v>-3240</v>
      </c>
      <c r="V12" s="43">
        <f t="shared" si="3"/>
        <v>-3240</v>
      </c>
      <c r="W12" s="43">
        <f t="shared" si="3"/>
        <v>-3240</v>
      </c>
    </row>
    <row r="13" spans="1:23" x14ac:dyDescent="0.3">
      <c r="A13" t="s">
        <v>122</v>
      </c>
      <c r="B13" s="50">
        <f>'Sueldos y Seguridad Social'!N21/$D$5</f>
        <v>1000.63497</v>
      </c>
      <c r="G13" s="9" t="str">
        <f>$A$15</f>
        <v>Aceite Lubricante</v>
      </c>
      <c r="H13" s="43"/>
      <c r="I13" s="43">
        <f>-$B$15</f>
        <v>-6</v>
      </c>
      <c r="J13" s="43">
        <f t="shared" ref="J13:W13" si="4">-$B$15</f>
        <v>-6</v>
      </c>
      <c r="K13" s="43">
        <f t="shared" si="4"/>
        <v>-6</v>
      </c>
      <c r="L13" s="43">
        <f t="shared" si="4"/>
        <v>-6</v>
      </c>
      <c r="M13" s="43">
        <f t="shared" si="4"/>
        <v>-6</v>
      </c>
      <c r="N13" s="43">
        <f t="shared" si="4"/>
        <v>-6</v>
      </c>
      <c r="O13" s="43">
        <f t="shared" si="4"/>
        <v>-6</v>
      </c>
      <c r="P13" s="43">
        <f t="shared" si="4"/>
        <v>-6</v>
      </c>
      <c r="Q13" s="43">
        <f t="shared" si="4"/>
        <v>-6</v>
      </c>
      <c r="R13" s="43">
        <f t="shared" si="4"/>
        <v>-6</v>
      </c>
      <c r="S13" s="43">
        <f t="shared" si="4"/>
        <v>-6</v>
      </c>
      <c r="T13" s="43">
        <f t="shared" si="4"/>
        <v>-6</v>
      </c>
      <c r="U13" s="43">
        <f t="shared" si="4"/>
        <v>-6</v>
      </c>
      <c r="V13" s="43">
        <f t="shared" si="4"/>
        <v>-6</v>
      </c>
      <c r="W13" s="43">
        <f t="shared" si="4"/>
        <v>-6</v>
      </c>
    </row>
    <row r="14" spans="1:23" x14ac:dyDescent="0.3">
      <c r="A14" t="s">
        <v>123</v>
      </c>
      <c r="B14" s="50">
        <f>'Sueldos y Seguridad Social'!O21/$D$5</f>
        <v>320.20319000000001</v>
      </c>
      <c r="G14" s="9" t="str">
        <f>$A$16</f>
        <v xml:space="preserve">Provisiones </v>
      </c>
      <c r="H14" s="43"/>
      <c r="I14" s="43">
        <f>-$B$16</f>
        <v>-50</v>
      </c>
      <c r="J14" s="43">
        <f t="shared" ref="J14:W14" si="5">-$B$16</f>
        <v>-50</v>
      </c>
      <c r="K14" s="43">
        <f t="shared" si="5"/>
        <v>-50</v>
      </c>
      <c r="L14" s="43">
        <f t="shared" si="5"/>
        <v>-50</v>
      </c>
      <c r="M14" s="43">
        <f t="shared" si="5"/>
        <v>-50</v>
      </c>
      <c r="N14" s="43">
        <f t="shared" si="5"/>
        <v>-50</v>
      </c>
      <c r="O14" s="43">
        <f t="shared" si="5"/>
        <v>-50</v>
      </c>
      <c r="P14" s="43">
        <f t="shared" si="5"/>
        <v>-50</v>
      </c>
      <c r="Q14" s="43">
        <f t="shared" si="5"/>
        <v>-50</v>
      </c>
      <c r="R14" s="43">
        <f t="shared" si="5"/>
        <v>-50</v>
      </c>
      <c r="S14" s="43">
        <f t="shared" si="5"/>
        <v>-50</v>
      </c>
      <c r="T14" s="43">
        <f t="shared" si="5"/>
        <v>-50</v>
      </c>
      <c r="U14" s="43">
        <f t="shared" si="5"/>
        <v>-50</v>
      </c>
      <c r="V14" s="43">
        <f t="shared" si="5"/>
        <v>-50</v>
      </c>
      <c r="W14" s="43">
        <f t="shared" si="5"/>
        <v>-50</v>
      </c>
    </row>
    <row r="15" spans="1:23" x14ac:dyDescent="0.3">
      <c r="A15" t="s">
        <v>170</v>
      </c>
      <c r="B15" s="39">
        <f>6000/$D$5</f>
        <v>6</v>
      </c>
      <c r="G15" s="9" t="str">
        <f>$A$17</f>
        <v>Compañía de Seguros</v>
      </c>
      <c r="H15" s="43"/>
      <c r="I15" s="43">
        <f>-$B$17</f>
        <v>-600</v>
      </c>
      <c r="J15" s="43">
        <f t="shared" ref="J15:W15" si="6">-$B$17</f>
        <v>-600</v>
      </c>
      <c r="K15" s="43">
        <f t="shared" si="6"/>
        <v>-600</v>
      </c>
      <c r="L15" s="43">
        <f t="shared" si="6"/>
        <v>-600</v>
      </c>
      <c r="M15" s="43">
        <f t="shared" si="6"/>
        <v>-600</v>
      </c>
      <c r="N15" s="43">
        <f t="shared" si="6"/>
        <v>-600</v>
      </c>
      <c r="O15" s="43">
        <f t="shared" si="6"/>
        <v>-600</v>
      </c>
      <c r="P15" s="43">
        <f t="shared" si="6"/>
        <v>-600</v>
      </c>
      <c r="Q15" s="43">
        <f t="shared" si="6"/>
        <v>-600</v>
      </c>
      <c r="R15" s="43">
        <f t="shared" si="6"/>
        <v>-600</v>
      </c>
      <c r="S15" s="43">
        <f t="shared" si="6"/>
        <v>-600</v>
      </c>
      <c r="T15" s="43">
        <f t="shared" si="6"/>
        <v>-600</v>
      </c>
      <c r="U15" s="43">
        <f t="shared" si="6"/>
        <v>-600</v>
      </c>
      <c r="V15" s="43">
        <f t="shared" si="6"/>
        <v>-600</v>
      </c>
      <c r="W15" s="43">
        <f t="shared" si="6"/>
        <v>-600</v>
      </c>
    </row>
    <row r="16" spans="1:23" x14ac:dyDescent="0.3">
      <c r="A16" t="s">
        <v>171</v>
      </c>
      <c r="B16" s="39">
        <f>50000/$D$5</f>
        <v>50</v>
      </c>
      <c r="G16" s="9" t="s">
        <v>125</v>
      </c>
      <c r="H16" s="43"/>
      <c r="I16" s="43">
        <f>-$B$11</f>
        <v>-5000</v>
      </c>
      <c r="J16" s="43">
        <f t="shared" ref="J16:W16" si="7">-$B$11</f>
        <v>-5000</v>
      </c>
      <c r="K16" s="43">
        <f t="shared" si="7"/>
        <v>-5000</v>
      </c>
      <c r="L16" s="43">
        <f t="shared" si="7"/>
        <v>-5000</v>
      </c>
      <c r="M16" s="43">
        <f t="shared" si="7"/>
        <v>-5000</v>
      </c>
      <c r="N16" s="43">
        <f t="shared" si="7"/>
        <v>-5000</v>
      </c>
      <c r="O16" s="43">
        <f t="shared" si="7"/>
        <v>-5000</v>
      </c>
      <c r="P16" s="43">
        <f t="shared" si="7"/>
        <v>-5000</v>
      </c>
      <c r="Q16" s="43">
        <f t="shared" si="7"/>
        <v>-5000</v>
      </c>
      <c r="R16" s="43">
        <f t="shared" si="7"/>
        <v>-5000</v>
      </c>
      <c r="S16" s="43">
        <f t="shared" si="7"/>
        <v>-5000</v>
      </c>
      <c r="T16" s="43">
        <f t="shared" si="7"/>
        <v>-5000</v>
      </c>
      <c r="U16" s="43">
        <f t="shared" si="7"/>
        <v>-5000</v>
      </c>
      <c r="V16" s="43">
        <f t="shared" si="7"/>
        <v>-5000</v>
      </c>
      <c r="W16" s="43">
        <f t="shared" si="7"/>
        <v>-5000</v>
      </c>
    </row>
    <row r="17" spans="1:23" x14ac:dyDescent="0.3">
      <c r="A17" t="s">
        <v>324</v>
      </c>
      <c r="B17" s="39">
        <f>600000/$D$5</f>
        <v>600</v>
      </c>
      <c r="G17" s="9" t="s">
        <v>126</v>
      </c>
      <c r="H17" s="43"/>
      <c r="I17" s="43">
        <f>-$B$26-$B$32</f>
        <v>-160</v>
      </c>
      <c r="J17" s="43">
        <f t="shared" ref="J17:W17" si="8">-$B$26-$B$32</f>
        <v>-160</v>
      </c>
      <c r="K17" s="43">
        <f t="shared" si="8"/>
        <v>-160</v>
      </c>
      <c r="L17" s="43">
        <f t="shared" si="8"/>
        <v>-160</v>
      </c>
      <c r="M17" s="43">
        <f t="shared" si="8"/>
        <v>-160</v>
      </c>
      <c r="N17" s="43">
        <f t="shared" si="8"/>
        <v>-160</v>
      </c>
      <c r="O17" s="43">
        <f t="shared" si="8"/>
        <v>-160</v>
      </c>
      <c r="P17" s="43">
        <f t="shared" si="8"/>
        <v>-160</v>
      </c>
      <c r="Q17" s="43">
        <f t="shared" si="8"/>
        <v>-160</v>
      </c>
      <c r="R17" s="43">
        <f t="shared" si="8"/>
        <v>-160</v>
      </c>
      <c r="S17" s="43">
        <f t="shared" si="8"/>
        <v>-160</v>
      </c>
      <c r="T17" s="43">
        <f t="shared" si="8"/>
        <v>-160</v>
      </c>
      <c r="U17" s="43">
        <f t="shared" si="8"/>
        <v>-160</v>
      </c>
      <c r="V17" s="43">
        <f t="shared" si="8"/>
        <v>-160</v>
      </c>
      <c r="W17" s="43">
        <f t="shared" si="8"/>
        <v>-160</v>
      </c>
    </row>
    <row r="18" spans="1:23" x14ac:dyDescent="0.3">
      <c r="G18" s="9" t="s">
        <v>128</v>
      </c>
      <c r="H18" s="43"/>
      <c r="I18" s="43"/>
      <c r="J18" s="43"/>
      <c r="K18" s="43"/>
      <c r="L18" s="43"/>
      <c r="M18" s="43"/>
      <c r="N18" s="43"/>
      <c r="O18" s="43"/>
      <c r="P18" s="43"/>
      <c r="Q18" s="43"/>
      <c r="R18" s="43"/>
      <c r="S18" s="43"/>
      <c r="T18" s="43"/>
      <c r="U18" s="43"/>
      <c r="V18" s="43"/>
      <c r="W18" s="43"/>
    </row>
    <row r="19" spans="1:23" x14ac:dyDescent="0.3">
      <c r="A19" t="s">
        <v>138</v>
      </c>
      <c r="B19" s="40">
        <v>0.2</v>
      </c>
      <c r="G19" s="9" t="s">
        <v>129</v>
      </c>
      <c r="H19" s="43"/>
      <c r="I19" s="43">
        <f>SUM(I9:I18)</f>
        <v>850591.49384000001</v>
      </c>
      <c r="J19" s="43">
        <f t="shared" ref="J19:M19" si="9">SUM(J9:J18)</f>
        <v>850591.49384000001</v>
      </c>
      <c r="K19" s="43">
        <f t="shared" si="9"/>
        <v>850591.49384000001</v>
      </c>
      <c r="L19" s="43">
        <f t="shared" si="9"/>
        <v>850591.49384000001</v>
      </c>
      <c r="M19" s="43">
        <f t="shared" si="9"/>
        <v>850591.49384000001</v>
      </c>
      <c r="N19" s="43">
        <f t="shared" ref="N19:P19" si="10">SUM(N9:N18)</f>
        <v>850591.49384000001</v>
      </c>
      <c r="O19" s="43">
        <f t="shared" si="10"/>
        <v>850591.49384000001</v>
      </c>
      <c r="P19" s="43">
        <f t="shared" si="10"/>
        <v>850591.49384000001</v>
      </c>
      <c r="Q19" s="43">
        <f t="shared" ref="Q19:W19" si="11">SUM(Q9:Q18)</f>
        <v>850591.49384000001</v>
      </c>
      <c r="R19" s="43">
        <f t="shared" si="11"/>
        <v>850591.49384000001</v>
      </c>
      <c r="S19" s="43">
        <f t="shared" si="11"/>
        <v>850591.49384000001</v>
      </c>
      <c r="T19" s="43">
        <f t="shared" si="11"/>
        <v>850591.49384000001</v>
      </c>
      <c r="U19" s="43">
        <f t="shared" si="11"/>
        <v>850591.49384000001</v>
      </c>
      <c r="V19" s="43">
        <f t="shared" si="11"/>
        <v>850591.49384000001</v>
      </c>
      <c r="W19" s="43">
        <f t="shared" si="11"/>
        <v>850591.49384000001</v>
      </c>
    </row>
    <row r="20" spans="1:23" x14ac:dyDescent="0.3">
      <c r="G20" s="9" t="s">
        <v>130</v>
      </c>
      <c r="H20" s="43"/>
      <c r="I20" s="43">
        <f>-I19*$B$19</f>
        <v>-170118.29876800001</v>
      </c>
      <c r="J20" s="43">
        <f t="shared" ref="J20" si="12">-J19*$B$19</f>
        <v>-170118.29876800001</v>
      </c>
      <c r="K20" s="43">
        <f t="shared" ref="K20" si="13">-K19*$B$19</f>
        <v>-170118.29876800001</v>
      </c>
      <c r="L20" s="43">
        <f t="shared" ref="L20" si="14">-L19*$B$19</f>
        <v>-170118.29876800001</v>
      </c>
      <c r="M20" s="43">
        <f t="shared" ref="M20:O20" si="15">-M19*$B$19</f>
        <v>-170118.29876800001</v>
      </c>
      <c r="N20" s="43">
        <f t="shared" si="15"/>
        <v>-170118.29876800001</v>
      </c>
      <c r="O20" s="43">
        <f t="shared" si="15"/>
        <v>-170118.29876800001</v>
      </c>
      <c r="P20" s="43">
        <f t="shared" ref="P20:W20" si="16">-P19*$B$19</f>
        <v>-170118.29876800001</v>
      </c>
      <c r="Q20" s="43">
        <f t="shared" si="16"/>
        <v>-170118.29876800001</v>
      </c>
      <c r="R20" s="43">
        <f t="shared" si="16"/>
        <v>-170118.29876800001</v>
      </c>
      <c r="S20" s="43">
        <f t="shared" si="16"/>
        <v>-170118.29876800001</v>
      </c>
      <c r="T20" s="43">
        <f t="shared" si="16"/>
        <v>-170118.29876800001</v>
      </c>
      <c r="U20" s="43">
        <f t="shared" si="16"/>
        <v>-170118.29876800001</v>
      </c>
      <c r="V20" s="43">
        <f t="shared" si="16"/>
        <v>-170118.29876800001</v>
      </c>
      <c r="W20" s="43">
        <f t="shared" si="16"/>
        <v>-170118.29876800001</v>
      </c>
    </row>
    <row r="21" spans="1:23" x14ac:dyDescent="0.3">
      <c r="A21" t="s">
        <v>284</v>
      </c>
      <c r="B21" s="39">
        <f>B23/B22</f>
        <v>733.33333333333337</v>
      </c>
      <c r="G21" s="9" t="s">
        <v>131</v>
      </c>
      <c r="H21" s="43"/>
      <c r="I21" s="43">
        <f>SUM(I19:I20)</f>
        <v>680473.19507200003</v>
      </c>
      <c r="J21" s="43">
        <f t="shared" ref="J21:M21" si="17">SUM(J19:J20)</f>
        <v>680473.19507200003</v>
      </c>
      <c r="K21" s="43">
        <f t="shared" si="17"/>
        <v>680473.19507200003</v>
      </c>
      <c r="L21" s="43">
        <f t="shared" si="17"/>
        <v>680473.19507200003</v>
      </c>
      <c r="M21" s="43">
        <f t="shared" si="17"/>
        <v>680473.19507200003</v>
      </c>
      <c r="N21" s="43">
        <f t="shared" ref="N21:P21" si="18">SUM(N19:N20)</f>
        <v>680473.19507200003</v>
      </c>
      <c r="O21" s="43">
        <f t="shared" si="18"/>
        <v>680473.19507200003</v>
      </c>
      <c r="P21" s="43">
        <f t="shared" si="18"/>
        <v>680473.19507200003</v>
      </c>
      <c r="Q21" s="43">
        <f t="shared" ref="Q21:W21" si="19">SUM(Q19:Q20)</f>
        <v>680473.19507200003</v>
      </c>
      <c r="R21" s="43">
        <f t="shared" si="19"/>
        <v>680473.19507200003</v>
      </c>
      <c r="S21" s="43">
        <f t="shared" si="19"/>
        <v>680473.19507200003</v>
      </c>
      <c r="T21" s="43">
        <f t="shared" si="19"/>
        <v>680473.19507200003</v>
      </c>
      <c r="U21" s="43">
        <f t="shared" si="19"/>
        <v>680473.19507200003</v>
      </c>
      <c r="V21" s="43">
        <f t="shared" si="19"/>
        <v>680473.19507200003</v>
      </c>
      <c r="W21" s="43">
        <f t="shared" si="19"/>
        <v>680473.19507200003</v>
      </c>
    </row>
    <row r="22" spans="1:23" x14ac:dyDescent="0.3">
      <c r="A22" t="s">
        <v>282</v>
      </c>
      <c r="B22" s="2">
        <v>15</v>
      </c>
      <c r="C22" t="s">
        <v>285</v>
      </c>
      <c r="G22" s="9" t="s">
        <v>126</v>
      </c>
      <c r="H22" s="43"/>
      <c r="I22" s="43">
        <f>-I17</f>
        <v>160</v>
      </c>
      <c r="J22" s="43">
        <f t="shared" ref="J22:M22" si="20">-J17</f>
        <v>160</v>
      </c>
      <c r="K22" s="43">
        <f t="shared" si="20"/>
        <v>160</v>
      </c>
      <c r="L22" s="43">
        <f t="shared" si="20"/>
        <v>160</v>
      </c>
      <c r="M22" s="43">
        <f t="shared" si="20"/>
        <v>160</v>
      </c>
      <c r="N22" s="43">
        <f t="shared" ref="N22:P22" si="21">-N17</f>
        <v>160</v>
      </c>
      <c r="O22" s="43">
        <f t="shared" si="21"/>
        <v>160</v>
      </c>
      <c r="P22" s="43">
        <f t="shared" si="21"/>
        <v>160</v>
      </c>
      <c r="Q22" s="43">
        <f t="shared" ref="Q22:W22" si="22">-Q17</f>
        <v>160</v>
      </c>
      <c r="R22" s="43">
        <f t="shared" si="22"/>
        <v>160</v>
      </c>
      <c r="S22" s="43">
        <f t="shared" si="22"/>
        <v>160</v>
      </c>
      <c r="T22" s="43">
        <f t="shared" si="22"/>
        <v>160</v>
      </c>
      <c r="U22" s="43">
        <f t="shared" si="22"/>
        <v>160</v>
      </c>
      <c r="V22" s="43">
        <f t="shared" si="22"/>
        <v>160</v>
      </c>
      <c r="W22" s="43">
        <f t="shared" si="22"/>
        <v>160</v>
      </c>
    </row>
    <row r="23" spans="1:23" x14ac:dyDescent="0.3">
      <c r="A23" t="s">
        <v>283</v>
      </c>
      <c r="B23" s="39">
        <f>B2</f>
        <v>11000</v>
      </c>
      <c r="G23" s="9" t="s">
        <v>128</v>
      </c>
      <c r="H23" s="43"/>
      <c r="I23" s="43"/>
      <c r="J23" s="43"/>
      <c r="K23" s="43"/>
      <c r="L23" s="43"/>
      <c r="M23" s="43"/>
      <c r="N23" s="43"/>
      <c r="O23" s="43"/>
      <c r="P23" s="43"/>
      <c r="Q23" s="43"/>
      <c r="R23" s="43"/>
      <c r="S23" s="43"/>
      <c r="T23" s="43"/>
      <c r="U23" s="43"/>
      <c r="V23" s="43"/>
      <c r="W23" s="43"/>
    </row>
    <row r="24" spans="1:23" x14ac:dyDescent="0.3">
      <c r="B24" s="39">
        <f>B23-B21*15</f>
        <v>0</v>
      </c>
      <c r="G24" s="9" t="s">
        <v>132</v>
      </c>
      <c r="H24" s="43">
        <f>-B6-B5-B4-E10</f>
        <v>-6502.25</v>
      </c>
      <c r="I24" s="43"/>
      <c r="J24" s="43"/>
      <c r="K24" s="43"/>
      <c r="L24" s="43"/>
      <c r="M24" s="43"/>
      <c r="N24" s="43"/>
      <c r="O24" s="43"/>
      <c r="P24" s="43"/>
      <c r="Q24" s="43"/>
      <c r="R24" s="43"/>
      <c r="S24" s="43"/>
      <c r="T24" s="43"/>
      <c r="U24" s="43"/>
      <c r="V24" s="43"/>
      <c r="W24" s="43">
        <f t="shared" ref="W24" si="23">O35+O29</f>
        <v>0</v>
      </c>
    </row>
    <row r="25" spans="1:23" x14ac:dyDescent="0.3">
      <c r="G25" s="9" t="s">
        <v>133</v>
      </c>
      <c r="H25" s="43"/>
      <c r="I25" s="43"/>
      <c r="J25" s="43"/>
      <c r="K25" s="43"/>
      <c r="L25" s="43"/>
      <c r="M25" s="43"/>
      <c r="N25" s="43"/>
      <c r="O25" s="43"/>
      <c r="P25" s="43"/>
      <c r="Q25" s="43"/>
      <c r="R25" s="43"/>
      <c r="S25" s="43"/>
      <c r="T25" s="43"/>
      <c r="U25" s="43"/>
      <c r="V25" s="43"/>
      <c r="W25" s="43"/>
    </row>
    <row r="26" spans="1:23" x14ac:dyDescent="0.3">
      <c r="A26" t="s">
        <v>135</v>
      </c>
      <c r="B26" s="39">
        <f>B28/30</f>
        <v>100</v>
      </c>
      <c r="G26" s="9" t="s">
        <v>134</v>
      </c>
      <c r="H26" s="43">
        <f>SUM(H21:H25)</f>
        <v>-6502.25</v>
      </c>
      <c r="I26" s="43">
        <f t="shared" ref="I26:M26" si="24">SUM(I21:I25)</f>
        <v>680633.19507200003</v>
      </c>
      <c r="J26" s="43">
        <f t="shared" si="24"/>
        <v>680633.19507200003</v>
      </c>
      <c r="K26" s="43">
        <f t="shared" si="24"/>
        <v>680633.19507200003</v>
      </c>
      <c r="L26" s="43">
        <f t="shared" si="24"/>
        <v>680633.19507200003</v>
      </c>
      <c r="M26" s="43">
        <f t="shared" si="24"/>
        <v>680633.19507200003</v>
      </c>
      <c r="N26" s="43">
        <f t="shared" ref="N26:P26" si="25">SUM(N21:N25)</f>
        <v>680633.19507200003</v>
      </c>
      <c r="O26" s="43">
        <f t="shared" si="25"/>
        <v>680633.19507200003</v>
      </c>
      <c r="P26" s="43">
        <f t="shared" si="25"/>
        <v>680633.19507200003</v>
      </c>
      <c r="Q26" s="43">
        <f t="shared" ref="Q26:W26" si="26">SUM(Q21:Q25)</f>
        <v>680633.19507200003</v>
      </c>
      <c r="R26" s="43">
        <f t="shared" si="26"/>
        <v>680633.19507200003</v>
      </c>
      <c r="S26" s="43">
        <f t="shared" si="26"/>
        <v>680633.19507200003</v>
      </c>
      <c r="T26" s="43">
        <f t="shared" si="26"/>
        <v>680633.19507200003</v>
      </c>
      <c r="U26" s="43">
        <f t="shared" si="26"/>
        <v>680633.19507200003</v>
      </c>
      <c r="V26" s="43">
        <f t="shared" si="26"/>
        <v>680633.19507200003</v>
      </c>
      <c r="W26" s="43">
        <f t="shared" si="26"/>
        <v>680633.19507200003</v>
      </c>
    </row>
    <row r="27" spans="1:23" x14ac:dyDescent="0.3">
      <c r="A27" t="s">
        <v>166</v>
      </c>
      <c r="K27" s="44"/>
    </row>
    <row r="28" spans="1:23" x14ac:dyDescent="0.3">
      <c r="A28" t="s">
        <v>137</v>
      </c>
      <c r="B28" s="39">
        <f>B5</f>
        <v>3000</v>
      </c>
      <c r="G28" s="9" t="s">
        <v>323</v>
      </c>
      <c r="H28" s="25">
        <f>(I19+H26)/-H26</f>
        <v>129.81494772424929</v>
      </c>
    </row>
    <row r="29" spans="1:23" x14ac:dyDescent="0.3">
      <c r="B29" s="39">
        <f>B28-B26*15</f>
        <v>1500</v>
      </c>
    </row>
    <row r="32" spans="1:23" x14ac:dyDescent="0.3">
      <c r="A32" t="s">
        <v>136</v>
      </c>
      <c r="B32" s="39">
        <f>B34/B33</f>
        <v>60</v>
      </c>
      <c r="D32" s="75"/>
    </row>
    <row r="33" spans="1:23" x14ac:dyDescent="0.3">
      <c r="A33" t="s">
        <v>286</v>
      </c>
      <c r="B33" s="2">
        <v>25</v>
      </c>
      <c r="D33" s="75"/>
    </row>
    <row r="34" spans="1:23" x14ac:dyDescent="0.3">
      <c r="A34" t="s">
        <v>137</v>
      </c>
      <c r="B34" s="39">
        <f>B6</f>
        <v>1500</v>
      </c>
      <c r="D34" s="75"/>
    </row>
    <row r="35" spans="1:23" ht="16.2" x14ac:dyDescent="0.45">
      <c r="B35" s="39">
        <f>B34-B32*15</f>
        <v>600</v>
      </c>
      <c r="E35" s="41"/>
    </row>
    <row r="37" spans="1:23" x14ac:dyDescent="0.3">
      <c r="G37" s="9"/>
      <c r="H37" s="9" t="s">
        <v>111</v>
      </c>
      <c r="I37" s="9" t="s">
        <v>112</v>
      </c>
      <c r="J37" s="9" t="s">
        <v>113</v>
      </c>
      <c r="K37" s="9" t="s">
        <v>114</v>
      </c>
      <c r="L37" s="9" t="s">
        <v>115</v>
      </c>
      <c r="M37" s="9" t="s">
        <v>116</v>
      </c>
      <c r="N37" s="9" t="s">
        <v>271</v>
      </c>
      <c r="O37" s="9" t="s">
        <v>272</v>
      </c>
      <c r="P37" s="9" t="s">
        <v>273</v>
      </c>
      <c r="Q37" s="9" t="s">
        <v>274</v>
      </c>
      <c r="R37" s="9" t="s">
        <v>275</v>
      </c>
      <c r="S37" s="9" t="s">
        <v>276</v>
      </c>
      <c r="T37" s="9" t="s">
        <v>277</v>
      </c>
      <c r="U37" s="9" t="s">
        <v>278</v>
      </c>
      <c r="V37" s="9" t="s">
        <v>279</v>
      </c>
      <c r="W37" s="9" t="s">
        <v>280</v>
      </c>
    </row>
    <row r="38" spans="1:23" x14ac:dyDescent="0.3">
      <c r="G38" s="9" t="s">
        <v>124</v>
      </c>
      <c r="H38" s="43"/>
      <c r="I38" s="43">
        <f>$B$8*$B$9</f>
        <v>860968.33200000005</v>
      </c>
      <c r="J38" s="43">
        <f>$B$8*$B$9</f>
        <v>860968.33200000005</v>
      </c>
      <c r="K38" s="43">
        <f t="shared" ref="K38:W38" si="27">$B$8*$B$9</f>
        <v>860968.33200000005</v>
      </c>
      <c r="L38" s="43">
        <f t="shared" si="27"/>
        <v>860968.33200000005</v>
      </c>
      <c r="M38" s="43">
        <f t="shared" si="27"/>
        <v>860968.33200000005</v>
      </c>
      <c r="N38" s="43">
        <f t="shared" si="27"/>
        <v>860968.33200000005</v>
      </c>
      <c r="O38" s="43">
        <f t="shared" si="27"/>
        <v>860968.33200000005</v>
      </c>
      <c r="P38" s="43">
        <f t="shared" si="27"/>
        <v>860968.33200000005</v>
      </c>
      <c r="Q38" s="43">
        <f t="shared" si="27"/>
        <v>860968.33200000005</v>
      </c>
      <c r="R38" s="43">
        <f t="shared" si="27"/>
        <v>860968.33200000005</v>
      </c>
      <c r="S38" s="43">
        <f t="shared" si="27"/>
        <v>860968.33200000005</v>
      </c>
      <c r="T38" s="43">
        <f t="shared" si="27"/>
        <v>860968.33200000005</v>
      </c>
      <c r="U38" s="43">
        <f t="shared" si="27"/>
        <v>860968.33200000005</v>
      </c>
      <c r="V38" s="43">
        <f t="shared" si="27"/>
        <v>860968.33200000005</v>
      </c>
      <c r="W38" s="43">
        <f t="shared" si="27"/>
        <v>860968.33200000005</v>
      </c>
    </row>
    <row r="39" spans="1:23" x14ac:dyDescent="0.3">
      <c r="G39" s="9" t="s">
        <v>122</v>
      </c>
      <c r="H39" s="43"/>
      <c r="I39" s="43">
        <f>-$B$13</f>
        <v>-1000.63497</v>
      </c>
      <c r="J39" s="43">
        <f t="shared" ref="J39:W39" si="28">-$B$13</f>
        <v>-1000.63497</v>
      </c>
      <c r="K39" s="43">
        <f t="shared" si="28"/>
        <v>-1000.63497</v>
      </c>
      <c r="L39" s="43">
        <f t="shared" si="28"/>
        <v>-1000.63497</v>
      </c>
      <c r="M39" s="43">
        <f t="shared" si="28"/>
        <v>-1000.63497</v>
      </c>
      <c r="N39" s="43">
        <f t="shared" si="28"/>
        <v>-1000.63497</v>
      </c>
      <c r="O39" s="43">
        <f t="shared" si="28"/>
        <v>-1000.63497</v>
      </c>
      <c r="P39" s="43">
        <f t="shared" si="28"/>
        <v>-1000.63497</v>
      </c>
      <c r="Q39" s="43">
        <f t="shared" si="28"/>
        <v>-1000.63497</v>
      </c>
      <c r="R39" s="43">
        <f t="shared" si="28"/>
        <v>-1000.63497</v>
      </c>
      <c r="S39" s="43">
        <f t="shared" si="28"/>
        <v>-1000.63497</v>
      </c>
      <c r="T39" s="43">
        <f t="shared" si="28"/>
        <v>-1000.63497</v>
      </c>
      <c r="U39" s="43">
        <f t="shared" si="28"/>
        <v>-1000.63497</v>
      </c>
      <c r="V39" s="43">
        <f t="shared" si="28"/>
        <v>-1000.63497</v>
      </c>
      <c r="W39" s="43">
        <f t="shared" si="28"/>
        <v>-1000.63497</v>
      </c>
    </row>
    <row r="40" spans="1:23" x14ac:dyDescent="0.3">
      <c r="G40" s="9" t="s">
        <v>123</v>
      </c>
      <c r="H40" s="43"/>
      <c r="I40" s="43">
        <f>-$B$14</f>
        <v>-320.20319000000001</v>
      </c>
      <c r="J40" s="43">
        <f t="shared" ref="J40:W40" si="29">-$B$14</f>
        <v>-320.20319000000001</v>
      </c>
      <c r="K40" s="43">
        <f t="shared" si="29"/>
        <v>-320.20319000000001</v>
      </c>
      <c r="L40" s="43">
        <f t="shared" si="29"/>
        <v>-320.20319000000001</v>
      </c>
      <c r="M40" s="43">
        <f t="shared" si="29"/>
        <v>-320.20319000000001</v>
      </c>
      <c r="N40" s="43">
        <f t="shared" si="29"/>
        <v>-320.20319000000001</v>
      </c>
      <c r="O40" s="43">
        <f t="shared" si="29"/>
        <v>-320.20319000000001</v>
      </c>
      <c r="P40" s="43">
        <f t="shared" si="29"/>
        <v>-320.20319000000001</v>
      </c>
      <c r="Q40" s="43">
        <f t="shared" si="29"/>
        <v>-320.20319000000001</v>
      </c>
      <c r="R40" s="43">
        <f t="shared" si="29"/>
        <v>-320.20319000000001</v>
      </c>
      <c r="S40" s="43">
        <f t="shared" si="29"/>
        <v>-320.20319000000001</v>
      </c>
      <c r="T40" s="43">
        <f t="shared" si="29"/>
        <v>-320.20319000000001</v>
      </c>
      <c r="U40" s="43">
        <f t="shared" si="29"/>
        <v>-320.20319000000001</v>
      </c>
      <c r="V40" s="43">
        <f t="shared" si="29"/>
        <v>-320.20319000000001</v>
      </c>
      <c r="W40" s="43">
        <f t="shared" si="29"/>
        <v>-320.20319000000001</v>
      </c>
    </row>
    <row r="41" spans="1:23" x14ac:dyDescent="0.3">
      <c r="G41" s="9" t="s">
        <v>127</v>
      </c>
      <c r="H41" s="43"/>
      <c r="I41" s="43">
        <f>-$B$12*$B$10</f>
        <v>-3240</v>
      </c>
      <c r="J41" s="43">
        <f t="shared" ref="J41:W41" si="30">-$B$12*$B$10</f>
        <v>-3240</v>
      </c>
      <c r="K41" s="43">
        <f t="shared" si="30"/>
        <v>-3240</v>
      </c>
      <c r="L41" s="43">
        <f t="shared" si="30"/>
        <v>-3240</v>
      </c>
      <c r="M41" s="43">
        <f t="shared" si="30"/>
        <v>-3240</v>
      </c>
      <c r="N41" s="43">
        <f t="shared" si="30"/>
        <v>-3240</v>
      </c>
      <c r="O41" s="43">
        <f t="shared" si="30"/>
        <v>-3240</v>
      </c>
      <c r="P41" s="43">
        <f t="shared" si="30"/>
        <v>-3240</v>
      </c>
      <c r="Q41" s="43">
        <f t="shared" si="30"/>
        <v>-3240</v>
      </c>
      <c r="R41" s="43">
        <f t="shared" si="30"/>
        <v>-3240</v>
      </c>
      <c r="S41" s="43">
        <f t="shared" si="30"/>
        <v>-3240</v>
      </c>
      <c r="T41" s="43">
        <f t="shared" si="30"/>
        <v>-3240</v>
      </c>
      <c r="U41" s="43">
        <f t="shared" si="30"/>
        <v>-3240</v>
      </c>
      <c r="V41" s="43">
        <f t="shared" si="30"/>
        <v>-3240</v>
      </c>
      <c r="W41" s="43">
        <f t="shared" si="30"/>
        <v>-3240</v>
      </c>
    </row>
    <row r="42" spans="1:23" x14ac:dyDescent="0.3">
      <c r="G42" s="9" t="str">
        <f>$A$15</f>
        <v>Aceite Lubricante</v>
      </c>
      <c r="H42" s="43"/>
      <c r="I42" s="43">
        <f>-$B$15</f>
        <v>-6</v>
      </c>
      <c r="J42" s="43">
        <f t="shared" ref="J42:W42" si="31">-$B$15</f>
        <v>-6</v>
      </c>
      <c r="K42" s="43">
        <f t="shared" si="31"/>
        <v>-6</v>
      </c>
      <c r="L42" s="43">
        <f t="shared" si="31"/>
        <v>-6</v>
      </c>
      <c r="M42" s="43">
        <f t="shared" si="31"/>
        <v>-6</v>
      </c>
      <c r="N42" s="43">
        <f t="shared" si="31"/>
        <v>-6</v>
      </c>
      <c r="O42" s="43">
        <f t="shared" si="31"/>
        <v>-6</v>
      </c>
      <c r="P42" s="43">
        <f t="shared" si="31"/>
        <v>-6</v>
      </c>
      <c r="Q42" s="43">
        <f t="shared" si="31"/>
        <v>-6</v>
      </c>
      <c r="R42" s="43">
        <f t="shared" si="31"/>
        <v>-6</v>
      </c>
      <c r="S42" s="43">
        <f t="shared" si="31"/>
        <v>-6</v>
      </c>
      <c r="T42" s="43">
        <f t="shared" si="31"/>
        <v>-6</v>
      </c>
      <c r="U42" s="43">
        <f t="shared" si="31"/>
        <v>-6</v>
      </c>
      <c r="V42" s="43">
        <f t="shared" si="31"/>
        <v>-6</v>
      </c>
      <c r="W42" s="43">
        <f t="shared" si="31"/>
        <v>-6</v>
      </c>
    </row>
    <row r="43" spans="1:23" x14ac:dyDescent="0.3">
      <c r="G43" s="9" t="str">
        <f>$A$16</f>
        <v xml:space="preserve">Provisiones </v>
      </c>
      <c r="H43" s="43"/>
      <c r="I43" s="43">
        <f>-$B$16</f>
        <v>-50</v>
      </c>
      <c r="J43" s="43">
        <f t="shared" ref="J43:W43" si="32">-$B$16</f>
        <v>-50</v>
      </c>
      <c r="K43" s="43">
        <f t="shared" si="32"/>
        <v>-50</v>
      </c>
      <c r="L43" s="43">
        <f t="shared" si="32"/>
        <v>-50</v>
      </c>
      <c r="M43" s="43">
        <f t="shared" si="32"/>
        <v>-50</v>
      </c>
      <c r="N43" s="43">
        <f t="shared" si="32"/>
        <v>-50</v>
      </c>
      <c r="O43" s="43">
        <f t="shared" si="32"/>
        <v>-50</v>
      </c>
      <c r="P43" s="43">
        <f t="shared" si="32"/>
        <v>-50</v>
      </c>
      <c r="Q43" s="43">
        <f t="shared" si="32"/>
        <v>-50</v>
      </c>
      <c r="R43" s="43">
        <f t="shared" si="32"/>
        <v>-50</v>
      </c>
      <c r="S43" s="43">
        <f t="shared" si="32"/>
        <v>-50</v>
      </c>
      <c r="T43" s="43">
        <f t="shared" si="32"/>
        <v>-50</v>
      </c>
      <c r="U43" s="43">
        <f t="shared" si="32"/>
        <v>-50</v>
      </c>
      <c r="V43" s="43">
        <f t="shared" si="32"/>
        <v>-50</v>
      </c>
      <c r="W43" s="43">
        <f t="shared" si="32"/>
        <v>-50</v>
      </c>
    </row>
    <row r="44" spans="1:23" x14ac:dyDescent="0.3">
      <c r="G44" s="9" t="str">
        <f>$A$17</f>
        <v>Compañía de Seguros</v>
      </c>
      <c r="H44" s="43"/>
      <c r="I44" s="43">
        <f>-$B$17</f>
        <v>-600</v>
      </c>
      <c r="J44" s="43">
        <f t="shared" ref="J44:W44" si="33">-$B$17</f>
        <v>-600</v>
      </c>
      <c r="K44" s="43">
        <f t="shared" si="33"/>
        <v>-600</v>
      </c>
      <c r="L44" s="43">
        <f t="shared" si="33"/>
        <v>-600</v>
      </c>
      <c r="M44" s="43">
        <f t="shared" si="33"/>
        <v>-600</v>
      </c>
      <c r="N44" s="43">
        <f t="shared" si="33"/>
        <v>-600</v>
      </c>
      <c r="O44" s="43">
        <f t="shared" si="33"/>
        <v>-600</v>
      </c>
      <c r="P44" s="43">
        <f t="shared" si="33"/>
        <v>-600</v>
      </c>
      <c r="Q44" s="43">
        <f t="shared" si="33"/>
        <v>-600</v>
      </c>
      <c r="R44" s="43">
        <f t="shared" si="33"/>
        <v>-600</v>
      </c>
      <c r="S44" s="43">
        <f t="shared" si="33"/>
        <v>-600</v>
      </c>
      <c r="T44" s="43">
        <f t="shared" si="33"/>
        <v>-600</v>
      </c>
      <c r="U44" s="43">
        <f t="shared" si="33"/>
        <v>-600</v>
      </c>
      <c r="V44" s="43">
        <f t="shared" si="33"/>
        <v>-600</v>
      </c>
      <c r="W44" s="43">
        <f t="shared" si="33"/>
        <v>-600</v>
      </c>
    </row>
    <row r="45" spans="1:23" x14ac:dyDescent="0.3">
      <c r="G45" s="9" t="s">
        <v>125</v>
      </c>
      <c r="H45" s="43"/>
      <c r="I45" s="43">
        <f>-$B$11</f>
        <v>-5000</v>
      </c>
      <c r="J45" s="43">
        <f t="shared" ref="J45:W45" si="34">-$B$11</f>
        <v>-5000</v>
      </c>
      <c r="K45" s="43">
        <f t="shared" si="34"/>
        <v>-5000</v>
      </c>
      <c r="L45" s="43">
        <f t="shared" si="34"/>
        <v>-5000</v>
      </c>
      <c r="M45" s="43">
        <f t="shared" si="34"/>
        <v>-5000</v>
      </c>
      <c r="N45" s="43">
        <f t="shared" si="34"/>
        <v>-5000</v>
      </c>
      <c r="O45" s="43">
        <f t="shared" si="34"/>
        <v>-5000</v>
      </c>
      <c r="P45" s="43">
        <f t="shared" si="34"/>
        <v>-5000</v>
      </c>
      <c r="Q45" s="43">
        <f t="shared" si="34"/>
        <v>-5000</v>
      </c>
      <c r="R45" s="43">
        <f t="shared" si="34"/>
        <v>-5000</v>
      </c>
      <c r="S45" s="43">
        <f t="shared" si="34"/>
        <v>-5000</v>
      </c>
      <c r="T45" s="43">
        <f t="shared" si="34"/>
        <v>-5000</v>
      </c>
      <c r="U45" s="43">
        <f t="shared" si="34"/>
        <v>-5000</v>
      </c>
      <c r="V45" s="43">
        <f t="shared" si="34"/>
        <v>-5000</v>
      </c>
      <c r="W45" s="43">
        <f t="shared" si="34"/>
        <v>-5000</v>
      </c>
    </row>
    <row r="46" spans="1:23" x14ac:dyDescent="0.3">
      <c r="G46" s="9" t="s">
        <v>126</v>
      </c>
      <c r="H46" s="43"/>
      <c r="I46" s="43">
        <f>-$B$21</f>
        <v>-733.33333333333337</v>
      </c>
      <c r="J46" s="43">
        <f t="shared" ref="J46:W46" si="35">-$B$21</f>
        <v>-733.33333333333337</v>
      </c>
      <c r="K46" s="43">
        <f t="shared" si="35"/>
        <v>-733.33333333333337</v>
      </c>
      <c r="L46" s="43">
        <f t="shared" si="35"/>
        <v>-733.33333333333337</v>
      </c>
      <c r="M46" s="43">
        <f t="shared" si="35"/>
        <v>-733.33333333333337</v>
      </c>
      <c r="N46" s="43">
        <f t="shared" si="35"/>
        <v>-733.33333333333337</v>
      </c>
      <c r="O46" s="43">
        <f t="shared" si="35"/>
        <v>-733.33333333333337</v>
      </c>
      <c r="P46" s="43">
        <f t="shared" si="35"/>
        <v>-733.33333333333337</v>
      </c>
      <c r="Q46" s="43">
        <f t="shared" si="35"/>
        <v>-733.33333333333337</v>
      </c>
      <c r="R46" s="43">
        <f t="shared" si="35"/>
        <v>-733.33333333333337</v>
      </c>
      <c r="S46" s="43">
        <f t="shared" si="35"/>
        <v>-733.33333333333337</v>
      </c>
      <c r="T46" s="43">
        <f t="shared" si="35"/>
        <v>-733.33333333333337</v>
      </c>
      <c r="U46" s="43">
        <f t="shared" si="35"/>
        <v>-733.33333333333337</v>
      </c>
      <c r="V46" s="43">
        <f t="shared" si="35"/>
        <v>-733.33333333333337</v>
      </c>
      <c r="W46" s="43">
        <f t="shared" si="35"/>
        <v>-733.33333333333337</v>
      </c>
    </row>
    <row r="47" spans="1:23" x14ac:dyDescent="0.3">
      <c r="G47" s="9" t="s">
        <v>128</v>
      </c>
      <c r="H47" s="43"/>
      <c r="I47" s="43"/>
      <c r="J47" s="43"/>
      <c r="K47" s="43"/>
      <c r="L47" s="43"/>
      <c r="M47" s="43"/>
      <c r="N47" s="43"/>
      <c r="O47" s="43"/>
      <c r="P47" s="43"/>
      <c r="Q47" s="43"/>
      <c r="R47" s="43"/>
      <c r="S47" s="43"/>
      <c r="T47" s="43"/>
      <c r="U47" s="43"/>
      <c r="V47" s="43"/>
      <c r="W47" s="43"/>
    </row>
    <row r="48" spans="1:23" x14ac:dyDescent="0.3">
      <c r="G48" s="9" t="s">
        <v>129</v>
      </c>
      <c r="H48" s="43"/>
      <c r="I48" s="43">
        <f>SUM(I38:I47)</f>
        <v>850018.16050666664</v>
      </c>
      <c r="J48" s="43">
        <f t="shared" ref="J48:W48" si="36">SUM(J38:J47)</f>
        <v>850018.16050666664</v>
      </c>
      <c r="K48" s="43">
        <f t="shared" si="36"/>
        <v>850018.16050666664</v>
      </c>
      <c r="L48" s="43">
        <f t="shared" si="36"/>
        <v>850018.16050666664</v>
      </c>
      <c r="M48" s="43">
        <f t="shared" si="36"/>
        <v>850018.16050666664</v>
      </c>
      <c r="N48" s="43">
        <f t="shared" si="36"/>
        <v>850018.16050666664</v>
      </c>
      <c r="O48" s="43">
        <f t="shared" si="36"/>
        <v>850018.16050666664</v>
      </c>
      <c r="P48" s="43">
        <f t="shared" si="36"/>
        <v>850018.16050666664</v>
      </c>
      <c r="Q48" s="43">
        <f t="shared" si="36"/>
        <v>850018.16050666664</v>
      </c>
      <c r="R48" s="43">
        <f t="shared" si="36"/>
        <v>850018.16050666664</v>
      </c>
      <c r="S48" s="43">
        <f t="shared" si="36"/>
        <v>850018.16050666664</v>
      </c>
      <c r="T48" s="43">
        <f t="shared" si="36"/>
        <v>850018.16050666664</v>
      </c>
      <c r="U48" s="43">
        <f t="shared" si="36"/>
        <v>850018.16050666664</v>
      </c>
      <c r="V48" s="43">
        <f t="shared" si="36"/>
        <v>850018.16050666664</v>
      </c>
      <c r="W48" s="43">
        <f t="shared" si="36"/>
        <v>850018.16050666664</v>
      </c>
    </row>
    <row r="49" spans="7:23" x14ac:dyDescent="0.3">
      <c r="G49" s="9" t="s">
        <v>130</v>
      </c>
      <c r="H49" s="43"/>
      <c r="I49" s="43">
        <f>-I48*$B$19</f>
        <v>-170003.63210133335</v>
      </c>
      <c r="J49" s="43">
        <f t="shared" ref="J49:W49" si="37">-J48*$B$19</f>
        <v>-170003.63210133335</v>
      </c>
      <c r="K49" s="43">
        <f t="shared" si="37"/>
        <v>-170003.63210133335</v>
      </c>
      <c r="L49" s="43">
        <f t="shared" si="37"/>
        <v>-170003.63210133335</v>
      </c>
      <c r="M49" s="43">
        <f t="shared" si="37"/>
        <v>-170003.63210133335</v>
      </c>
      <c r="N49" s="43">
        <f t="shared" si="37"/>
        <v>-170003.63210133335</v>
      </c>
      <c r="O49" s="43">
        <f t="shared" si="37"/>
        <v>-170003.63210133335</v>
      </c>
      <c r="P49" s="43">
        <f t="shared" si="37"/>
        <v>-170003.63210133335</v>
      </c>
      <c r="Q49" s="43">
        <f t="shared" si="37"/>
        <v>-170003.63210133335</v>
      </c>
      <c r="R49" s="43">
        <f t="shared" si="37"/>
        <v>-170003.63210133335</v>
      </c>
      <c r="S49" s="43">
        <f t="shared" si="37"/>
        <v>-170003.63210133335</v>
      </c>
      <c r="T49" s="43">
        <f t="shared" si="37"/>
        <v>-170003.63210133335</v>
      </c>
      <c r="U49" s="43">
        <f t="shared" si="37"/>
        <v>-170003.63210133335</v>
      </c>
      <c r="V49" s="43">
        <f t="shared" si="37"/>
        <v>-170003.63210133335</v>
      </c>
      <c r="W49" s="43">
        <f t="shared" si="37"/>
        <v>-170003.63210133335</v>
      </c>
    </row>
    <row r="50" spans="7:23" x14ac:dyDescent="0.3">
      <c r="G50" s="9" t="s">
        <v>131</v>
      </c>
      <c r="H50" s="43"/>
      <c r="I50" s="43">
        <f>SUM(I48:I49)</f>
        <v>680014.52840533329</v>
      </c>
      <c r="J50" s="43">
        <f t="shared" ref="J50:W50" si="38">SUM(J48:J49)</f>
        <v>680014.52840533329</v>
      </c>
      <c r="K50" s="43">
        <f t="shared" si="38"/>
        <v>680014.52840533329</v>
      </c>
      <c r="L50" s="43">
        <f t="shared" si="38"/>
        <v>680014.52840533329</v>
      </c>
      <c r="M50" s="43">
        <f t="shared" si="38"/>
        <v>680014.52840533329</v>
      </c>
      <c r="N50" s="43">
        <f t="shared" si="38"/>
        <v>680014.52840533329</v>
      </c>
      <c r="O50" s="43">
        <f t="shared" si="38"/>
        <v>680014.52840533329</v>
      </c>
      <c r="P50" s="43">
        <f t="shared" si="38"/>
        <v>680014.52840533329</v>
      </c>
      <c r="Q50" s="43">
        <f t="shared" si="38"/>
        <v>680014.52840533329</v>
      </c>
      <c r="R50" s="43">
        <f t="shared" si="38"/>
        <v>680014.52840533329</v>
      </c>
      <c r="S50" s="43">
        <f t="shared" si="38"/>
        <v>680014.52840533329</v>
      </c>
      <c r="T50" s="43">
        <f t="shared" si="38"/>
        <v>680014.52840533329</v>
      </c>
      <c r="U50" s="43">
        <f t="shared" si="38"/>
        <v>680014.52840533329</v>
      </c>
      <c r="V50" s="43">
        <f t="shared" si="38"/>
        <v>680014.52840533329</v>
      </c>
      <c r="W50" s="43">
        <f t="shared" si="38"/>
        <v>680014.52840533329</v>
      </c>
    </row>
    <row r="51" spans="7:23" x14ac:dyDescent="0.3">
      <c r="G51" s="9" t="s">
        <v>126</v>
      </c>
      <c r="H51" s="43"/>
      <c r="I51" s="43">
        <f>-I46</f>
        <v>733.33333333333337</v>
      </c>
      <c r="J51" s="43">
        <f t="shared" ref="J51:W51" si="39">-J46</f>
        <v>733.33333333333337</v>
      </c>
      <c r="K51" s="43">
        <f t="shared" si="39"/>
        <v>733.33333333333337</v>
      </c>
      <c r="L51" s="43">
        <f t="shared" si="39"/>
        <v>733.33333333333337</v>
      </c>
      <c r="M51" s="43">
        <f t="shared" si="39"/>
        <v>733.33333333333337</v>
      </c>
      <c r="N51" s="43">
        <f t="shared" si="39"/>
        <v>733.33333333333337</v>
      </c>
      <c r="O51" s="43">
        <f t="shared" si="39"/>
        <v>733.33333333333337</v>
      </c>
      <c r="P51" s="43">
        <f t="shared" si="39"/>
        <v>733.33333333333337</v>
      </c>
      <c r="Q51" s="43">
        <f t="shared" si="39"/>
        <v>733.33333333333337</v>
      </c>
      <c r="R51" s="43">
        <f t="shared" si="39"/>
        <v>733.33333333333337</v>
      </c>
      <c r="S51" s="43">
        <f t="shared" si="39"/>
        <v>733.33333333333337</v>
      </c>
      <c r="T51" s="43">
        <f t="shared" si="39"/>
        <v>733.33333333333337</v>
      </c>
      <c r="U51" s="43">
        <f t="shared" si="39"/>
        <v>733.33333333333337</v>
      </c>
      <c r="V51" s="43">
        <f t="shared" si="39"/>
        <v>733.33333333333337</v>
      </c>
      <c r="W51" s="43">
        <f t="shared" si="39"/>
        <v>733.33333333333337</v>
      </c>
    </row>
    <row r="52" spans="7:23" x14ac:dyDescent="0.3">
      <c r="G52" s="9" t="s">
        <v>128</v>
      </c>
      <c r="H52" s="43"/>
      <c r="I52" s="43"/>
      <c r="J52" s="43"/>
      <c r="K52" s="43"/>
      <c r="L52" s="43"/>
      <c r="M52" s="43"/>
      <c r="N52" s="43"/>
      <c r="O52" s="43"/>
      <c r="P52" s="43"/>
      <c r="Q52" s="43"/>
      <c r="R52" s="43"/>
      <c r="S52" s="43"/>
      <c r="T52" s="43"/>
      <c r="U52" s="43"/>
      <c r="V52" s="43"/>
      <c r="W52" s="43"/>
    </row>
    <row r="53" spans="7:23" x14ac:dyDescent="0.3">
      <c r="G53" s="9" t="s">
        <v>132</v>
      </c>
      <c r="H53" s="43">
        <f>-B2</f>
        <v>-11000</v>
      </c>
      <c r="I53" s="43"/>
      <c r="J53" s="43"/>
      <c r="K53" s="43"/>
      <c r="L53" s="43"/>
      <c r="M53" s="43"/>
      <c r="N53" s="43"/>
      <c r="O53" s="43"/>
      <c r="P53" s="43"/>
      <c r="Q53" s="43"/>
      <c r="R53" s="43"/>
      <c r="S53" s="43"/>
      <c r="T53" s="43"/>
      <c r="U53" s="43"/>
      <c r="V53" s="43"/>
      <c r="W53" s="43">
        <f t="shared" ref="W53" si="40">O64+O58</f>
        <v>0</v>
      </c>
    </row>
    <row r="54" spans="7:23" x14ac:dyDescent="0.3">
      <c r="G54" s="9" t="s">
        <v>133</v>
      </c>
      <c r="H54" s="43"/>
      <c r="I54" s="43"/>
      <c r="J54" s="43"/>
      <c r="K54" s="43"/>
      <c r="L54" s="43"/>
      <c r="M54" s="43"/>
      <c r="N54" s="43"/>
      <c r="O54" s="43"/>
      <c r="P54" s="43"/>
      <c r="Q54" s="43"/>
      <c r="R54" s="43"/>
      <c r="S54" s="43"/>
      <c r="T54" s="43"/>
      <c r="U54" s="43"/>
      <c r="V54" s="43"/>
      <c r="W54" s="43"/>
    </row>
    <row r="55" spans="7:23" x14ac:dyDescent="0.3">
      <c r="G55" s="9" t="s">
        <v>134</v>
      </c>
      <c r="H55" s="43">
        <f>SUM(H50:H54)</f>
        <v>-11000</v>
      </c>
      <c r="I55" s="43">
        <f t="shared" ref="I55:W55" si="41">SUM(I50:I54)</f>
        <v>680747.86173866666</v>
      </c>
      <c r="J55" s="43">
        <f t="shared" si="41"/>
        <v>680747.86173866666</v>
      </c>
      <c r="K55" s="43">
        <f t="shared" si="41"/>
        <v>680747.86173866666</v>
      </c>
      <c r="L55" s="43">
        <f t="shared" si="41"/>
        <v>680747.86173866666</v>
      </c>
      <c r="M55" s="43">
        <f t="shared" si="41"/>
        <v>680747.86173866666</v>
      </c>
      <c r="N55" s="43">
        <f t="shared" si="41"/>
        <v>680747.86173866666</v>
      </c>
      <c r="O55" s="43">
        <f t="shared" si="41"/>
        <v>680747.86173866666</v>
      </c>
      <c r="P55" s="43">
        <f t="shared" si="41"/>
        <v>680747.86173866666</v>
      </c>
      <c r="Q55" s="43">
        <f t="shared" si="41"/>
        <v>680747.86173866666</v>
      </c>
      <c r="R55" s="43">
        <f t="shared" si="41"/>
        <v>680747.86173866666</v>
      </c>
      <c r="S55" s="43">
        <f t="shared" si="41"/>
        <v>680747.86173866666</v>
      </c>
      <c r="T55" s="43">
        <f t="shared" si="41"/>
        <v>680747.86173866666</v>
      </c>
      <c r="U55" s="43">
        <f t="shared" si="41"/>
        <v>680747.86173866666</v>
      </c>
      <c r="V55" s="43">
        <f t="shared" si="41"/>
        <v>680747.86173866666</v>
      </c>
      <c r="W55" s="43">
        <f t="shared" si="41"/>
        <v>680747.86173866666</v>
      </c>
    </row>
    <row r="56" spans="7:23" x14ac:dyDescent="0.3">
      <c r="G56" s="27"/>
      <c r="H56" s="64"/>
      <c r="I56" s="64"/>
      <c r="J56" s="64"/>
      <c r="K56" s="64"/>
      <c r="L56" s="64"/>
      <c r="M56" s="64"/>
    </row>
    <row r="57" spans="7:23" x14ac:dyDescent="0.3">
      <c r="G57" s="9" t="s">
        <v>323</v>
      </c>
      <c r="H57" s="25">
        <f>(I48+H55)/-H55</f>
        <v>76.274378227878785</v>
      </c>
    </row>
  </sheetData>
  <phoneticPr fontId="3" type="noConversion"/>
  <hyperlinks>
    <hyperlink ref="J3" r:id="rId1" xr:uid="{7E3A6A36-3711-4152-B225-A345374A0817}"/>
    <hyperlink ref="J4" r:id="rId2" display="https://www.boe.es/diario_boe/txt.php?id=BOE-A-2021-3350" xr:uid="{A5226B31-9CB9-44E0-926F-3A788425A6FD}"/>
    <hyperlink ref="J5" r:id="rId3" display="https://www.imo.org/es/About/Conventions/Pages/International-Convention-for-the-Prevention-of-Pollution-from-Ships-(MARPOL).aspx" xr:uid="{39D5EC61-FA65-4775-B96C-6A5B6DCE05EF}"/>
    <hyperlink ref="J6" r:id="rId4" xr:uid="{E8627951-2532-4B88-99F0-FCAF0D3B910A}"/>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Planificación</vt:lpstr>
      <vt:lpstr>Precio barril</vt:lpstr>
      <vt:lpstr>Volumen tanques</vt:lpstr>
      <vt:lpstr>Caudales</vt:lpstr>
      <vt:lpstr>Potencia</vt:lpstr>
      <vt:lpstr>Coef. Transf. Calor equivalente</vt:lpstr>
      <vt:lpstr>Coef. Trans. de Calor</vt:lpstr>
      <vt:lpstr>Sueldos y Seguridad Social</vt:lpstr>
      <vt:lpstr>Ejercicio Económico</vt:lpstr>
      <vt:lpstr>Hoja1</vt:lpstr>
      <vt:lpstr>Compra Buque</vt:lpstr>
    </vt:vector>
  </TitlesOfParts>
  <Company>Clarkson Univeristy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Vecino De Haro - vecinor</dc:creator>
  <cp:lastModifiedBy>Rodrigo Vecino</cp:lastModifiedBy>
  <dcterms:created xsi:type="dcterms:W3CDTF">2022-03-06T20:29:28Z</dcterms:created>
  <dcterms:modified xsi:type="dcterms:W3CDTF">2022-05-16T18:31:02Z</dcterms:modified>
</cp:coreProperties>
</file>