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CALCULOS_PARTICIPACIONES_FEDERALES\APORTACIONES ESTATALES\2022\"/>
    </mc:Choice>
  </mc:AlternateContent>
  <bookViews>
    <workbookView xWindow="0" yWindow="0" windowWidth="20490" windowHeight="7620" tabRatio="908" firstSheet="2" activeTab="10"/>
  </bookViews>
  <sheets>
    <sheet name="Part. 2022 Mes" sheetId="113" r:id="rId1"/>
    <sheet name="Hoja1" sheetId="114" r:id="rId2"/>
    <sheet name="Hoja2" sheetId="115" r:id="rId3"/>
    <sheet name="Distribución Mes" sheetId="111" r:id="rId4"/>
    <sheet name="Descentralizados" sheetId="110" r:id="rId5"/>
    <sheet name="Ultracrecimiento" sheetId="107" r:id="rId6"/>
    <sheet name="Desarrollo" sheetId="105" r:id="rId7"/>
    <sheet name="Seguridad" sheetId="104" r:id="rId8"/>
    <sheet name="Participación 2022" sheetId="103" r:id="rId9"/>
    <sheet name="Distribución 2022" sheetId="100" r:id="rId10"/>
    <sheet name="Datos Mun" sheetId="91" r:id="rId11"/>
    <sheet name="Art 14 F I" sheetId="98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A_impresión_IM" localSheetId="10">#REF!</definedName>
    <definedName name="A_impresión_IM" localSheetId="6">#REF!</definedName>
    <definedName name="A_impresión_IM" localSheetId="4">#REF!</definedName>
    <definedName name="A_impresión_IM" localSheetId="3">#REF!</definedName>
    <definedName name="A_impresión_IM" localSheetId="0">#REF!</definedName>
    <definedName name="A_impresión_IM" localSheetId="8">#REF!</definedName>
    <definedName name="A_impresión_IM" localSheetId="7">#REF!</definedName>
    <definedName name="A_impresión_IM">#REF!</definedName>
    <definedName name="AJUSTES" localSheetId="10" hidden="1">{"'beneficiarios'!$A$1:$C$7"}</definedName>
    <definedName name="AJUSTES" localSheetId="6" hidden="1">{"'beneficiarios'!$A$1:$C$7"}</definedName>
    <definedName name="AJUSTES" localSheetId="0" hidden="1">{"'beneficiarios'!$A$1:$C$7"}</definedName>
    <definedName name="AJUSTES" localSheetId="8" hidden="1">{"'beneficiarios'!$A$1:$C$7"}</definedName>
    <definedName name="AJUSTES" localSheetId="7" hidden="1">{"'beneficiarios'!$A$1:$C$7"}</definedName>
    <definedName name="AJUSTES" hidden="1">{"'beneficiarios'!$A$1:$C$7"}</definedName>
    <definedName name="_xlnm.Print_Area" localSheetId="6">Desarrollo!$A$7:$D$71</definedName>
    <definedName name="_xlnm.Print_Area" localSheetId="9">'Distribución 2022'!$L$5:$Q$59</definedName>
    <definedName name="_xlnm.Print_Area" localSheetId="3">'Distribución Mes'!$J$5:$O$59</definedName>
    <definedName name="_xlnm.Print_Area" localSheetId="0">'Part. 2022 Mes'!$A$1:$D$15</definedName>
    <definedName name="_xlnm.Print_Area" localSheetId="8">'Participación 2022'!$A$1:$D$15</definedName>
    <definedName name="_xlnm.Print_Area" localSheetId="7">Seguridad!$A$1:$F$70</definedName>
    <definedName name="_xlnm.Database" localSheetId="10">#REF!</definedName>
    <definedName name="_xlnm.Database" localSheetId="6">#REF!</definedName>
    <definedName name="_xlnm.Database" localSheetId="4">#REF!</definedName>
    <definedName name="_xlnm.Database" localSheetId="3">#REF!</definedName>
    <definedName name="_xlnm.Database" localSheetId="0">#REF!</definedName>
    <definedName name="_xlnm.Database" localSheetId="8">#REF!</definedName>
    <definedName name="_xlnm.Database" localSheetId="7">#REF!</definedName>
    <definedName name="_xlnm.Database">#REF!</definedName>
    <definedName name="cierre_2001" localSheetId="10">'[1]deuda c sadm'!#REF!</definedName>
    <definedName name="cierre_2001" localSheetId="6">'[2]deuda c sadm'!#REF!</definedName>
    <definedName name="cierre_2001" localSheetId="4">'[1]deuda c sadm'!#REF!</definedName>
    <definedName name="cierre_2001" localSheetId="3">'[1]deuda c sadm'!#REF!</definedName>
    <definedName name="cierre_2001" localSheetId="0">'[1]deuda c sadm'!#REF!</definedName>
    <definedName name="cierre_2001" localSheetId="8">'[1]deuda c sadm'!#REF!</definedName>
    <definedName name="cierre_2001" localSheetId="7">'[2]deuda c sadm'!#REF!</definedName>
    <definedName name="cierre_2001">'[1]deuda c sadm'!#REF!</definedName>
    <definedName name="deuda" localSheetId="10">'[1]deuda c sadm'!#REF!</definedName>
    <definedName name="deuda" localSheetId="6">'[2]deuda c sadm'!#REF!</definedName>
    <definedName name="deuda" localSheetId="4">'[1]deuda c sadm'!#REF!</definedName>
    <definedName name="deuda" localSheetId="3">'[1]deuda c sadm'!#REF!</definedName>
    <definedName name="deuda" localSheetId="0">'[1]deuda c sadm'!#REF!</definedName>
    <definedName name="deuda" localSheetId="8">'[1]deuda c sadm'!#REF!</definedName>
    <definedName name="deuda" localSheetId="7">'[2]deuda c sadm'!#REF!</definedName>
    <definedName name="deuda">'[1]deuda c sadm'!#REF!</definedName>
    <definedName name="Deuda_ingTot" localSheetId="10">'[1]deuda c sadm'!#REF!</definedName>
    <definedName name="Deuda_ingTot" localSheetId="6">'[2]deuda c sadm'!#REF!</definedName>
    <definedName name="Deuda_ingTot" localSheetId="4">'[1]deuda c sadm'!#REF!</definedName>
    <definedName name="Deuda_ingTot" localSheetId="3">'[1]deuda c sadm'!#REF!</definedName>
    <definedName name="Deuda_ingTot" localSheetId="0">'[1]deuda c sadm'!#REF!</definedName>
    <definedName name="Deuda_ingTot" localSheetId="8">'[1]deuda c sadm'!#REF!</definedName>
    <definedName name="Deuda_ingTot" localSheetId="7">'[2]deuda c sadm'!#REF!</definedName>
    <definedName name="Deuda_ingTot">'[1]deuda c sadm'!#REF!</definedName>
    <definedName name="ENERO" localSheetId="10">#REF!</definedName>
    <definedName name="ENERO" localSheetId="6">#REF!</definedName>
    <definedName name="ENERO" localSheetId="4">#REF!</definedName>
    <definedName name="ENERO" localSheetId="3">#REF!</definedName>
    <definedName name="ENERO" localSheetId="0">#REF!</definedName>
    <definedName name="ENERO" localSheetId="8">#REF!</definedName>
    <definedName name="ENERO" localSheetId="7">#REF!</definedName>
    <definedName name="ENERO">#REF!</definedName>
    <definedName name="ENEROAJUSTE" localSheetId="10">#REF!</definedName>
    <definedName name="ENEROAJUSTE" localSheetId="4">#REF!</definedName>
    <definedName name="ENEROAJUSTE" localSheetId="3">#REF!</definedName>
    <definedName name="ENEROAJUSTE" localSheetId="0">#REF!</definedName>
    <definedName name="ENEROAJUSTE" localSheetId="8">#REF!</definedName>
    <definedName name="ENEROAJUSTE" localSheetId="7">#REF!</definedName>
    <definedName name="ENEROAJUSTE">#REF!</definedName>
    <definedName name="Estado">'[3]Compendio de nombres'!$C$2:$C$33</definedName>
    <definedName name="Estado1" localSheetId="10">#REF!</definedName>
    <definedName name="Estado1" localSheetId="4">#REF!</definedName>
    <definedName name="Estado1" localSheetId="3">#REF!</definedName>
    <definedName name="Estado1" localSheetId="0">#REF!</definedName>
    <definedName name="Estado1" localSheetId="8">#REF!</definedName>
    <definedName name="Estado1" localSheetId="7">#REF!</definedName>
    <definedName name="Estado1">#REF!</definedName>
    <definedName name="Fto_1" localSheetId="10">#REF!</definedName>
    <definedName name="Fto_1" localSheetId="6">#REF!</definedName>
    <definedName name="Fto_1" localSheetId="4">#REF!</definedName>
    <definedName name="Fto_1" localSheetId="3">#REF!</definedName>
    <definedName name="Fto_1" localSheetId="0">#REF!</definedName>
    <definedName name="Fto_1" localSheetId="8">#REF!</definedName>
    <definedName name="Fto_1" localSheetId="7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6" hidden="1">{"'beneficiarios'!$A$1:$C$7"}</definedName>
    <definedName name="HTML_Control" localSheetId="0" hidden="1">{"'beneficiarios'!$A$1:$C$7"}</definedName>
    <definedName name="HTML_Control" localSheetId="8" hidden="1">{"'beneficiarios'!$A$1:$C$7"}</definedName>
    <definedName name="HTML_Control" localSheetId="7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6" hidden="1">{"'beneficiarios'!$A$1:$C$7"}</definedName>
    <definedName name="INDICADORES" localSheetId="0" hidden="1">{"'beneficiarios'!$A$1:$C$7"}</definedName>
    <definedName name="INDICADORES" localSheetId="8" hidden="1">{"'beneficiarios'!$A$1:$C$7"}</definedName>
    <definedName name="INDICADORES" localSheetId="7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6" hidden="1">{"'beneficiarios'!$A$1:$C$7"}</definedName>
    <definedName name="ingresofederales" localSheetId="0" hidden="1">{"'beneficiarios'!$A$1:$C$7"}</definedName>
    <definedName name="ingresofederales" localSheetId="8" hidden="1">{"'beneficiarios'!$A$1:$C$7"}</definedName>
    <definedName name="ingresofederales" localSheetId="7" hidden="1">{"'beneficiarios'!$A$1:$C$7"}</definedName>
    <definedName name="ingresofederales" hidden="1">{"'beneficiarios'!$A$1:$C$7"}</definedName>
    <definedName name="MUNICIPIOS" localSheetId="0" hidden="1">{"'beneficiarios'!$A$1:$C$7"}</definedName>
    <definedName name="MUNICIPIOS" localSheetId="8" hidden="1">{"'beneficiarios'!$A$1:$C$7"}</definedName>
    <definedName name="MUNICIPIOS" localSheetId="7" hidden="1">{"'beneficiarios'!$A$1:$C$7"}</definedName>
    <definedName name="MUNICIPIOS">[4]IMPORTE!$A$3:$A$53</definedName>
    <definedName name="Notas_Fto_1" localSheetId="10">#REF!</definedName>
    <definedName name="Notas_Fto_1" localSheetId="6">#REF!</definedName>
    <definedName name="Notas_Fto_1" localSheetId="4">#REF!</definedName>
    <definedName name="Notas_Fto_1" localSheetId="3">#REF!</definedName>
    <definedName name="Notas_Fto_1" localSheetId="0">#REF!</definedName>
    <definedName name="Notas_Fto_1" localSheetId="8">#REF!</definedName>
    <definedName name="Notas_Fto_1" localSheetId="7">#REF!</definedName>
    <definedName name="Notas_Fto_1">#REF!</definedName>
    <definedName name="Partidas">[5]TECHO!$B$1:$Q$2798</definedName>
    <definedName name="SINAJUSTE" localSheetId="10" hidden="1">{"'beneficiarios'!$A$1:$C$7"}</definedName>
    <definedName name="SINAJUSTE" localSheetId="6" hidden="1">{"'beneficiarios'!$A$1:$C$7"}</definedName>
    <definedName name="SINAJUSTE" localSheetId="0" hidden="1">{"'beneficiarios'!$A$1:$C$7"}</definedName>
    <definedName name="SINAJUSTE" localSheetId="8" hidden="1">{"'beneficiarios'!$A$1:$C$7"}</definedName>
    <definedName name="SINAJUSTE" localSheetId="7" hidden="1">{"'beneficiarios'!$A$1:$C$7"}</definedName>
    <definedName name="SINAJUSTE" hidden="1">{"'beneficiarios'!$A$1:$C$7"}</definedName>
    <definedName name="t" localSheetId="10">#REF!</definedName>
    <definedName name="t" localSheetId="6">#REF!</definedName>
    <definedName name="t" localSheetId="4">#REF!</definedName>
    <definedName name="t" localSheetId="3">#REF!</definedName>
    <definedName name="t" localSheetId="0">#REF!</definedName>
    <definedName name="t" localSheetId="8">#REF!</definedName>
    <definedName name="t" localSheetId="7">#REF!</definedName>
    <definedName name="t">#REF!</definedName>
    <definedName name="_xlnm.Print_Titles" localSheetId="6">Desarrollo!$A:$A,Desarrollo!$3:$3</definedName>
    <definedName name="_xlnm.Print_Titles" localSheetId="7">Seguridad!$A:$A,Seguridad!$2:$2</definedName>
    <definedName name="TOT" localSheetId="10">#REF!</definedName>
    <definedName name="TOT" localSheetId="6">#REF!</definedName>
    <definedName name="TOT" localSheetId="4">#REF!</definedName>
    <definedName name="TOT" localSheetId="3">#REF!</definedName>
    <definedName name="TOT" localSheetId="0">#REF!</definedName>
    <definedName name="TOT" localSheetId="8">#REF!</definedName>
    <definedName name="TOT" localSheetId="7">#REF!</definedName>
    <definedName name="TOT">#REF!</definedName>
    <definedName name="TOTAL" localSheetId="10">#REF!</definedName>
    <definedName name="TOTAL" localSheetId="6">#REF!</definedName>
    <definedName name="TOTAL" localSheetId="4">#REF!</definedName>
    <definedName name="TOTAL" localSheetId="3">#REF!</definedName>
    <definedName name="TOTAL" localSheetId="0">#REF!</definedName>
    <definedName name="TOTAL" localSheetId="8">#REF!</definedName>
    <definedName name="TOTAL" localSheetId="7">#REF!</definedName>
    <definedName name="TOTAL">#REF!</definedName>
    <definedName name="UNO" localSheetId="10">#REF!</definedName>
    <definedName name="UNO" localSheetId="4">#REF!</definedName>
    <definedName name="UNO" localSheetId="3">#REF!</definedName>
    <definedName name="UNO" localSheetId="0">#REF!</definedName>
    <definedName name="UNO" localSheetId="8">#REF!</definedName>
    <definedName name="UNO" localSheetId="7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F58" i="111" l="1"/>
  <c r="F7" i="111"/>
  <c r="F8" i="111"/>
  <c r="F9" i="111"/>
  <c r="F10" i="111"/>
  <c r="F11" i="111"/>
  <c r="F12" i="111"/>
  <c r="F13" i="111"/>
  <c r="F14" i="111"/>
  <c r="F15" i="111"/>
  <c r="F16" i="111"/>
  <c r="F17" i="111"/>
  <c r="F57" i="111" s="1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6" i="111"/>
  <c r="C39" i="113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E80" i="111" l="1"/>
  <c r="E81" i="111"/>
  <c r="E82" i="111"/>
  <c r="E83" i="111"/>
  <c r="E84" i="111"/>
  <c r="E85" i="111"/>
  <c r="E86" i="111"/>
  <c r="E87" i="111"/>
  <c r="E88" i="111"/>
  <c r="E89" i="111"/>
  <c r="E90" i="111"/>
  <c r="E91" i="111"/>
  <c r="E92" i="111"/>
  <c r="E93" i="111"/>
  <c r="E94" i="111"/>
  <c r="E95" i="111"/>
  <c r="E96" i="111"/>
  <c r="E97" i="111"/>
  <c r="E98" i="111"/>
  <c r="E99" i="111"/>
  <c r="E100" i="111"/>
  <c r="E101" i="111"/>
  <c r="E102" i="111"/>
  <c r="E103" i="111"/>
  <c r="E104" i="111"/>
  <c r="E105" i="111"/>
  <c r="E106" i="111"/>
  <c r="E107" i="111"/>
  <c r="E108" i="111"/>
  <c r="E109" i="111"/>
  <c r="E110" i="111"/>
  <c r="E111" i="111"/>
  <c r="E112" i="111"/>
  <c r="E113" i="111"/>
  <c r="E114" i="111"/>
  <c r="E115" i="111"/>
  <c r="E116" i="111"/>
  <c r="E117" i="111"/>
  <c r="E118" i="111"/>
  <c r="E119" i="111"/>
  <c r="E120" i="111"/>
  <c r="E121" i="111"/>
  <c r="E122" i="111"/>
  <c r="E123" i="111"/>
  <c r="E124" i="111"/>
  <c r="E125" i="111"/>
  <c r="E126" i="111"/>
  <c r="E127" i="111"/>
  <c r="E128" i="111"/>
  <c r="E129" i="111"/>
  <c r="E130" i="111"/>
  <c r="E131" i="111"/>
  <c r="E132" i="111"/>
  <c r="E133" i="111"/>
  <c r="E134" i="111"/>
  <c r="E135" i="111"/>
  <c r="E136" i="111"/>
  <c r="E137" i="111"/>
  <c r="E138" i="111"/>
  <c r="E139" i="111"/>
  <c r="E140" i="111"/>
  <c r="E141" i="111"/>
  <c r="E142" i="111"/>
  <c r="E143" i="111"/>
  <c r="E144" i="111"/>
  <c r="E145" i="111"/>
  <c r="E146" i="111"/>
  <c r="E147" i="111"/>
  <c r="E148" i="111"/>
  <c r="E149" i="111"/>
  <c r="E150" i="111"/>
  <c r="E151" i="111"/>
  <c r="E152" i="111"/>
  <c r="E153" i="111"/>
  <c r="E154" i="111"/>
  <c r="E155" i="111"/>
  <c r="E156" i="111"/>
  <c r="E157" i="111"/>
  <c r="E158" i="111"/>
  <c r="E159" i="111"/>
  <c r="E160" i="111"/>
  <c r="E161" i="111"/>
  <c r="E162" i="111"/>
  <c r="E163" i="111"/>
  <c r="E164" i="111"/>
  <c r="E165" i="111"/>
  <c r="E166" i="111"/>
  <c r="E167" i="111"/>
  <c r="E168" i="111"/>
  <c r="E169" i="111"/>
  <c r="E170" i="111"/>
  <c r="E171" i="111"/>
  <c r="E172" i="111"/>
  <c r="E173" i="111"/>
  <c r="E174" i="111"/>
  <c r="E175" i="111"/>
  <c r="E176" i="111"/>
  <c r="E177" i="111"/>
  <c r="E178" i="111"/>
  <c r="E179" i="111"/>
  <c r="E180" i="111"/>
  <c r="E181" i="111"/>
  <c r="E182" i="111"/>
  <c r="E183" i="111"/>
  <c r="E184" i="111"/>
  <c r="E185" i="111"/>
  <c r="E186" i="111"/>
  <c r="E187" i="111"/>
  <c r="E188" i="111"/>
  <c r="E189" i="111"/>
  <c r="E190" i="111"/>
  <c r="E191" i="111"/>
  <c r="E192" i="111"/>
  <c r="E193" i="111"/>
  <c r="E194" i="111"/>
  <c r="E195" i="111"/>
  <c r="E196" i="111"/>
  <c r="E197" i="111"/>
  <c r="E198" i="111"/>
  <c r="E199" i="111"/>
  <c r="E200" i="111"/>
  <c r="E201" i="111"/>
  <c r="E202" i="111"/>
  <c r="E203" i="111"/>
  <c r="E204" i="111"/>
  <c r="E205" i="111"/>
  <c r="E206" i="111"/>
  <c r="E207" i="111"/>
  <c r="E208" i="111"/>
  <c r="E209" i="111"/>
  <c r="E210" i="111"/>
  <c r="E211" i="111"/>
  <c r="E212" i="111"/>
  <c r="E213" i="111"/>
  <c r="E214" i="111"/>
  <c r="E215" i="111"/>
  <c r="E216" i="111"/>
  <c r="E217" i="111"/>
  <c r="E218" i="111"/>
  <c r="E219" i="111"/>
  <c r="E220" i="111"/>
  <c r="E221" i="111"/>
  <c r="E222" i="111"/>
  <c r="E223" i="111"/>
  <c r="E224" i="111"/>
  <c r="E225" i="111"/>
  <c r="E226" i="111"/>
  <c r="E227" i="111"/>
  <c r="E228" i="111"/>
  <c r="E229" i="111"/>
  <c r="E230" i="111"/>
  <c r="E231" i="111"/>
  <c r="E232" i="111"/>
  <c r="E233" i="111"/>
  <c r="E234" i="111"/>
  <c r="E235" i="111"/>
  <c r="E236" i="111"/>
  <c r="E237" i="111"/>
  <c r="E238" i="111"/>
  <c r="E239" i="111"/>
  <c r="E240" i="111"/>
  <c r="E241" i="111"/>
  <c r="E242" i="111"/>
  <c r="E243" i="111"/>
  <c r="E244" i="111"/>
  <c r="E245" i="111"/>
  <c r="E246" i="111"/>
  <c r="E247" i="111"/>
  <c r="E248" i="111"/>
  <c r="E249" i="111"/>
  <c r="E250" i="111"/>
  <c r="E251" i="111"/>
  <c r="E252" i="111"/>
  <c r="E253" i="111"/>
  <c r="E254" i="111"/>
  <c r="E255" i="111"/>
  <c r="E256" i="111"/>
  <c r="E257" i="111"/>
  <c r="E258" i="111"/>
  <c r="E259" i="111"/>
  <c r="E260" i="111"/>
  <c r="E261" i="111"/>
  <c r="E262" i="111"/>
  <c r="E263" i="111"/>
  <c r="E264" i="111"/>
  <c r="E265" i="111"/>
  <c r="E266" i="111"/>
  <c r="E267" i="111"/>
  <c r="E268" i="111"/>
  <c r="E269" i="111"/>
  <c r="E270" i="111"/>
  <c r="E271" i="111"/>
  <c r="E272" i="111"/>
  <c r="E273" i="111"/>
  <c r="E274" i="111"/>
  <c r="E275" i="111"/>
  <c r="E276" i="111"/>
  <c r="E277" i="111"/>
  <c r="E278" i="111"/>
  <c r="E279" i="111"/>
  <c r="E280" i="111"/>
  <c r="E281" i="111"/>
  <c r="E282" i="111"/>
  <c r="E283" i="111"/>
  <c r="AA8" i="98"/>
  <c r="AA9" i="98"/>
  <c r="AA10" i="98"/>
  <c r="AA11" i="98"/>
  <c r="AA12" i="98"/>
  <c r="AA13" i="98"/>
  <c r="AA14" i="98"/>
  <c r="AA15" i="98"/>
  <c r="AA16" i="98"/>
  <c r="AA17" i="98"/>
  <c r="AA18" i="98"/>
  <c r="AA19" i="98"/>
  <c r="AA20" i="98"/>
  <c r="AA21" i="98"/>
  <c r="AA22" i="98"/>
  <c r="AA23" i="98"/>
  <c r="AA24" i="98"/>
  <c r="AA25" i="98"/>
  <c r="AA26" i="98"/>
  <c r="AA27" i="98"/>
  <c r="AA28" i="98"/>
  <c r="AA29" i="98"/>
  <c r="AA30" i="98"/>
  <c r="AA31" i="98"/>
  <c r="AA32" i="98"/>
  <c r="AA33" i="98"/>
  <c r="AA34" i="98"/>
  <c r="AA35" i="98"/>
  <c r="AA36" i="98"/>
  <c r="AA37" i="98"/>
  <c r="AA38" i="98"/>
  <c r="AA39" i="98"/>
  <c r="AA40" i="98"/>
  <c r="AA41" i="98"/>
  <c r="AA42" i="98"/>
  <c r="AA43" i="98"/>
  <c r="AA44" i="98"/>
  <c r="AA45" i="98"/>
  <c r="AA46" i="98"/>
  <c r="AA47" i="98"/>
  <c r="AA48" i="98"/>
  <c r="AA49" i="98"/>
  <c r="AA50" i="98"/>
  <c r="AA51" i="98"/>
  <c r="AA52" i="98"/>
  <c r="AA53" i="98"/>
  <c r="AA54" i="98"/>
  <c r="AA55" i="98"/>
  <c r="AA56" i="98"/>
  <c r="AA57" i="98"/>
  <c r="AA7" i="98"/>
  <c r="W8" i="98"/>
  <c r="X8" i="98"/>
  <c r="Y8" i="98"/>
  <c r="W9" i="98"/>
  <c r="X9" i="98"/>
  <c r="Y9" i="98"/>
  <c r="W10" i="98"/>
  <c r="X10" i="98"/>
  <c r="Y10" i="98"/>
  <c r="W11" i="98"/>
  <c r="Z11" i="98" s="1"/>
  <c r="X11" i="98"/>
  <c r="Y11" i="98"/>
  <c r="W12" i="98"/>
  <c r="X12" i="98"/>
  <c r="Y12" i="98"/>
  <c r="W13" i="98"/>
  <c r="X13" i="98"/>
  <c r="Y13" i="98"/>
  <c r="W14" i="98"/>
  <c r="X14" i="98"/>
  <c r="Y14" i="98"/>
  <c r="W15" i="98"/>
  <c r="X15" i="98"/>
  <c r="Y15" i="98"/>
  <c r="W16" i="98"/>
  <c r="X16" i="98"/>
  <c r="Y16" i="98"/>
  <c r="W17" i="98"/>
  <c r="X17" i="98"/>
  <c r="Y17" i="98"/>
  <c r="W18" i="98"/>
  <c r="X18" i="98"/>
  <c r="Y18" i="98"/>
  <c r="W19" i="98"/>
  <c r="Z19" i="98" s="1"/>
  <c r="X19" i="98"/>
  <c r="Y19" i="98"/>
  <c r="W20" i="98"/>
  <c r="X20" i="98"/>
  <c r="Y20" i="98"/>
  <c r="W21" i="98"/>
  <c r="X21" i="98"/>
  <c r="Y21" i="98"/>
  <c r="W22" i="98"/>
  <c r="X22" i="98"/>
  <c r="Y22" i="98"/>
  <c r="W23" i="98"/>
  <c r="Z23" i="98" s="1"/>
  <c r="X23" i="98"/>
  <c r="Y23" i="98"/>
  <c r="W24" i="98"/>
  <c r="X24" i="98"/>
  <c r="Y24" i="98"/>
  <c r="W25" i="98"/>
  <c r="X25" i="98"/>
  <c r="Y25" i="98"/>
  <c r="W26" i="98"/>
  <c r="X26" i="98"/>
  <c r="Y26" i="98"/>
  <c r="W27" i="98"/>
  <c r="X27" i="98"/>
  <c r="Y27" i="98"/>
  <c r="W28" i="98"/>
  <c r="X28" i="98"/>
  <c r="Y28" i="98"/>
  <c r="W29" i="98"/>
  <c r="X29" i="98"/>
  <c r="Y29" i="98"/>
  <c r="W30" i="98"/>
  <c r="X30" i="98"/>
  <c r="Y30" i="98"/>
  <c r="W31" i="98"/>
  <c r="Z31" i="98" s="1"/>
  <c r="X31" i="98"/>
  <c r="Y31" i="98"/>
  <c r="W32" i="98"/>
  <c r="X32" i="98"/>
  <c r="Y32" i="98"/>
  <c r="W33" i="98"/>
  <c r="X33" i="98"/>
  <c r="Y33" i="98"/>
  <c r="W34" i="98"/>
  <c r="X34" i="98"/>
  <c r="Y34" i="98"/>
  <c r="W35" i="98"/>
  <c r="X35" i="98"/>
  <c r="Z35" i="98" s="1"/>
  <c r="Y35" i="98"/>
  <c r="W36" i="98"/>
  <c r="X36" i="98"/>
  <c r="Y36" i="98"/>
  <c r="W37" i="98"/>
  <c r="X37" i="98"/>
  <c r="Y37" i="98"/>
  <c r="W38" i="98"/>
  <c r="X38" i="98"/>
  <c r="Y38" i="98"/>
  <c r="W39" i="98"/>
  <c r="X39" i="98"/>
  <c r="Y39" i="98"/>
  <c r="W40" i="98"/>
  <c r="X40" i="98"/>
  <c r="Y40" i="98"/>
  <c r="W41" i="98"/>
  <c r="X41" i="98"/>
  <c r="Y41" i="98"/>
  <c r="W42" i="98"/>
  <c r="X42" i="98"/>
  <c r="Y42" i="98"/>
  <c r="W43" i="98"/>
  <c r="Z43" i="98" s="1"/>
  <c r="X43" i="98"/>
  <c r="Y43" i="98"/>
  <c r="W44" i="98"/>
  <c r="X44" i="98"/>
  <c r="Y44" i="98"/>
  <c r="W45" i="98"/>
  <c r="X45" i="98"/>
  <c r="Y45" i="98"/>
  <c r="W46" i="98"/>
  <c r="X46" i="98"/>
  <c r="Y46" i="98"/>
  <c r="W47" i="98"/>
  <c r="Z47" i="98" s="1"/>
  <c r="X47" i="98"/>
  <c r="Y47" i="98"/>
  <c r="W48" i="98"/>
  <c r="X48" i="98"/>
  <c r="Y48" i="98"/>
  <c r="W49" i="98"/>
  <c r="X49" i="98"/>
  <c r="Y49" i="98"/>
  <c r="W50" i="98"/>
  <c r="X50" i="98"/>
  <c r="Y50" i="98"/>
  <c r="W51" i="98"/>
  <c r="Z51" i="98" s="1"/>
  <c r="X51" i="98"/>
  <c r="Y51" i="98"/>
  <c r="W52" i="98"/>
  <c r="X52" i="98"/>
  <c r="Y52" i="98"/>
  <c r="W53" i="98"/>
  <c r="X53" i="98"/>
  <c r="Y53" i="98"/>
  <c r="W54" i="98"/>
  <c r="X54" i="98"/>
  <c r="Y54" i="98"/>
  <c r="W55" i="98"/>
  <c r="Z55" i="98" s="1"/>
  <c r="X55" i="98"/>
  <c r="Y55" i="98"/>
  <c r="W56" i="98"/>
  <c r="X56" i="98"/>
  <c r="Y56" i="98"/>
  <c r="W57" i="98"/>
  <c r="X57" i="98"/>
  <c r="Y57" i="98"/>
  <c r="Z8" i="98"/>
  <c r="Z10" i="98"/>
  <c r="Z12" i="98"/>
  <c r="Z15" i="98"/>
  <c r="Z16" i="98"/>
  <c r="Z18" i="98"/>
  <c r="Z22" i="98"/>
  <c r="Z25" i="98"/>
  <c r="Z26" i="98"/>
  <c r="Z28" i="98"/>
  <c r="Z32" i="98"/>
  <c r="Z36" i="98"/>
  <c r="Z39" i="98"/>
  <c r="Z40" i="98"/>
  <c r="Z44" i="98"/>
  <c r="Z46" i="98"/>
  <c r="Z48" i="98"/>
  <c r="Z49" i="98"/>
  <c r="Z52" i="98"/>
  <c r="Z57" i="98"/>
  <c r="Z27" i="98"/>
  <c r="Z9" i="98"/>
  <c r="Z20" i="98"/>
  <c r="Z21" i="98"/>
  <c r="Z29" i="98"/>
  <c r="Z33" i="98"/>
  <c r="Z34" i="98"/>
  <c r="Z42" i="98"/>
  <c r="Z50" i="98"/>
  <c r="Z53" i="98"/>
  <c r="Z56" i="98"/>
  <c r="Z30" i="98"/>
  <c r="Z37" i="98"/>
  <c r="Z54" i="98"/>
  <c r="X7" i="98"/>
  <c r="Y7" i="98"/>
  <c r="W7" i="98"/>
  <c r="Z45" i="98"/>
  <c r="Z41" i="98"/>
  <c r="Z38" i="98"/>
  <c r="Z24" i="98"/>
  <c r="Z17" i="98"/>
  <c r="Z14" i="98"/>
  <c r="Z13" i="98"/>
  <c r="W58" i="98" l="1"/>
  <c r="X58" i="98"/>
  <c r="Y58" i="98"/>
  <c r="Z7" i="98"/>
  <c r="Z58" i="98" s="1"/>
  <c r="AA58" i="98" l="1"/>
  <c r="D6" i="104" l="1"/>
  <c r="B5" i="104"/>
  <c r="D4" i="104"/>
  <c r="D5" i="104" s="1"/>
  <c r="D20" i="113" l="1"/>
  <c r="D18" i="113"/>
  <c r="D20" i="103"/>
  <c r="C18" i="103"/>
  <c r="C41" i="113" l="1"/>
  <c r="C20" i="113"/>
  <c r="E13" i="113"/>
  <c r="D13" i="113"/>
  <c r="B13" i="113"/>
  <c r="G12" i="113"/>
  <c r="H12" i="113" s="1"/>
  <c r="G11" i="113"/>
  <c r="H11" i="113" s="1"/>
  <c r="G10" i="113"/>
  <c r="H10" i="113" s="1"/>
  <c r="G9" i="113"/>
  <c r="H9" i="113" s="1"/>
  <c r="G8" i="113"/>
  <c r="H8" i="113" s="1"/>
  <c r="G7" i="113"/>
  <c r="H7" i="113" s="1"/>
  <c r="G6" i="113"/>
  <c r="H6" i="113" s="1"/>
  <c r="G5" i="113"/>
  <c r="H5" i="113" s="1"/>
  <c r="G4" i="113"/>
  <c r="H4" i="113" s="1"/>
  <c r="G3" i="113"/>
  <c r="L56" i="111"/>
  <c r="E56" i="111"/>
  <c r="F232" i="111" s="1"/>
  <c r="E55" i="111"/>
  <c r="F231" i="111" s="1"/>
  <c r="E52" i="111"/>
  <c r="F228" i="111" s="1"/>
  <c r="E51" i="111"/>
  <c r="F227" i="111" s="1"/>
  <c r="E49" i="111"/>
  <c r="F225" i="111" s="1"/>
  <c r="E48" i="111"/>
  <c r="F224" i="111" s="1"/>
  <c r="E47" i="111"/>
  <c r="F223" i="111" s="1"/>
  <c r="E45" i="111"/>
  <c r="F221" i="111" s="1"/>
  <c r="E44" i="111"/>
  <c r="F220" i="111" s="1"/>
  <c r="E43" i="111"/>
  <c r="F219" i="111" s="1"/>
  <c r="E42" i="111"/>
  <c r="F218" i="111" s="1"/>
  <c r="E41" i="111"/>
  <c r="F217" i="111" s="1"/>
  <c r="E40" i="111"/>
  <c r="F216" i="111" s="1"/>
  <c r="E39" i="111"/>
  <c r="F215" i="111" s="1"/>
  <c r="E38" i="111"/>
  <c r="F214" i="111" s="1"/>
  <c r="E37" i="111"/>
  <c r="F213" i="111" s="1"/>
  <c r="E35" i="111"/>
  <c r="F211" i="111" s="1"/>
  <c r="E34" i="111"/>
  <c r="F210" i="111" s="1"/>
  <c r="E33" i="111"/>
  <c r="F209" i="111" s="1"/>
  <c r="E32" i="111"/>
  <c r="F208" i="111" s="1"/>
  <c r="E31" i="111"/>
  <c r="F207" i="111" s="1"/>
  <c r="E30" i="111"/>
  <c r="F206" i="111" s="1"/>
  <c r="E28" i="111"/>
  <c r="F204" i="111" s="1"/>
  <c r="E27" i="111"/>
  <c r="F203" i="111" s="1"/>
  <c r="E26" i="111"/>
  <c r="F202" i="111" s="1"/>
  <c r="E24" i="111"/>
  <c r="F200" i="111" s="1"/>
  <c r="E22" i="111"/>
  <c r="F198" i="111" s="1"/>
  <c r="E21" i="111"/>
  <c r="F197" i="111" s="1"/>
  <c r="E20" i="111"/>
  <c r="F196" i="111" s="1"/>
  <c r="E19" i="111"/>
  <c r="F195" i="111" s="1"/>
  <c r="E17" i="111"/>
  <c r="F193" i="111" s="1"/>
  <c r="E16" i="111"/>
  <c r="F192" i="111" s="1"/>
  <c r="L15" i="111"/>
  <c r="E13" i="111"/>
  <c r="F189" i="111" s="1"/>
  <c r="E12" i="111"/>
  <c r="F188" i="111" s="1"/>
  <c r="E10" i="111"/>
  <c r="F186" i="111" s="1"/>
  <c r="E9" i="111"/>
  <c r="F185" i="111" s="1"/>
  <c r="E8" i="111"/>
  <c r="F184" i="111" s="1"/>
  <c r="E7" i="111"/>
  <c r="F183" i="111" s="1"/>
  <c r="E6" i="111"/>
  <c r="F182" i="111" s="1"/>
  <c r="L12" i="111" l="1"/>
  <c r="L14" i="111"/>
  <c r="L57" i="111"/>
  <c r="L33" i="111"/>
  <c r="L10" i="111"/>
  <c r="G13" i="113"/>
  <c r="H3" i="113"/>
  <c r="H13" i="113" s="1"/>
  <c r="L30" i="111"/>
  <c r="L55" i="111"/>
  <c r="L34" i="111"/>
  <c r="L48" i="111"/>
  <c r="L54" i="111"/>
  <c r="L21" i="111"/>
  <c r="L53" i="111"/>
  <c r="L42" i="111"/>
  <c r="L22" i="111"/>
  <c r="L23" i="111"/>
  <c r="L35" i="111"/>
  <c r="L20" i="111"/>
  <c r="L32" i="111"/>
  <c r="L41" i="111"/>
  <c r="L47" i="111"/>
  <c r="L19" i="111"/>
  <c r="L31" i="111"/>
  <c r="L40" i="111"/>
  <c r="L46" i="111"/>
  <c r="L28" i="111"/>
  <c r="L45" i="111"/>
  <c r="L51" i="111"/>
  <c r="L27" i="111"/>
  <c r="L44" i="111"/>
  <c r="L50" i="111"/>
  <c r="L25" i="111"/>
  <c r="L37" i="111"/>
  <c r="L24" i="111"/>
  <c r="L36" i="111"/>
  <c r="L43" i="111"/>
  <c r="L49" i="111"/>
  <c r="B18" i="113" l="1"/>
  <c r="B20" i="113" s="1"/>
  <c r="B39" i="113"/>
  <c r="B41" i="113" s="1"/>
  <c r="B44" i="113" s="1"/>
  <c r="B46" i="113" s="1"/>
  <c r="B60" i="110" s="1"/>
  <c r="C60" i="110" s="1"/>
  <c r="B34" i="113"/>
  <c r="B36" i="113" s="1"/>
  <c r="B29" i="113"/>
  <c r="B31" i="113" s="1"/>
  <c r="C62" i="110" l="1"/>
  <c r="C63" i="110"/>
  <c r="B21" i="107"/>
  <c r="E58" i="111"/>
  <c r="B5" i="105"/>
  <c r="D58" i="111"/>
  <c r="B23" i="113"/>
  <c r="B25" i="113" s="1"/>
  <c r="C58" i="111"/>
  <c r="B4" i="104"/>
  <c r="R6" i="91"/>
  <c r="R7" i="91"/>
  <c r="R8" i="91"/>
  <c r="R9" i="91"/>
  <c r="R10" i="91"/>
  <c r="R11" i="91"/>
  <c r="R12" i="91"/>
  <c r="R13" i="91"/>
  <c r="R14" i="91"/>
  <c r="R15" i="91"/>
  <c r="R16" i="91"/>
  <c r="R17" i="91"/>
  <c r="R18" i="91"/>
  <c r="R19" i="91"/>
  <c r="R20" i="91"/>
  <c r="R21" i="91"/>
  <c r="R22" i="91"/>
  <c r="R23" i="91"/>
  <c r="R24" i="91"/>
  <c r="R25" i="91"/>
  <c r="R26" i="91"/>
  <c r="R27" i="91"/>
  <c r="R28" i="91"/>
  <c r="R29" i="91"/>
  <c r="R30" i="91"/>
  <c r="R31" i="91"/>
  <c r="R32" i="91"/>
  <c r="R33" i="91"/>
  <c r="R34" i="91"/>
  <c r="R35" i="91"/>
  <c r="R36" i="91"/>
  <c r="R37" i="91"/>
  <c r="R38" i="91"/>
  <c r="R39" i="91"/>
  <c r="R40" i="91"/>
  <c r="R41" i="91"/>
  <c r="R42" i="91"/>
  <c r="R43" i="91"/>
  <c r="R44" i="91"/>
  <c r="R45" i="91"/>
  <c r="R46" i="91"/>
  <c r="R47" i="91"/>
  <c r="R48" i="91"/>
  <c r="R49" i="91"/>
  <c r="R50" i="91"/>
  <c r="R51" i="91"/>
  <c r="R52" i="91"/>
  <c r="R53" i="91"/>
  <c r="R54" i="91"/>
  <c r="R55" i="91"/>
  <c r="R5" i="91"/>
  <c r="K56" i="91"/>
  <c r="L56" i="91"/>
  <c r="M10" i="91" s="1"/>
  <c r="O10" i="91" s="1"/>
  <c r="N56" i="91"/>
  <c r="M34" i="91" l="1"/>
  <c r="O34" i="91" s="1"/>
  <c r="M33" i="91"/>
  <c r="O33" i="91" s="1"/>
  <c r="M45" i="91"/>
  <c r="O45" i="91" s="1"/>
  <c r="R56" i="91"/>
  <c r="S49" i="91" s="1"/>
  <c r="T49" i="91" s="1"/>
  <c r="M11" i="91"/>
  <c r="O11" i="91" s="1"/>
  <c r="M23" i="91"/>
  <c r="O23" i="91" s="1"/>
  <c r="M35" i="91"/>
  <c r="O35" i="91" s="1"/>
  <c r="M47" i="91"/>
  <c r="O47" i="91" s="1"/>
  <c r="M12" i="91"/>
  <c r="O12" i="91" s="1"/>
  <c r="M24" i="91"/>
  <c r="O24" i="91" s="1"/>
  <c r="M36" i="91"/>
  <c r="O36" i="91" s="1"/>
  <c r="M48" i="91"/>
  <c r="O48" i="91" s="1"/>
  <c r="M14" i="91"/>
  <c r="O14" i="91" s="1"/>
  <c r="M38" i="91"/>
  <c r="O38" i="91" s="1"/>
  <c r="M50" i="91"/>
  <c r="O50" i="91" s="1"/>
  <c r="M16" i="91"/>
  <c r="O16" i="91" s="1"/>
  <c r="M40" i="91"/>
  <c r="O40" i="91" s="1"/>
  <c r="M43" i="91"/>
  <c r="O43" i="91" s="1"/>
  <c r="M32" i="91"/>
  <c r="O32" i="91" s="1"/>
  <c r="M13" i="91"/>
  <c r="O13" i="91" s="1"/>
  <c r="M25" i="91"/>
  <c r="O25" i="91" s="1"/>
  <c r="M37" i="91"/>
  <c r="O37" i="91" s="1"/>
  <c r="M49" i="91"/>
  <c r="O49" i="91" s="1"/>
  <c r="M26" i="91"/>
  <c r="O26" i="91" s="1"/>
  <c r="M28" i="91"/>
  <c r="O28" i="91" s="1"/>
  <c r="M31" i="91"/>
  <c r="O31" i="91" s="1"/>
  <c r="M20" i="91"/>
  <c r="O20" i="91" s="1"/>
  <c r="M15" i="91"/>
  <c r="O15" i="91" s="1"/>
  <c r="M27" i="91"/>
  <c r="O27" i="91" s="1"/>
  <c r="M39" i="91"/>
  <c r="O39" i="91" s="1"/>
  <c r="M51" i="91"/>
  <c r="O51" i="91" s="1"/>
  <c r="M52" i="91"/>
  <c r="O52" i="91" s="1"/>
  <c r="M19" i="91"/>
  <c r="O19" i="91" s="1"/>
  <c r="M44" i="91"/>
  <c r="O44" i="91" s="1"/>
  <c r="M17" i="91"/>
  <c r="O17" i="91" s="1"/>
  <c r="M29" i="91"/>
  <c r="O29" i="91" s="1"/>
  <c r="M41" i="91"/>
  <c r="O41" i="91" s="1"/>
  <c r="M53" i="91"/>
  <c r="O53" i="91" s="1"/>
  <c r="M6" i="91"/>
  <c r="O6" i="91" s="1"/>
  <c r="M18" i="91"/>
  <c r="O18" i="91" s="1"/>
  <c r="M30" i="91"/>
  <c r="O30" i="91" s="1"/>
  <c r="M42" i="91"/>
  <c r="O42" i="91" s="1"/>
  <c r="M54" i="91"/>
  <c r="O54" i="91" s="1"/>
  <c r="M7" i="91"/>
  <c r="O7" i="91" s="1"/>
  <c r="M55" i="91"/>
  <c r="O55" i="91" s="1"/>
  <c r="M8" i="91"/>
  <c r="O8" i="91" s="1"/>
  <c r="M5" i="91"/>
  <c r="O5" i="91" s="1"/>
  <c r="O56" i="91" s="1"/>
  <c r="M9" i="91"/>
  <c r="O9" i="91" s="1"/>
  <c r="M46" i="91"/>
  <c r="O46" i="91" s="1"/>
  <c r="M22" i="91"/>
  <c r="O22" i="91" s="1"/>
  <c r="M21" i="91"/>
  <c r="O21" i="91" s="1"/>
  <c r="S28" i="91"/>
  <c r="T28" i="91" s="1"/>
  <c r="S16" i="91"/>
  <c r="T16" i="91" s="1"/>
  <c r="S51" i="91"/>
  <c r="T51" i="91" s="1"/>
  <c r="S18" i="91" l="1"/>
  <c r="T18" i="91" s="1"/>
  <c r="S41" i="91"/>
  <c r="T41" i="91" s="1"/>
  <c r="S25" i="91"/>
  <c r="T25" i="91" s="1"/>
  <c r="S53" i="91"/>
  <c r="T53" i="91" s="1"/>
  <c r="S35" i="91"/>
  <c r="T35" i="91" s="1"/>
  <c r="S40" i="91"/>
  <c r="T40" i="91" s="1"/>
  <c r="S42" i="91"/>
  <c r="T42" i="91" s="1"/>
  <c r="S37" i="91"/>
  <c r="T37" i="91" s="1"/>
  <c r="S52" i="91"/>
  <c r="T52" i="91" s="1"/>
  <c r="S43" i="91"/>
  <c r="T43" i="91" s="1"/>
  <c r="S23" i="91"/>
  <c r="T23" i="91" s="1"/>
  <c r="S7" i="91"/>
  <c r="T7" i="91" s="1"/>
  <c r="S31" i="91"/>
  <c r="T31" i="91" s="1"/>
  <c r="S19" i="91"/>
  <c r="T19" i="91" s="1"/>
  <c r="S15" i="91"/>
  <c r="T15" i="91" s="1"/>
  <c r="S55" i="91"/>
  <c r="T55" i="91" s="1"/>
  <c r="S30" i="91"/>
  <c r="T30" i="91" s="1"/>
  <c r="S13" i="91"/>
  <c r="T13" i="91" s="1"/>
  <c r="S54" i="91"/>
  <c r="T54" i="91" s="1"/>
  <c r="S6" i="91"/>
  <c r="T6" i="91" s="1"/>
  <c r="S27" i="91"/>
  <c r="T27" i="91" s="1"/>
  <c r="S17" i="91"/>
  <c r="T17" i="91" s="1"/>
  <c r="S39" i="91"/>
  <c r="T39" i="91" s="1"/>
  <c r="S47" i="91"/>
  <c r="T47" i="91" s="1"/>
  <c r="S29" i="91"/>
  <c r="T29" i="91" s="1"/>
  <c r="M56" i="91"/>
  <c r="P14" i="91"/>
  <c r="Q14" i="91" s="1"/>
  <c r="P26" i="91"/>
  <c r="Q26" i="91" s="1"/>
  <c r="P38" i="91"/>
  <c r="Q38" i="91" s="1"/>
  <c r="P50" i="91"/>
  <c r="Q50" i="91" s="1"/>
  <c r="P15" i="91"/>
  <c r="Q15" i="91" s="1"/>
  <c r="P27" i="91"/>
  <c r="Q27" i="91" s="1"/>
  <c r="P39" i="91"/>
  <c r="Q39" i="91" s="1"/>
  <c r="P51" i="91"/>
  <c r="Q51" i="91" s="1"/>
  <c r="U51" i="91" s="1"/>
  <c r="AD51" i="91" s="1"/>
  <c r="P29" i="91"/>
  <c r="Q29" i="91" s="1"/>
  <c r="U29" i="91" s="1"/>
  <c r="AD29" i="91" s="1"/>
  <c r="P53" i="91"/>
  <c r="Q53" i="91" s="1"/>
  <c r="P19" i="91"/>
  <c r="Q19" i="91" s="1"/>
  <c r="U19" i="91" s="1"/>
  <c r="AD19" i="91" s="1"/>
  <c r="P43" i="91"/>
  <c r="Q43" i="91" s="1"/>
  <c r="P10" i="91"/>
  <c r="Q10" i="91" s="1"/>
  <c r="P46" i="91"/>
  <c r="Q46" i="91" s="1"/>
  <c r="P36" i="91"/>
  <c r="Q36" i="91" s="1"/>
  <c r="P16" i="91"/>
  <c r="Q16" i="91" s="1"/>
  <c r="P28" i="91"/>
  <c r="Q28" i="91" s="1"/>
  <c r="U28" i="91" s="1"/>
  <c r="AD28" i="91" s="1"/>
  <c r="P40" i="91"/>
  <c r="Q40" i="91" s="1"/>
  <c r="P52" i="91"/>
  <c r="Q52" i="91" s="1"/>
  <c r="P17" i="91"/>
  <c r="Q17" i="91" s="1"/>
  <c r="U17" i="91" s="1"/>
  <c r="AD17" i="91" s="1"/>
  <c r="P41" i="91"/>
  <c r="Q41" i="91" s="1"/>
  <c r="U41" i="91" s="1"/>
  <c r="AD41" i="91" s="1"/>
  <c r="P31" i="91"/>
  <c r="Q31" i="91" s="1"/>
  <c r="U31" i="91" s="1"/>
  <c r="AD31" i="91" s="1"/>
  <c r="P22" i="91"/>
  <c r="Q22" i="91" s="1"/>
  <c r="P11" i="91"/>
  <c r="Q11" i="91" s="1"/>
  <c r="P12" i="91"/>
  <c r="Q12" i="91" s="1"/>
  <c r="P6" i="91"/>
  <c r="Q6" i="91" s="1"/>
  <c r="P18" i="91"/>
  <c r="Q18" i="91" s="1"/>
  <c r="P30" i="91"/>
  <c r="Q30" i="91" s="1"/>
  <c r="P42" i="91"/>
  <c r="Q42" i="91" s="1"/>
  <c r="P54" i="91"/>
  <c r="Q54" i="91" s="1"/>
  <c r="P7" i="91"/>
  <c r="Q7" i="91" s="1"/>
  <c r="P55" i="91"/>
  <c r="Q55" i="91" s="1"/>
  <c r="U55" i="91" s="1"/>
  <c r="AD55" i="91" s="1"/>
  <c r="P35" i="91"/>
  <c r="Q35" i="91" s="1"/>
  <c r="U35" i="91" s="1"/>
  <c r="AD35" i="91" s="1"/>
  <c r="P24" i="91"/>
  <c r="Q24" i="91" s="1"/>
  <c r="P8" i="91"/>
  <c r="Q8" i="91" s="1"/>
  <c r="P20" i="91"/>
  <c r="Q20" i="91" s="1"/>
  <c r="P32" i="91"/>
  <c r="Q32" i="91" s="1"/>
  <c r="P44" i="91"/>
  <c r="Q44" i="91" s="1"/>
  <c r="P5" i="91"/>
  <c r="P9" i="91"/>
  <c r="Q9" i="91" s="1"/>
  <c r="P21" i="91"/>
  <c r="Q21" i="91" s="1"/>
  <c r="P33" i="91"/>
  <c r="Q33" i="91" s="1"/>
  <c r="P45" i="91"/>
  <c r="Q45" i="91" s="1"/>
  <c r="P34" i="91"/>
  <c r="Q34" i="91" s="1"/>
  <c r="P23" i="91"/>
  <c r="Q23" i="91" s="1"/>
  <c r="P47" i="91"/>
  <c r="Q47" i="91" s="1"/>
  <c r="P37" i="91"/>
  <c r="Q37" i="91" s="1"/>
  <c r="P48" i="91"/>
  <c r="Q48" i="91" s="1"/>
  <c r="P49" i="91"/>
  <c r="Q49" i="91" s="1"/>
  <c r="U49" i="91" s="1"/>
  <c r="AD49" i="91" s="1"/>
  <c r="P13" i="91"/>
  <c r="Q13" i="91" s="1"/>
  <c r="P25" i="91"/>
  <c r="Q25" i="91" s="1"/>
  <c r="U25" i="91" s="1"/>
  <c r="AD25" i="91" s="1"/>
  <c r="U16" i="91"/>
  <c r="AD16" i="91" s="1"/>
  <c r="S9" i="91"/>
  <c r="T9" i="91" s="1"/>
  <c r="U9" i="91" s="1"/>
  <c r="AD9" i="91" s="1"/>
  <c r="S21" i="91"/>
  <c r="T21" i="91" s="1"/>
  <c r="U21" i="91" s="1"/>
  <c r="AD21" i="91" s="1"/>
  <c r="S33" i="91"/>
  <c r="T33" i="91" s="1"/>
  <c r="U33" i="91" s="1"/>
  <c r="AD33" i="91" s="1"/>
  <c r="S45" i="91"/>
  <c r="T45" i="91" s="1"/>
  <c r="S12" i="91"/>
  <c r="T12" i="91" s="1"/>
  <c r="S24" i="91"/>
  <c r="T24" i="91" s="1"/>
  <c r="S36" i="91"/>
  <c r="T36" i="91" s="1"/>
  <c r="S48" i="91"/>
  <c r="T48" i="91" s="1"/>
  <c r="S14" i="91"/>
  <c r="T14" i="91" s="1"/>
  <c r="S26" i="91"/>
  <c r="T26" i="91" s="1"/>
  <c r="S38" i="91"/>
  <c r="T38" i="91" s="1"/>
  <c r="S50" i="91"/>
  <c r="T50" i="91" s="1"/>
  <c r="U50" i="91" s="1"/>
  <c r="AD50" i="91" s="1"/>
  <c r="S8" i="91"/>
  <c r="T8" i="91" s="1"/>
  <c r="S20" i="91"/>
  <c r="T20" i="91" s="1"/>
  <c r="U20" i="91" s="1"/>
  <c r="AD20" i="91" s="1"/>
  <c r="S32" i="91"/>
  <c r="T32" i="91" s="1"/>
  <c r="U32" i="91" s="1"/>
  <c r="AD32" i="91" s="1"/>
  <c r="S44" i="91"/>
  <c r="T44" i="91" s="1"/>
  <c r="S5" i="91"/>
  <c r="S22" i="91"/>
  <c r="T22" i="91" s="1"/>
  <c r="S34" i="91"/>
  <c r="T34" i="91" s="1"/>
  <c r="S46" i="91"/>
  <c r="T46" i="91" s="1"/>
  <c r="S10" i="91"/>
  <c r="T10" i="91" s="1"/>
  <c r="S11" i="91"/>
  <c r="T11" i="91" s="1"/>
  <c r="U8" i="91" l="1"/>
  <c r="AD8" i="91" s="1"/>
  <c r="U27" i="91"/>
  <c r="AD27" i="91" s="1"/>
  <c r="U37" i="91"/>
  <c r="AD37" i="91" s="1"/>
  <c r="U52" i="91"/>
  <c r="AD52" i="91" s="1"/>
  <c r="U18" i="91"/>
  <c r="AD18" i="91" s="1"/>
  <c r="U54" i="91"/>
  <c r="AD54" i="91" s="1"/>
  <c r="U42" i="91"/>
  <c r="AD42" i="91" s="1"/>
  <c r="U40" i="91"/>
  <c r="AD40" i="91" s="1"/>
  <c r="U30" i="91"/>
  <c r="AD30" i="91" s="1"/>
  <c r="U39" i="91"/>
  <c r="AD39" i="91" s="1"/>
  <c r="U7" i="91"/>
  <c r="AD7" i="91" s="1"/>
  <c r="U43" i="91"/>
  <c r="AD43" i="91" s="1"/>
  <c r="U47" i="91"/>
  <c r="AD47" i="91" s="1"/>
  <c r="U53" i="91"/>
  <c r="AD53" i="91" s="1"/>
  <c r="U23" i="91"/>
  <c r="AD23" i="91" s="1"/>
  <c r="U15" i="91"/>
  <c r="AD15" i="91" s="1"/>
  <c r="U10" i="91"/>
  <c r="AD10" i="91" s="1"/>
  <c r="U14" i="91"/>
  <c r="AD14" i="91" s="1"/>
  <c r="U13" i="91"/>
  <c r="AD13" i="91" s="1"/>
  <c r="U6" i="91"/>
  <c r="AD6" i="91" s="1"/>
  <c r="U12" i="91"/>
  <c r="AD12" i="91" s="1"/>
  <c r="U44" i="91"/>
  <c r="AD44" i="91" s="1"/>
  <c r="U45" i="91"/>
  <c r="AD45" i="91" s="1"/>
  <c r="T5" i="91"/>
  <c r="S56" i="91"/>
  <c r="Q5" i="91"/>
  <c r="Q56" i="91" s="1"/>
  <c r="P56" i="91"/>
  <c r="U38" i="91"/>
  <c r="AD38" i="91" s="1"/>
  <c r="U11" i="91"/>
  <c r="AD11" i="91" s="1"/>
  <c r="U46" i="91"/>
  <c r="AD46" i="91" s="1"/>
  <c r="U26" i="91"/>
  <c r="AD26" i="91" s="1"/>
  <c r="U48" i="91"/>
  <c r="AD48" i="91" s="1"/>
  <c r="U34" i="91"/>
  <c r="AD34" i="91" s="1"/>
  <c r="U36" i="91"/>
  <c r="AD36" i="91" s="1"/>
  <c r="U22" i="91"/>
  <c r="AD22" i="91" s="1"/>
  <c r="U24" i="91"/>
  <c r="AD24" i="91" s="1"/>
  <c r="F70" i="100"/>
  <c r="F71" i="100"/>
  <c r="F72" i="100"/>
  <c r="F73" i="100"/>
  <c r="F75" i="100"/>
  <c r="F76" i="100"/>
  <c r="F79" i="100"/>
  <c r="F80" i="100"/>
  <c r="F82" i="100"/>
  <c r="F83" i="100"/>
  <c r="F84" i="100"/>
  <c r="F85" i="100"/>
  <c r="F87" i="100"/>
  <c r="F89" i="100"/>
  <c r="F90" i="100"/>
  <c r="F91" i="100"/>
  <c r="F93" i="100"/>
  <c r="F94" i="100"/>
  <c r="F95" i="100"/>
  <c r="F96" i="100"/>
  <c r="F97" i="100"/>
  <c r="F98" i="100"/>
  <c r="F100" i="100"/>
  <c r="F101" i="100"/>
  <c r="F102" i="100"/>
  <c r="F103" i="100"/>
  <c r="F104" i="100"/>
  <c r="F105" i="100"/>
  <c r="F106" i="100"/>
  <c r="F107" i="100"/>
  <c r="F108" i="100"/>
  <c r="F110" i="100"/>
  <c r="F111" i="100"/>
  <c r="F112" i="100"/>
  <c r="F114" i="100"/>
  <c r="F115" i="100"/>
  <c r="F118" i="100"/>
  <c r="F119" i="100"/>
  <c r="F69" i="100"/>
  <c r="U5" i="91" l="1"/>
  <c r="T56" i="91"/>
  <c r="D8" i="103"/>
  <c r="E8" i="103" s="1"/>
  <c r="D9" i="103"/>
  <c r="AD5" i="91" l="1"/>
  <c r="U56" i="91"/>
  <c r="Y5" i="9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D12" i="103" l="1"/>
  <c r="E12" i="103" s="1"/>
  <c r="D11" i="103"/>
  <c r="E11" i="103" s="1"/>
  <c r="D10" i="103"/>
  <c r="E10" i="103" s="1"/>
  <c r="E9" i="103"/>
  <c r="D7" i="103"/>
  <c r="B13" i="103" l="1"/>
  <c r="D11" i="110" l="1"/>
  <c r="D23" i="110"/>
  <c r="D25" i="110"/>
  <c r="D30" i="110"/>
  <c r="D36" i="110"/>
  <c r="D44" i="110"/>
  <c r="D51" i="110"/>
  <c r="D52" i="110"/>
  <c r="D53" i="110"/>
  <c r="B57" i="110"/>
  <c r="C41" i="103" l="1"/>
  <c r="E42" i="103" l="1"/>
  <c r="AL6" i="91"/>
  <c r="AL7" i="91"/>
  <c r="AL8" i="91"/>
  <c r="AL9" i="91"/>
  <c r="AL11" i="91"/>
  <c r="AL12" i="91"/>
  <c r="AL15" i="91"/>
  <c r="AL16" i="91"/>
  <c r="AL18" i="91"/>
  <c r="AL19" i="91"/>
  <c r="AL20" i="91"/>
  <c r="AL21" i="91"/>
  <c r="AL23" i="91"/>
  <c r="AL25" i="91"/>
  <c r="AL26" i="91"/>
  <c r="AL27" i="91"/>
  <c r="AL29" i="91"/>
  <c r="AL30" i="91"/>
  <c r="AL31" i="91"/>
  <c r="AL32" i="91"/>
  <c r="AL33" i="91"/>
  <c r="AL34" i="91"/>
  <c r="AL36" i="91"/>
  <c r="AL37" i="91"/>
  <c r="AL38" i="91"/>
  <c r="AL39" i="91"/>
  <c r="AL40" i="91"/>
  <c r="AL41" i="91"/>
  <c r="AL42" i="91"/>
  <c r="AL43" i="91"/>
  <c r="AL44" i="91"/>
  <c r="AL46" i="91"/>
  <c r="AL47" i="91"/>
  <c r="AL48" i="91"/>
  <c r="AL50" i="91"/>
  <c r="AL51" i="91"/>
  <c r="AL54" i="91"/>
  <c r="AL55" i="91"/>
  <c r="AL5" i="91"/>
  <c r="B62" i="104" l="1"/>
  <c r="B46" i="104"/>
  <c r="B38" i="104"/>
  <c r="B30" i="104"/>
  <c r="B19" i="104"/>
  <c r="B17" i="104"/>
  <c r="B15" i="104"/>
  <c r="B66" i="104"/>
  <c r="AG6" i="91"/>
  <c r="AG7" i="91"/>
  <c r="AG8" i="91"/>
  <c r="AG9" i="91"/>
  <c r="AG10" i="91"/>
  <c r="AG11" i="91"/>
  <c r="AG12" i="91"/>
  <c r="AG13" i="91"/>
  <c r="AG14" i="91"/>
  <c r="AG15" i="91"/>
  <c r="AG16" i="91"/>
  <c r="AG17" i="91"/>
  <c r="AG18" i="91"/>
  <c r="AG19" i="91"/>
  <c r="AG20" i="91"/>
  <c r="AG21" i="91"/>
  <c r="AG22" i="91"/>
  <c r="AG23" i="91"/>
  <c r="AG24" i="91"/>
  <c r="AG25" i="91"/>
  <c r="AG26" i="91"/>
  <c r="AG27" i="91"/>
  <c r="AG28" i="91"/>
  <c r="AG29" i="91"/>
  <c r="AG30" i="91"/>
  <c r="AG31" i="91"/>
  <c r="AG32" i="91"/>
  <c r="AG33" i="91"/>
  <c r="AG34" i="91"/>
  <c r="AG35" i="91"/>
  <c r="AG36" i="91"/>
  <c r="AG37" i="91"/>
  <c r="AG38" i="91"/>
  <c r="AG39" i="91"/>
  <c r="AG40" i="91"/>
  <c r="AG41" i="91"/>
  <c r="AG42" i="91"/>
  <c r="AG43" i="91"/>
  <c r="AG44" i="91"/>
  <c r="AG45" i="91"/>
  <c r="AG46" i="91"/>
  <c r="AG47" i="91"/>
  <c r="AG48" i="91"/>
  <c r="AG49" i="91"/>
  <c r="AG50" i="91"/>
  <c r="AG51" i="91"/>
  <c r="AG52" i="91"/>
  <c r="AG53" i="91"/>
  <c r="AG54" i="91"/>
  <c r="AG55" i="91"/>
  <c r="AG5" i="91"/>
  <c r="AE6" i="91"/>
  <c r="AE7" i="91"/>
  <c r="AE8" i="91"/>
  <c r="AE9" i="91"/>
  <c r="AE10" i="91"/>
  <c r="AE11" i="91"/>
  <c r="AE12" i="91"/>
  <c r="AE13" i="91"/>
  <c r="AE14" i="91"/>
  <c r="AE15" i="91"/>
  <c r="AE16" i="91"/>
  <c r="AE17" i="91"/>
  <c r="AE18" i="91"/>
  <c r="AE19" i="91"/>
  <c r="AE20" i="91"/>
  <c r="AE21" i="91"/>
  <c r="AE22" i="91"/>
  <c r="AE23" i="91"/>
  <c r="AE24" i="91"/>
  <c r="AE25" i="91"/>
  <c r="AE26" i="91"/>
  <c r="AE27" i="91"/>
  <c r="AE28" i="91"/>
  <c r="AE29" i="91"/>
  <c r="AE30" i="91"/>
  <c r="AE31" i="91"/>
  <c r="AE32" i="91"/>
  <c r="AE33" i="91"/>
  <c r="AE34" i="91"/>
  <c r="AE35" i="91"/>
  <c r="AE36" i="91"/>
  <c r="AE37" i="91"/>
  <c r="AE38" i="91"/>
  <c r="AE39" i="91"/>
  <c r="AE40" i="91"/>
  <c r="AE41" i="91"/>
  <c r="AE42" i="91"/>
  <c r="AE43" i="91"/>
  <c r="AE44" i="91"/>
  <c r="AE45" i="91"/>
  <c r="AE46" i="91"/>
  <c r="AE47" i="91"/>
  <c r="AE48" i="91"/>
  <c r="AE49" i="91"/>
  <c r="AE50" i="91"/>
  <c r="AE51" i="91"/>
  <c r="AE52" i="91"/>
  <c r="AE53" i="91"/>
  <c r="AE54" i="91"/>
  <c r="AE55" i="91"/>
  <c r="AE5" i="91"/>
  <c r="AI6" i="91"/>
  <c r="AI7" i="91"/>
  <c r="AI8" i="91"/>
  <c r="AI9" i="91"/>
  <c r="AI10" i="91"/>
  <c r="AI11" i="91"/>
  <c r="AI12" i="91"/>
  <c r="AI13" i="91"/>
  <c r="AI14" i="91"/>
  <c r="AI15" i="91"/>
  <c r="AI16" i="91"/>
  <c r="AI17" i="91"/>
  <c r="AI18" i="91"/>
  <c r="AI19" i="91"/>
  <c r="AI20" i="91"/>
  <c r="AI21" i="91"/>
  <c r="AI22" i="91"/>
  <c r="AI23" i="91"/>
  <c r="AI24" i="91"/>
  <c r="AI25" i="91"/>
  <c r="AI26" i="91"/>
  <c r="AI27" i="91"/>
  <c r="AI28" i="91"/>
  <c r="AI29" i="91"/>
  <c r="AI30" i="91"/>
  <c r="AI31" i="91"/>
  <c r="AI32" i="91"/>
  <c r="AI33" i="91"/>
  <c r="AI34" i="91"/>
  <c r="AI35" i="91"/>
  <c r="AI36" i="91"/>
  <c r="AI37" i="91"/>
  <c r="AI38" i="91"/>
  <c r="AI39" i="91"/>
  <c r="AI40" i="91"/>
  <c r="AI41" i="91"/>
  <c r="AI42" i="91"/>
  <c r="AI43" i="91"/>
  <c r="AI44" i="91"/>
  <c r="AI45" i="91"/>
  <c r="AI46" i="91"/>
  <c r="AI47" i="91"/>
  <c r="AI48" i="91"/>
  <c r="AI49" i="91"/>
  <c r="AI50" i="91"/>
  <c r="AI51" i="91"/>
  <c r="AI52" i="91"/>
  <c r="AI53" i="91"/>
  <c r="AI54" i="91"/>
  <c r="AI55" i="91"/>
  <c r="AI5" i="91"/>
  <c r="AI56" i="91" l="1"/>
  <c r="AJ35" i="91" s="1"/>
  <c r="AJ19" i="91"/>
  <c r="AJ30" i="91"/>
  <c r="AJ37" i="91"/>
  <c r="AJ23" i="91"/>
  <c r="AJ39" i="91"/>
  <c r="AJ15" i="91"/>
  <c r="AE56" i="91"/>
  <c r="AF54" i="91" s="1"/>
  <c r="AG56" i="91"/>
  <c r="AH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J50" i="91"/>
  <c r="AJ42" i="91"/>
  <c r="AJ34" i="91"/>
  <c r="AJ26" i="91"/>
  <c r="AJ18" i="91"/>
  <c r="AJ53" i="91"/>
  <c r="AJ21" i="91"/>
  <c r="AJ17" i="91"/>
  <c r="AJ13" i="91"/>
  <c r="AJ9" i="91"/>
  <c r="AJ5" i="91"/>
  <c r="AJ52" i="91"/>
  <c r="AJ24" i="91"/>
  <c r="AJ20" i="91"/>
  <c r="AJ16" i="91"/>
  <c r="AJ12" i="91"/>
  <c r="AJ8" i="91"/>
  <c r="AJ14" i="91"/>
  <c r="AJ31" i="91" l="1"/>
  <c r="AJ54" i="91"/>
  <c r="AJ7" i="91"/>
  <c r="AJ55" i="91"/>
  <c r="AJ43" i="91"/>
  <c r="AJ25" i="91"/>
  <c r="AJ38" i="91"/>
  <c r="AJ32" i="91"/>
  <c r="AJ36" i="91"/>
  <c r="AJ40" i="91"/>
  <c r="AJ41" i="91"/>
  <c r="AJ27" i="91"/>
  <c r="AJ46" i="91"/>
  <c r="AJ6" i="91"/>
  <c r="AJ44" i="91"/>
  <c r="AJ45" i="91"/>
  <c r="AJ22" i="91"/>
  <c r="AJ11" i="91"/>
  <c r="AJ28" i="91"/>
  <c r="AJ51" i="91"/>
  <c r="AJ29" i="91"/>
  <c r="AJ33" i="91"/>
  <c r="AJ10" i="91"/>
  <c r="AJ48" i="91"/>
  <c r="AJ49" i="91"/>
  <c r="AJ47" i="91"/>
  <c r="AH26" i="91"/>
  <c r="AH42" i="91"/>
  <c r="AH17" i="91"/>
  <c r="AH37" i="91"/>
  <c r="AH8" i="91"/>
  <c r="AH15" i="91"/>
  <c r="AH16" i="91"/>
  <c r="AH31" i="91"/>
  <c r="AH20" i="91"/>
  <c r="AH50" i="91"/>
  <c r="AH28" i="91"/>
  <c r="AH29" i="91"/>
  <c r="AH36" i="91"/>
  <c r="AH51" i="91"/>
  <c r="AH44" i="91"/>
  <c r="AH52" i="91"/>
  <c r="AF35" i="91"/>
  <c r="AF19" i="91"/>
  <c r="AF40" i="91"/>
  <c r="AF14" i="91"/>
  <c r="AH12" i="91"/>
  <c r="AH32" i="91"/>
  <c r="AH48" i="91"/>
  <c r="AH6" i="91"/>
  <c r="AH30" i="91"/>
  <c r="AH46" i="91"/>
  <c r="AH21" i="91"/>
  <c r="AH41" i="91"/>
  <c r="AF29" i="91"/>
  <c r="AF50" i="91"/>
  <c r="AH19" i="91"/>
  <c r="AH39" i="91"/>
  <c r="AF43" i="91"/>
  <c r="AF34" i="91"/>
  <c r="AF7" i="91"/>
  <c r="AF23" i="91"/>
  <c r="AF47" i="91"/>
  <c r="AF21" i="91"/>
  <c r="AH53" i="91"/>
  <c r="AF46" i="91"/>
  <c r="AF8" i="91"/>
  <c r="AF28" i="91"/>
  <c r="AF44" i="91"/>
  <c r="AF17" i="91"/>
  <c r="AH13" i="91"/>
  <c r="AF26" i="91"/>
  <c r="AF13" i="91"/>
  <c r="AF22" i="91"/>
  <c r="AF39" i="91"/>
  <c r="AF20" i="91"/>
  <c r="AF41" i="91"/>
  <c r="AH14" i="91"/>
  <c r="AH34" i="91"/>
  <c r="AH54" i="91"/>
  <c r="AH25" i="91"/>
  <c r="AH45" i="91"/>
  <c r="AF49" i="91"/>
  <c r="AH7" i="91"/>
  <c r="AH23" i="91"/>
  <c r="AH47" i="91"/>
  <c r="AF51" i="91"/>
  <c r="AH10" i="91"/>
  <c r="AF11" i="91"/>
  <c r="AF27" i="91"/>
  <c r="AF55" i="91"/>
  <c r="AF33" i="91"/>
  <c r="AF18" i="91"/>
  <c r="AH35" i="91"/>
  <c r="AF12" i="91"/>
  <c r="AF32" i="91"/>
  <c r="AF48" i="91"/>
  <c r="AF25" i="91"/>
  <c r="AH49" i="91"/>
  <c r="AF42" i="91"/>
  <c r="AF52" i="91"/>
  <c r="AF9" i="91"/>
  <c r="AF38" i="91"/>
  <c r="AH40" i="91"/>
  <c r="AF24" i="91"/>
  <c r="AH18" i="91"/>
  <c r="AH38" i="91"/>
  <c r="AH9" i="91"/>
  <c r="AH33" i="91"/>
  <c r="AH5" i="91"/>
  <c r="AF53" i="91"/>
  <c r="AH11" i="91"/>
  <c r="AH27" i="91"/>
  <c r="AH55" i="91"/>
  <c r="AF10" i="91"/>
  <c r="AH22" i="91"/>
  <c r="AF15" i="91"/>
  <c r="AF31" i="91"/>
  <c r="AH24" i="91"/>
  <c r="AF45" i="91"/>
  <c r="AF30" i="91"/>
  <c r="AF16" i="91"/>
  <c r="AF36" i="91"/>
  <c r="AF5" i="91"/>
  <c r="AF37" i="91"/>
  <c r="AF6" i="91"/>
  <c r="B68" i="104"/>
  <c r="B26" i="104"/>
  <c r="AJ56" i="91" l="1"/>
  <c r="B69" i="104"/>
  <c r="AF56" i="91"/>
  <c r="AH56" i="91"/>
  <c r="E7" i="103" l="1"/>
  <c r="D6" i="103"/>
  <c r="E6" i="103" s="1"/>
  <c r="D5" i="103"/>
  <c r="E5" i="103" s="1"/>
  <c r="D4" i="103"/>
  <c r="E4" i="103" s="1"/>
  <c r="D3" i="103"/>
  <c r="E3" i="103" l="1"/>
  <c r="E13" i="103" s="1"/>
  <c r="D13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Y6" i="91"/>
  <c r="Y7" i="91"/>
  <c r="Y8" i="91"/>
  <c r="Y9" i="91"/>
  <c r="Y10" i="91"/>
  <c r="Y11" i="91"/>
  <c r="Y12" i="91"/>
  <c r="Y13" i="91"/>
  <c r="Y14" i="91"/>
  <c r="Y15" i="91"/>
  <c r="Y16" i="91"/>
  <c r="Y17" i="91"/>
  <c r="Y18" i="91"/>
  <c r="Y19" i="91"/>
  <c r="Y20" i="91"/>
  <c r="Y21" i="91"/>
  <c r="Y22" i="91"/>
  <c r="Y23" i="91"/>
  <c r="Y24" i="91"/>
  <c r="Y25" i="91"/>
  <c r="Y26" i="91"/>
  <c r="Y27" i="91"/>
  <c r="Y28" i="91"/>
  <c r="Y29" i="91"/>
  <c r="Y30" i="91"/>
  <c r="Y31" i="91"/>
  <c r="Y32" i="91"/>
  <c r="Y33" i="91"/>
  <c r="Y34" i="91"/>
  <c r="Y35" i="91"/>
  <c r="Y36" i="91"/>
  <c r="Y37" i="91"/>
  <c r="Y38" i="91"/>
  <c r="Y39" i="91"/>
  <c r="Y40" i="91"/>
  <c r="Y41" i="91"/>
  <c r="Y42" i="91"/>
  <c r="Y43" i="91"/>
  <c r="Y44" i="91"/>
  <c r="Y45" i="91"/>
  <c r="Y46" i="91"/>
  <c r="Y47" i="91"/>
  <c r="Y48" i="91"/>
  <c r="Y49" i="91"/>
  <c r="Y50" i="91"/>
  <c r="Y51" i="91"/>
  <c r="Y52" i="91"/>
  <c r="Y53" i="91"/>
  <c r="Y54" i="91"/>
  <c r="Y55" i="91"/>
  <c r="E56" i="91"/>
  <c r="F56" i="91"/>
  <c r="G56" i="91"/>
  <c r="X56" i="91"/>
  <c r="Q5" i="98" l="1"/>
  <c r="B39" i="103"/>
  <c r="B41" i="103" s="1"/>
  <c r="B44" i="103" s="1"/>
  <c r="B46" i="103" s="1"/>
  <c r="B34" i="103"/>
  <c r="B36" i="103" s="1"/>
  <c r="B29" i="103"/>
  <c r="B31" i="103" s="1"/>
  <c r="S41" i="98"/>
  <c r="S21" i="98"/>
  <c r="B18" i="103"/>
  <c r="B20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3" i="107" l="1"/>
  <c r="B27" i="105"/>
  <c r="B28" i="105" s="1"/>
  <c r="B9" i="105"/>
  <c r="B10" i="105" s="1"/>
  <c r="B23" i="103"/>
  <c r="B25" i="103" s="1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B9" i="104" l="1"/>
  <c r="B8" i="104"/>
  <c r="B70" i="105"/>
  <c r="B29" i="105" s="1"/>
  <c r="B18" i="107"/>
  <c r="I5" i="91"/>
  <c r="W56" i="91"/>
  <c r="V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24" i="104" l="1"/>
  <c r="C25" i="104"/>
  <c r="C14" i="104"/>
  <c r="C21" i="104"/>
  <c r="C15" i="104"/>
  <c r="C17" i="104"/>
  <c r="C16" i="104"/>
  <c r="C18" i="104"/>
  <c r="C19" i="104"/>
  <c r="C20" i="104"/>
  <c r="C22" i="104"/>
  <c r="C23" i="104"/>
  <c r="C41" i="104"/>
  <c r="C53" i="104"/>
  <c r="I53" i="104" s="1"/>
  <c r="C65" i="104"/>
  <c r="C30" i="104"/>
  <c r="C42" i="104"/>
  <c r="C54" i="104"/>
  <c r="C66" i="104"/>
  <c r="I66" i="104" s="1"/>
  <c r="C31" i="104"/>
  <c r="I31" i="104" s="1"/>
  <c r="C43" i="104"/>
  <c r="I43" i="104" s="1"/>
  <c r="C55" i="104"/>
  <c r="I55" i="104" s="1"/>
  <c r="C67" i="104"/>
  <c r="I67" i="104" s="1"/>
  <c r="C32" i="104"/>
  <c r="I32" i="104" s="1"/>
  <c r="C44" i="104"/>
  <c r="I44" i="104" s="1"/>
  <c r="C56" i="104"/>
  <c r="I56" i="104" s="1"/>
  <c r="C29" i="104"/>
  <c r="C33" i="104"/>
  <c r="C45" i="104"/>
  <c r="C57" i="104"/>
  <c r="I57" i="104" s="1"/>
  <c r="C59" i="104"/>
  <c r="I59" i="104" s="1"/>
  <c r="C51" i="104"/>
  <c r="I51" i="104" s="1"/>
  <c r="C34" i="104"/>
  <c r="I34" i="104" s="1"/>
  <c r="C46" i="104"/>
  <c r="I46" i="104" s="1"/>
  <c r="C58" i="104"/>
  <c r="I58" i="104" s="1"/>
  <c r="C35" i="104"/>
  <c r="I35" i="104" s="1"/>
  <c r="C47" i="104"/>
  <c r="C36" i="104"/>
  <c r="C48" i="104"/>
  <c r="C60" i="104"/>
  <c r="I60" i="104" s="1"/>
  <c r="C37" i="104"/>
  <c r="C49" i="104"/>
  <c r="I49" i="104" s="1"/>
  <c r="C61" i="104"/>
  <c r="I61" i="104" s="1"/>
  <c r="C52" i="104"/>
  <c r="I52" i="104" s="1"/>
  <c r="C39" i="104"/>
  <c r="C63" i="104"/>
  <c r="I63" i="104" s="1"/>
  <c r="C40" i="104"/>
  <c r="I40" i="104" s="1"/>
  <c r="C64" i="104"/>
  <c r="I64" i="104" s="1"/>
  <c r="C38" i="104"/>
  <c r="I38" i="104" s="1"/>
  <c r="C50" i="104"/>
  <c r="I50" i="104" s="1"/>
  <c r="C62" i="104"/>
  <c r="I41" i="104"/>
  <c r="I65" i="104"/>
  <c r="I33" i="104"/>
  <c r="I47" i="104"/>
  <c r="I37" i="104"/>
  <c r="I45" i="104"/>
  <c r="I30" i="104"/>
  <c r="I42" i="104"/>
  <c r="I54" i="104"/>
  <c r="I29" i="104"/>
  <c r="B24" i="107"/>
  <c r="B25" i="107"/>
  <c r="AA9" i="91"/>
  <c r="AA13" i="91"/>
  <c r="AA17" i="91"/>
  <c r="AA21" i="91"/>
  <c r="AA25" i="91"/>
  <c r="AA29" i="91"/>
  <c r="AA33" i="91"/>
  <c r="AA37" i="91"/>
  <c r="AA41" i="91"/>
  <c r="AA45" i="91"/>
  <c r="AA49" i="91"/>
  <c r="AA53" i="91"/>
  <c r="AA6" i="91"/>
  <c r="AA10" i="91"/>
  <c r="AA14" i="91"/>
  <c r="AA18" i="91"/>
  <c r="AA22" i="91"/>
  <c r="AA26" i="91"/>
  <c r="AA30" i="91"/>
  <c r="AA34" i="91"/>
  <c r="AA38" i="91"/>
  <c r="AA42" i="91"/>
  <c r="AA46" i="91"/>
  <c r="AA50" i="91"/>
  <c r="AA54" i="91"/>
  <c r="AA7" i="91"/>
  <c r="AA11" i="91"/>
  <c r="AA15" i="91"/>
  <c r="AA19" i="91"/>
  <c r="AA23" i="91"/>
  <c r="AA27" i="91"/>
  <c r="AA31" i="91"/>
  <c r="AA35" i="91"/>
  <c r="AA39" i="91"/>
  <c r="AA43" i="91"/>
  <c r="AA47" i="91"/>
  <c r="AA51" i="91"/>
  <c r="AA55" i="91"/>
  <c r="AA8" i="91"/>
  <c r="AA12" i="91"/>
  <c r="AA16" i="91"/>
  <c r="AA20" i="91"/>
  <c r="AA24" i="91"/>
  <c r="AA28" i="91"/>
  <c r="AA32" i="91"/>
  <c r="AA36" i="91"/>
  <c r="AA40" i="91"/>
  <c r="AA44" i="91"/>
  <c r="AA48" i="91"/>
  <c r="AA52" i="91"/>
  <c r="AA5" i="91"/>
  <c r="AB8" i="91"/>
  <c r="AB12" i="91"/>
  <c r="AB16" i="91"/>
  <c r="AB20" i="91"/>
  <c r="AB24" i="91"/>
  <c r="AB28" i="91"/>
  <c r="AB32" i="91"/>
  <c r="AB36" i="91"/>
  <c r="AB40" i="91"/>
  <c r="AB44" i="91"/>
  <c r="AB48" i="91"/>
  <c r="AB52" i="91"/>
  <c r="AB5" i="91"/>
  <c r="AB9" i="91"/>
  <c r="AB13" i="91"/>
  <c r="AB17" i="91"/>
  <c r="AB21" i="91"/>
  <c r="AB25" i="91"/>
  <c r="AB29" i="91"/>
  <c r="AB33" i="91"/>
  <c r="AB37" i="91"/>
  <c r="AB41" i="91"/>
  <c r="AB45" i="91"/>
  <c r="AB49" i="91"/>
  <c r="AB53" i="91"/>
  <c r="AB6" i="91"/>
  <c r="AB10" i="91"/>
  <c r="AB14" i="91"/>
  <c r="AB18" i="91"/>
  <c r="AB22" i="91"/>
  <c r="AB26" i="91"/>
  <c r="AB30" i="91"/>
  <c r="AB34" i="91"/>
  <c r="AB38" i="91"/>
  <c r="AB42" i="91"/>
  <c r="AB46" i="91"/>
  <c r="AB50" i="91"/>
  <c r="AB54" i="91"/>
  <c r="AB7" i="91"/>
  <c r="AB11" i="91"/>
  <c r="AB15" i="91"/>
  <c r="AB19" i="91"/>
  <c r="AB23" i="91"/>
  <c r="AB27" i="91"/>
  <c r="AB31" i="91"/>
  <c r="AB35" i="91"/>
  <c r="AB39" i="91"/>
  <c r="AB43" i="91"/>
  <c r="AB47" i="91"/>
  <c r="AB51" i="91"/>
  <c r="AB55" i="91"/>
  <c r="J56" i="91"/>
  <c r="I56" i="91"/>
  <c r="Y56" i="91"/>
  <c r="Z43" i="91" s="1"/>
  <c r="C16" i="107" l="1"/>
  <c r="C17" i="107"/>
  <c r="C6" i="107"/>
  <c r="C15" i="107"/>
  <c r="C7" i="107"/>
  <c r="C9" i="107"/>
  <c r="C13" i="107"/>
  <c r="C8" i="107"/>
  <c r="C10" i="107"/>
  <c r="C11" i="107"/>
  <c r="C12" i="107"/>
  <c r="C14" i="107"/>
  <c r="AC41" i="91"/>
  <c r="M41" i="104"/>
  <c r="M43" i="104"/>
  <c r="AC19" i="91"/>
  <c r="M63" i="104"/>
  <c r="M24" i="104"/>
  <c r="M35" i="104"/>
  <c r="M64" i="104"/>
  <c r="M45" i="104"/>
  <c r="M30" i="104"/>
  <c r="M28" i="104"/>
  <c r="M40" i="104"/>
  <c r="M47" i="104"/>
  <c r="M20" i="104"/>
  <c r="M18" i="104"/>
  <c r="M49" i="104"/>
  <c r="M42" i="104"/>
  <c r="M36" i="104"/>
  <c r="M29" i="104"/>
  <c r="M57" i="104"/>
  <c r="M27" i="104"/>
  <c r="M34" i="104"/>
  <c r="M55" i="104"/>
  <c r="M32" i="104"/>
  <c r="M14" i="104"/>
  <c r="M56" i="104"/>
  <c r="M16" i="104"/>
  <c r="M46" i="104"/>
  <c r="M17" i="104"/>
  <c r="M51" i="104"/>
  <c r="M53" i="104"/>
  <c r="M50" i="104"/>
  <c r="M48" i="104"/>
  <c r="M21" i="104"/>
  <c r="M15" i="104"/>
  <c r="M39" i="104"/>
  <c r="M25" i="104"/>
  <c r="AC37" i="91"/>
  <c r="J39" i="98" s="1"/>
  <c r="J21" i="98"/>
  <c r="AC10" i="91"/>
  <c r="Q12" i="98" s="1"/>
  <c r="J43" i="98"/>
  <c r="AC49" i="91"/>
  <c r="B45" i="98"/>
  <c r="AC44" i="91"/>
  <c r="AC12" i="91"/>
  <c r="AC16" i="91"/>
  <c r="AC30" i="91"/>
  <c r="AC40" i="91"/>
  <c r="AC47" i="91"/>
  <c r="AC23" i="91"/>
  <c r="AC25" i="91"/>
  <c r="AC9" i="91"/>
  <c r="AC31" i="91"/>
  <c r="AC51" i="91"/>
  <c r="AC17" i="91"/>
  <c r="AC48" i="91"/>
  <c r="AC53" i="91"/>
  <c r="AC45" i="91"/>
  <c r="AC29" i="91"/>
  <c r="AC21" i="91"/>
  <c r="AC13" i="91"/>
  <c r="AC8" i="91"/>
  <c r="AC24" i="91"/>
  <c r="AC18" i="91"/>
  <c r="AC39" i="91"/>
  <c r="AC54" i="91"/>
  <c r="AC38" i="91"/>
  <c r="AC22" i="91"/>
  <c r="AC50" i="91"/>
  <c r="AC34" i="91"/>
  <c r="AC33" i="91"/>
  <c r="AC42" i="91"/>
  <c r="AC26" i="91"/>
  <c r="Z28" i="91"/>
  <c r="AC32" i="91"/>
  <c r="AC6" i="91"/>
  <c r="AC55" i="91"/>
  <c r="AC15" i="91"/>
  <c r="Z16" i="91"/>
  <c r="AA56" i="91"/>
  <c r="AB56" i="91"/>
  <c r="Z40" i="91"/>
  <c r="Z8" i="91"/>
  <c r="Z48" i="91"/>
  <c r="Z30" i="91"/>
  <c r="Z13" i="91"/>
  <c r="Z29" i="91"/>
  <c r="Z45" i="91"/>
  <c r="Z18" i="91"/>
  <c r="Z15" i="91"/>
  <c r="Z47" i="91"/>
  <c r="AC43" i="91"/>
  <c r="AC27" i="91"/>
  <c r="AC11" i="91"/>
  <c r="Z12" i="91"/>
  <c r="Z24" i="91"/>
  <c r="Z32" i="91"/>
  <c r="Z44" i="91"/>
  <c r="Z5" i="91"/>
  <c r="Z50" i="91"/>
  <c r="Z21" i="91"/>
  <c r="Z37" i="91"/>
  <c r="Z53" i="91"/>
  <c r="Z46" i="91"/>
  <c r="Z31" i="91"/>
  <c r="AC52" i="91"/>
  <c r="AC46" i="91"/>
  <c r="AC36" i="91"/>
  <c r="AC28" i="91"/>
  <c r="AC20" i="91"/>
  <c r="AC14" i="91"/>
  <c r="AC5" i="91"/>
  <c r="AC35" i="91"/>
  <c r="AC7" i="91"/>
  <c r="Z22" i="91"/>
  <c r="Z9" i="91"/>
  <c r="Z25" i="91"/>
  <c r="Z41" i="91"/>
  <c r="Z6" i="91"/>
  <c r="Z26" i="91"/>
  <c r="Z54" i="91"/>
  <c r="Z19" i="91"/>
  <c r="Z35" i="91"/>
  <c r="Z51" i="91"/>
  <c r="Z10" i="91"/>
  <c r="Z34" i="91"/>
  <c r="Z7" i="91"/>
  <c r="Z23" i="91"/>
  <c r="Z39" i="91"/>
  <c r="Z55" i="91"/>
  <c r="Z20" i="91"/>
  <c r="Z36" i="91"/>
  <c r="Z52" i="91"/>
  <c r="Z42" i="91"/>
  <c r="Z17" i="91"/>
  <c r="Z33" i="91"/>
  <c r="Z49" i="91"/>
  <c r="Z14" i="91"/>
  <c r="Z38" i="91"/>
  <c r="Z11" i="91"/>
  <c r="Z27" i="91"/>
  <c r="C12" i="98" l="1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C56" i="91"/>
  <c r="Z56" i="91"/>
  <c r="Q58" i="98" l="1"/>
  <c r="P58" i="98"/>
  <c r="I58" i="98"/>
  <c r="C58" i="98"/>
  <c r="B58" i="98"/>
  <c r="K57" i="98" l="1"/>
  <c r="K34" i="98"/>
  <c r="K44" i="98"/>
  <c r="K23" i="98"/>
  <c r="K16" i="98"/>
  <c r="K47" i="98"/>
  <c r="K13" i="98"/>
  <c r="K27" i="98"/>
  <c r="K17" i="98"/>
  <c r="K32" i="98"/>
  <c r="K48" i="98"/>
  <c r="K41" i="98"/>
  <c r="K11" i="98"/>
  <c r="K21" i="98"/>
  <c r="K50" i="98"/>
  <c r="K40" i="98"/>
  <c r="K22" i="98"/>
  <c r="K25" i="98"/>
  <c r="K18" i="98"/>
  <c r="K30" i="98"/>
  <c r="K39" i="98"/>
  <c r="K19" i="98"/>
  <c r="K29" i="98"/>
  <c r="K43" i="98"/>
  <c r="K9" i="98"/>
  <c r="K33" i="98"/>
  <c r="K35" i="98"/>
  <c r="K36" i="98"/>
  <c r="K20" i="98"/>
  <c r="K49" i="98"/>
  <c r="K14" i="98"/>
  <c r="K38" i="98"/>
  <c r="K42" i="98"/>
  <c r="K28" i="98"/>
  <c r="K10" i="98"/>
  <c r="K56" i="98"/>
  <c r="K46" i="98"/>
  <c r="K7" i="98" l="1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K8" i="98"/>
  <c r="E28" i="98"/>
  <c r="J58" i="98"/>
  <c r="E7" i="98"/>
  <c r="D58" i="98" l="1"/>
  <c r="E8" i="98"/>
  <c r="E58" i="98" s="1"/>
  <c r="AD56" i="91"/>
  <c r="R58" i="98"/>
  <c r="S12" i="98"/>
  <c r="S58" i="98" l="1"/>
  <c r="T12" i="98" s="1"/>
  <c r="AL10" i="91" s="1"/>
  <c r="D6" i="107" s="1"/>
  <c r="F7" i="98"/>
  <c r="F33" i="98"/>
  <c r="F20" i="98"/>
  <c r="F38" i="98"/>
  <c r="F23" i="98"/>
  <c r="F13" i="98"/>
  <c r="F48" i="98"/>
  <c r="F37" i="98"/>
  <c r="AK35" i="91" s="1"/>
  <c r="F55" i="98"/>
  <c r="AK53" i="91" s="1"/>
  <c r="F56" i="98"/>
  <c r="F24" i="98"/>
  <c r="AK22" i="91" s="1"/>
  <c r="F12" i="98"/>
  <c r="AK10" i="91" s="1"/>
  <c r="F52" i="98"/>
  <c r="AK50" i="91" s="1"/>
  <c r="F43" i="98"/>
  <c r="F35" i="98"/>
  <c r="F49" i="98"/>
  <c r="F42" i="98"/>
  <c r="F16" i="98"/>
  <c r="F27" i="98"/>
  <c r="F53" i="98"/>
  <c r="AK51" i="91" s="1"/>
  <c r="F21" i="98"/>
  <c r="F50" i="98"/>
  <c r="F51" i="98"/>
  <c r="AK49" i="91" s="1"/>
  <c r="F34" i="98"/>
  <c r="F54" i="98"/>
  <c r="AK52" i="91" s="1"/>
  <c r="F39" i="98"/>
  <c r="F36" i="98"/>
  <c r="F45" i="98"/>
  <c r="AK43" i="91" s="1"/>
  <c r="F28" i="98"/>
  <c r="F26" i="98"/>
  <c r="AK24" i="91" s="1"/>
  <c r="F17" i="98"/>
  <c r="F41" i="98"/>
  <c r="F57" i="98"/>
  <c r="F31" i="98"/>
  <c r="AK29" i="91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K13" i="91" s="1"/>
  <c r="F22" i="98"/>
  <c r="F25" i="98"/>
  <c r="F30" i="98"/>
  <c r="F29" i="98"/>
  <c r="C14" i="110" l="1"/>
  <c r="I15" i="104"/>
  <c r="C52" i="110"/>
  <c r="E52" i="110" s="1"/>
  <c r="I23" i="104"/>
  <c r="C30" i="110"/>
  <c r="E30" i="110" s="1"/>
  <c r="I18" i="104"/>
  <c r="C54" i="110"/>
  <c r="D54" i="110" s="1"/>
  <c r="E54" i="110" s="1"/>
  <c r="I25" i="104"/>
  <c r="C44" i="110"/>
  <c r="E44" i="110" s="1"/>
  <c r="I20" i="104"/>
  <c r="C25" i="110"/>
  <c r="E25" i="110" s="1"/>
  <c r="I17" i="104"/>
  <c r="C50" i="110"/>
  <c r="I21" i="104"/>
  <c r="C36" i="110"/>
  <c r="E36" i="110" s="1"/>
  <c r="I19" i="104"/>
  <c r="C51" i="110"/>
  <c r="E51" i="110" s="1"/>
  <c r="I22" i="104"/>
  <c r="C23" i="110"/>
  <c r="E23" i="110" s="1"/>
  <c r="I16" i="104"/>
  <c r="C53" i="110"/>
  <c r="E53" i="110" s="1"/>
  <c r="I24" i="104"/>
  <c r="C11" i="110"/>
  <c r="E11" i="110" s="1"/>
  <c r="F11" i="110" s="1"/>
  <c r="E6" i="107"/>
  <c r="D14" i="110"/>
  <c r="E14" i="110" s="1"/>
  <c r="D50" i="110"/>
  <c r="E50" i="110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L28" i="91" s="1"/>
  <c r="T19" i="98"/>
  <c r="AL17" i="91" s="1"/>
  <c r="T55" i="98"/>
  <c r="AL53" i="91" s="1"/>
  <c r="D17" i="107" s="1"/>
  <c r="T51" i="98"/>
  <c r="AL49" i="91" s="1"/>
  <c r="D15" i="107" s="1"/>
  <c r="T47" i="98"/>
  <c r="AL45" i="91" s="1"/>
  <c r="T16" i="98"/>
  <c r="AL14" i="91" s="1"/>
  <c r="D8" i="107" s="1"/>
  <c r="T54" i="98"/>
  <c r="AL52" i="91" s="1"/>
  <c r="D16" i="107" s="1"/>
  <c r="T26" i="98"/>
  <c r="AL24" i="91" s="1"/>
  <c r="D11" i="107" s="1"/>
  <c r="T15" i="98"/>
  <c r="AL13" i="91" s="1"/>
  <c r="D7" i="107" s="1"/>
  <c r="T37" i="98"/>
  <c r="AL35" i="91" s="1"/>
  <c r="D13" i="107" s="1"/>
  <c r="T24" i="98"/>
  <c r="AL22" i="91" s="1"/>
  <c r="D10" i="107" s="1"/>
  <c r="L7" i="98"/>
  <c r="F58" i="98"/>
  <c r="F74" i="100" l="1"/>
  <c r="E11" i="111"/>
  <c r="F187" i="111" s="1"/>
  <c r="I62" i="104"/>
  <c r="D14" i="107"/>
  <c r="I48" i="104"/>
  <c r="D12" i="107"/>
  <c r="I39" i="104"/>
  <c r="D9" i="107"/>
  <c r="I14" i="104"/>
  <c r="C26" i="104"/>
  <c r="M33" i="104"/>
  <c r="M61" i="104"/>
  <c r="M52" i="104"/>
  <c r="M62" i="104"/>
  <c r="M38" i="104"/>
  <c r="M59" i="104"/>
  <c r="M44" i="104"/>
  <c r="M60" i="104"/>
  <c r="M31" i="104"/>
  <c r="M58" i="104"/>
  <c r="M22" i="104"/>
  <c r="I36" i="104"/>
  <c r="C68" i="104"/>
  <c r="C69" i="104" s="1"/>
  <c r="M26" i="104"/>
  <c r="M37" i="104"/>
  <c r="M54" i="104"/>
  <c r="C18" i="107"/>
  <c r="F44" i="110"/>
  <c r="K44" i="110"/>
  <c r="J44" i="110"/>
  <c r="G44" i="110"/>
  <c r="F23" i="110"/>
  <c r="G23" i="110"/>
  <c r="K23" i="110"/>
  <c r="J23" i="110"/>
  <c r="F30" i="110"/>
  <c r="J30" i="110"/>
  <c r="K30" i="110"/>
  <c r="G30" i="110"/>
  <c r="J14" i="110"/>
  <c r="G14" i="110"/>
  <c r="K14" i="110"/>
  <c r="F54" i="110"/>
  <c r="J54" i="110"/>
  <c r="G54" i="110"/>
  <c r="K54" i="110"/>
  <c r="F25" i="110"/>
  <c r="J25" i="110"/>
  <c r="G25" i="110"/>
  <c r="K25" i="110"/>
  <c r="F52" i="110"/>
  <c r="K52" i="110"/>
  <c r="J52" i="110"/>
  <c r="G52" i="110"/>
  <c r="F51" i="110"/>
  <c r="G51" i="110"/>
  <c r="J51" i="110"/>
  <c r="K51" i="110"/>
  <c r="F14" i="110"/>
  <c r="F50" i="110"/>
  <c r="J50" i="110"/>
  <c r="G50" i="110"/>
  <c r="K50" i="110"/>
  <c r="K36" i="110"/>
  <c r="G36" i="110"/>
  <c r="J36" i="110"/>
  <c r="G11" i="110"/>
  <c r="K11" i="110"/>
  <c r="J11" i="110"/>
  <c r="F53" i="110"/>
  <c r="K53" i="110"/>
  <c r="J53" i="110"/>
  <c r="G53" i="110"/>
  <c r="F36" i="110"/>
  <c r="O12" i="100"/>
  <c r="O14" i="100"/>
  <c r="O15" i="100"/>
  <c r="O10" i="100"/>
  <c r="O6" i="100"/>
  <c r="E7" i="107"/>
  <c r="E16" i="107"/>
  <c r="E15" i="107"/>
  <c r="E17" i="107"/>
  <c r="E54" i="111" s="1"/>
  <c r="F230" i="111" s="1"/>
  <c r="E11" i="107"/>
  <c r="E25" i="111" s="1"/>
  <c r="F201" i="111" s="1"/>
  <c r="E10" i="107"/>
  <c r="E13" i="107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L9" i="111" l="1"/>
  <c r="L17" i="111"/>
  <c r="F113" i="100"/>
  <c r="E50" i="111"/>
  <c r="F226" i="111" s="1"/>
  <c r="F116" i="100"/>
  <c r="E53" i="111"/>
  <c r="F229" i="111" s="1"/>
  <c r="F77" i="100"/>
  <c r="E14" i="111"/>
  <c r="F190" i="111" s="1"/>
  <c r="L6" i="111"/>
  <c r="F99" i="100"/>
  <c r="E36" i="111"/>
  <c r="F212" i="111" s="1"/>
  <c r="F86" i="100"/>
  <c r="E23" i="111"/>
  <c r="F199" i="111" s="1"/>
  <c r="G113" i="100"/>
  <c r="G74" i="100"/>
  <c r="G117" i="100"/>
  <c r="G86" i="100"/>
  <c r="G93" i="100"/>
  <c r="G107" i="100"/>
  <c r="G116" i="100"/>
  <c r="G114" i="100"/>
  <c r="G88" i="100"/>
  <c r="G99" i="100"/>
  <c r="G115" i="100"/>
  <c r="G77" i="100"/>
  <c r="M19" i="104"/>
  <c r="M23" i="104"/>
  <c r="O9" i="100"/>
  <c r="F88" i="100"/>
  <c r="O17" i="100"/>
  <c r="F117" i="100"/>
  <c r="O8" i="100"/>
  <c r="O11" i="100"/>
  <c r="O7" i="100"/>
  <c r="O13" i="100"/>
  <c r="O16" i="100"/>
  <c r="L58" i="98"/>
  <c r="L62" i="98" s="1"/>
  <c r="M65" i="104" l="1"/>
  <c r="L8" i="111"/>
  <c r="L7" i="111"/>
  <c r="L13" i="111"/>
  <c r="L16" i="111"/>
  <c r="L11" i="111"/>
  <c r="O18" i="100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L18" i="111" l="1"/>
  <c r="AK39" i="91"/>
  <c r="C59" i="105" s="1"/>
  <c r="AK16" i="91"/>
  <c r="C40" i="105" s="1"/>
  <c r="AK8" i="91"/>
  <c r="C34" i="105" s="1"/>
  <c r="AK34" i="91"/>
  <c r="C55" i="105" s="1"/>
  <c r="AK33" i="91"/>
  <c r="C54" i="105" s="1"/>
  <c r="AK6" i="91"/>
  <c r="C32" i="105" s="1"/>
  <c r="AK11" i="91"/>
  <c r="C36" i="105" s="1"/>
  <c r="AK40" i="91"/>
  <c r="C60" i="105" s="1"/>
  <c r="AK48" i="91"/>
  <c r="C67" i="105" s="1"/>
  <c r="AK27" i="91"/>
  <c r="C49" i="105" s="1"/>
  <c r="AK5" i="91"/>
  <c r="C31" i="105" s="1"/>
  <c r="AK44" i="91"/>
  <c r="C63" i="105" s="1"/>
  <c r="AK7" i="91"/>
  <c r="C33" i="105" s="1"/>
  <c r="AK37" i="91"/>
  <c r="C57" i="105" s="1"/>
  <c r="AK36" i="91"/>
  <c r="C56" i="105" s="1"/>
  <c r="AK9" i="91"/>
  <c r="C35" i="105" s="1"/>
  <c r="AK15" i="91"/>
  <c r="C39" i="105" s="1"/>
  <c r="AK28" i="91"/>
  <c r="C50" i="105" s="1"/>
  <c r="AK19" i="91"/>
  <c r="C43" i="105" s="1"/>
  <c r="AK14" i="91"/>
  <c r="C38" i="105" s="1"/>
  <c r="AK18" i="91"/>
  <c r="C42" i="105" s="1"/>
  <c r="AK25" i="91"/>
  <c r="C47" i="105" s="1"/>
  <c r="AK41" i="91"/>
  <c r="C61" i="105" s="1"/>
  <c r="AK46" i="91"/>
  <c r="C65" i="105" s="1"/>
  <c r="AK12" i="91"/>
  <c r="C37" i="105" s="1"/>
  <c r="AK55" i="91"/>
  <c r="C69" i="105" s="1"/>
  <c r="AK26" i="91"/>
  <c r="C48" i="105" s="1"/>
  <c r="AK42" i="91"/>
  <c r="C62" i="105" s="1"/>
  <c r="AK38" i="91"/>
  <c r="C58" i="105" s="1"/>
  <c r="AK31" i="91"/>
  <c r="C52" i="105" s="1"/>
  <c r="AK30" i="91"/>
  <c r="C51" i="105" s="1"/>
  <c r="AK23" i="91"/>
  <c r="C46" i="105" s="1"/>
  <c r="AK20" i="91"/>
  <c r="C44" i="105" s="1"/>
  <c r="AK21" i="91"/>
  <c r="C45" i="105" s="1"/>
  <c r="AK32" i="91"/>
  <c r="C53" i="105" s="1"/>
  <c r="AK17" i="91"/>
  <c r="C41" i="105" s="1"/>
  <c r="AK45" i="91"/>
  <c r="C64" i="105" s="1"/>
  <c r="AK47" i="91"/>
  <c r="C66" i="105" s="1"/>
  <c r="AK54" i="91"/>
  <c r="C68" i="105" s="1"/>
  <c r="M58" i="98"/>
  <c r="C70" i="105" l="1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L56" i="91"/>
  <c r="AK56" i="91"/>
  <c r="F109" i="100" l="1"/>
  <c r="E46" i="111"/>
  <c r="F222" i="111" s="1"/>
  <c r="F81" i="100"/>
  <c r="E18" i="111"/>
  <c r="F194" i="111" s="1"/>
  <c r="F92" i="100"/>
  <c r="E29" i="111"/>
  <c r="F205" i="111" s="1"/>
  <c r="E78" i="100"/>
  <c r="D15" i="111"/>
  <c r="F140" i="111" s="1"/>
  <c r="E85" i="100"/>
  <c r="D22" i="111"/>
  <c r="F147" i="111" s="1"/>
  <c r="E84" i="100"/>
  <c r="D21" i="111"/>
  <c r="F146" i="111" s="1"/>
  <c r="E72" i="100"/>
  <c r="D9" i="111"/>
  <c r="F134" i="111" s="1"/>
  <c r="E82" i="100"/>
  <c r="D19" i="111"/>
  <c r="F144" i="111" s="1"/>
  <c r="E102" i="100"/>
  <c r="D39" i="111"/>
  <c r="F164" i="111" s="1"/>
  <c r="E90" i="100"/>
  <c r="D27" i="111"/>
  <c r="F152" i="111" s="1"/>
  <c r="E106" i="100"/>
  <c r="D43" i="111"/>
  <c r="F168" i="111" s="1"/>
  <c r="E111" i="100"/>
  <c r="D48" i="111"/>
  <c r="F173" i="111" s="1"/>
  <c r="E75" i="100"/>
  <c r="D12" i="111"/>
  <c r="F137" i="111" s="1"/>
  <c r="E100" i="100"/>
  <c r="D37" i="111"/>
  <c r="F162" i="111" s="1"/>
  <c r="E76" i="100"/>
  <c r="D13" i="111"/>
  <c r="F138" i="111" s="1"/>
  <c r="E110" i="100"/>
  <c r="D47" i="111"/>
  <c r="F172" i="111" s="1"/>
  <c r="E83" i="100"/>
  <c r="D20" i="111"/>
  <c r="F145" i="111" s="1"/>
  <c r="E97" i="100"/>
  <c r="D34" i="111"/>
  <c r="F159" i="111" s="1"/>
  <c r="E70" i="100"/>
  <c r="D7" i="111"/>
  <c r="F132" i="111" s="1"/>
  <c r="E91" i="100"/>
  <c r="D28" i="111"/>
  <c r="F153" i="111" s="1"/>
  <c r="E94" i="100"/>
  <c r="D31" i="111"/>
  <c r="F156" i="111" s="1"/>
  <c r="E104" i="100"/>
  <c r="D41" i="111"/>
  <c r="F166" i="111" s="1"/>
  <c r="E87" i="100"/>
  <c r="D24" i="111"/>
  <c r="F149" i="111" s="1"/>
  <c r="E79" i="100"/>
  <c r="D16" i="111"/>
  <c r="F141" i="111" s="1"/>
  <c r="E119" i="100"/>
  <c r="D56" i="111"/>
  <c r="F181" i="111" s="1"/>
  <c r="E103" i="100"/>
  <c r="D40" i="111"/>
  <c r="F165" i="111" s="1"/>
  <c r="E109" i="100"/>
  <c r="D46" i="111"/>
  <c r="F171" i="111" s="1"/>
  <c r="E101" i="100"/>
  <c r="D38" i="111"/>
  <c r="F163" i="111" s="1"/>
  <c r="E105" i="100"/>
  <c r="D42" i="111"/>
  <c r="F167" i="111" s="1"/>
  <c r="E69" i="100"/>
  <c r="D6" i="111"/>
  <c r="F131" i="111" s="1"/>
  <c r="E98" i="100"/>
  <c r="D35" i="111"/>
  <c r="F160" i="111" s="1"/>
  <c r="E112" i="100"/>
  <c r="D49" i="111"/>
  <c r="F174" i="111" s="1"/>
  <c r="E89" i="100"/>
  <c r="D26" i="111"/>
  <c r="F151" i="111" s="1"/>
  <c r="E118" i="100"/>
  <c r="D55" i="111"/>
  <c r="F180" i="111" s="1"/>
  <c r="E108" i="100"/>
  <c r="D45" i="111"/>
  <c r="F170" i="111" s="1"/>
  <c r="E71" i="100"/>
  <c r="D8" i="111"/>
  <c r="F133" i="111" s="1"/>
  <c r="E81" i="100"/>
  <c r="D18" i="111"/>
  <c r="F143" i="111" s="1"/>
  <c r="E96" i="100"/>
  <c r="D33" i="111"/>
  <c r="F158" i="111" s="1"/>
  <c r="E95" i="100"/>
  <c r="D32" i="111"/>
  <c r="F157" i="111" s="1"/>
  <c r="E80" i="100"/>
  <c r="D17" i="111"/>
  <c r="F142" i="111" s="1"/>
  <c r="E73" i="100"/>
  <c r="D10" i="111"/>
  <c r="F135" i="111" s="1"/>
  <c r="E92" i="100"/>
  <c r="D29" i="111"/>
  <c r="F154" i="111" s="1"/>
  <c r="N46" i="100"/>
  <c r="N36" i="100"/>
  <c r="N28" i="100"/>
  <c r="N30" i="100"/>
  <c r="N27" i="100"/>
  <c r="N33" i="100"/>
  <c r="N47" i="100"/>
  <c r="N32" i="100"/>
  <c r="N22" i="100"/>
  <c r="N53" i="100"/>
  <c r="N43" i="100"/>
  <c r="N50" i="100"/>
  <c r="N31" i="100"/>
  <c r="N42" i="100"/>
  <c r="N20" i="100"/>
  <c r="N44" i="100"/>
  <c r="N37" i="100"/>
  <c r="N39" i="100"/>
  <c r="N48" i="100"/>
  <c r="N34" i="100"/>
  <c r="N19" i="100"/>
  <c r="N24" i="100"/>
  <c r="N45" i="100"/>
  <c r="N49" i="100"/>
  <c r="N25" i="100"/>
  <c r="N35" i="100"/>
  <c r="N56" i="100"/>
  <c r="N51" i="100"/>
  <c r="N54" i="100"/>
  <c r="N55" i="100"/>
  <c r="N21" i="100"/>
  <c r="N41" i="100"/>
  <c r="N57" i="100"/>
  <c r="N40" i="100"/>
  <c r="N23" i="100"/>
  <c r="N52" i="100"/>
  <c r="N29" i="100"/>
  <c r="N38" i="100"/>
  <c r="D39" i="110"/>
  <c r="E39" i="110" s="1"/>
  <c r="D34" i="110"/>
  <c r="E34" i="110" s="1"/>
  <c r="D48" i="110"/>
  <c r="E48" i="110" s="1"/>
  <c r="D6" i="110"/>
  <c r="E6" i="110" s="1"/>
  <c r="D15" i="110"/>
  <c r="E15" i="110" s="1"/>
  <c r="D56" i="110"/>
  <c r="E56" i="110" s="1"/>
  <c r="D13" i="110"/>
  <c r="E13" i="110" s="1"/>
  <c r="D22" i="110"/>
  <c r="E22" i="110" s="1"/>
  <c r="D12" i="110"/>
  <c r="E12" i="110" s="1"/>
  <c r="D27" i="110"/>
  <c r="E27" i="110" s="1"/>
  <c r="D47" i="110"/>
  <c r="E47" i="110" s="1"/>
  <c r="D40" i="110"/>
  <c r="E40" i="110" s="1"/>
  <c r="D21" i="110"/>
  <c r="E21" i="110" s="1"/>
  <c r="D9" i="110"/>
  <c r="E9" i="110" s="1"/>
  <c r="D46" i="110"/>
  <c r="E46" i="110" s="1"/>
  <c r="D20" i="110"/>
  <c r="E20" i="110" s="1"/>
  <c r="D35" i="110"/>
  <c r="E35" i="110" s="1"/>
  <c r="D43" i="110"/>
  <c r="E43" i="110" s="1"/>
  <c r="D7" i="110"/>
  <c r="E7" i="110" s="1"/>
  <c r="D37" i="110"/>
  <c r="E37" i="110" s="1"/>
  <c r="D28" i="110"/>
  <c r="E28" i="110" s="1"/>
  <c r="D31" i="110"/>
  <c r="E31" i="110" s="1"/>
  <c r="D41" i="110"/>
  <c r="E41" i="110" s="1"/>
  <c r="D24" i="110"/>
  <c r="E24" i="110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D33" i="110"/>
  <c r="E33" i="110" s="1"/>
  <c r="D32" i="110"/>
  <c r="E32" i="110" s="1"/>
  <c r="D17" i="110"/>
  <c r="E17" i="110" s="1"/>
  <c r="D10" i="110"/>
  <c r="E10" i="110" s="1"/>
  <c r="D29" i="110"/>
  <c r="E29" i="110" s="1"/>
  <c r="D49" i="110"/>
  <c r="E49" i="110" s="1"/>
  <c r="D8" i="110"/>
  <c r="E8" i="110" s="1"/>
  <c r="D19" i="110"/>
  <c r="E19" i="110" s="1"/>
  <c r="D16" i="110"/>
  <c r="E16" i="110" s="1"/>
  <c r="C57" i="110"/>
  <c r="E8" i="107"/>
  <c r="D18" i="107"/>
  <c r="D70" i="105"/>
  <c r="F78" i="100" l="1"/>
  <c r="E15" i="111"/>
  <c r="F191" i="111" s="1"/>
  <c r="L29" i="111"/>
  <c r="L38" i="111"/>
  <c r="L52" i="111"/>
  <c r="K52" i="111"/>
  <c r="K46" i="111"/>
  <c r="K35" i="111"/>
  <c r="L39" i="111"/>
  <c r="K39" i="111"/>
  <c r="K25" i="111"/>
  <c r="K47" i="111"/>
  <c r="K28" i="111"/>
  <c r="K55" i="111"/>
  <c r="K37" i="111"/>
  <c r="K44" i="111"/>
  <c r="K30" i="111"/>
  <c r="K56" i="111"/>
  <c r="K29" i="111"/>
  <c r="K57" i="111"/>
  <c r="K24" i="111"/>
  <c r="K41" i="111"/>
  <c r="K43" i="111"/>
  <c r="K20" i="111"/>
  <c r="K22" i="111"/>
  <c r="K38" i="111"/>
  <c r="K27" i="111"/>
  <c r="K42" i="111"/>
  <c r="K32" i="111"/>
  <c r="K40" i="111"/>
  <c r="K21" i="111"/>
  <c r="K19" i="111"/>
  <c r="K54" i="111"/>
  <c r="K23" i="111"/>
  <c r="K49" i="111"/>
  <c r="K31" i="111"/>
  <c r="K33" i="111"/>
  <c r="K51" i="111"/>
  <c r="K34" i="111"/>
  <c r="K50" i="111"/>
  <c r="K48" i="111"/>
  <c r="K45" i="111"/>
  <c r="K53" i="111"/>
  <c r="K36" i="111"/>
  <c r="K26" i="111"/>
  <c r="G49" i="110"/>
  <c r="K49" i="110"/>
  <c r="J49" i="110"/>
  <c r="F40" i="110"/>
  <c r="G40" i="110"/>
  <c r="J40" i="110"/>
  <c r="K40" i="110"/>
  <c r="F19" i="110"/>
  <c r="K19" i="110"/>
  <c r="G19" i="110"/>
  <c r="J19" i="110"/>
  <c r="F9" i="110"/>
  <c r="K9" i="110"/>
  <c r="J9" i="110"/>
  <c r="G9" i="110"/>
  <c r="K34" i="110"/>
  <c r="G34" i="110"/>
  <c r="J34" i="110"/>
  <c r="F8" i="110"/>
  <c r="K8" i="110"/>
  <c r="J8" i="110"/>
  <c r="G8" i="110"/>
  <c r="F38" i="110"/>
  <c r="J38" i="110"/>
  <c r="G38" i="110"/>
  <c r="K38" i="110"/>
  <c r="F21" i="110"/>
  <c r="G21" i="110"/>
  <c r="K21" i="110"/>
  <c r="J21" i="110"/>
  <c r="F39" i="110"/>
  <c r="K39" i="110"/>
  <c r="G39" i="110"/>
  <c r="J39" i="110"/>
  <c r="F29" i="110"/>
  <c r="K29" i="110"/>
  <c r="J29" i="110"/>
  <c r="G29" i="110"/>
  <c r="F41" i="110"/>
  <c r="K41" i="110"/>
  <c r="J41" i="110"/>
  <c r="G41" i="110"/>
  <c r="G47" i="110"/>
  <c r="J47" i="110"/>
  <c r="K47" i="110"/>
  <c r="F10" i="110"/>
  <c r="K10" i="110"/>
  <c r="G10" i="110"/>
  <c r="J10" i="110"/>
  <c r="F28" i="110"/>
  <c r="G28" i="110"/>
  <c r="K28" i="110"/>
  <c r="J28" i="110"/>
  <c r="K32" i="110"/>
  <c r="J32" i="110"/>
  <c r="G32" i="110"/>
  <c r="F24" i="110"/>
  <c r="J24" i="110"/>
  <c r="G24" i="110"/>
  <c r="K24" i="110"/>
  <c r="F37" i="110"/>
  <c r="G37" i="110"/>
  <c r="J37" i="110"/>
  <c r="K37" i="110"/>
  <c r="F7" i="110"/>
  <c r="K7" i="110"/>
  <c r="J7" i="110"/>
  <c r="G7" i="110"/>
  <c r="F27" i="110"/>
  <c r="J27" i="110"/>
  <c r="G27" i="110"/>
  <c r="K27" i="110"/>
  <c r="F22" i="110"/>
  <c r="J22" i="110"/>
  <c r="G22" i="110"/>
  <c r="K22" i="110"/>
  <c r="F18" i="110"/>
  <c r="J18" i="110"/>
  <c r="G18" i="110"/>
  <c r="K18" i="110"/>
  <c r="F32" i="110"/>
  <c r="F31" i="110"/>
  <c r="J31" i="110"/>
  <c r="K31" i="110"/>
  <c r="G31" i="110"/>
  <c r="F33" i="110"/>
  <c r="K33" i="110"/>
  <c r="J33" i="110"/>
  <c r="G33" i="110"/>
  <c r="F13" i="110"/>
  <c r="G13" i="110"/>
  <c r="K13" i="110"/>
  <c r="J13" i="110"/>
  <c r="F43" i="110"/>
  <c r="J43" i="110"/>
  <c r="K43" i="110"/>
  <c r="G43" i="110"/>
  <c r="F56" i="110"/>
  <c r="K56" i="110"/>
  <c r="J56" i="110"/>
  <c r="G56" i="110"/>
  <c r="F45" i="110"/>
  <c r="J45" i="110"/>
  <c r="G45" i="110"/>
  <c r="K45" i="110"/>
  <c r="F35" i="110"/>
  <c r="G35" i="110"/>
  <c r="K35" i="110"/>
  <c r="J35" i="110"/>
  <c r="F15" i="110"/>
  <c r="G15" i="110"/>
  <c r="K15" i="110"/>
  <c r="J15" i="110"/>
  <c r="F49" i="110"/>
  <c r="F6" i="110"/>
  <c r="G6" i="110"/>
  <c r="J6" i="110"/>
  <c r="K6" i="110"/>
  <c r="F34" i="110"/>
  <c r="F12" i="110"/>
  <c r="J12" i="110"/>
  <c r="K12" i="110"/>
  <c r="G12" i="110"/>
  <c r="F55" i="110"/>
  <c r="K55" i="110"/>
  <c r="G55" i="110"/>
  <c r="J55" i="110"/>
  <c r="F20" i="110"/>
  <c r="K20" i="110"/>
  <c r="J20" i="110"/>
  <c r="G20" i="110"/>
  <c r="F16" i="110"/>
  <c r="G16" i="110"/>
  <c r="K16" i="110"/>
  <c r="J16" i="110"/>
  <c r="F26" i="110"/>
  <c r="J26" i="110"/>
  <c r="G26" i="110"/>
  <c r="K26" i="110"/>
  <c r="F46" i="110"/>
  <c r="K46" i="110"/>
  <c r="J46" i="110"/>
  <c r="G46" i="110"/>
  <c r="F48" i="110"/>
  <c r="G48" i="110"/>
  <c r="J48" i="110"/>
  <c r="K48" i="110"/>
  <c r="F47" i="110"/>
  <c r="F17" i="110"/>
  <c r="K17" i="110"/>
  <c r="J17" i="110"/>
  <c r="G17" i="110"/>
  <c r="F42" i="110"/>
  <c r="J42" i="110"/>
  <c r="G42" i="110"/>
  <c r="K42" i="110"/>
  <c r="O42" i="100"/>
  <c r="O46" i="100"/>
  <c r="O51" i="100"/>
  <c r="O31" i="100"/>
  <c r="O49" i="100"/>
  <c r="O55" i="100"/>
  <c r="O56" i="100"/>
  <c r="O22" i="100"/>
  <c r="O34" i="100"/>
  <c r="O48" i="100"/>
  <c r="O35" i="100"/>
  <c r="O45" i="100"/>
  <c r="O38" i="100"/>
  <c r="O23" i="100"/>
  <c r="O39" i="100"/>
  <c r="O19" i="100"/>
  <c r="O30" i="100"/>
  <c r="O24" i="100"/>
  <c r="O26" i="100"/>
  <c r="O21" i="100"/>
  <c r="O40" i="100"/>
  <c r="O44" i="100"/>
  <c r="O33" i="100"/>
  <c r="O27" i="100"/>
  <c r="O28" i="100"/>
  <c r="O41" i="100"/>
  <c r="O20" i="100"/>
  <c r="O25" i="100"/>
  <c r="O36" i="100"/>
  <c r="O37" i="100"/>
  <c r="O52" i="100"/>
  <c r="O54" i="100"/>
  <c r="O32" i="100"/>
  <c r="O43" i="100"/>
  <c r="O53" i="100"/>
  <c r="O47" i="100"/>
  <c r="O57" i="100"/>
  <c r="O50" i="100"/>
  <c r="O29" i="100"/>
  <c r="E57" i="110"/>
  <c r="N26" i="100"/>
  <c r="E18" i="107"/>
  <c r="L26" i="111" l="1"/>
  <c r="L58" i="111" s="1"/>
  <c r="L59" i="111" s="1"/>
  <c r="E57" i="111"/>
  <c r="K58" i="111"/>
  <c r="G90" i="100"/>
  <c r="G87" i="100"/>
  <c r="G102" i="100"/>
  <c r="G71" i="100"/>
  <c r="G110" i="100"/>
  <c r="G101" i="100"/>
  <c r="G106" i="100"/>
  <c r="G108" i="100"/>
  <c r="G70" i="100"/>
  <c r="G95" i="100"/>
  <c r="G81" i="100"/>
  <c r="G84" i="100"/>
  <c r="G97" i="100"/>
  <c r="G103" i="100"/>
  <c r="G82" i="100"/>
  <c r="G89" i="100"/>
  <c r="G78" i="100"/>
  <c r="G91" i="100"/>
  <c r="G104" i="100"/>
  <c r="G94" i="100"/>
  <c r="G76" i="100"/>
  <c r="G80" i="100"/>
  <c r="G96" i="100"/>
  <c r="G109" i="100"/>
  <c r="G100" i="100"/>
  <c r="G112" i="100"/>
  <c r="G105" i="100"/>
  <c r="G118" i="100"/>
  <c r="G119" i="100"/>
  <c r="G111" i="100"/>
  <c r="G85" i="100"/>
  <c r="G72" i="100"/>
  <c r="G83" i="100"/>
  <c r="G69" i="100"/>
  <c r="G79" i="100"/>
  <c r="G75" i="100"/>
  <c r="G98" i="100"/>
  <c r="G73" i="100"/>
  <c r="G92" i="100"/>
  <c r="F57" i="110"/>
  <c r="G57" i="100"/>
  <c r="H57" i="100"/>
  <c r="B64" i="110"/>
  <c r="O58" i="100"/>
  <c r="O59" i="100" s="1"/>
  <c r="N58" i="100"/>
  <c r="G58" i="100" l="1"/>
  <c r="L31" i="110"/>
  <c r="F258" i="111" s="1"/>
  <c r="L50" i="110"/>
  <c r="L27" i="110"/>
  <c r="F254" i="111" s="1"/>
  <c r="L12" i="110"/>
  <c r="F239" i="111" s="1"/>
  <c r="L53" i="110"/>
  <c r="L11" i="110"/>
  <c r="L49" i="110"/>
  <c r="F276" i="111" s="1"/>
  <c r="L9" i="110"/>
  <c r="F236" i="111" s="1"/>
  <c r="L41" i="110"/>
  <c r="F268" i="111" s="1"/>
  <c r="L46" i="110"/>
  <c r="F273" i="111" s="1"/>
  <c r="L17" i="110"/>
  <c r="F244" i="111" s="1"/>
  <c r="L36" i="110"/>
  <c r="L15" i="110"/>
  <c r="F242" i="111" s="1"/>
  <c r="L56" i="110"/>
  <c r="F283" i="111" s="1"/>
  <c r="L34" i="110"/>
  <c r="F261" i="111" s="1"/>
  <c r="F57" i="100"/>
  <c r="M24" i="111" l="1"/>
  <c r="F238" i="111"/>
  <c r="M6" i="111"/>
  <c r="M36" i="111"/>
  <c r="M22" i="111"/>
  <c r="M28" i="111"/>
  <c r="F280" i="111"/>
  <c r="M16" i="111"/>
  <c r="M42" i="111"/>
  <c r="M26" i="111"/>
  <c r="M57" i="111"/>
  <c r="F263" i="111"/>
  <c r="M11" i="111"/>
  <c r="M39" i="111"/>
  <c r="F277" i="111"/>
  <c r="M13" i="111"/>
  <c r="M48" i="111"/>
  <c r="M55" i="111"/>
  <c r="M52" i="111"/>
  <c r="L10" i="110"/>
  <c r="L39" i="110"/>
  <c r="L52" i="110"/>
  <c r="L13" i="110"/>
  <c r="L20" i="110"/>
  <c r="L28" i="110"/>
  <c r="L30" i="110"/>
  <c r="L8" i="110"/>
  <c r="L18" i="110"/>
  <c r="L42" i="110"/>
  <c r="L14" i="110"/>
  <c r="L32" i="110"/>
  <c r="L6" i="110"/>
  <c r="J57" i="110"/>
  <c r="J59" i="110" s="1"/>
  <c r="L35" i="110"/>
  <c r="L38" i="110"/>
  <c r="L29" i="110"/>
  <c r="L24" i="110"/>
  <c r="L40" i="110"/>
  <c r="L7" i="110"/>
  <c r="L51" i="110"/>
  <c r="L19" i="110"/>
  <c r="L26" i="110"/>
  <c r="L45" i="110"/>
  <c r="L47" i="110"/>
  <c r="L22" i="110"/>
  <c r="L44" i="110"/>
  <c r="L33" i="110"/>
  <c r="L43" i="110"/>
  <c r="L54" i="110"/>
  <c r="L55" i="110"/>
  <c r="L48" i="110"/>
  <c r="K57" i="110"/>
  <c r="K59" i="110" s="1"/>
  <c r="L37" i="110"/>
  <c r="L25" i="110"/>
  <c r="L23" i="110"/>
  <c r="L16" i="110"/>
  <c r="L21" i="110"/>
  <c r="B25" i="105"/>
  <c r="B71" i="105" s="1"/>
  <c r="F281" i="111" l="1"/>
  <c r="M17" i="111"/>
  <c r="F251" i="111"/>
  <c r="M34" i="111"/>
  <c r="F255" i="111"/>
  <c r="M37" i="111"/>
  <c r="F265" i="111"/>
  <c r="M45" i="111"/>
  <c r="F240" i="111"/>
  <c r="M25" i="111"/>
  <c r="F247" i="111"/>
  <c r="M31" i="111"/>
  <c r="F262" i="111"/>
  <c r="M43" i="111"/>
  <c r="F279" i="111"/>
  <c r="M15" i="111"/>
  <c r="F256" i="111"/>
  <c r="M38" i="111"/>
  <c r="F266" i="111"/>
  <c r="M46" i="111"/>
  <c r="F274" i="111"/>
  <c r="M53" i="111"/>
  <c r="F237" i="111"/>
  <c r="M23" i="111"/>
  <c r="F250" i="111"/>
  <c r="M8" i="111"/>
  <c r="F259" i="111"/>
  <c r="M40" i="111"/>
  <c r="F271" i="111"/>
  <c r="M12" i="111"/>
  <c r="F253" i="111"/>
  <c r="M35" i="111"/>
  <c r="F241" i="111"/>
  <c r="M7" i="111"/>
  <c r="F249" i="111"/>
  <c r="M33" i="111"/>
  <c r="F269" i="111"/>
  <c r="M49" i="111"/>
  <c r="F270" i="111"/>
  <c r="M50" i="111"/>
  <c r="F248" i="111"/>
  <c r="M32" i="111"/>
  <c r="F252" i="111"/>
  <c r="M9" i="111"/>
  <c r="F246" i="111"/>
  <c r="M30" i="111"/>
  <c r="F278" i="111"/>
  <c r="M14" i="111"/>
  <c r="F245" i="111"/>
  <c r="M29" i="111"/>
  <c r="F272" i="111"/>
  <c r="M51" i="111"/>
  <c r="F264" i="111"/>
  <c r="M44" i="111"/>
  <c r="F275" i="111"/>
  <c r="M54" i="111"/>
  <c r="F234" i="111"/>
  <c r="M20" i="111"/>
  <c r="F235" i="111"/>
  <c r="M21" i="111"/>
  <c r="F260" i="111"/>
  <c r="M41" i="111"/>
  <c r="F243" i="111"/>
  <c r="M27" i="111"/>
  <c r="F282" i="111"/>
  <c r="M56" i="111"/>
  <c r="F267" i="111"/>
  <c r="M47" i="111"/>
  <c r="F257" i="111"/>
  <c r="M10" i="111"/>
  <c r="F233" i="111"/>
  <c r="M19" i="111"/>
  <c r="L57" i="110"/>
  <c r="B11" i="105"/>
  <c r="M18" i="111" l="1"/>
  <c r="M58" i="111"/>
  <c r="L59" i="110"/>
  <c r="C64" i="110" s="1"/>
  <c r="C20" i="105"/>
  <c r="C21" i="105"/>
  <c r="C13" i="105"/>
  <c r="D13" i="105" s="1"/>
  <c r="C22" i="105"/>
  <c r="D22" i="105" s="1"/>
  <c r="C23" i="105"/>
  <c r="D23" i="105" s="1"/>
  <c r="C17" i="105"/>
  <c r="D17" i="105" s="1"/>
  <c r="C24" i="105"/>
  <c r="D24" i="105" s="1"/>
  <c r="C19" i="105"/>
  <c r="D19" i="105" s="1"/>
  <c r="C14" i="105"/>
  <c r="D14" i="105" s="1"/>
  <c r="C15" i="105"/>
  <c r="D15" i="105" s="1"/>
  <c r="C16" i="105"/>
  <c r="D16" i="105" s="1"/>
  <c r="C18" i="105"/>
  <c r="D18" i="105" s="1"/>
  <c r="D20" i="105"/>
  <c r="D21" i="105"/>
  <c r="M59" i="111" l="1"/>
  <c r="E77" i="100"/>
  <c r="D14" i="111"/>
  <c r="F139" i="111" s="1"/>
  <c r="E74" i="100"/>
  <c r="D11" i="111"/>
  <c r="F136" i="111" s="1"/>
  <c r="E99" i="100"/>
  <c r="D36" i="111"/>
  <c r="F161" i="111" s="1"/>
  <c r="E86" i="100"/>
  <c r="D23" i="111"/>
  <c r="F148" i="111" s="1"/>
  <c r="E116" i="100"/>
  <c r="D53" i="111"/>
  <c r="F178" i="111" s="1"/>
  <c r="E115" i="100"/>
  <c r="D52" i="111"/>
  <c r="F177" i="111" s="1"/>
  <c r="E107" i="100"/>
  <c r="D44" i="111"/>
  <c r="F169" i="111" s="1"/>
  <c r="E117" i="100"/>
  <c r="D54" i="111"/>
  <c r="F179" i="111" s="1"/>
  <c r="E114" i="100"/>
  <c r="D51" i="111"/>
  <c r="F176" i="111" s="1"/>
  <c r="E88" i="100"/>
  <c r="D25" i="111"/>
  <c r="F150" i="111" s="1"/>
  <c r="E93" i="100"/>
  <c r="D30" i="111"/>
  <c r="F155" i="111" s="1"/>
  <c r="E113" i="100"/>
  <c r="D50" i="111"/>
  <c r="F175" i="111" s="1"/>
  <c r="N15" i="100"/>
  <c r="N6" i="100"/>
  <c r="N8" i="100"/>
  <c r="N7" i="100"/>
  <c r="N14" i="100"/>
  <c r="N13" i="100"/>
  <c r="N17" i="100"/>
  <c r="N12" i="100"/>
  <c r="N11" i="100"/>
  <c r="N16" i="100"/>
  <c r="N10" i="100"/>
  <c r="N9" i="100"/>
  <c r="D25" i="105"/>
  <c r="D71" i="105" s="1"/>
  <c r="E57" i="100"/>
  <c r="C25" i="105"/>
  <c r="C71" i="105" s="1"/>
  <c r="K13" i="111" l="1"/>
  <c r="K8" i="111"/>
  <c r="K15" i="111"/>
  <c r="K6" i="111"/>
  <c r="D57" i="111"/>
  <c r="K17" i="111"/>
  <c r="K10" i="111"/>
  <c r="K9" i="111"/>
  <c r="K11" i="111"/>
  <c r="K7" i="111"/>
  <c r="K16" i="111"/>
  <c r="K14" i="111"/>
  <c r="K12" i="111"/>
  <c r="N18" i="100"/>
  <c r="N59" i="100" s="1"/>
  <c r="K18" i="111" l="1"/>
  <c r="K59" i="111" s="1"/>
  <c r="D116" i="100"/>
  <c r="H116" i="100" s="1"/>
  <c r="D87" i="100"/>
  <c r="H87" i="100" s="1"/>
  <c r="D113" i="100"/>
  <c r="H113" i="100" s="1"/>
  <c r="D117" i="100"/>
  <c r="H117" i="100" s="1"/>
  <c r="D100" i="100"/>
  <c r="H100" i="100" s="1"/>
  <c r="P54" i="100"/>
  <c r="P8" i="100"/>
  <c r="P19" i="100"/>
  <c r="D73" i="100" l="1"/>
  <c r="H73" i="100" s="1"/>
  <c r="D105" i="100"/>
  <c r="H105" i="100" s="1"/>
  <c r="D72" i="100"/>
  <c r="H72" i="100" s="1"/>
  <c r="D86" i="100"/>
  <c r="H86" i="100" s="1"/>
  <c r="D79" i="100"/>
  <c r="H79" i="100" s="1"/>
  <c r="D80" i="100"/>
  <c r="H80" i="100" s="1"/>
  <c r="D77" i="100"/>
  <c r="H77" i="100" s="1"/>
  <c r="M44" i="100"/>
  <c r="I37" i="100"/>
  <c r="D91" i="100"/>
  <c r="H91" i="100" s="1"/>
  <c r="D93" i="100"/>
  <c r="H93" i="100" s="1"/>
  <c r="I54" i="100"/>
  <c r="M17" i="100"/>
  <c r="D85" i="100"/>
  <c r="H85" i="100" s="1"/>
  <c r="D75" i="100"/>
  <c r="H75" i="100" s="1"/>
  <c r="D102" i="100"/>
  <c r="H102" i="100" s="1"/>
  <c r="D119" i="100"/>
  <c r="H119" i="100" s="1"/>
  <c r="D89" i="100"/>
  <c r="H89" i="100" s="1"/>
  <c r="D98" i="100"/>
  <c r="H98" i="100" s="1"/>
  <c r="D111" i="100"/>
  <c r="H111" i="100" s="1"/>
  <c r="D115" i="100"/>
  <c r="H115" i="100" s="1"/>
  <c r="M13" i="100"/>
  <c r="I50" i="100"/>
  <c r="D109" i="100"/>
  <c r="H109" i="100" s="1"/>
  <c r="D92" i="100"/>
  <c r="H92" i="100" s="1"/>
  <c r="D81" i="100"/>
  <c r="H81" i="100" s="1"/>
  <c r="D88" i="100"/>
  <c r="H88" i="100" s="1"/>
  <c r="D118" i="100"/>
  <c r="H118" i="100" s="1"/>
  <c r="D108" i="100"/>
  <c r="H108" i="100" s="1"/>
  <c r="D99" i="100"/>
  <c r="H99" i="100" s="1"/>
  <c r="D97" i="100"/>
  <c r="H97" i="100" s="1"/>
  <c r="D69" i="100"/>
  <c r="H69" i="100" s="1"/>
  <c r="D90" i="100"/>
  <c r="H90" i="100" s="1"/>
  <c r="D95" i="100"/>
  <c r="H95" i="100" s="1"/>
  <c r="D71" i="100"/>
  <c r="H71" i="100" s="1"/>
  <c r="D82" i="100"/>
  <c r="H82" i="100" s="1"/>
  <c r="D104" i="100"/>
  <c r="H104" i="100" s="1"/>
  <c r="D96" i="100"/>
  <c r="H96" i="100" s="1"/>
  <c r="M34" i="100"/>
  <c r="I24" i="100"/>
  <c r="D76" i="100"/>
  <c r="H76" i="100" s="1"/>
  <c r="D101" i="100"/>
  <c r="H101" i="100" s="1"/>
  <c r="D83" i="100"/>
  <c r="H83" i="100" s="1"/>
  <c r="M16" i="100"/>
  <c r="I53" i="100"/>
  <c r="D103" i="100"/>
  <c r="H103" i="100" s="1"/>
  <c r="D78" i="100"/>
  <c r="H78" i="100" s="1"/>
  <c r="D70" i="100"/>
  <c r="H70" i="100" s="1"/>
  <c r="D114" i="100"/>
  <c r="H114" i="100" s="1"/>
  <c r="D112" i="100"/>
  <c r="H112" i="100" s="1"/>
  <c r="D107" i="100"/>
  <c r="H107" i="100" s="1"/>
  <c r="D110" i="100"/>
  <c r="H110" i="100" s="1"/>
  <c r="D84" i="100"/>
  <c r="H84" i="100" s="1"/>
  <c r="D106" i="100"/>
  <c r="H106" i="100" s="1"/>
  <c r="D94" i="100"/>
  <c r="H94" i="100" s="1"/>
  <c r="D74" i="100"/>
  <c r="H74" i="100" s="1"/>
  <c r="P29" i="100"/>
  <c r="P28" i="100"/>
  <c r="P34" i="100"/>
  <c r="P46" i="100"/>
  <c r="P16" i="100"/>
  <c r="P30" i="100"/>
  <c r="P36" i="100"/>
  <c r="P40" i="100"/>
  <c r="P7" i="100"/>
  <c r="P21" i="100"/>
  <c r="P43" i="100"/>
  <c r="P10" i="100"/>
  <c r="P37" i="100"/>
  <c r="P9" i="100"/>
  <c r="P56" i="100"/>
  <c r="P15" i="100"/>
  <c r="P26" i="100"/>
  <c r="P51" i="100"/>
  <c r="P44" i="100"/>
  <c r="Q44" i="100" s="1"/>
  <c r="P12" i="100"/>
  <c r="P48" i="100"/>
  <c r="P41" i="100"/>
  <c r="P52" i="100"/>
  <c r="P53" i="100"/>
  <c r="P32" i="100"/>
  <c r="P45" i="100"/>
  <c r="P13" i="100"/>
  <c r="Q13" i="100" s="1"/>
  <c r="P11" i="100"/>
  <c r="P27" i="100"/>
  <c r="P47" i="100"/>
  <c r="P57" i="100"/>
  <c r="P14" i="100"/>
  <c r="P55" i="100"/>
  <c r="P42" i="100"/>
  <c r="P35" i="100"/>
  <c r="P25" i="100"/>
  <c r="P6" i="100"/>
  <c r="P31" i="100"/>
  <c r="P17" i="100"/>
  <c r="P33" i="100"/>
  <c r="P24" i="100"/>
  <c r="P49" i="100"/>
  <c r="P22" i="100"/>
  <c r="P23" i="100"/>
  <c r="P38" i="100"/>
  <c r="P50" i="100"/>
  <c r="P39" i="100"/>
  <c r="Q34" i="100" l="1"/>
  <c r="M41" i="100"/>
  <c r="I33" i="100"/>
  <c r="D57" i="100"/>
  <c r="M19" i="100"/>
  <c r="I6" i="100"/>
  <c r="M29" i="100"/>
  <c r="Q29" i="100" s="1"/>
  <c r="I18" i="100"/>
  <c r="I44" i="100"/>
  <c r="M12" i="100"/>
  <c r="Q12" i="100" s="1"/>
  <c r="M48" i="100"/>
  <c r="Q48" i="100" s="1"/>
  <c r="I41" i="100"/>
  <c r="M38" i="100"/>
  <c r="Q38" i="100" s="1"/>
  <c r="I29" i="100"/>
  <c r="M27" i="100"/>
  <c r="Q27" i="100" s="1"/>
  <c r="I16" i="100"/>
  <c r="M42" i="100"/>
  <c r="Q42" i="100" s="1"/>
  <c r="I34" i="100"/>
  <c r="M6" i="100"/>
  <c r="Q6" i="100" s="1"/>
  <c r="I11" i="100"/>
  <c r="M55" i="100"/>
  <c r="Q55" i="100" s="1"/>
  <c r="I49" i="100"/>
  <c r="M35" i="100"/>
  <c r="Q35" i="100" s="1"/>
  <c r="I26" i="100"/>
  <c r="I30" i="100"/>
  <c r="M10" i="100"/>
  <c r="Q10" i="100" s="1"/>
  <c r="M31" i="100"/>
  <c r="Q31" i="100" s="1"/>
  <c r="I20" i="100"/>
  <c r="M30" i="100"/>
  <c r="Q30" i="100" s="1"/>
  <c r="I19" i="100"/>
  <c r="M11" i="100"/>
  <c r="Q11" i="100" s="1"/>
  <c r="I36" i="100"/>
  <c r="M52" i="100"/>
  <c r="Q52" i="100" s="1"/>
  <c r="I46" i="100"/>
  <c r="M8" i="100"/>
  <c r="Q8" i="100" s="1"/>
  <c r="I23" i="100"/>
  <c r="M43" i="100"/>
  <c r="Q43" i="100" s="1"/>
  <c r="I35" i="100"/>
  <c r="M39" i="100"/>
  <c r="Q39" i="100" s="1"/>
  <c r="I31" i="100"/>
  <c r="M14" i="100"/>
  <c r="Q14" i="100" s="1"/>
  <c r="I51" i="100"/>
  <c r="M57" i="100"/>
  <c r="Q57" i="100" s="1"/>
  <c r="I56" i="100"/>
  <c r="M37" i="100"/>
  <c r="Q37" i="100" s="1"/>
  <c r="I28" i="100"/>
  <c r="M45" i="100"/>
  <c r="Q45" i="100" s="1"/>
  <c r="I38" i="100"/>
  <c r="M21" i="100"/>
  <c r="Q21" i="100" s="1"/>
  <c r="I8" i="100"/>
  <c r="M51" i="100"/>
  <c r="Q51" i="100" s="1"/>
  <c r="I45" i="100"/>
  <c r="M22" i="100"/>
  <c r="Q22" i="100" s="1"/>
  <c r="I9" i="100"/>
  <c r="Q17" i="100"/>
  <c r="Q16" i="100"/>
  <c r="M50" i="100"/>
  <c r="Q50" i="100" s="1"/>
  <c r="I43" i="100"/>
  <c r="M20" i="100"/>
  <c r="I7" i="100"/>
  <c r="M46" i="100"/>
  <c r="Q46" i="100" s="1"/>
  <c r="I39" i="100"/>
  <c r="Q41" i="100"/>
  <c r="M25" i="100"/>
  <c r="Q25" i="100" s="1"/>
  <c r="I13" i="100"/>
  <c r="M40" i="100"/>
  <c r="Q40" i="100" s="1"/>
  <c r="I32" i="100"/>
  <c r="M56" i="100"/>
  <c r="Q56" i="100" s="1"/>
  <c r="I55" i="100"/>
  <c r="M49" i="100"/>
  <c r="Q49" i="100" s="1"/>
  <c r="I42" i="100"/>
  <c r="M32" i="100"/>
  <c r="Q32" i="100" s="1"/>
  <c r="I21" i="100"/>
  <c r="M26" i="100"/>
  <c r="Q26" i="100" s="1"/>
  <c r="I15" i="100"/>
  <c r="I52" i="100"/>
  <c r="M15" i="100"/>
  <c r="Q15" i="100" s="1"/>
  <c r="M24" i="100"/>
  <c r="Q24" i="100" s="1"/>
  <c r="I12" i="100"/>
  <c r="I14" i="100"/>
  <c r="M7" i="100"/>
  <c r="Q7" i="100" s="1"/>
  <c r="M36" i="100"/>
  <c r="Q36" i="100" s="1"/>
  <c r="I27" i="100"/>
  <c r="M9" i="100"/>
  <c r="Q9" i="100" s="1"/>
  <c r="I25" i="100"/>
  <c r="M23" i="100"/>
  <c r="Q23" i="100" s="1"/>
  <c r="I10" i="100"/>
  <c r="M53" i="100"/>
  <c r="Q53" i="100" s="1"/>
  <c r="I47" i="100"/>
  <c r="M47" i="100"/>
  <c r="Q47" i="100" s="1"/>
  <c r="I40" i="100"/>
  <c r="M54" i="100"/>
  <c r="Q54" i="100" s="1"/>
  <c r="I48" i="100"/>
  <c r="M33" i="100"/>
  <c r="Q33" i="100" s="1"/>
  <c r="I22" i="100"/>
  <c r="M28" i="100"/>
  <c r="Q28" i="100" s="1"/>
  <c r="I17" i="100"/>
  <c r="P18" i="100"/>
  <c r="P20" i="100"/>
  <c r="C57" i="100"/>
  <c r="D58" i="100" l="1"/>
  <c r="I57" i="100"/>
  <c r="M58" i="100"/>
  <c r="Q19" i="100"/>
  <c r="M18" i="100"/>
  <c r="Q18" i="100"/>
  <c r="Q20" i="100"/>
  <c r="Q58" i="100" s="1"/>
  <c r="P58" i="100"/>
  <c r="P59" i="100" s="1"/>
  <c r="Q59" i="100" l="1"/>
  <c r="M59" i="100"/>
  <c r="D7" i="104"/>
  <c r="D9" i="104" s="1"/>
  <c r="D25" i="104"/>
  <c r="D33" i="104"/>
  <c r="D8" i="104" l="1"/>
  <c r="E24" i="104" s="1"/>
  <c r="E38" i="104"/>
  <c r="E29" i="104"/>
  <c r="D53" i="104"/>
  <c r="D29" i="104"/>
  <c r="D18" i="104"/>
  <c r="D32" i="104"/>
  <c r="E19" i="104"/>
  <c r="E67" i="104"/>
  <c r="E53" i="104"/>
  <c r="F53" i="104" s="1"/>
  <c r="C35" i="111" s="1"/>
  <c r="F109" i="111" s="1"/>
  <c r="E56" i="104"/>
  <c r="D22" i="104"/>
  <c r="D52" i="104"/>
  <c r="E21" i="104"/>
  <c r="D45" i="104"/>
  <c r="E47" i="104"/>
  <c r="E58" i="104"/>
  <c r="E36" i="104"/>
  <c r="D67" i="104"/>
  <c r="J29" i="104"/>
  <c r="N14" i="104" s="1"/>
  <c r="D61" i="104"/>
  <c r="D16" i="104"/>
  <c r="E14" i="104"/>
  <c r="D14" i="104"/>
  <c r="D54" i="104"/>
  <c r="D24" i="104"/>
  <c r="D49" i="104"/>
  <c r="E23" i="104"/>
  <c r="E39" i="104"/>
  <c r="E44" i="104"/>
  <c r="E46" i="104"/>
  <c r="D42" i="104"/>
  <c r="E20" i="104"/>
  <c r="E64" i="104"/>
  <c r="E51" i="104"/>
  <c r="E63" i="104"/>
  <c r="D31" i="104"/>
  <c r="D20" i="104"/>
  <c r="E15" i="104"/>
  <c r="D40" i="104"/>
  <c r="E60" i="104"/>
  <c r="E59" i="104"/>
  <c r="E43" i="104"/>
  <c r="D59" i="104"/>
  <c r="D56" i="104"/>
  <c r="F29" i="104"/>
  <c r="C6" i="111" s="1"/>
  <c r="F80" i="111" s="1"/>
  <c r="D66" i="104"/>
  <c r="D15" i="104"/>
  <c r="D60" i="104"/>
  <c r="D23" i="104"/>
  <c r="E22" i="104"/>
  <c r="E35" i="104"/>
  <c r="E40" i="104"/>
  <c r="E54" i="104"/>
  <c r="D58" i="104"/>
  <c r="E18" i="104"/>
  <c r="F18" i="104" s="1"/>
  <c r="C30" i="111" s="1"/>
  <c r="F104" i="111" s="1"/>
  <c r="E32" i="104"/>
  <c r="E34" i="104"/>
  <c r="E50" i="104"/>
  <c r="D41" i="104"/>
  <c r="D37" i="104"/>
  <c r="E16" i="104"/>
  <c r="D19" i="104"/>
  <c r="E30" i="104"/>
  <c r="E65" i="104"/>
  <c r="E48" i="104"/>
  <c r="D44" i="104"/>
  <c r="D50" i="104"/>
  <c r="D46" i="104"/>
  <c r="E66" i="104"/>
  <c r="E55" i="104"/>
  <c r="E62" i="104"/>
  <c r="E37" i="104"/>
  <c r="D64" i="104"/>
  <c r="D36" i="104"/>
  <c r="D17" i="104"/>
  <c r="D57" i="104"/>
  <c r="D55" i="104"/>
  <c r="E17" i="104"/>
  <c r="D51" i="104"/>
  <c r="E42" i="104"/>
  <c r="E49" i="104"/>
  <c r="E45" i="104"/>
  <c r="E61" i="104"/>
  <c r="D34" i="104"/>
  <c r="D63" i="104"/>
  <c r="D43" i="104"/>
  <c r="D65" i="104"/>
  <c r="D62" i="104"/>
  <c r="D38" i="104"/>
  <c r="D39" i="104"/>
  <c r="E25" i="104"/>
  <c r="J25" i="104" s="1"/>
  <c r="N62" i="104" s="1"/>
  <c r="E52" i="104"/>
  <c r="E57" i="104"/>
  <c r="E31" i="104"/>
  <c r="D30" i="104"/>
  <c r="D68" i="104" s="1"/>
  <c r="D48" i="104"/>
  <c r="D47" i="104"/>
  <c r="D21" i="104"/>
  <c r="D35" i="104"/>
  <c r="E41" i="104"/>
  <c r="E33" i="104"/>
  <c r="J33" i="104" s="1"/>
  <c r="N18" i="104" s="1"/>
  <c r="N43" i="111" l="1"/>
  <c r="O43" i="111" s="1"/>
  <c r="G35" i="111"/>
  <c r="N10" i="111"/>
  <c r="O10" i="111" s="1"/>
  <c r="G30" i="111"/>
  <c r="N19" i="111"/>
  <c r="G6" i="111"/>
  <c r="J53" i="104"/>
  <c r="N43" i="104" s="1"/>
  <c r="E68" i="104"/>
  <c r="E26" i="104"/>
  <c r="F16" i="104"/>
  <c r="C23" i="111" s="1"/>
  <c r="F97" i="111" s="1"/>
  <c r="J16" i="104"/>
  <c r="N31" i="104" s="1"/>
  <c r="F61" i="104"/>
  <c r="C45" i="111" s="1"/>
  <c r="F119" i="111" s="1"/>
  <c r="J61" i="104"/>
  <c r="N53" i="104" s="1"/>
  <c r="J51" i="104"/>
  <c r="N41" i="104" s="1"/>
  <c r="F51" i="104"/>
  <c r="C33" i="111" s="1"/>
  <c r="F107" i="111" s="1"/>
  <c r="J50" i="104"/>
  <c r="N40" i="104" s="1"/>
  <c r="F50" i="104"/>
  <c r="C32" i="111" s="1"/>
  <c r="F106" i="111" s="1"/>
  <c r="F59" i="104"/>
  <c r="C42" i="111" s="1"/>
  <c r="F116" i="111" s="1"/>
  <c r="J59" i="104"/>
  <c r="N50" i="104" s="1"/>
  <c r="F67" i="104"/>
  <c r="C56" i="111" s="1"/>
  <c r="F130" i="111" s="1"/>
  <c r="J67" i="104"/>
  <c r="N64" i="104" s="1"/>
  <c r="J32" i="104"/>
  <c r="N17" i="104" s="1"/>
  <c r="F32" i="104"/>
  <c r="C9" i="111" s="1"/>
  <c r="F83" i="111" s="1"/>
  <c r="F42" i="104"/>
  <c r="C21" i="111" s="1"/>
  <c r="F95" i="111" s="1"/>
  <c r="J42" i="104"/>
  <c r="N29" i="104" s="1"/>
  <c r="J39" i="104"/>
  <c r="N26" i="104" s="1"/>
  <c r="F39" i="104"/>
  <c r="C18" i="111" s="1"/>
  <c r="F92" i="111" s="1"/>
  <c r="J44" i="104"/>
  <c r="N32" i="104" s="1"/>
  <c r="F44" i="104"/>
  <c r="C24" i="111" s="1"/>
  <c r="F98" i="111" s="1"/>
  <c r="F58" i="104"/>
  <c r="C41" i="111" s="1"/>
  <c r="F115" i="111" s="1"/>
  <c r="J58" i="104"/>
  <c r="N49" i="104" s="1"/>
  <c r="J35" i="104"/>
  <c r="N21" i="104" s="1"/>
  <c r="F35" i="104"/>
  <c r="C13" i="111" s="1"/>
  <c r="F87" i="111" s="1"/>
  <c r="J65" i="104"/>
  <c r="N57" i="104" s="1"/>
  <c r="F65" i="104"/>
  <c r="C49" i="111" s="1"/>
  <c r="F123" i="111" s="1"/>
  <c r="J17" i="104"/>
  <c r="N33" i="104" s="1"/>
  <c r="F17" i="104"/>
  <c r="C25" i="111" s="1"/>
  <c r="F99" i="111" s="1"/>
  <c r="F40" i="104"/>
  <c r="C19" i="111" s="1"/>
  <c r="F93" i="111" s="1"/>
  <c r="J40" i="104"/>
  <c r="N27" i="104" s="1"/>
  <c r="J18" i="104"/>
  <c r="N38" i="104" s="1"/>
  <c r="J23" i="104"/>
  <c r="N60" i="104" s="1"/>
  <c r="F23" i="104"/>
  <c r="C52" i="111" s="1"/>
  <c r="F126" i="111" s="1"/>
  <c r="J38" i="104"/>
  <c r="N25" i="104" s="1"/>
  <c r="F38" i="104"/>
  <c r="C17" i="111" s="1"/>
  <c r="F91" i="111" s="1"/>
  <c r="J55" i="104"/>
  <c r="N46" i="104" s="1"/>
  <c r="F55" i="104"/>
  <c r="C38" i="111" s="1"/>
  <c r="F112" i="111" s="1"/>
  <c r="F62" i="104"/>
  <c r="C46" i="111" s="1"/>
  <c r="F120" i="111" s="1"/>
  <c r="J62" i="104"/>
  <c r="N54" i="104" s="1"/>
  <c r="J57" i="104"/>
  <c r="N48" i="104" s="1"/>
  <c r="F57" i="104"/>
  <c r="C40" i="111" s="1"/>
  <c r="F114" i="111" s="1"/>
  <c r="J21" i="104"/>
  <c r="N58" i="104" s="1"/>
  <c r="F21" i="104"/>
  <c r="C50" i="111" s="1"/>
  <c r="F124" i="111" s="1"/>
  <c r="F43" i="104"/>
  <c r="C22" i="111" s="1"/>
  <c r="F96" i="111" s="1"/>
  <c r="J43" i="104"/>
  <c r="N30" i="104" s="1"/>
  <c r="F36" i="104"/>
  <c r="C15" i="111" s="1"/>
  <c r="F89" i="111" s="1"/>
  <c r="J36" i="104"/>
  <c r="N23" i="104" s="1"/>
  <c r="J19" i="104"/>
  <c r="N44" i="104" s="1"/>
  <c r="F19" i="104"/>
  <c r="C36" i="111" s="1"/>
  <c r="F110" i="111" s="1"/>
  <c r="F47" i="104"/>
  <c r="C28" i="111" s="1"/>
  <c r="F102" i="111" s="1"/>
  <c r="J47" i="104"/>
  <c r="N36" i="104" s="1"/>
  <c r="J63" i="104"/>
  <c r="N55" i="104" s="1"/>
  <c r="F63" i="104"/>
  <c r="C47" i="111" s="1"/>
  <c r="F121" i="111" s="1"/>
  <c r="F64" i="104"/>
  <c r="C48" i="111" s="1"/>
  <c r="F122" i="111" s="1"/>
  <c r="J64" i="104"/>
  <c r="N56" i="104" s="1"/>
  <c r="J48" i="104"/>
  <c r="N37" i="104" s="1"/>
  <c r="F48" i="104"/>
  <c r="C29" i="111" s="1"/>
  <c r="F103" i="111" s="1"/>
  <c r="J34" i="104"/>
  <c r="N20" i="104" s="1"/>
  <c r="F34" i="104"/>
  <c r="C12" i="111" s="1"/>
  <c r="F86" i="111" s="1"/>
  <c r="F37" i="104"/>
  <c r="C16" i="111" s="1"/>
  <c r="F90" i="111" s="1"/>
  <c r="J37" i="104"/>
  <c r="N24" i="104" s="1"/>
  <c r="F60" i="104"/>
  <c r="C43" i="111" s="1"/>
  <c r="F117" i="111" s="1"/>
  <c r="J60" i="104"/>
  <c r="N51" i="104" s="1"/>
  <c r="F49" i="104"/>
  <c r="C31" i="111" s="1"/>
  <c r="F105" i="111" s="1"/>
  <c r="J49" i="104"/>
  <c r="N39" i="104" s="1"/>
  <c r="F45" i="104"/>
  <c r="C26" i="111" s="1"/>
  <c r="F100" i="111" s="1"/>
  <c r="J45" i="104"/>
  <c r="N34" i="104" s="1"/>
  <c r="J46" i="104"/>
  <c r="N35" i="104" s="1"/>
  <c r="F46" i="104"/>
  <c r="C27" i="111" s="1"/>
  <c r="F101" i="111" s="1"/>
  <c r="J56" i="104"/>
  <c r="N47" i="104" s="1"/>
  <c r="F56" i="104"/>
  <c r="C39" i="111" s="1"/>
  <c r="F113" i="111" s="1"/>
  <c r="J41" i="104"/>
  <c r="N28" i="104" s="1"/>
  <c r="F41" i="104"/>
  <c r="C20" i="111" s="1"/>
  <c r="F94" i="111" s="1"/>
  <c r="F15" i="104"/>
  <c r="C14" i="111" s="1"/>
  <c r="F88" i="111" s="1"/>
  <c r="J15" i="104"/>
  <c r="N22" i="104" s="1"/>
  <c r="F20" i="104"/>
  <c r="C44" i="111" s="1"/>
  <c r="F118" i="111" s="1"/>
  <c r="J20" i="104"/>
  <c r="N52" i="104" s="1"/>
  <c r="F24" i="104"/>
  <c r="C53" i="111" s="1"/>
  <c r="F127" i="111" s="1"/>
  <c r="J24" i="104"/>
  <c r="N61" i="104" s="1"/>
  <c r="F25" i="104"/>
  <c r="C54" i="111" s="1"/>
  <c r="F128" i="111" s="1"/>
  <c r="J30" i="104"/>
  <c r="N15" i="104" s="1"/>
  <c r="F30" i="104"/>
  <c r="C7" i="111" s="1"/>
  <c r="F81" i="111" s="1"/>
  <c r="F66" i="104"/>
  <c r="C55" i="111" s="1"/>
  <c r="F129" i="111" s="1"/>
  <c r="J66" i="104"/>
  <c r="N63" i="104" s="1"/>
  <c r="F31" i="104"/>
  <c r="C8" i="111" s="1"/>
  <c r="F82" i="111" s="1"/>
  <c r="J31" i="104"/>
  <c r="N16" i="104" s="1"/>
  <c r="J54" i="104"/>
  <c r="N45" i="104" s="1"/>
  <c r="F54" i="104"/>
  <c r="C37" i="111" s="1"/>
  <c r="F111" i="111" s="1"/>
  <c r="F52" i="104"/>
  <c r="C34" i="111" s="1"/>
  <c r="F108" i="111" s="1"/>
  <c r="J52" i="104"/>
  <c r="N42" i="104" s="1"/>
  <c r="J14" i="104"/>
  <c r="N19" i="104" s="1"/>
  <c r="D26" i="104"/>
  <c r="D69" i="104" s="1"/>
  <c r="F14" i="104"/>
  <c r="C11" i="111" s="1"/>
  <c r="F85" i="111" s="1"/>
  <c r="F22" i="104"/>
  <c r="C51" i="111" s="1"/>
  <c r="F125" i="111" s="1"/>
  <c r="J22" i="104"/>
  <c r="N59" i="104" s="1"/>
  <c r="F33" i="104"/>
  <c r="C10" i="111" s="1"/>
  <c r="F84" i="111" s="1"/>
  <c r="C57" i="111" l="1"/>
  <c r="N7" i="111"/>
  <c r="O7" i="111" s="1"/>
  <c r="G14" i="111"/>
  <c r="N50" i="111"/>
  <c r="O50" i="111" s="1"/>
  <c r="G43" i="111"/>
  <c r="N37" i="111"/>
  <c r="O37" i="111" s="1"/>
  <c r="G28" i="111"/>
  <c r="N52" i="111"/>
  <c r="O52" i="111" s="1"/>
  <c r="G46" i="111"/>
  <c r="N55" i="111"/>
  <c r="O55" i="111" s="1"/>
  <c r="G49" i="111"/>
  <c r="N22" i="111"/>
  <c r="O22" i="111" s="1"/>
  <c r="G9" i="111"/>
  <c r="N21" i="111"/>
  <c r="O21" i="111" s="1"/>
  <c r="G8" i="111"/>
  <c r="N31" i="111"/>
  <c r="O31" i="111" s="1"/>
  <c r="G20" i="111"/>
  <c r="N11" i="111"/>
  <c r="O11" i="111" s="1"/>
  <c r="G36" i="111"/>
  <c r="N45" i="111"/>
  <c r="O45" i="111" s="1"/>
  <c r="G38" i="111"/>
  <c r="N8" i="111"/>
  <c r="O8" i="111" s="1"/>
  <c r="G23" i="111"/>
  <c r="N27" i="111"/>
  <c r="O27" i="111" s="1"/>
  <c r="G16" i="111"/>
  <c r="N25" i="111"/>
  <c r="O25" i="111" s="1"/>
  <c r="G13" i="111"/>
  <c r="N46" i="111"/>
  <c r="O46" i="111" s="1"/>
  <c r="G39" i="111"/>
  <c r="N24" i="111"/>
  <c r="O24" i="111" s="1"/>
  <c r="G12" i="111"/>
  <c r="N28" i="111"/>
  <c r="O28" i="111" s="1"/>
  <c r="G17" i="111"/>
  <c r="N57" i="111"/>
  <c r="O57" i="111" s="1"/>
  <c r="G56" i="111"/>
  <c r="N23" i="111"/>
  <c r="O23" i="111" s="1"/>
  <c r="G10" i="111"/>
  <c r="N14" i="111"/>
  <c r="O14" i="111" s="1"/>
  <c r="G51" i="111"/>
  <c r="N26" i="111"/>
  <c r="O26" i="111" s="1"/>
  <c r="G15" i="111"/>
  <c r="N56" i="111"/>
  <c r="O56" i="111" s="1"/>
  <c r="G55" i="111"/>
  <c r="N36" i="111"/>
  <c r="O36" i="111" s="1"/>
  <c r="G27" i="111"/>
  <c r="N38" i="111"/>
  <c r="O38" i="111" s="1"/>
  <c r="G29" i="111"/>
  <c r="N15" i="111"/>
  <c r="O15" i="111" s="1"/>
  <c r="G52" i="111"/>
  <c r="N48" i="111"/>
  <c r="O48" i="111" s="1"/>
  <c r="G41" i="111"/>
  <c r="N49" i="111"/>
  <c r="O49" i="111" s="1"/>
  <c r="G42" i="111"/>
  <c r="N17" i="111"/>
  <c r="O17" i="111" s="1"/>
  <c r="G54" i="111"/>
  <c r="N33" i="111"/>
  <c r="O33" i="111" s="1"/>
  <c r="G22" i="111"/>
  <c r="N34" i="111"/>
  <c r="O34" i="111" s="1"/>
  <c r="G24" i="111"/>
  <c r="N40" i="111"/>
  <c r="O40" i="111" s="1"/>
  <c r="G32" i="111"/>
  <c r="N20" i="111"/>
  <c r="O20" i="111" s="1"/>
  <c r="G7" i="111"/>
  <c r="N13" i="111"/>
  <c r="O13" i="111" s="1"/>
  <c r="G50" i="111"/>
  <c r="O19" i="111"/>
  <c r="N6" i="111"/>
  <c r="G11" i="111"/>
  <c r="N16" i="111"/>
  <c r="O16" i="111" s="1"/>
  <c r="G53" i="111"/>
  <c r="N35" i="111"/>
  <c r="O35" i="111" s="1"/>
  <c r="G26" i="111"/>
  <c r="N54" i="111"/>
  <c r="O54" i="111" s="1"/>
  <c r="G48" i="111"/>
  <c r="N29" i="111"/>
  <c r="O29" i="111" s="1"/>
  <c r="G18" i="111"/>
  <c r="N41" i="111"/>
  <c r="O41" i="111" s="1"/>
  <c r="G33" i="111"/>
  <c r="N42" i="111"/>
  <c r="O42" i="111" s="1"/>
  <c r="G34" i="111"/>
  <c r="N53" i="111"/>
  <c r="O53" i="111" s="1"/>
  <c r="G47" i="111"/>
  <c r="N47" i="111"/>
  <c r="O47" i="111" s="1"/>
  <c r="G40" i="111"/>
  <c r="N30" i="111"/>
  <c r="O30" i="111" s="1"/>
  <c r="G19" i="111"/>
  <c r="N44" i="111"/>
  <c r="O44" i="111" s="1"/>
  <c r="G37" i="111"/>
  <c r="N12" i="111"/>
  <c r="O12" i="111" s="1"/>
  <c r="G44" i="111"/>
  <c r="N39" i="111"/>
  <c r="O39" i="111" s="1"/>
  <c r="G31" i="111"/>
  <c r="N9" i="111"/>
  <c r="O9" i="111" s="1"/>
  <c r="G25" i="111"/>
  <c r="N32" i="111"/>
  <c r="O32" i="111" s="1"/>
  <c r="G21" i="111"/>
  <c r="N51" i="111"/>
  <c r="O51" i="111" s="1"/>
  <c r="G45" i="111"/>
  <c r="F68" i="104"/>
  <c r="N65" i="104"/>
  <c r="O65" i="104" s="1"/>
  <c r="E69" i="104"/>
  <c r="F26" i="104"/>
  <c r="G57" i="111" l="1"/>
  <c r="N18" i="111"/>
  <c r="O6" i="111"/>
  <c r="O18" i="111" s="1"/>
  <c r="F69" i="104"/>
  <c r="O58" i="111"/>
  <c r="N58" i="111"/>
  <c r="N59" i="111" s="1"/>
  <c r="O59" i="111" l="1"/>
</calcChain>
</file>

<file path=xl/sharedStrings.xml><?xml version="1.0" encoding="utf-8"?>
<sst xmlns="http://schemas.openxmlformats.org/spreadsheetml/2006/main" count="1857" uniqueCount="241">
  <si>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</si>
  <si>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</si>
  <si>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</si>
  <si>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</si>
  <si>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</si>
  <si>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</si>
  <si>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</si>
  <si>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</si>
  <si>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</si>
  <si>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</si>
  <si>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</si>
  <si>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</si>
  <si>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</si>
  <si>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</si>
  <si>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</si>
  <si>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</si>
  <si>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</si>
  <si>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</si>
  <si>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</si>
  <si>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</si>
  <si>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</si>
  <si>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</si>
  <si>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</si>
  <si>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</si>
  <si>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</si>
  <si>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</si>
  <si>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</si>
  <si>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</si>
  <si>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</si>
  <si>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</si>
  <si>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</si>
  <si>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</si>
  <si>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</si>
  <si>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</si>
  <si>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</si>
  <si>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</si>
  <si>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</si>
  <si>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</si>
  <si>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</si>
  <si>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</si>
  <si>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</si>
  <si>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</si>
  <si>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</si>
  <si>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</si>
  <si>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</si>
  <si>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</si>
  <si>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</si>
  <si>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</si>
  <si>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</si>
  <si>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</si>
  <si>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</si>
  <si>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</si>
  <si>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</si>
  <si>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</si>
  <si>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</si>
  <si>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</si>
  <si>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</si>
  <si>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</si>
  <si>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</si>
  <si>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</si>
  <si>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</si>
  <si>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</si>
  <si>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</si>
  <si>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</si>
  <si>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</si>
  <si>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</si>
  <si>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</si>
  <si>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</si>
  <si>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</si>
  <si>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</si>
  <si>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</si>
  <si>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</si>
  <si>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</si>
  <si>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</si>
  <si>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</si>
  <si>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</si>
  <si>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Territorio</t>
  </si>
  <si>
    <t>Población y Territorio</t>
  </si>
  <si>
    <t>Coeficiente de Recaudación Predial</t>
  </si>
  <si>
    <t>85% población</t>
  </si>
  <si>
    <t>15% Territorio</t>
  </si>
  <si>
    <t>Coeficiente Población y Territorio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</si>
  <si>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</si>
  <si>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</si>
  <si>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</si>
  <si>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</si>
  <si>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</si>
  <si>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</si>
  <si>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</si>
  <si>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</si>
  <si>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</si>
  <si>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</si>
  <si>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</si>
  <si>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</si>
  <si>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</si>
  <si>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</si>
  <si>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</si>
  <si>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</si>
  <si>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</si>
  <si>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</si>
  <si>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</si>
  <si>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</si>
  <si>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</si>
  <si>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</si>
  <si>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</si>
  <si>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</si>
  <si>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</si>
  <si>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</si>
  <si>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</si>
  <si>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</si>
  <si>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</si>
  <si>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</si>
  <si>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</si>
  <si>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</si>
  <si>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</si>
  <si>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</si>
  <si>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</si>
  <si>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</si>
  <si>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</si>
  <si>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</si>
  <si>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</si>
  <si>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</si>
  <si>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</si>
  <si>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</si>
  <si>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</si>
  <si>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</si>
  <si>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</si>
  <si>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</si>
  <si>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</si>
  <si>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</si>
  <si>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</si>
  <si>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</si>
  <si>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</si>
  <si>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</si>
  <si>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</si>
  <si>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</si>
  <si>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</si>
  <si>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</si>
  <si>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</si>
  <si>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</si>
  <si>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</si>
  <si>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</si>
  <si>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</si>
  <si>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</si>
  <si>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</si>
  <si>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</si>
  <si>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</si>
  <si>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</si>
  <si>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</si>
  <si>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</si>
  <si>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</si>
  <si>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</si>
  <si>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</si>
  <si>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</si>
  <si>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</si>
  <si>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</si>
  <si>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</si>
  <si>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</si>
  <si>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</si>
  <si>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</si>
  <si>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</si>
  <si>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</si>
  <si>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</si>
  <si>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</si>
  <si>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</si>
  <si>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</si>
  <si>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</si>
  <si>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</si>
  <si>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</si>
  <si>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</si>
  <si>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</si>
  <si>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</si>
  <si>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</si>
  <si>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</si>
  <si>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</si>
  <si>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</si>
  <si>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</si>
  <si>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</si>
  <si>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Población 2020 INEGI</t>
  </si>
  <si>
    <t>Aportaciones 2020</t>
  </si>
  <si>
    <t>Recaudación 2020</t>
  </si>
  <si>
    <t>Facturación 2020</t>
  </si>
  <si>
    <t>Eficiencia 2020</t>
  </si>
  <si>
    <t>Crecimiento Rec 2020</t>
  </si>
  <si>
    <t>Eficiencia de Recaudación Predial ponderada por Monto 2020</t>
  </si>
  <si>
    <t>FEXHI</t>
  </si>
  <si>
    <t>CÁLCULO DE DISTRIBUCIÓN DE LOS FONDOS DESCENTRALIZADOS ESTIMACION 2022</t>
  </si>
  <si>
    <t>seg</t>
  </si>
  <si>
    <t>apuestas</t>
  </si>
  <si>
    <t>Total</t>
  </si>
  <si>
    <t>1.28% Participaciones del
 estado</t>
  </si>
  <si>
    <t>CERRALVO</t>
  </si>
  <si>
    <t>IEJA</t>
  </si>
  <si>
    <t>COMPENSATORIO</t>
  </si>
  <si>
    <t>LOS ALDAMAS</t>
  </si>
  <si>
    <t>ANÁHUAC</t>
  </si>
  <si>
    <t>CADEREYTA JIMÉNEZ</t>
  </si>
  <si>
    <t>EL CARMEN</t>
  </si>
  <si>
    <t>CIÉNEGA DE FLORES</t>
  </si>
  <si>
    <t>DOCTOR GONZÁLEZ</t>
  </si>
  <si>
    <t>GARCÍA</t>
  </si>
  <si>
    <t>SAN PEDRO GARZA GARCÍA</t>
  </si>
  <si>
    <t>GENERAL TERÁN</t>
  </si>
  <si>
    <t>LOS HERRERAS</t>
  </si>
  <si>
    <t>JUÁREZ</t>
  </si>
  <si>
    <t>MARÍN</t>
  </si>
  <si>
    <t>PARÁS</t>
  </si>
  <si>
    <t>PESQUERÍA</t>
  </si>
  <si>
    <t>LOS RAMONES</t>
  </si>
  <si>
    <t>SAN NICOLÁS DE LOS GARZA</t>
  </si>
  <si>
    <t>Población en Pobreza del Municipio i
2015</t>
  </si>
  <si>
    <t>Intensidad de la pobreza en el Municipio i</t>
  </si>
  <si>
    <t>Coeficiente Intensidad de la pobreza en el Municipio i</t>
  </si>
  <si>
    <t>Eficacia en la disminución de la pobreza del Municipio i</t>
  </si>
  <si>
    <t>Coeficiente de Eficacia en disminución de la pobreza del Municipio i</t>
  </si>
  <si>
    <t>SEGURIDAD PARA LOS MUNICIPIOS</t>
  </si>
  <si>
    <t>Población en Pobreza del Municipio i
2020</t>
  </si>
  <si>
    <t>Incidencia de la pobreza en el Municipio i 
2020</t>
  </si>
  <si>
    <t>Carencias promedio en situación de pobreza 2020</t>
  </si>
  <si>
    <t>Coeficiente Intensidad de la pobreza en el Municipio i
85%</t>
  </si>
  <si>
    <t>15% Coeficiente de Eficacia</t>
  </si>
  <si>
    <t>COEFICIENTE  ÍNDICE MUNICIPAL DE POBREZA</t>
  </si>
  <si>
    <t>Fondo Descentralizados  Pagadas 2021</t>
  </si>
  <si>
    <t>PAGADO 2021</t>
  </si>
  <si>
    <t>PARTICIPACIONES 2022</t>
  </si>
  <si>
    <t>Participación Mes</t>
  </si>
  <si>
    <t>Ajuste mensual</t>
  </si>
  <si>
    <t>Ajuste FOFIR</t>
  </si>
  <si>
    <t>FEIEF</t>
  </si>
  <si>
    <t>Fondo de Extracción de Hidrocarburos (FEXHI)</t>
  </si>
  <si>
    <t>ISR Enajenación</t>
  </si>
  <si>
    <t>PARTICIPACIONES MENSUAL 2022</t>
  </si>
  <si>
    <t>2022 MUNICIPIOS</t>
  </si>
  <si>
    <t>1.28% Participaciones del
 estado Estimado 2022</t>
  </si>
  <si>
    <t>Ley de Egresos 2022</t>
  </si>
  <si>
    <t>Monto a distribuir Mes 2022</t>
  </si>
  <si>
    <t>MES ENERO 2022</t>
  </si>
  <si>
    <t>FONDO</t>
  </si>
  <si>
    <t>VALOR</t>
  </si>
  <si>
    <t>MES</t>
  </si>
  <si>
    <t>MES_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</si>
</sst>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  <numFmt numFmtId="185" formatCode="_-* #,##0.000000_-;\-* #,##0.000000_-;_-* &quot;-&quot;??_-;_-@_-"/>
    <numFmt numFmtId="186" formatCode="_-* #,##0.0000_-;\-* #,##0.0000_-;_-* &quot;-&quot;??_-;_-@_-"/>
    <numFmt numFmtId="187" formatCode="0.0000%;[Red]\-0.0000%;_-* &quot;-&quot;_-;_-@_-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92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0" fontId="12" fillId="24" borderId="13" xfId="49" applyNumberFormat="1" applyFont="1" applyFill="1" applyBorder="1"/>
    <xf numFmtId="0" fontId="12" fillId="24" borderId="54" xfId="132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horizontal="center" vertical="center"/>
    </xf>
    <xf numFmtId="0" fontId="12" fillId="24" borderId="55" xfId="132" applyFont="1" applyFill="1" applyBorder="1" applyAlignment="1">
      <alignment horizontal="center" vertical="center" wrapText="1"/>
    </xf>
    <xf numFmtId="49" fontId="12" fillId="24" borderId="56" xfId="132" applyNumberFormat="1" applyFont="1" applyFill="1" applyBorder="1" applyAlignment="1">
      <alignment horizontal="center" vertical="center" wrapText="1"/>
    </xf>
    <xf numFmtId="0" fontId="12" fillId="24" borderId="53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6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3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59" xfId="51" applyFont="1" applyBorder="1" applyAlignment="1">
      <alignment horizontal="center"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38" fontId="9" fillId="0" borderId="63" xfId="51" applyNumberFormat="1" applyFont="1" applyBorder="1" applyAlignment="1">
      <alignment vertical="center" wrapText="1"/>
    </xf>
    <xf numFmtId="10" fontId="9" fillId="0" borderId="63" xfId="38" applyNumberFormat="1" applyFont="1" applyFill="1" applyBorder="1" applyAlignment="1">
      <alignment vertical="center" wrapText="1"/>
    </xf>
    <xf numFmtId="170" fontId="9" fillId="0" borderId="63" xfId="140" applyNumberFormat="1" applyFont="1" applyFill="1" applyBorder="1" applyAlignment="1">
      <alignment vertical="center" wrapText="1"/>
    </xf>
    <xf numFmtId="0" fontId="9" fillId="0" borderId="64" xfId="51" applyBorder="1"/>
    <xf numFmtId="0" fontId="9" fillId="0" borderId="0" xfId="51" applyBorder="1"/>
    <xf numFmtId="0" fontId="9" fillId="0" borderId="65" xfId="51" applyBorder="1"/>
    <xf numFmtId="0" fontId="12" fillId="0" borderId="68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2" xfId="138" applyFont="1" applyFill="1" applyBorder="1" applyAlignment="1" applyProtection="1">
      <alignment horizontal="center" vertical="center" wrapText="1"/>
      <protection hidden="1"/>
    </xf>
    <xf numFmtId="39" fontId="42" fillId="0" borderId="72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3" xfId="138" applyFont="1" applyFill="1" applyBorder="1" applyAlignment="1" applyProtection="1">
      <alignment horizontal="left"/>
      <protection hidden="1"/>
    </xf>
    <xf numFmtId="37" fontId="9" fillId="0" borderId="74" xfId="138" applyFont="1" applyFill="1" applyBorder="1" applyAlignment="1" applyProtection="1">
      <protection hidden="1"/>
    </xf>
    <xf numFmtId="179" fontId="44" fillId="0" borderId="74" xfId="52" applyNumberFormat="1" applyFont="1" applyFill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0" xfId="138" applyFont="1" applyFill="1" applyBorder="1" applyAlignment="1" applyProtection="1">
      <alignment horizontal="left"/>
      <protection hidden="1"/>
    </xf>
    <xf numFmtId="37" fontId="12" fillId="0" borderId="81" xfId="138" applyFont="1" applyFill="1" applyBorder="1" applyAlignment="1" applyProtection="1">
      <protection hidden="1"/>
    </xf>
    <xf numFmtId="179" fontId="46" fillId="0" borderId="81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6" xfId="138" applyFont="1" applyFill="1" applyBorder="1" applyAlignment="1" applyProtection="1">
      <alignment horizontal="left"/>
      <protection hidden="1"/>
    </xf>
    <xf numFmtId="179" fontId="44" fillId="0" borderId="74" xfId="52" applyNumberFormat="1" applyFont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4" xfId="132" applyNumberFormat="1" applyFont="1" applyFill="1" applyBorder="1" applyAlignment="1">
      <alignment horizontal="center"/>
    </xf>
    <xf numFmtId="37" fontId="12" fillId="24" borderId="72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5" xfId="138" applyFont="1" applyFill="1" applyBorder="1" applyAlignment="1" applyProtection="1">
      <alignment horizontal="left"/>
      <protection hidden="1"/>
    </xf>
    <xf numFmtId="179" fontId="9" fillId="24" borderId="86" xfId="52" applyNumberFormat="1" applyFont="1" applyFill="1" applyBorder="1" applyAlignment="1" applyProtection="1">
      <protection hidden="1"/>
    </xf>
    <xf numFmtId="179" fontId="44" fillId="24" borderId="86" xfId="52" applyNumberFormat="1" applyFont="1" applyFill="1" applyBorder="1" applyProtection="1">
      <protection hidden="1"/>
    </xf>
    <xf numFmtId="39" fontId="9" fillId="24" borderId="87" xfId="52" applyNumberFormat="1" applyFont="1" applyFill="1" applyBorder="1" applyProtection="1">
      <protection hidden="1"/>
    </xf>
    <xf numFmtId="37" fontId="9" fillId="24" borderId="88" xfId="138" applyFont="1" applyFill="1" applyBorder="1" applyAlignment="1" applyProtection="1">
      <alignment horizontal="left"/>
      <protection hidden="1"/>
    </xf>
    <xf numFmtId="179" fontId="9" fillId="24" borderId="89" xfId="52" applyNumberFormat="1" applyFont="1" applyFill="1" applyBorder="1" applyAlignment="1" applyProtection="1">
      <protection hidden="1"/>
    </xf>
    <xf numFmtId="179" fontId="44" fillId="24" borderId="89" xfId="52" applyNumberFormat="1" applyFont="1" applyFill="1" applyBorder="1" applyProtection="1">
      <protection hidden="1"/>
    </xf>
    <xf numFmtId="39" fontId="9" fillId="24" borderId="90" xfId="52" applyNumberFormat="1" applyFont="1" applyFill="1" applyBorder="1" applyProtection="1">
      <protection hidden="1"/>
    </xf>
    <xf numFmtId="37" fontId="12" fillId="24" borderId="91" xfId="138" applyFont="1" applyFill="1" applyBorder="1" applyAlignment="1" applyProtection="1">
      <alignment horizontal="left"/>
      <protection hidden="1"/>
    </xf>
    <xf numFmtId="179" fontId="9" fillId="24" borderId="92" xfId="52" applyNumberFormat="1" applyFont="1" applyFill="1" applyBorder="1" applyAlignment="1" applyProtection="1">
      <protection hidden="1"/>
    </xf>
    <xf numFmtId="179" fontId="44" fillId="24" borderId="92" xfId="52" applyNumberFormat="1" applyFont="1" applyFill="1" applyBorder="1" applyProtection="1">
      <protection hidden="1"/>
    </xf>
    <xf numFmtId="39" fontId="9" fillId="24" borderId="93" xfId="52" applyNumberFormat="1" applyFont="1" applyFill="1" applyBorder="1" applyProtection="1">
      <protection hidden="1"/>
    </xf>
    <xf numFmtId="37" fontId="12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7" xfId="138" applyFont="1" applyFill="1" applyBorder="1" applyAlignment="1" applyProtection="1">
      <alignment horizontal="left"/>
      <protection hidden="1"/>
    </xf>
    <xf numFmtId="184" fontId="9" fillId="24" borderId="57" xfId="138" applyNumberFormat="1" applyFont="1" applyFill="1" applyBorder="1" applyAlignment="1" applyProtection="1">
      <protection hidden="1"/>
    </xf>
    <xf numFmtId="182" fontId="44" fillId="24" borderId="57" xfId="38" applyNumberFormat="1" applyFont="1" applyFill="1" applyBorder="1" applyProtection="1">
      <protection hidden="1"/>
    </xf>
    <xf numFmtId="39" fontId="9" fillId="24" borderId="57" xfId="52" applyNumberFormat="1" applyFont="1" applyFill="1" applyBorder="1" applyProtection="1">
      <protection hidden="1"/>
    </xf>
    <xf numFmtId="37" fontId="0" fillId="24" borderId="91" xfId="138" applyFont="1" applyFill="1" applyBorder="1" applyAlignment="1" applyProtection="1">
      <alignment horizontal="left"/>
      <protection hidden="1"/>
    </xf>
    <xf numFmtId="37" fontId="12" fillId="24" borderId="94" xfId="138" applyFont="1" applyFill="1" applyBorder="1" applyAlignment="1" applyProtection="1">
      <alignment horizontal="left"/>
      <protection hidden="1"/>
    </xf>
    <xf numFmtId="179" fontId="40" fillId="24" borderId="95" xfId="52" applyNumberFormat="1" applyFont="1" applyFill="1" applyBorder="1" applyAlignment="1" applyProtection="1">
      <protection hidden="1"/>
    </xf>
    <xf numFmtId="179" fontId="46" fillId="24" borderId="95" xfId="52" applyNumberFormat="1" applyFont="1" applyFill="1" applyBorder="1" applyProtection="1">
      <protection hidden="1"/>
    </xf>
    <xf numFmtId="39" fontId="12" fillId="24" borderId="96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7" xfId="140" applyNumberFormat="1" applyFont="1" applyFill="1" applyBorder="1" applyAlignment="1">
      <alignment vertical="center" wrapText="1"/>
    </xf>
    <xf numFmtId="170" fontId="12" fillId="24" borderId="99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/>
    <xf numFmtId="170" fontId="12" fillId="24" borderId="82" xfId="49" applyNumberFormat="1" applyFont="1" applyFill="1" applyBorder="1"/>
    <xf numFmtId="0" fontId="12" fillId="24" borderId="0" xfId="0" applyFont="1" applyFill="1"/>
    <xf numFmtId="0" fontId="12" fillId="24" borderId="79" xfId="0" applyFont="1" applyFill="1" applyBorder="1"/>
    <xf numFmtId="9" fontId="12" fillId="24" borderId="79" xfId="0" applyNumberFormat="1" applyFont="1" applyFill="1" applyBorder="1"/>
    <xf numFmtId="9" fontId="12" fillId="24" borderId="103" xfId="0" applyNumberFormat="1" applyFont="1" applyFill="1" applyBorder="1"/>
    <xf numFmtId="0" fontId="12" fillId="24" borderId="106" xfId="0" applyFont="1" applyFill="1" applyBorder="1"/>
    <xf numFmtId="170" fontId="12" fillId="24" borderId="74" xfId="49" applyNumberFormat="1" applyFont="1" applyFill="1" applyBorder="1" applyAlignment="1">
      <alignment horizontal="center" vertical="center" wrapText="1"/>
    </xf>
    <xf numFmtId="0" fontId="0" fillId="24" borderId="75" xfId="0" applyFill="1" applyBorder="1"/>
    <xf numFmtId="170" fontId="12" fillId="24" borderId="112" xfId="49" applyNumberFormat="1" applyFont="1" applyFill="1" applyBorder="1" applyAlignment="1">
      <alignment horizontal="center" vertical="center" wrapText="1"/>
    </xf>
    <xf numFmtId="170" fontId="12" fillId="24" borderId="113" xfId="49" applyNumberFormat="1" applyFont="1" applyFill="1" applyBorder="1" applyAlignment="1">
      <alignment horizontal="center" vertical="center" wrapText="1"/>
    </xf>
    <xf numFmtId="43" fontId="12" fillId="24" borderId="101" xfId="0" applyNumberFormat="1" applyFont="1" applyFill="1" applyBorder="1"/>
    <xf numFmtId="170" fontId="12" fillId="24" borderId="101" xfId="140" applyNumberFormat="1" applyFont="1" applyFill="1" applyBorder="1"/>
    <xf numFmtId="170" fontId="12" fillId="24" borderId="102" xfId="140" applyNumberFormat="1" applyFont="1" applyFill="1" applyBorder="1"/>
    <xf numFmtId="170" fontId="0" fillId="24" borderId="108" xfId="140" applyNumberFormat="1" applyFont="1" applyFill="1" applyBorder="1"/>
    <xf numFmtId="170" fontId="0" fillId="24" borderId="78" xfId="140" applyNumberFormat="1" applyFont="1" applyFill="1" applyBorder="1"/>
    <xf numFmtId="170" fontId="0" fillId="24" borderId="109" xfId="140" applyNumberFormat="1" applyFont="1" applyFill="1" applyBorder="1"/>
    <xf numFmtId="170" fontId="0" fillId="24" borderId="105" xfId="140" applyNumberFormat="1" applyFont="1" applyFill="1" applyBorder="1"/>
    <xf numFmtId="39" fontId="44" fillId="0" borderId="100" xfId="52" applyNumberFormat="1" applyFont="1" applyFill="1" applyBorder="1" applyProtection="1">
      <protection hidden="1"/>
    </xf>
    <xf numFmtId="39" fontId="44" fillId="0" borderId="101" xfId="52" applyNumberFormat="1" applyFont="1" applyFill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07" xfId="52" applyNumberFormat="1" applyFont="1" applyBorder="1" applyProtection="1">
      <protection hidden="1"/>
    </xf>
    <xf numFmtId="39" fontId="44" fillId="0" borderId="100" xfId="52" applyNumberFormat="1" applyFont="1" applyBorder="1" applyProtection="1">
      <protection hidden="1"/>
    </xf>
    <xf numFmtId="39" fontId="46" fillId="0" borderId="127" xfId="52" applyNumberFormat="1" applyFont="1" applyBorder="1" applyProtection="1">
      <protection hidden="1"/>
    </xf>
    <xf numFmtId="37" fontId="9" fillId="0" borderId="112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8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0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 applyAlignment="1">
      <alignment horizontal="left" vertical="center" wrapText="1"/>
    </xf>
    <xf numFmtId="170" fontId="12" fillId="24" borderId="79" xfId="49" applyNumberFormat="1" applyFont="1" applyFill="1" applyBorder="1" applyAlignment="1">
      <alignment horizontal="left"/>
    </xf>
    <xf numFmtId="170" fontId="12" fillId="24" borderId="131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/>
    <xf numFmtId="49" fontId="12" fillId="26" borderId="133" xfId="141" applyNumberFormat="1" applyFont="1" applyFill="1" applyBorder="1" applyAlignment="1">
      <alignment horizontal="center" vertical="center" wrapText="1"/>
    </xf>
    <xf numFmtId="0" fontId="0" fillId="24" borderId="129" xfId="0" applyFill="1" applyBorder="1"/>
    <xf numFmtId="170" fontId="0" fillId="24" borderId="101" xfId="0" applyNumberFormat="1" applyFill="1" applyBorder="1"/>
    <xf numFmtId="170" fontId="12" fillId="24" borderId="128" xfId="49" applyNumberFormat="1" applyFont="1" applyFill="1" applyBorder="1"/>
    <xf numFmtId="170" fontId="12" fillId="24" borderId="134" xfId="49" applyNumberFormat="1" applyFont="1" applyFill="1" applyBorder="1"/>
    <xf numFmtId="170" fontId="12" fillId="24" borderId="107" xfId="140" applyNumberFormat="1" applyFont="1" applyFill="1" applyBorder="1"/>
    <xf numFmtId="170" fontId="12" fillId="24" borderId="110" xfId="140" applyNumberFormat="1" applyFont="1" applyFill="1" applyBorder="1"/>
    <xf numFmtId="170" fontId="12" fillId="24" borderId="51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11" xfId="140" applyNumberFormat="1" applyFont="1" applyFill="1" applyBorder="1"/>
    <xf numFmtId="170" fontId="12" fillId="24" borderId="98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7" xfId="140" applyNumberFormat="1" applyFont="1" applyFill="1" applyBorder="1"/>
    <xf numFmtId="170" fontId="12" fillId="24" borderId="84" xfId="140" applyNumberFormat="1" applyFont="1" applyFill="1" applyBorder="1"/>
    <xf numFmtId="170" fontId="12" fillId="24" borderId="118" xfId="140" applyNumberFormat="1" applyFont="1" applyFill="1" applyBorder="1"/>
    <xf numFmtId="170" fontId="0" fillId="24" borderId="0" xfId="140" applyNumberFormat="1" applyFont="1" applyFill="1" applyBorder="1"/>
    <xf numFmtId="170" fontId="0" fillId="24" borderId="74" xfId="140" applyNumberFormat="1" applyFont="1" applyFill="1" applyBorder="1"/>
    <xf numFmtId="170" fontId="0" fillId="24" borderId="75" xfId="140" applyNumberFormat="1" applyFont="1" applyFill="1" applyBorder="1"/>
    <xf numFmtId="0" fontId="12" fillId="24" borderId="74" xfId="0" applyFont="1" applyFill="1" applyBorder="1" applyAlignment="1">
      <alignment horizontal="center" vertical="center" wrapText="1"/>
    </xf>
    <xf numFmtId="0" fontId="12" fillId="24" borderId="100" xfId="0" applyFont="1" applyFill="1" applyBorder="1" applyAlignment="1">
      <alignment horizontal="center" vertical="center" wrapText="1"/>
    </xf>
    <xf numFmtId="0" fontId="12" fillId="24" borderId="75" xfId="0" applyFont="1" applyFill="1" applyBorder="1" applyAlignment="1">
      <alignment horizontal="center" vertical="center" wrapText="1"/>
    </xf>
    <xf numFmtId="170" fontId="12" fillId="24" borderId="100" xfId="140" applyNumberFormat="1" applyFont="1" applyFill="1" applyBorder="1"/>
    <xf numFmtId="170" fontId="12" fillId="24" borderId="126" xfId="140" applyNumberFormat="1" applyFont="1" applyFill="1" applyBorder="1"/>
    <xf numFmtId="0" fontId="12" fillId="24" borderId="73" xfId="0" applyFont="1" applyFill="1" applyBorder="1"/>
    <xf numFmtId="0" fontId="12" fillId="24" borderId="77" xfId="0" applyFont="1" applyFill="1" applyBorder="1"/>
    <xf numFmtId="0" fontId="12" fillId="24" borderId="136" xfId="0" applyFont="1" applyFill="1" applyBorder="1"/>
    <xf numFmtId="170" fontId="12" fillId="24" borderId="135" xfId="140" applyNumberFormat="1" applyFont="1" applyFill="1" applyBorder="1"/>
    <xf numFmtId="170" fontId="12" fillId="24" borderId="104" xfId="140" applyNumberFormat="1" applyFont="1" applyFill="1" applyBorder="1"/>
    <xf numFmtId="170" fontId="9" fillId="31" borderId="63" xfId="140" applyNumberFormat="1" applyFont="1" applyFill="1" applyBorder="1" applyAlignment="1">
      <alignment vertical="center" wrapText="1"/>
    </xf>
    <xf numFmtId="43" fontId="0" fillId="24" borderId="0" xfId="0" applyNumberFormat="1" applyFill="1"/>
    <xf numFmtId="43" fontId="9" fillId="0" borderId="0" xfId="51" applyNumberFormat="1"/>
    <xf numFmtId="49" fontId="12" fillId="24" borderId="133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3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3" xfId="132" applyNumberFormat="1" applyFont="1" applyFill="1" applyBorder="1" applyAlignment="1">
      <alignment horizontal="center" vertical="center" wrapText="1"/>
    </xf>
    <xf numFmtId="170" fontId="0" fillId="24" borderId="110" xfId="49" applyNumberFormat="1" applyFont="1" applyFill="1" applyBorder="1"/>
    <xf numFmtId="170" fontId="0" fillId="24" borderId="51" xfId="49" applyNumberFormat="1" applyFont="1" applyFill="1" applyBorder="1"/>
    <xf numFmtId="185" fontId="12" fillId="24" borderId="79" xfId="140" applyNumberFormat="1" applyFont="1" applyFill="1" applyBorder="1" applyAlignment="1">
      <alignment horizontal="left" vertical="center" wrapText="1"/>
    </xf>
    <xf numFmtId="185" fontId="12" fillId="24" borderId="79" xfId="140" applyNumberFormat="1" applyFont="1" applyFill="1" applyBorder="1" applyAlignment="1">
      <alignment horizontal="left"/>
    </xf>
    <xf numFmtId="185" fontId="12" fillId="24" borderId="82" xfId="140" applyNumberFormat="1" applyFont="1" applyFill="1" applyBorder="1"/>
    <xf numFmtId="170" fontId="12" fillId="24" borderId="137" xfId="49" applyNumberFormat="1" applyFont="1" applyFill="1" applyBorder="1" applyAlignment="1">
      <alignment horizontal="center" vertical="center" wrapText="1"/>
    </xf>
    <xf numFmtId="170" fontId="12" fillId="24" borderId="78" xfId="49" applyNumberFormat="1" applyFont="1" applyFill="1" applyBorder="1" applyAlignment="1">
      <alignment horizontal="center" vertical="center" wrapText="1"/>
    </xf>
    <xf numFmtId="170" fontId="12" fillId="24" borderId="138" xfId="49" applyNumberFormat="1" applyFont="1" applyFill="1" applyBorder="1"/>
    <xf numFmtId="170" fontId="12" fillId="24" borderId="139" xfId="49" applyNumberFormat="1" applyFont="1" applyFill="1" applyBorder="1" applyAlignment="1">
      <alignment horizontal="center" vertical="center" wrapText="1"/>
    </xf>
    <xf numFmtId="170" fontId="12" fillId="24" borderId="140" xfId="49" applyNumberFormat="1" applyFont="1" applyFill="1" applyBorder="1" applyAlignment="1">
      <alignment horizontal="center" vertical="center" wrapText="1"/>
    </xf>
    <xf numFmtId="170" fontId="9" fillId="24" borderId="17" xfId="49" applyNumberFormat="1" applyFont="1" applyFill="1" applyBorder="1" applyAlignment="1">
      <alignment horizontal="center" vertical="center" wrapText="1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170" fontId="0" fillId="24" borderId="0" xfId="0" applyNumberFormat="1" applyFill="1" applyBorder="1"/>
    <xf numFmtId="170" fontId="9" fillId="24" borderId="115" xfId="49" applyNumberFormat="1" applyFont="1" applyFill="1" applyBorder="1" applyAlignment="1">
      <alignment horizontal="center" vertical="center" wrapText="1"/>
    </xf>
    <xf numFmtId="43" fontId="0" fillId="24" borderId="51" xfId="49" applyNumberFormat="1" applyFont="1" applyFill="1" applyBorder="1"/>
    <xf numFmtId="186" fontId="0" fillId="24" borderId="51" xfId="49" applyNumberFormat="1" applyFont="1" applyFill="1" applyBorder="1"/>
    <xf numFmtId="183" fontId="0" fillId="24" borderId="51" xfId="38" applyNumberFormat="1" applyFont="1" applyFill="1" applyBorder="1"/>
    <xf numFmtId="43" fontId="0" fillId="24" borderId="0" xfId="49" applyNumberFormat="1" applyFont="1" applyFill="1" applyBorder="1"/>
    <xf numFmtId="43" fontId="12" fillId="24" borderId="14" xfId="49" applyNumberFormat="1" applyFont="1" applyFill="1" applyBorder="1"/>
    <xf numFmtId="187" fontId="0" fillId="24" borderId="0" xfId="49" applyNumberFormat="1" applyFont="1" applyFill="1" applyBorder="1"/>
    <xf numFmtId="187" fontId="12" fillId="24" borderId="14" xfId="49" applyNumberFormat="1" applyFont="1" applyFill="1" applyBorder="1"/>
    <xf numFmtId="186" fontId="12" fillId="24" borderId="14" xfId="49" applyNumberFormat="1" applyFont="1" applyFill="1" applyBorder="1"/>
    <xf numFmtId="185" fontId="0" fillId="24" borderId="51" xfId="49" applyNumberFormat="1" applyFont="1" applyFill="1" applyBorder="1"/>
    <xf numFmtId="185" fontId="12" fillId="24" borderId="14" xfId="49" applyNumberFormat="1" applyFont="1" applyFill="1" applyBorder="1"/>
    <xf numFmtId="0" fontId="0" fillId="24" borderId="0" xfId="0" applyFill="1" applyAlignment="1">
      <alignment horizontal="center" vertical="center"/>
    </xf>
    <xf numFmtId="170" fontId="0" fillId="24" borderId="0" xfId="49" applyNumberFormat="1" applyFont="1" applyFill="1" applyBorder="1" applyAlignment="1">
      <alignment wrapText="1"/>
    </xf>
    <xf numFmtId="170" fontId="0" fillId="24" borderId="0" xfId="49" applyNumberFormat="1" applyFont="1" applyFill="1" applyBorder="1" applyAlignment="1">
      <alignment horizontal="center" vertical="center" wrapText="1"/>
    </xf>
    <xf numFmtId="0" fontId="47" fillId="32" borderId="142" xfId="0" applyFont="1" applyFill="1" applyBorder="1"/>
    <xf numFmtId="0" fontId="47" fillId="32" borderId="143" xfId="0" applyFont="1" applyFill="1" applyBorder="1"/>
    <xf numFmtId="0" fontId="0" fillId="33" borderId="142" xfId="0" applyFont="1" applyFill="1" applyBorder="1"/>
    <xf numFmtId="170" fontId="0" fillId="33" borderId="142" xfId="140" applyNumberFormat="1" applyFont="1" applyFill="1" applyBorder="1"/>
    <xf numFmtId="170" fontId="0" fillId="33" borderId="143" xfId="140" applyNumberFormat="1" applyFont="1" applyFill="1" applyBorder="1"/>
    <xf numFmtId="0" fontId="0" fillId="0" borderId="142" xfId="0" applyFont="1" applyBorder="1"/>
    <xf numFmtId="170" fontId="0" fillId="0" borderId="143" xfId="140" applyNumberFormat="1" applyFont="1" applyBorder="1"/>
    <xf numFmtId="187" fontId="0" fillId="24" borderId="51" xfId="49" applyNumberFormat="1" applyFont="1" applyFill="1" applyBorder="1"/>
    <xf numFmtId="183" fontId="0" fillId="24" borderId="0" xfId="38" applyNumberFormat="1" applyFont="1" applyFill="1" applyBorder="1"/>
    <xf numFmtId="185" fontId="0" fillId="24" borderId="0" xfId="49" applyNumberFormat="1" applyFont="1" applyFill="1" applyBorder="1"/>
    <xf numFmtId="186" fontId="0" fillId="24" borderId="0" xfId="49" applyNumberFormat="1" applyFont="1" applyFill="1" applyBorder="1"/>
    <xf numFmtId="170" fontId="0" fillId="24" borderId="111" xfId="49" applyNumberFormat="1" applyFont="1" applyFill="1" applyBorder="1"/>
    <xf numFmtId="170" fontId="0" fillId="24" borderId="98" xfId="49" applyNumberFormat="1" applyFont="1" applyFill="1" applyBorder="1"/>
    <xf numFmtId="183" fontId="0" fillId="24" borderId="98" xfId="38" applyNumberFormat="1" applyFont="1" applyFill="1" applyBorder="1"/>
    <xf numFmtId="43" fontId="0" fillId="24" borderId="98" xfId="49" applyNumberFormat="1" applyFont="1" applyFill="1" applyBorder="1"/>
    <xf numFmtId="187" fontId="0" fillId="24" borderId="98" xfId="49" applyNumberFormat="1" applyFont="1" applyFill="1" applyBorder="1"/>
    <xf numFmtId="185" fontId="0" fillId="24" borderId="98" xfId="49" applyNumberFormat="1" applyFont="1" applyFill="1" applyBorder="1"/>
    <xf numFmtId="186" fontId="0" fillId="24" borderId="98" xfId="49" applyNumberFormat="1" applyFont="1" applyFill="1" applyBorder="1"/>
    <xf numFmtId="49" fontId="12" fillId="24" borderId="40" xfId="132" applyNumberFormat="1" applyFont="1" applyFill="1" applyBorder="1" applyAlignment="1">
      <alignment horizontal="center" vertical="center" wrapText="1"/>
    </xf>
    <xf numFmtId="49" fontId="12" fillId="24" borderId="144" xfId="132" applyNumberFormat="1" applyFont="1" applyFill="1" applyBorder="1" applyAlignment="1">
      <alignment horizontal="center" vertical="center" wrapText="1"/>
    </xf>
    <xf numFmtId="172" fontId="0" fillId="24" borderId="17" xfId="49" applyNumberFormat="1" applyFont="1" applyFill="1" applyBorder="1"/>
    <xf numFmtId="171" fontId="0" fillId="24" borderId="115" xfId="49" applyNumberFormat="1" applyFont="1" applyFill="1" applyBorder="1"/>
    <xf numFmtId="172" fontId="12" fillId="24" borderId="36" xfId="49" applyNumberFormat="1" applyFont="1" applyFill="1" applyBorder="1"/>
    <xf numFmtId="171" fontId="12" fillId="24" borderId="145" xfId="49" applyNumberFormat="1" applyFont="1" applyFill="1" applyBorder="1"/>
    <xf numFmtId="170" fontId="9" fillId="0" borderId="10" xfId="49" applyNumberFormat="1" applyFont="1" applyFill="1" applyBorder="1" applyAlignment="1">
      <alignment vertical="center" wrapText="1"/>
    </xf>
    <xf numFmtId="170" fontId="9" fillId="31" borderId="63" xfId="49" applyNumberFormat="1" applyFont="1" applyFill="1" applyBorder="1" applyAlignment="1">
      <alignment vertical="center" wrapText="1"/>
    </xf>
    <xf numFmtId="170" fontId="9" fillId="0" borderId="97" xfId="49" applyNumberFormat="1" applyFont="1" applyFill="1" applyBorder="1" applyAlignment="1">
      <alignment vertical="center" wrapText="1"/>
    </xf>
    <xf numFmtId="170" fontId="9" fillId="0" borderId="63" xfId="49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170" fontId="0" fillId="24" borderId="0" xfId="0" applyNumberFormat="1" applyFill="1"/>
    <xf numFmtId="170" fontId="12" fillId="24" borderId="114" xfId="140" applyNumberFormat="1" applyFont="1" applyFill="1" applyBorder="1"/>
    <xf numFmtId="0" fontId="12" fillId="0" borderId="0" xfId="51" applyFont="1" applyBorder="1" applyAlignment="1">
      <alignment vertical="center"/>
    </xf>
    <xf numFmtId="0" fontId="12" fillId="0" borderId="146" xfId="51" applyFont="1" applyBorder="1" applyAlignment="1">
      <alignment horizontal="center" vertical="center" wrapText="1"/>
    </xf>
    <xf numFmtId="0" fontId="12" fillId="0" borderId="131" xfId="51" applyFont="1" applyBorder="1" applyAlignment="1">
      <alignment horizontal="center" vertical="center" wrapText="1"/>
    </xf>
    <xf numFmtId="0" fontId="12" fillId="0" borderId="129" xfId="51" applyFont="1" applyBorder="1" applyAlignment="1">
      <alignment horizontal="center" vertical="center" wrapText="1"/>
    </xf>
    <xf numFmtId="0" fontId="9" fillId="0" borderId="147" xfId="51" applyFont="1" applyBorder="1" applyAlignment="1">
      <alignment vertical="center" wrapText="1"/>
    </xf>
    <xf numFmtId="176" fontId="9" fillId="0" borderId="127" xfId="51" applyNumberFormat="1" applyFont="1" applyBorder="1" applyAlignment="1">
      <alignment horizontal="center" vertical="center" wrapText="1"/>
    </xf>
    <xf numFmtId="0" fontId="12" fillId="0" borderId="80" xfId="51" applyFont="1" applyBorder="1" applyAlignment="1">
      <alignment horizontal="center" vertical="center"/>
    </xf>
    <xf numFmtId="176" fontId="12" fillId="0" borderId="148" xfId="51" applyNumberFormat="1" applyFont="1" applyBorder="1" applyAlignment="1">
      <alignment horizontal="right" vertical="center" wrapText="1"/>
    </xf>
    <xf numFmtId="0" fontId="12" fillId="0" borderId="148" xfId="51" applyFont="1" applyBorder="1" applyAlignment="1">
      <alignment horizontal="center" vertical="center"/>
    </xf>
    <xf numFmtId="176" fontId="12" fillId="0" borderId="107" xfId="51" applyNumberFormat="1" applyFont="1" applyBorder="1" applyAlignment="1">
      <alignment horizontal="center" vertical="center" wrapText="1"/>
    </xf>
    <xf numFmtId="14" fontId="0" fillId="24" borderId="0" xfId="0" applyNumberFormat="1" applyFill="1"/>
    <xf numFmtId="170" fontId="46" fillId="24" borderId="0" xfId="49" applyNumberFormat="1" applyFont="1" applyFill="1" applyBorder="1"/>
    <xf numFmtId="0" fontId="46" fillId="24" borderId="0" xfId="0" applyFont="1" applyFill="1"/>
    <xf numFmtId="0" fontId="12" fillId="0" borderId="0" xfId="51" applyFont="1" applyBorder="1" applyAlignment="1">
      <alignment horizontal="center" vertical="center"/>
    </xf>
    <xf numFmtId="170" fontId="12" fillId="0" borderId="69" xfId="49" applyNumberFormat="1" applyFont="1" applyBorder="1" applyAlignment="1">
      <alignment horizontal="center" vertical="center" wrapText="1"/>
    </xf>
    <xf numFmtId="170" fontId="12" fillId="0" borderId="71" xfId="49" applyNumberFormat="1" applyFont="1" applyBorder="1" applyAlignment="1">
      <alignment horizontal="center" vertical="center" wrapText="1"/>
    </xf>
    <xf numFmtId="0" fontId="12" fillId="0" borderId="123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12" fillId="0" borderId="120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7" xfId="51" applyFont="1" applyBorder="1" applyAlignment="1">
      <alignment horizontal="center"/>
    </xf>
    <xf numFmtId="170" fontId="12" fillId="0" borderId="70" xfId="49" applyNumberFormat="1" applyFont="1" applyBorder="1" applyAlignment="1">
      <alignment horizontal="center" vertical="center" wrapText="1"/>
    </xf>
    <xf numFmtId="0" fontId="36" fillId="0" borderId="51" xfId="51" applyFont="1" applyBorder="1" applyAlignment="1">
      <alignment horizontal="center" vertical="center"/>
    </xf>
    <xf numFmtId="0" fontId="36" fillId="0" borderId="67" xfId="51" applyFont="1" applyBorder="1" applyAlignment="1">
      <alignment horizontal="center" vertical="center"/>
    </xf>
    <xf numFmtId="0" fontId="36" fillId="0" borderId="98" xfId="51" applyFont="1" applyBorder="1" applyAlignment="1">
      <alignment horizontal="center" vertical="center"/>
    </xf>
    <xf numFmtId="0" fontId="36" fillId="0" borderId="121" xfId="51" applyFont="1" applyBorder="1" applyAlignment="1">
      <alignment horizontal="center" vertical="center"/>
    </xf>
    <xf numFmtId="170" fontId="12" fillId="24" borderId="0" xfId="49" applyNumberFormat="1" applyFont="1" applyFill="1" applyBorder="1" applyAlignment="1">
      <alignment horizont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0" fontId="12" fillId="24" borderId="76" xfId="0" applyFont="1" applyFill="1" applyBorder="1" applyAlignment="1">
      <alignment horizontal="left" vertical="center" wrapText="1"/>
    </xf>
    <xf numFmtId="0" fontId="12" fillId="24" borderId="79" xfId="0" applyFont="1" applyFill="1" applyBorder="1" applyAlignment="1">
      <alignment horizontal="left" vertical="center" wrapText="1"/>
    </xf>
    <xf numFmtId="170" fontId="12" fillId="24" borderId="119" xfId="140" applyNumberFormat="1" applyFont="1" applyFill="1" applyBorder="1" applyAlignment="1">
      <alignment horizontal="center" vertical="center"/>
    </xf>
    <xf numFmtId="170" fontId="12" fillId="24" borderId="101" xfId="140" applyNumberFormat="1" applyFont="1" applyFill="1" applyBorder="1" applyAlignment="1">
      <alignment horizontal="center" vertical="center"/>
    </xf>
    <xf numFmtId="43" fontId="12" fillId="24" borderId="119" xfId="140" applyNumberFormat="1" applyFont="1" applyFill="1" applyBorder="1" applyAlignment="1">
      <alignment horizontal="center" vertical="center"/>
    </xf>
    <xf numFmtId="37" fontId="35" fillId="24" borderId="84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2" fontId="9" fillId="0" borderId="31" xfId="52" applyNumberFormat="1" applyFont="1" applyBorder="1" applyAlignment="1" applyProtection="1">
      <alignment horizontal="center"/>
      <protection hidden="1"/>
    </xf>
    <xf numFmtId="172" fontId="9" fillId="0" borderId="141" xfId="52" applyNumberFormat="1" applyFont="1" applyBorder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0" fontId="12" fillId="0" borderId="69" xfId="140" applyNumberFormat="1" applyFont="1" applyBorder="1" applyAlignment="1">
      <alignment horizontal="center" vertical="center" wrapText="1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0" xfId="51" applyFont="1" applyAlignment="1">
      <alignment horizontal="center" vertical="center"/>
    </xf>
    <xf numFmtId="0" fontId="12" fillId="0" borderId="30" xfId="51" applyFont="1" applyBorder="1" applyAlignment="1">
      <alignment horizontal="center" vertical="center" wrapText="1"/>
    </xf>
    <xf numFmtId="0" fontId="12" fillId="0" borderId="66" xfId="51" applyFont="1" applyBorder="1" applyAlignment="1">
      <alignment horizontal="center" vertical="center" wrapText="1"/>
    </xf>
    <xf numFmtId="170" fontId="12" fillId="0" borderId="70" xfId="140" applyNumberFormat="1" applyFont="1" applyBorder="1" applyAlignment="1">
      <alignment horizontal="center" vertical="center" wrapText="1"/>
    </xf>
    <xf numFmtId="0" fontId="36" fillId="30" borderId="23" xfId="132" applyFont="1" applyFill="1" applyBorder="1" applyAlignment="1">
      <alignment horizontal="center" vertical="center"/>
    </xf>
    <xf numFmtId="0" fontId="36" fillId="28" borderId="57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</dxfs>
  <tableStyles count="1" defaultTableStyle="TableStyleMedium9" defaultPivotStyle="PivotStyleLight16">
    <tableStyle name="Estilo de tabla 1" pivot="0" count="0"/>
  </tableStyles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2" name="Enero_01" displayName="Enero_01" ref="B79:F283" totalsRowShown="0" headerRowDxfId="6" dataDxfId="5" headerRowCellStyle="Millares 2" dataCellStyle="Millares 2">
  <autoFilter ref="B79:F283"/>
  <tableColumns count="5">
    <tableColumn id="1" name="MUNICIPIO" dataDxfId="4" dataCellStyle="Millares 2"/>
    <tableColumn id="2" name="MES" dataDxfId="3"/>
    <tableColumn id="3" name="FONDO" dataDxfId="2" dataCellStyle="Millares 2"/>
    <tableColumn id="5" name="MES_" dataDxfId="1" dataCellStyle="Millares 2">
      <calculatedColumnFormula>"01 ENERO"</calculatedColumnFormula>
    </tableColumn>
    <tableColumn id="4" name="VALOR" dataDxfId="0" dataCellStyle="Millares 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7"/>
  <sheetViews>
    <sheetView showGridLines="0" zoomScaleNormal="100" zoomScaleSheetLayoutView="100" workbookViewId="0">
      <selection activeCell="C40" sqref="C40"/>
    </sheetView>
  </sheetViews>
  <sheetFormatPr baseColWidth="10" defaultColWidth="11.42578125" defaultRowHeight="12.75"/>
  <cols>
    <col min="1" max="1" width="50.5703125" style="66" customWidth="1"/>
    <col min="2" max="2" width="15.7109375" style="66" customWidth="1"/>
    <col min="3" max="3" width="13.7109375" style="66" bestFit="1" customWidth="1"/>
    <col min="4" max="4" width="25.7109375" style="66" bestFit="1" customWidth="1"/>
    <col min="5" max="5" width="18.42578125" style="66" customWidth="1"/>
    <col min="6" max="6" width="16.42578125" style="66" bestFit="1" customWidth="1"/>
    <col min="7" max="7" width="13.7109375" style="66" bestFit="1" customWidth="1"/>
    <col min="8" max="9" width="12.7109375" style="66" bestFit="1" customWidth="1"/>
    <col min="10" max="16384" width="11.42578125" style="66"/>
  </cols>
  <sheetData>
    <row r="1" spans="1:10" ht="27.75" customHeight="1" thickBot="1">
      <c r="B1" s="343" t="s">
        <v>231</v>
      </c>
      <c r="C1" s="343"/>
      <c r="D1" s="343"/>
      <c r="E1" s="343"/>
      <c r="F1" s="330"/>
      <c r="G1" s="330"/>
    </row>
    <row r="2" spans="1:10" ht="25.5">
      <c r="A2" s="331" t="s">
        <v>104</v>
      </c>
      <c r="B2" s="332" t="s">
        <v>225</v>
      </c>
      <c r="C2" s="332" t="s">
        <v>226</v>
      </c>
      <c r="D2" s="332" t="s">
        <v>227</v>
      </c>
      <c r="E2" s="332" t="s">
        <v>228</v>
      </c>
      <c r="F2" s="332" t="s">
        <v>87</v>
      </c>
      <c r="G2" s="332" t="s">
        <v>88</v>
      </c>
      <c r="H2" s="333" t="s">
        <v>107</v>
      </c>
    </row>
    <row r="3" spans="1:10" ht="25.5" customHeight="1">
      <c r="A3" s="334" t="s">
        <v>55</v>
      </c>
      <c r="B3" s="326">
        <v>3433609640</v>
      </c>
      <c r="C3" s="326">
        <v>0</v>
      </c>
      <c r="D3" s="326">
        <v>0</v>
      </c>
      <c r="E3" s="326">
        <v>-15075436.279999999</v>
      </c>
      <c r="F3" s="95">
        <v>0.2</v>
      </c>
      <c r="G3" s="326">
        <f>(B3+C3+D3+E3)*F3</f>
        <v>683706840.74399996</v>
      </c>
      <c r="H3" s="335">
        <f>(B3+C3+D3+E3)-G3</f>
        <v>2734827362.9759998</v>
      </c>
      <c r="J3" s="327"/>
    </row>
    <row r="4" spans="1:10" ht="25.5" customHeight="1">
      <c r="A4" s="334" t="s">
        <v>60</v>
      </c>
      <c r="B4" s="326">
        <v>97927144</v>
      </c>
      <c r="C4" s="326">
        <v>0</v>
      </c>
      <c r="D4" s="326">
        <v>0</v>
      </c>
      <c r="E4" s="326">
        <v>0</v>
      </c>
      <c r="F4" s="95">
        <v>1</v>
      </c>
      <c r="G4" s="326">
        <f t="shared" ref="G4:G12" si="0">(B4+C4+D4+E4)*F4</f>
        <v>97927144</v>
      </c>
      <c r="H4" s="335">
        <f t="shared" ref="H4:H12" si="1">(B4+C4+D4+E4)-G4</f>
        <v>0</v>
      </c>
      <c r="J4" s="327"/>
    </row>
    <row r="5" spans="1:10" ht="25.5" customHeight="1">
      <c r="A5" s="334" t="s">
        <v>61</v>
      </c>
      <c r="B5" s="326">
        <v>37442872</v>
      </c>
      <c r="C5" s="326">
        <v>0</v>
      </c>
      <c r="D5" s="326">
        <v>0</v>
      </c>
      <c r="E5" s="326">
        <v>0</v>
      </c>
      <c r="F5" s="95">
        <v>1</v>
      </c>
      <c r="G5" s="326">
        <f t="shared" si="0"/>
        <v>37442872</v>
      </c>
      <c r="H5" s="335">
        <f t="shared" si="1"/>
        <v>0</v>
      </c>
      <c r="I5" s="67"/>
      <c r="J5" s="327"/>
    </row>
    <row r="6" spans="1:10" ht="25.5" customHeight="1">
      <c r="A6" s="334" t="s">
        <v>56</v>
      </c>
      <c r="B6" s="326">
        <v>83435340</v>
      </c>
      <c r="C6" s="326">
        <v>0</v>
      </c>
      <c r="D6" s="326">
        <v>0</v>
      </c>
      <c r="E6" s="326">
        <v>0</v>
      </c>
      <c r="F6" s="95">
        <v>0.2</v>
      </c>
      <c r="G6" s="326">
        <f t="shared" si="0"/>
        <v>16687068</v>
      </c>
      <c r="H6" s="335">
        <f t="shared" si="1"/>
        <v>66748272</v>
      </c>
      <c r="J6" s="327"/>
    </row>
    <row r="7" spans="1:10" ht="25.5" customHeight="1">
      <c r="A7" s="334" t="s">
        <v>57</v>
      </c>
      <c r="B7" s="326">
        <v>75298111</v>
      </c>
      <c r="C7" s="326">
        <v>0</v>
      </c>
      <c r="D7" s="326">
        <v>260964445</v>
      </c>
      <c r="E7" s="326">
        <v>0</v>
      </c>
      <c r="F7" s="95">
        <v>0.2</v>
      </c>
      <c r="G7" s="326">
        <f t="shared" si="0"/>
        <v>67252511.200000003</v>
      </c>
      <c r="H7" s="335">
        <f t="shared" si="1"/>
        <v>269010044.80000001</v>
      </c>
      <c r="J7" s="327"/>
    </row>
    <row r="8" spans="1:10" ht="25.5" customHeight="1">
      <c r="A8" s="334" t="s">
        <v>229</v>
      </c>
      <c r="B8" s="326">
        <v>0</v>
      </c>
      <c r="C8" s="326">
        <v>0</v>
      </c>
      <c r="D8" s="326">
        <v>0</v>
      </c>
      <c r="E8" s="326">
        <v>0</v>
      </c>
      <c r="F8" s="95">
        <v>0.2</v>
      </c>
      <c r="G8" s="326">
        <f t="shared" si="0"/>
        <v>0</v>
      </c>
      <c r="H8" s="335">
        <f t="shared" si="1"/>
        <v>0</v>
      </c>
      <c r="J8" s="327"/>
    </row>
    <row r="9" spans="1:10" ht="25.5" customHeight="1">
      <c r="A9" s="334" t="s">
        <v>58</v>
      </c>
      <c r="B9" s="326">
        <v>84072240</v>
      </c>
      <c r="C9" s="326">
        <v>0</v>
      </c>
      <c r="D9" s="326">
        <v>0</v>
      </c>
      <c r="E9" s="326">
        <v>0</v>
      </c>
      <c r="F9" s="95">
        <v>0.2</v>
      </c>
      <c r="G9" s="326">
        <f t="shared" si="0"/>
        <v>16814448</v>
      </c>
      <c r="H9" s="335">
        <f t="shared" si="1"/>
        <v>67257792</v>
      </c>
      <c r="J9" s="327"/>
    </row>
    <row r="10" spans="1:10" ht="25.5" customHeight="1">
      <c r="A10" s="334" t="s">
        <v>105</v>
      </c>
      <c r="B10" s="326">
        <v>17306482</v>
      </c>
      <c r="C10" s="326">
        <v>0</v>
      </c>
      <c r="D10" s="326">
        <v>0</v>
      </c>
      <c r="E10" s="326">
        <v>0</v>
      </c>
      <c r="F10" s="95">
        <v>0.2</v>
      </c>
      <c r="G10" s="326">
        <f t="shared" si="0"/>
        <v>3461296.4000000004</v>
      </c>
      <c r="H10" s="335">
        <f t="shared" si="1"/>
        <v>13845185.6</v>
      </c>
      <c r="J10" s="327"/>
    </row>
    <row r="11" spans="1:10" ht="25.5" customHeight="1">
      <c r="A11" s="334" t="s">
        <v>59</v>
      </c>
      <c r="B11" s="326">
        <v>66336710</v>
      </c>
      <c r="C11" s="326">
        <v>0</v>
      </c>
      <c r="D11" s="326">
        <v>0</v>
      </c>
      <c r="E11" s="326">
        <v>0</v>
      </c>
      <c r="F11" s="95">
        <v>0.2</v>
      </c>
      <c r="G11" s="326">
        <f t="shared" si="0"/>
        <v>13267342</v>
      </c>
      <c r="H11" s="335">
        <f t="shared" si="1"/>
        <v>53069368</v>
      </c>
      <c r="J11" s="327"/>
    </row>
    <row r="12" spans="1:10" ht="25.5" customHeight="1">
      <c r="A12" s="334" t="s">
        <v>230</v>
      </c>
      <c r="B12" s="326">
        <v>101045354</v>
      </c>
      <c r="C12" s="326">
        <v>0</v>
      </c>
      <c r="D12" s="326">
        <v>0</v>
      </c>
      <c r="E12" s="326">
        <v>0</v>
      </c>
      <c r="F12" s="95">
        <v>0.2</v>
      </c>
      <c r="G12" s="326">
        <f t="shared" si="0"/>
        <v>20209070.800000001</v>
      </c>
      <c r="H12" s="335">
        <f t="shared" si="1"/>
        <v>80836283.200000003</v>
      </c>
    </row>
    <row r="13" spans="1:10" ht="13.5" thickBot="1">
      <c r="A13" s="336" t="s">
        <v>53</v>
      </c>
      <c r="B13" s="337">
        <f>SUM(B3:B12)</f>
        <v>3996473893</v>
      </c>
      <c r="C13" s="337"/>
      <c r="D13" s="337">
        <f t="shared" ref="D13:E13" si="2">SUM(D3:D12)</f>
        <v>260964445</v>
      </c>
      <c r="E13" s="337">
        <f t="shared" si="2"/>
        <v>-15075436.279999999</v>
      </c>
      <c r="F13" s="338"/>
      <c r="G13" s="337">
        <f>SUM(G3:G12)</f>
        <v>956768593.14399993</v>
      </c>
      <c r="H13" s="339">
        <f>SUM(H3:H12)</f>
        <v>3285594308.5759997</v>
      </c>
    </row>
    <row r="14" spans="1:10">
      <c r="A14" s="98"/>
      <c r="B14" s="98"/>
      <c r="C14" s="99"/>
      <c r="D14" s="100"/>
    </row>
    <row r="15" spans="1:10">
      <c r="A15" s="101" t="s">
        <v>106</v>
      </c>
      <c r="B15" s="101"/>
      <c r="E15" s="327"/>
    </row>
    <row r="16" spans="1:10" ht="13.5" thickBot="1">
      <c r="B16" s="102"/>
    </row>
    <row r="17" spans="1:4" ht="72" customHeight="1" thickTop="1">
      <c r="A17" s="107" t="s">
        <v>114</v>
      </c>
      <c r="B17" s="108" t="s">
        <v>235</v>
      </c>
      <c r="C17" s="108" t="s">
        <v>109</v>
      </c>
      <c r="D17" s="109" t="s">
        <v>234</v>
      </c>
    </row>
    <row r="18" spans="1:4" ht="17.25" customHeight="1">
      <c r="A18" s="110" t="s">
        <v>112</v>
      </c>
      <c r="B18" s="104">
        <f>H13</f>
        <v>3285594308.5759997</v>
      </c>
      <c r="C18" s="104">
        <v>26756367</v>
      </c>
      <c r="D18" s="111">
        <f>'Participación 2022'!D18/12</f>
        <v>53087294.416666664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322">
        <f>B18*B19</f>
        <v>60454935.277798392</v>
      </c>
      <c r="C20" s="322">
        <f>C18*C19</f>
        <v>9364728.4499999993</v>
      </c>
      <c r="D20" s="323">
        <f>D18*D19</f>
        <v>53087294.416666664</v>
      </c>
    </row>
    <row r="21" spans="1:4" ht="24.75" customHeight="1">
      <c r="A21" s="114"/>
      <c r="B21" s="115"/>
      <c r="C21" s="115"/>
      <c r="D21" s="116"/>
    </row>
    <row r="22" spans="1:4">
      <c r="A22" s="346" t="s">
        <v>111</v>
      </c>
      <c r="B22" s="349" t="s">
        <v>110</v>
      </c>
      <c r="C22" s="349"/>
      <c r="D22" s="350"/>
    </row>
    <row r="23" spans="1:4">
      <c r="A23" s="347"/>
      <c r="B23" s="351" t="str">
        <f>IF(B20&gt;D20,"1.84% Particpaciones del Estado","Ley de Egresos 2020")</f>
        <v>1.84% Particpaciones del Estado</v>
      </c>
      <c r="C23" s="351"/>
      <c r="D23" s="352"/>
    </row>
    <row r="24" spans="1:4">
      <c r="A24" s="348"/>
      <c r="B24" s="115"/>
      <c r="C24" s="115"/>
      <c r="D24" s="116"/>
    </row>
    <row r="25" spans="1:4" ht="13.5" thickBot="1">
      <c r="A25" s="117" t="s">
        <v>113</v>
      </c>
      <c r="B25" s="344">
        <f>IF(B23="Ley de Egresos 2020",D20,B20)</f>
        <v>60454935.277798392</v>
      </c>
      <c r="C25" s="353"/>
      <c r="D25" s="345"/>
    </row>
    <row r="26" spans="1:4" ht="13.5" thickTop="1"/>
    <row r="27" spans="1:4" ht="13.5" thickBot="1"/>
    <row r="28" spans="1:4" ht="39" thickTop="1">
      <c r="A28" s="107" t="s">
        <v>162</v>
      </c>
      <c r="B28" s="109" t="s">
        <v>235</v>
      </c>
    </row>
    <row r="29" spans="1:4">
      <c r="A29" s="110" t="s">
        <v>151</v>
      </c>
      <c r="B29" s="111">
        <f>H13</f>
        <v>3285594308.5759997</v>
      </c>
    </row>
    <row r="30" spans="1:4">
      <c r="A30" s="110" t="s">
        <v>87</v>
      </c>
      <c r="B30" s="112">
        <v>1.5299999999999999E-2</v>
      </c>
    </row>
    <row r="31" spans="1:4" ht="13.5" thickBot="1">
      <c r="A31" s="117" t="s">
        <v>86</v>
      </c>
      <c r="B31" s="324">
        <f>B29*B30</f>
        <v>50269592.921212792</v>
      </c>
    </row>
    <row r="32" spans="1:4" ht="27.75" customHeight="1" thickTop="1" thickBot="1"/>
    <row r="33" spans="1:3" ht="39" thickTop="1">
      <c r="A33" s="107" t="s">
        <v>148</v>
      </c>
      <c r="B33" s="109" t="s">
        <v>235</v>
      </c>
    </row>
    <row r="34" spans="1:3">
      <c r="A34" s="110" t="s">
        <v>112</v>
      </c>
      <c r="B34" s="111">
        <f>$H$13</f>
        <v>3285594308.5759997</v>
      </c>
    </row>
    <row r="35" spans="1:3">
      <c r="A35" s="110" t="s">
        <v>87</v>
      </c>
      <c r="B35" s="112">
        <v>5.4000000000000003E-3</v>
      </c>
    </row>
    <row r="36" spans="1:3" ht="13.5" thickBot="1">
      <c r="A36" s="117" t="s">
        <v>86</v>
      </c>
      <c r="B36" s="324">
        <f>B34*B35</f>
        <v>17742209.266310401</v>
      </c>
    </row>
    <row r="37" spans="1:3" ht="14.25" thickTop="1" thickBot="1"/>
    <row r="38" spans="1:3" ht="39" thickTop="1">
      <c r="A38" s="107" t="s">
        <v>150</v>
      </c>
      <c r="B38" s="108" t="s">
        <v>235</v>
      </c>
      <c r="C38" s="109" t="s">
        <v>234</v>
      </c>
    </row>
    <row r="39" spans="1:3">
      <c r="A39" s="110" t="s">
        <v>112</v>
      </c>
      <c r="B39" s="104">
        <f>$H$13</f>
        <v>3285594308.5759997</v>
      </c>
      <c r="C39" s="111">
        <f>'Participación 2022'!C39/12</f>
        <v>36930291.75</v>
      </c>
    </row>
    <row r="40" spans="1:3">
      <c r="A40" s="110" t="s">
        <v>87</v>
      </c>
      <c r="B40" s="105">
        <v>1.2800000000000001E-2</v>
      </c>
      <c r="C40" s="112">
        <v>1</v>
      </c>
    </row>
    <row r="41" spans="1:3">
      <c r="A41" s="110" t="s">
        <v>86</v>
      </c>
      <c r="B41" s="322">
        <f>B39*B40</f>
        <v>42055607.149772801</v>
      </c>
      <c r="C41" s="325">
        <f>C39*C40</f>
        <v>36930291.75</v>
      </c>
    </row>
    <row r="42" spans="1:3" ht="24" customHeight="1">
      <c r="A42" s="114"/>
      <c r="B42" s="115"/>
      <c r="C42" s="116"/>
    </row>
    <row r="43" spans="1:3">
      <c r="A43" s="346" t="s">
        <v>111</v>
      </c>
      <c r="B43" s="349" t="s">
        <v>152</v>
      </c>
      <c r="C43" s="350"/>
    </row>
    <row r="44" spans="1:3">
      <c r="A44" s="347"/>
      <c r="B44" s="354" t="str">
        <f>IF(B41&gt;C41,"1.28% Particpaciones del Estado","Ley de Egresos 2021")</f>
        <v>1.28% Particpaciones del Estado</v>
      </c>
      <c r="C44" s="355"/>
    </row>
    <row r="45" spans="1:3">
      <c r="A45" s="348"/>
      <c r="B45" s="356"/>
      <c r="C45" s="357"/>
    </row>
    <row r="46" spans="1:3" ht="13.5" thickBot="1">
      <c r="A46" s="117" t="s">
        <v>163</v>
      </c>
      <c r="B46" s="344">
        <f>IF(B44="Ley de Egresos 2021",C41,B41)</f>
        <v>42055607.149772801</v>
      </c>
      <c r="C46" s="345"/>
    </row>
    <row r="47" spans="1:3" ht="13.5" thickTop="1"/>
  </sheetData>
  <mergeCells count="9">
    <mergeCell ref="B1:E1"/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19"/>
  <sheetViews>
    <sheetView zoomScaleNormal="100" workbookViewId="0">
      <selection activeCell="F5" sqref="F1:F1048576"/>
    </sheetView>
  </sheetViews>
  <sheetFormatPr baseColWidth="10" defaultColWidth="11.42578125" defaultRowHeight="12.75"/>
  <cols>
    <col min="1" max="1" width="27.28515625" style="13" bestFit="1" customWidth="1"/>
    <col min="2" max="2" width="28.28515625" style="9" customWidth="1"/>
    <col min="3" max="4" width="18.42578125" style="9" customWidth="1"/>
    <col min="5" max="5" width="15.140625" style="9" customWidth="1"/>
    <col min="6" max="6" width="19.7109375" style="9" customWidth="1"/>
    <col min="7" max="8" width="20.7109375" style="9" customWidth="1"/>
    <col min="9" max="9" width="15.140625" style="9" customWidth="1"/>
    <col min="10" max="11" width="11.42578125" style="13"/>
    <col min="12" max="12" width="28.140625" style="13" bestFit="1" customWidth="1"/>
    <col min="13" max="17" width="20.7109375" style="13" customWidth="1"/>
    <col min="18" max="16384" width="11.42578125" style="13"/>
  </cols>
  <sheetData>
    <row r="1" spans="1:17">
      <c r="B1" s="358" t="s">
        <v>84</v>
      </c>
      <c r="C1" s="358"/>
      <c r="D1" s="358"/>
      <c r="E1" s="358"/>
      <c r="F1" s="358"/>
      <c r="G1" s="358"/>
      <c r="H1" s="358"/>
      <c r="I1" s="358"/>
      <c r="L1" s="358" t="s">
        <v>84</v>
      </c>
      <c r="M1" s="358"/>
      <c r="N1" s="358"/>
      <c r="O1" s="358"/>
      <c r="P1" s="358"/>
      <c r="Q1" s="358"/>
    </row>
    <row r="2" spans="1:17">
      <c r="B2" s="358" t="s">
        <v>85</v>
      </c>
      <c r="C2" s="358"/>
      <c r="D2" s="358"/>
      <c r="E2" s="358"/>
      <c r="F2" s="358"/>
      <c r="G2" s="358"/>
      <c r="H2" s="358"/>
      <c r="I2" s="358"/>
      <c r="L2" s="358" t="s">
        <v>85</v>
      </c>
      <c r="M2" s="358"/>
      <c r="N2" s="358"/>
      <c r="O2" s="358"/>
      <c r="P2" s="358"/>
      <c r="Q2" s="358"/>
    </row>
    <row r="3" spans="1:17">
      <c r="B3" s="358" t="s">
        <v>165</v>
      </c>
      <c r="C3" s="358"/>
      <c r="D3" s="358"/>
      <c r="E3" s="358"/>
      <c r="F3" s="358"/>
      <c r="G3" s="358"/>
      <c r="H3" s="358"/>
      <c r="I3" s="358"/>
      <c r="L3" s="358" t="s">
        <v>165</v>
      </c>
      <c r="M3" s="358"/>
      <c r="N3" s="358"/>
      <c r="O3" s="358"/>
      <c r="P3" s="358"/>
      <c r="Q3" s="358"/>
    </row>
    <row r="4" spans="1:17" ht="13.5" thickBot="1">
      <c r="B4" s="358" t="s">
        <v>175</v>
      </c>
      <c r="C4" s="358"/>
      <c r="D4" s="358"/>
      <c r="E4" s="358"/>
      <c r="F4" s="358"/>
      <c r="G4" s="358"/>
      <c r="H4" s="358"/>
      <c r="I4" s="358"/>
      <c r="L4" s="358" t="s">
        <v>175</v>
      </c>
      <c r="M4" s="358"/>
      <c r="N4" s="358"/>
      <c r="O4" s="358"/>
      <c r="P4" s="358"/>
      <c r="Q4" s="358"/>
    </row>
    <row r="5" spans="1:17" ht="39.75" thickTop="1" thickBot="1">
      <c r="B5" s="63" t="s">
        <v>0</v>
      </c>
      <c r="C5" s="60" t="s">
        <v>136</v>
      </c>
      <c r="D5" s="267" t="s">
        <v>192</v>
      </c>
      <c r="E5" s="60" t="s">
        <v>144</v>
      </c>
      <c r="F5" s="60" t="s">
        <v>149</v>
      </c>
      <c r="G5" s="60" t="s">
        <v>164</v>
      </c>
      <c r="H5" s="267" t="s">
        <v>193</v>
      </c>
      <c r="I5" s="61" t="s">
        <v>53</v>
      </c>
      <c r="L5" s="257"/>
      <c r="M5" s="252" t="s">
        <v>166</v>
      </c>
      <c r="N5" s="252" t="s">
        <v>167</v>
      </c>
      <c r="O5" s="252" t="s">
        <v>168</v>
      </c>
      <c r="P5" s="254" t="s">
        <v>169</v>
      </c>
      <c r="Q5" s="253" t="s">
        <v>53</v>
      </c>
    </row>
    <row r="6" spans="1:17">
      <c r="A6" s="13" t="s">
        <v>1</v>
      </c>
      <c r="B6" s="64" t="s">
        <v>1</v>
      </c>
      <c r="C6" s="9">
        <v>3634800.5978979315</v>
      </c>
      <c r="D6" s="9">
        <v>1164266.1491907474</v>
      </c>
      <c r="E6" s="9">
        <v>3133486.17</v>
      </c>
      <c r="F6" s="9">
        <v>0</v>
      </c>
      <c r="G6" s="9">
        <v>786456.87887226848</v>
      </c>
      <c r="H6" s="9">
        <v>957977.40371158405</v>
      </c>
      <c r="I6" s="62">
        <f>SUM(C6:H6)</f>
        <v>9676987.1996725313</v>
      </c>
      <c r="L6" s="257" t="s">
        <v>6</v>
      </c>
      <c r="M6" s="250">
        <f t="shared" ref="M6:M17" si="0">VLOOKUP(L6,$B$6:$G$56,3,FALSE)</f>
        <v>10828631.311058171</v>
      </c>
      <c r="N6" s="250">
        <f t="shared" ref="N6:N17" si="1">VLOOKUP(L6,$B$6:$G$56,4,FALSE)</f>
        <v>29150918.780000001</v>
      </c>
      <c r="O6" s="250">
        <f t="shared" ref="O6:O17" si="2">VLOOKUP(L6,$B$6:$G$56,5,FALSE)</f>
        <v>30500525.904894315</v>
      </c>
      <c r="P6" s="251">
        <f t="shared" ref="P6:P17" si="3">VLOOKUP(L6,$B$6:$G$56,2,FALSE)</f>
        <v>40982390.550429337</v>
      </c>
      <c r="Q6" s="255">
        <f>SUM(M6:P6)</f>
        <v>111462466.54638183</v>
      </c>
    </row>
    <row r="7" spans="1:17">
      <c r="A7" s="13" t="s">
        <v>2</v>
      </c>
      <c r="B7" s="64" t="s">
        <v>2</v>
      </c>
      <c r="C7" s="9">
        <v>3721888.2387662423</v>
      </c>
      <c r="D7" s="9">
        <v>1186801.6531819459</v>
      </c>
      <c r="E7" s="9">
        <v>3504850.52</v>
      </c>
      <c r="F7" s="9">
        <v>0</v>
      </c>
      <c r="G7" s="9">
        <v>1406832.0655235953</v>
      </c>
      <c r="H7" s="9">
        <v>1493800.6134079469</v>
      </c>
      <c r="I7" s="62">
        <f t="shared" ref="I7:I56" si="4">SUM(C7:H7)</f>
        <v>11314173.090879729</v>
      </c>
      <c r="L7" s="258" t="s">
        <v>9</v>
      </c>
      <c r="M7" s="249">
        <f t="shared" si="0"/>
        <v>2831639.3110679695</v>
      </c>
      <c r="N7" s="249">
        <f t="shared" si="1"/>
        <v>11301342.189999999</v>
      </c>
      <c r="O7" s="249">
        <f t="shared" si="2"/>
        <v>10807381.677791363</v>
      </c>
      <c r="P7" s="211">
        <f t="shared" si="3"/>
        <v>10078303.932535332</v>
      </c>
      <c r="Q7" s="208">
        <f t="shared" ref="Q7:Q57" si="5">SUM(M7:P7)</f>
        <v>35018667.111394659</v>
      </c>
    </row>
    <row r="8" spans="1:17">
      <c r="A8" s="13" t="s">
        <v>194</v>
      </c>
      <c r="B8" s="64" t="s">
        <v>3</v>
      </c>
      <c r="C8" s="9">
        <v>3300324.2909355713</v>
      </c>
      <c r="D8" s="9">
        <v>1077714.3483225896</v>
      </c>
      <c r="E8" s="9">
        <v>3726741.57</v>
      </c>
      <c r="F8" s="9">
        <v>0</v>
      </c>
      <c r="G8" s="9">
        <v>1777507.6809280245</v>
      </c>
      <c r="H8" s="9">
        <v>432281.36959834397</v>
      </c>
      <c r="I8" s="62">
        <f t="shared" si="4"/>
        <v>10314569.259784531</v>
      </c>
      <c r="L8" s="258" t="s">
        <v>18</v>
      </c>
      <c r="M8" s="249">
        <f t="shared" si="0"/>
        <v>6946984.9068781547</v>
      </c>
      <c r="N8" s="249">
        <f t="shared" si="1"/>
        <v>17931628.760000002</v>
      </c>
      <c r="O8" s="249">
        <f t="shared" si="2"/>
        <v>19432331.817890011</v>
      </c>
      <c r="P8" s="211">
        <f t="shared" si="3"/>
        <v>25981908.282226115</v>
      </c>
      <c r="Q8" s="208">
        <f t="shared" si="5"/>
        <v>70292853.766994283</v>
      </c>
    </row>
    <row r="9" spans="1:17">
      <c r="A9" s="13" t="s">
        <v>4</v>
      </c>
      <c r="B9" s="64" t="s">
        <v>4</v>
      </c>
      <c r="C9" s="9">
        <v>10532440.584808372</v>
      </c>
      <c r="D9" s="9">
        <v>2949155.3930034572</v>
      </c>
      <c r="E9" s="9">
        <v>7665104.1799999997</v>
      </c>
      <c r="F9" s="9">
        <v>0</v>
      </c>
      <c r="G9" s="9">
        <v>8356659.6481780438</v>
      </c>
      <c r="H9" s="9">
        <v>161580.9495005114</v>
      </c>
      <c r="I9" s="62">
        <f t="shared" si="4"/>
        <v>29664940.755490385</v>
      </c>
      <c r="L9" s="258" t="s">
        <v>20</v>
      </c>
      <c r="M9" s="249">
        <f t="shared" si="0"/>
        <v>8204759.3761245646</v>
      </c>
      <c r="N9" s="249">
        <f t="shared" si="1"/>
        <v>21751610.190000001</v>
      </c>
      <c r="O9" s="249">
        <f t="shared" si="2"/>
        <v>23127800.437401839</v>
      </c>
      <c r="P9" s="211">
        <f t="shared" si="3"/>
        <v>30842532.269772224</v>
      </c>
      <c r="Q9" s="208">
        <f t="shared" si="5"/>
        <v>83926702.273298621</v>
      </c>
    </row>
    <row r="10" spans="1:17">
      <c r="A10" s="13" t="s">
        <v>195</v>
      </c>
      <c r="B10" s="64" t="s">
        <v>5</v>
      </c>
      <c r="C10" s="9">
        <v>6848505.3060187306</v>
      </c>
      <c r="D10" s="9">
        <v>1995870.433728707</v>
      </c>
      <c r="E10" s="9">
        <v>6113138.6200000001</v>
      </c>
      <c r="F10" s="9">
        <v>0</v>
      </c>
      <c r="G10" s="9">
        <v>5764054.9902188107</v>
      </c>
      <c r="H10" s="9">
        <v>373573.40857122</v>
      </c>
      <c r="I10" s="62">
        <f t="shared" si="4"/>
        <v>21095142.758537471</v>
      </c>
      <c r="L10" s="258" t="s">
        <v>25</v>
      </c>
      <c r="M10" s="249">
        <f t="shared" si="0"/>
        <v>10629188.237721926</v>
      </c>
      <c r="N10" s="249">
        <f t="shared" si="1"/>
        <v>25819930.120000001</v>
      </c>
      <c r="O10" s="249">
        <f t="shared" si="2"/>
        <v>0</v>
      </c>
      <c r="P10" s="211">
        <f t="shared" si="3"/>
        <v>40211650.000266239</v>
      </c>
      <c r="Q10" s="208">
        <f t="shared" si="5"/>
        <v>76660768.357988164</v>
      </c>
    </row>
    <row r="11" spans="1:17">
      <c r="A11" s="13" t="s">
        <v>6</v>
      </c>
      <c r="B11" s="64" t="s">
        <v>6</v>
      </c>
      <c r="C11" s="9">
        <v>40982390.550429337</v>
      </c>
      <c r="D11" s="9">
        <v>10828631.311058171</v>
      </c>
      <c r="E11" s="9">
        <v>29150918.780000001</v>
      </c>
      <c r="F11" s="9">
        <v>30500525.904894315</v>
      </c>
      <c r="G11" s="9">
        <v>25555475.876100872</v>
      </c>
      <c r="H11" s="9">
        <v>0</v>
      </c>
      <c r="I11" s="62">
        <f t="shared" si="4"/>
        <v>137017942.4224827</v>
      </c>
      <c r="L11" s="258" t="s">
        <v>31</v>
      </c>
      <c r="M11" s="249">
        <f t="shared" si="0"/>
        <v>8059679.9240843095</v>
      </c>
      <c r="N11" s="249">
        <f t="shared" si="1"/>
        <v>20539885.899999999</v>
      </c>
      <c r="O11" s="249">
        <f t="shared" si="2"/>
        <v>22246066.818953641</v>
      </c>
      <c r="P11" s="211">
        <f t="shared" si="3"/>
        <v>30281877.969713636</v>
      </c>
      <c r="Q11" s="208">
        <f t="shared" si="5"/>
        <v>81127510.612751573</v>
      </c>
    </row>
    <row r="12" spans="1:17">
      <c r="A12" s="13" t="s">
        <v>7</v>
      </c>
      <c r="B12" s="64" t="s">
        <v>7</v>
      </c>
      <c r="C12" s="9">
        <v>6200043.9017100837</v>
      </c>
      <c r="D12" s="9">
        <v>1828069.3035197323</v>
      </c>
      <c r="E12" s="9">
        <v>5776124.2000000002</v>
      </c>
      <c r="F12" s="9">
        <v>0</v>
      </c>
      <c r="G12" s="9">
        <v>5201062.357268923</v>
      </c>
      <c r="H12" s="9">
        <v>3023612.73697457</v>
      </c>
      <c r="I12" s="62">
        <f t="shared" si="4"/>
        <v>22028912.499473311</v>
      </c>
      <c r="L12" s="258" t="s">
        <v>39</v>
      </c>
      <c r="M12" s="249">
        <f t="shared" si="0"/>
        <v>18112997.234808952</v>
      </c>
      <c r="N12" s="249">
        <f t="shared" si="1"/>
        <v>77841174.790000007</v>
      </c>
      <c r="O12" s="249">
        <f t="shared" si="2"/>
        <v>0</v>
      </c>
      <c r="P12" s="211">
        <f t="shared" si="3"/>
        <v>69132559.446972609</v>
      </c>
      <c r="Q12" s="208">
        <f t="shared" si="5"/>
        <v>165086731.47178155</v>
      </c>
    </row>
    <row r="13" spans="1:17">
      <c r="A13" s="13" t="s">
        <v>8</v>
      </c>
      <c r="B13" s="64" t="s">
        <v>8</v>
      </c>
      <c r="C13" s="9">
        <v>3781440.8167129545</v>
      </c>
      <c r="D13" s="9">
        <v>1202211.9610582804</v>
      </c>
      <c r="E13" s="9">
        <v>3542810.45</v>
      </c>
      <c r="F13" s="9">
        <v>0</v>
      </c>
      <c r="G13" s="9">
        <v>1470245.2649857672</v>
      </c>
      <c r="H13" s="9">
        <v>1503973.8146353802</v>
      </c>
      <c r="I13" s="62">
        <f t="shared" si="4"/>
        <v>11500682.307392381</v>
      </c>
      <c r="L13" s="258" t="s">
        <v>45</v>
      </c>
      <c r="M13" s="249">
        <f t="shared" si="0"/>
        <v>2299067.4649870722</v>
      </c>
      <c r="N13" s="249">
        <f t="shared" si="1"/>
        <v>10527748.359999999</v>
      </c>
      <c r="O13" s="249">
        <f t="shared" si="2"/>
        <v>9741093.1909087617</v>
      </c>
      <c r="P13" s="211">
        <f t="shared" si="3"/>
        <v>8020199.2774905432</v>
      </c>
      <c r="Q13" s="208">
        <f t="shared" si="5"/>
        <v>30588108.293386377</v>
      </c>
    </row>
    <row r="14" spans="1:17">
      <c r="A14" s="13" t="s">
        <v>196</v>
      </c>
      <c r="B14" s="64" t="s">
        <v>9</v>
      </c>
      <c r="C14" s="9">
        <v>10078303.932535332</v>
      </c>
      <c r="D14" s="9">
        <v>2831639.3110679695</v>
      </c>
      <c r="E14" s="9">
        <v>11301342.189999999</v>
      </c>
      <c r="F14" s="9">
        <v>10807381.677791363</v>
      </c>
      <c r="G14" s="9">
        <v>4000944.8289309465</v>
      </c>
      <c r="H14" s="9">
        <v>2079827.3052378078</v>
      </c>
      <c r="I14" s="62">
        <f t="shared" si="4"/>
        <v>41099439.245563418</v>
      </c>
      <c r="L14" s="258" t="s">
        <v>46</v>
      </c>
      <c r="M14" s="249">
        <f t="shared" si="0"/>
        <v>7171476.2695088647</v>
      </c>
      <c r="N14" s="249">
        <f t="shared" si="1"/>
        <v>25672427.239999998</v>
      </c>
      <c r="O14" s="249">
        <f t="shared" si="2"/>
        <v>0</v>
      </c>
      <c r="P14" s="211">
        <f t="shared" si="3"/>
        <v>26849447.041264139</v>
      </c>
      <c r="Q14" s="208">
        <f t="shared" si="5"/>
        <v>59693350.550773002</v>
      </c>
    </row>
    <row r="15" spans="1:17">
      <c r="A15" s="13" t="s">
        <v>197</v>
      </c>
      <c r="B15" s="64" t="s">
        <v>10</v>
      </c>
      <c r="C15" s="9">
        <v>25300839.565292563</v>
      </c>
      <c r="D15" s="9">
        <v>6770746.0440991595</v>
      </c>
      <c r="E15" s="9">
        <v>9031679.4000000004</v>
      </c>
      <c r="F15" s="9">
        <v>9994317.4785233811</v>
      </c>
      <c r="G15" s="9">
        <v>10639564.233837573</v>
      </c>
      <c r="H15" s="9">
        <v>0</v>
      </c>
      <c r="I15" s="62">
        <f t="shared" si="4"/>
        <v>61737146.721752681</v>
      </c>
      <c r="L15" s="258" t="s">
        <v>47</v>
      </c>
      <c r="M15" s="249">
        <f t="shared" si="0"/>
        <v>2978844.7984219203</v>
      </c>
      <c r="N15" s="249">
        <f t="shared" si="1"/>
        <v>42048535.149999999</v>
      </c>
      <c r="O15" s="249">
        <f t="shared" si="2"/>
        <v>0</v>
      </c>
      <c r="P15" s="211">
        <f t="shared" si="3"/>
        <v>10647174.219240803</v>
      </c>
      <c r="Q15" s="208">
        <f t="shared" si="5"/>
        <v>55674554.167662725</v>
      </c>
    </row>
    <row r="16" spans="1:17">
      <c r="A16" s="13" t="s">
        <v>191</v>
      </c>
      <c r="B16" s="64" t="s">
        <v>191</v>
      </c>
      <c r="C16" s="9">
        <v>4566723.7352289231</v>
      </c>
      <c r="D16" s="9">
        <v>1405418.1355279372</v>
      </c>
      <c r="E16" s="9">
        <v>5101028.28</v>
      </c>
      <c r="F16" s="9">
        <v>0</v>
      </c>
      <c r="G16" s="9">
        <v>4073294.5275232112</v>
      </c>
      <c r="H16" s="9">
        <v>0</v>
      </c>
      <c r="I16" s="62">
        <f t="shared" si="4"/>
        <v>15146464.678280074</v>
      </c>
      <c r="L16" s="258" t="s">
        <v>48</v>
      </c>
      <c r="M16" s="249">
        <f t="shared" si="0"/>
        <v>5586277.389873567</v>
      </c>
      <c r="N16" s="249">
        <f t="shared" si="1"/>
        <v>17098937.399999999</v>
      </c>
      <c r="O16" s="249">
        <f t="shared" si="2"/>
        <v>17383623.776573174</v>
      </c>
      <c r="P16" s="211">
        <f t="shared" si="3"/>
        <v>20723503.251036789</v>
      </c>
      <c r="Q16" s="208">
        <f t="shared" si="5"/>
        <v>60792341.817483529</v>
      </c>
    </row>
    <row r="17" spans="1:17" ht="13.5" thickBot="1">
      <c r="A17" s="13" t="s">
        <v>12</v>
      </c>
      <c r="B17" s="64" t="s">
        <v>12</v>
      </c>
      <c r="C17" s="9">
        <v>5119559.4946625624</v>
      </c>
      <c r="D17" s="9">
        <v>1548474.3986093211</v>
      </c>
      <c r="E17" s="9">
        <v>5697087.5800000001</v>
      </c>
      <c r="F17" s="9">
        <v>0</v>
      </c>
      <c r="G17" s="9">
        <v>5069029.336094101</v>
      </c>
      <c r="H17" s="9">
        <v>494102.94496419467</v>
      </c>
      <c r="I17" s="62">
        <f t="shared" si="4"/>
        <v>17928253.754330181</v>
      </c>
      <c r="L17" s="258" t="s">
        <v>49</v>
      </c>
      <c r="M17" s="249">
        <f t="shared" si="0"/>
        <v>1700453.7754645273</v>
      </c>
      <c r="N17" s="249">
        <f t="shared" si="1"/>
        <v>12351398.9</v>
      </c>
      <c r="O17" s="249">
        <f t="shared" si="2"/>
        <v>10133382.321452726</v>
      </c>
      <c r="P17" s="211">
        <f t="shared" si="3"/>
        <v>5706878.3048442658</v>
      </c>
      <c r="Q17" s="208">
        <f t="shared" si="5"/>
        <v>29892113.301761523</v>
      </c>
    </row>
    <row r="18" spans="1:17" ht="13.5" thickBot="1">
      <c r="A18" s="13" t="s">
        <v>198</v>
      </c>
      <c r="B18" s="64" t="s">
        <v>13</v>
      </c>
      <c r="C18" s="9">
        <v>17674054.036210187</v>
      </c>
      <c r="D18" s="9">
        <v>4797177.1884385701</v>
      </c>
      <c r="E18" s="9">
        <v>7439228.0999999996</v>
      </c>
      <c r="F18" s="9">
        <v>9019705.8356857095</v>
      </c>
      <c r="G18" s="9">
        <v>7979326.9282206465</v>
      </c>
      <c r="H18" s="9">
        <v>0</v>
      </c>
      <c r="I18" s="62">
        <f t="shared" si="4"/>
        <v>46909492.088555112</v>
      </c>
      <c r="L18" s="259" t="s">
        <v>129</v>
      </c>
      <c r="M18" s="260">
        <f>SUM(M6:M17)</f>
        <v>85350000</v>
      </c>
      <c r="N18" s="260">
        <f>SUM(N6:N17)</f>
        <v>312035537.77999997</v>
      </c>
      <c r="O18" s="260">
        <f>SUM(O6:O17)</f>
        <v>143372205.94586584</v>
      </c>
      <c r="P18" s="261">
        <f>SUM(P6:P17)</f>
        <v>319458424.54579198</v>
      </c>
      <c r="Q18" s="256">
        <f>SUM(Q6:Q17)</f>
        <v>860216168.27165782</v>
      </c>
    </row>
    <row r="19" spans="1:17">
      <c r="A19" s="13" t="s">
        <v>14</v>
      </c>
      <c r="B19" s="64" t="s">
        <v>14</v>
      </c>
      <c r="C19" s="9">
        <v>10702987.214842148</v>
      </c>
      <c r="D19" s="9">
        <v>2993287.4216528879</v>
      </c>
      <c r="E19" s="9">
        <v>9528922.0099999998</v>
      </c>
      <c r="F19" s="9">
        <v>0</v>
      </c>
      <c r="G19" s="9">
        <v>11470222.812779348</v>
      </c>
      <c r="H19" s="9">
        <v>7561413.6032698527</v>
      </c>
      <c r="I19" s="62">
        <f t="shared" si="4"/>
        <v>42256833.062544234</v>
      </c>
      <c r="L19" s="258" t="s">
        <v>1</v>
      </c>
      <c r="M19" s="249">
        <f t="shared" ref="M19:M57" si="6">VLOOKUP(L19,$B$6:$G$56,3,FALSE)</f>
        <v>1164266.1491907474</v>
      </c>
      <c r="N19" s="249">
        <f t="shared" ref="N19:N57" si="7">VLOOKUP(L19,$B$6:$G$56,4,FALSE)</f>
        <v>3133486.17</v>
      </c>
      <c r="O19" s="249">
        <f t="shared" ref="O19:O57" si="8">VLOOKUP(L19,$B$6:$G$56,5,FALSE)</f>
        <v>0</v>
      </c>
      <c r="P19" s="211">
        <f t="shared" ref="P19:P57" si="9">VLOOKUP(L19,$B$6:$G$56,2,FALSE)</f>
        <v>3634800.5978979315</v>
      </c>
      <c r="Q19" s="208">
        <f t="shared" si="5"/>
        <v>7932552.9170886781</v>
      </c>
    </row>
    <row r="20" spans="1:17">
      <c r="A20" s="13" t="s">
        <v>15</v>
      </c>
      <c r="B20" s="64" t="s">
        <v>15</v>
      </c>
      <c r="C20" s="9">
        <v>3290292.1362277023</v>
      </c>
      <c r="D20" s="9">
        <v>1075118.3466373291</v>
      </c>
      <c r="E20" s="9">
        <v>3657728.35</v>
      </c>
      <c r="F20" s="9">
        <v>0</v>
      </c>
      <c r="G20" s="9">
        <v>1662219.0344746455</v>
      </c>
      <c r="H20" s="9">
        <v>965586.7737256519</v>
      </c>
      <c r="I20" s="62">
        <f t="shared" si="4"/>
        <v>10650944.641065327</v>
      </c>
      <c r="L20" s="258" t="s">
        <v>2</v>
      </c>
      <c r="M20" s="249">
        <f t="shared" si="6"/>
        <v>1186801.6531819459</v>
      </c>
      <c r="N20" s="249">
        <f t="shared" si="7"/>
        <v>3504850.52</v>
      </c>
      <c r="O20" s="249">
        <f t="shared" si="8"/>
        <v>0</v>
      </c>
      <c r="P20" s="211">
        <f t="shared" si="9"/>
        <v>3721888.2387662423</v>
      </c>
      <c r="Q20" s="208">
        <f t="shared" si="5"/>
        <v>8413540.4119481873</v>
      </c>
    </row>
    <row r="21" spans="1:17">
      <c r="A21" s="13" t="s">
        <v>199</v>
      </c>
      <c r="B21" s="64" t="s">
        <v>16</v>
      </c>
      <c r="C21" s="9">
        <v>3694993.5261451462</v>
      </c>
      <c r="D21" s="9">
        <v>1179842.159302311</v>
      </c>
      <c r="E21" s="9">
        <v>3329926.12</v>
      </c>
      <c r="F21" s="9">
        <v>0</v>
      </c>
      <c r="G21" s="9">
        <v>1114615.6617491418</v>
      </c>
      <c r="H21" s="9">
        <v>203709.88964086445</v>
      </c>
      <c r="I21" s="62">
        <f t="shared" si="4"/>
        <v>9523087.3568374626</v>
      </c>
      <c r="L21" s="258" t="s">
        <v>3</v>
      </c>
      <c r="M21" s="249">
        <f t="shared" si="6"/>
        <v>1077714.3483225896</v>
      </c>
      <c r="N21" s="249">
        <f t="shared" si="7"/>
        <v>3726741.57</v>
      </c>
      <c r="O21" s="249">
        <f t="shared" si="8"/>
        <v>0</v>
      </c>
      <c r="P21" s="211">
        <f t="shared" si="9"/>
        <v>3300324.2909355713</v>
      </c>
      <c r="Q21" s="208">
        <f t="shared" si="5"/>
        <v>8104780.2092581606</v>
      </c>
    </row>
    <row r="22" spans="1:17">
      <c r="A22" s="13" t="s">
        <v>17</v>
      </c>
      <c r="B22" s="64" t="s">
        <v>17</v>
      </c>
      <c r="C22" s="9">
        <v>11730749.447148316</v>
      </c>
      <c r="D22" s="9">
        <v>3259239.5091960789</v>
      </c>
      <c r="E22" s="9">
        <v>9076729.6300000008</v>
      </c>
      <c r="F22" s="9">
        <v>0</v>
      </c>
      <c r="G22" s="9">
        <v>10714821.975123702</v>
      </c>
      <c r="H22" s="9">
        <v>3055885.6072130613</v>
      </c>
      <c r="I22" s="62">
        <f t="shared" si="4"/>
        <v>37837426.16868116</v>
      </c>
      <c r="L22" s="258" t="s">
        <v>4</v>
      </c>
      <c r="M22" s="249">
        <f t="shared" si="6"/>
        <v>2949155.3930034572</v>
      </c>
      <c r="N22" s="249">
        <f t="shared" si="7"/>
        <v>7665104.1799999997</v>
      </c>
      <c r="O22" s="249">
        <f t="shared" si="8"/>
        <v>0</v>
      </c>
      <c r="P22" s="211">
        <f t="shared" si="9"/>
        <v>10532440.584808372</v>
      </c>
      <c r="Q22" s="208">
        <f t="shared" si="5"/>
        <v>21146700.157811828</v>
      </c>
    </row>
    <row r="23" spans="1:17">
      <c r="A23" s="13" t="s">
        <v>200</v>
      </c>
      <c r="B23" s="64" t="s">
        <v>18</v>
      </c>
      <c r="C23" s="9">
        <v>25981908.282226115</v>
      </c>
      <c r="D23" s="9">
        <v>6946984.9068781547</v>
      </c>
      <c r="E23" s="9">
        <v>17931628.760000002</v>
      </c>
      <c r="F23" s="9">
        <v>19432331.817890011</v>
      </c>
      <c r="G23" s="9">
        <v>12007449.466503495</v>
      </c>
      <c r="H23" s="9">
        <v>0</v>
      </c>
      <c r="I23" s="62">
        <f t="shared" si="4"/>
        <v>82300303.233497784</v>
      </c>
      <c r="L23" s="258" t="s">
        <v>5</v>
      </c>
      <c r="M23" s="249">
        <f t="shared" si="6"/>
        <v>1995870.433728707</v>
      </c>
      <c r="N23" s="249">
        <f t="shared" si="7"/>
        <v>6113138.6200000001</v>
      </c>
      <c r="O23" s="249">
        <f t="shared" si="8"/>
        <v>0</v>
      </c>
      <c r="P23" s="211">
        <f t="shared" si="9"/>
        <v>6848505.3060187306</v>
      </c>
      <c r="Q23" s="208">
        <f t="shared" si="5"/>
        <v>14957514.359747438</v>
      </c>
    </row>
    <row r="24" spans="1:17">
      <c r="A24" s="13" t="s">
        <v>19</v>
      </c>
      <c r="B24" s="64" t="s">
        <v>19</v>
      </c>
      <c r="C24" s="9">
        <v>4175256.2515218593</v>
      </c>
      <c r="D24" s="9">
        <v>1304118.8357243626</v>
      </c>
      <c r="E24" s="9">
        <v>4493475.45</v>
      </c>
      <c r="F24" s="9">
        <v>0</v>
      </c>
      <c r="G24" s="9">
        <v>3058359.4497591765</v>
      </c>
      <c r="H24" s="9">
        <v>0</v>
      </c>
      <c r="I24" s="62">
        <f t="shared" si="4"/>
        <v>13031209.9870054</v>
      </c>
      <c r="L24" s="258" t="s">
        <v>7</v>
      </c>
      <c r="M24" s="249">
        <f t="shared" si="6"/>
        <v>1828069.3035197323</v>
      </c>
      <c r="N24" s="249">
        <f t="shared" si="7"/>
        <v>5776124.2000000002</v>
      </c>
      <c r="O24" s="249">
        <f t="shared" si="8"/>
        <v>0</v>
      </c>
      <c r="P24" s="211">
        <f t="shared" si="9"/>
        <v>6200043.9017100837</v>
      </c>
      <c r="Q24" s="208">
        <f t="shared" si="5"/>
        <v>13804237.405229816</v>
      </c>
    </row>
    <row r="25" spans="1:17">
      <c r="A25" s="13" t="s">
        <v>20</v>
      </c>
      <c r="B25" s="64" t="s">
        <v>20</v>
      </c>
      <c r="C25" s="9">
        <v>30842532.269772224</v>
      </c>
      <c r="D25" s="9">
        <v>8204759.3761245646</v>
      </c>
      <c r="E25" s="9">
        <v>21751610.190000001</v>
      </c>
      <c r="F25" s="9">
        <v>23127800.437401839</v>
      </c>
      <c r="G25" s="9">
        <v>16620326.859381488</v>
      </c>
      <c r="H25" s="9">
        <v>0</v>
      </c>
      <c r="I25" s="62">
        <f t="shared" si="4"/>
        <v>100547029.1326801</v>
      </c>
      <c r="L25" s="258" t="s">
        <v>8</v>
      </c>
      <c r="M25" s="249">
        <f t="shared" si="6"/>
        <v>1202211.9610582804</v>
      </c>
      <c r="N25" s="249">
        <f t="shared" si="7"/>
        <v>3542810.45</v>
      </c>
      <c r="O25" s="249">
        <f t="shared" si="8"/>
        <v>0</v>
      </c>
      <c r="P25" s="211">
        <f t="shared" si="9"/>
        <v>3781440.8167129545</v>
      </c>
      <c r="Q25" s="208">
        <f t="shared" si="5"/>
        <v>8526463.2277712356</v>
      </c>
    </row>
    <row r="26" spans="1:17">
      <c r="A26" s="13" t="s">
        <v>202</v>
      </c>
      <c r="B26" s="64" t="s">
        <v>21</v>
      </c>
      <c r="C26" s="9">
        <v>6011567.4632622451</v>
      </c>
      <c r="D26" s="9">
        <v>1779297.6122838783</v>
      </c>
      <c r="E26" s="9">
        <v>5580952.8300000001</v>
      </c>
      <c r="F26" s="9">
        <v>0</v>
      </c>
      <c r="G26" s="9">
        <v>4875022.774231459</v>
      </c>
      <c r="H26" s="9">
        <v>160782.18650673423</v>
      </c>
      <c r="I26" s="62">
        <f t="shared" si="4"/>
        <v>18407622.866284315</v>
      </c>
      <c r="L26" s="258" t="s">
        <v>10</v>
      </c>
      <c r="M26" s="249">
        <f t="shared" si="6"/>
        <v>6770746.0440991595</v>
      </c>
      <c r="N26" s="249">
        <f t="shared" si="7"/>
        <v>9031679.4000000004</v>
      </c>
      <c r="O26" s="249">
        <f t="shared" si="8"/>
        <v>9994317.4785233811</v>
      </c>
      <c r="P26" s="211">
        <f t="shared" si="9"/>
        <v>25300839.565292563</v>
      </c>
      <c r="Q26" s="208">
        <f t="shared" si="5"/>
        <v>51097582.487915099</v>
      </c>
    </row>
    <row r="27" spans="1:17">
      <c r="A27" s="13" t="s">
        <v>22</v>
      </c>
      <c r="B27" s="64" t="s">
        <v>22</v>
      </c>
      <c r="C27" s="9">
        <v>3385917.7811027104</v>
      </c>
      <c r="D27" s="9">
        <v>1099863.2137649197</v>
      </c>
      <c r="E27" s="9">
        <v>3243351.66</v>
      </c>
      <c r="F27" s="9">
        <v>0</v>
      </c>
      <c r="G27" s="9">
        <v>969990.43592066725</v>
      </c>
      <c r="H27" s="9">
        <v>1609276.8473508339</v>
      </c>
      <c r="I27" s="62">
        <f t="shared" si="4"/>
        <v>10308399.938139131</v>
      </c>
      <c r="L27" s="258" t="s">
        <v>191</v>
      </c>
      <c r="M27" s="249">
        <f t="shared" si="6"/>
        <v>1405418.1355279372</v>
      </c>
      <c r="N27" s="249">
        <f t="shared" si="7"/>
        <v>5101028.28</v>
      </c>
      <c r="O27" s="249">
        <f t="shared" si="8"/>
        <v>0</v>
      </c>
      <c r="P27" s="211">
        <f t="shared" si="9"/>
        <v>4566723.7352289231</v>
      </c>
      <c r="Q27" s="208">
        <f t="shared" si="5"/>
        <v>11073170.150756862</v>
      </c>
    </row>
    <row r="28" spans="1:17">
      <c r="A28" s="13" t="s">
        <v>23</v>
      </c>
      <c r="B28" s="64" t="s">
        <v>23</v>
      </c>
      <c r="C28" s="9">
        <v>4340893.5292517841</v>
      </c>
      <c r="D28" s="9">
        <v>1346980.480570368</v>
      </c>
      <c r="E28" s="9">
        <v>4327252.8600000003</v>
      </c>
      <c r="F28" s="9">
        <v>0</v>
      </c>
      <c r="G28" s="9">
        <v>2780679.6552892257</v>
      </c>
      <c r="H28" s="9">
        <v>1303309.7319823699</v>
      </c>
      <c r="I28" s="62">
        <f t="shared" si="4"/>
        <v>14099116.257093746</v>
      </c>
      <c r="L28" s="258" t="s">
        <v>12</v>
      </c>
      <c r="M28" s="249">
        <f t="shared" si="6"/>
        <v>1548474.3986093211</v>
      </c>
      <c r="N28" s="249">
        <f t="shared" si="7"/>
        <v>5697087.5800000001</v>
      </c>
      <c r="O28" s="249">
        <f t="shared" si="8"/>
        <v>0</v>
      </c>
      <c r="P28" s="211">
        <f t="shared" si="9"/>
        <v>5119559.4946625624</v>
      </c>
      <c r="Q28" s="208">
        <f t="shared" si="5"/>
        <v>12365121.473271884</v>
      </c>
    </row>
    <row r="29" spans="1:17">
      <c r="A29" s="13" t="s">
        <v>24</v>
      </c>
      <c r="B29" s="64" t="s">
        <v>24</v>
      </c>
      <c r="C29" s="9">
        <v>24803714.282002624</v>
      </c>
      <c r="D29" s="9">
        <v>6642105.8754827334</v>
      </c>
      <c r="E29" s="9">
        <v>8685943.0199999996</v>
      </c>
      <c r="F29" s="9">
        <v>9875712.5928713474</v>
      </c>
      <c r="G29" s="9">
        <v>10062001.31197078</v>
      </c>
      <c r="H29" s="9">
        <v>0</v>
      </c>
      <c r="I29" s="62">
        <f t="shared" si="4"/>
        <v>60069477.082327485</v>
      </c>
      <c r="L29" s="258" t="s">
        <v>13</v>
      </c>
      <c r="M29" s="249">
        <f t="shared" si="6"/>
        <v>4797177.1884385701</v>
      </c>
      <c r="N29" s="249">
        <f t="shared" si="7"/>
        <v>7439228.0999999996</v>
      </c>
      <c r="O29" s="249">
        <f t="shared" si="8"/>
        <v>9019705.8356857095</v>
      </c>
      <c r="P29" s="211">
        <f t="shared" si="9"/>
        <v>17674054.036210187</v>
      </c>
      <c r="Q29" s="208">
        <f t="shared" si="5"/>
        <v>38930165.160334468</v>
      </c>
    </row>
    <row r="30" spans="1:17">
      <c r="A30" s="13" t="s">
        <v>25</v>
      </c>
      <c r="B30" s="64" t="s">
        <v>25</v>
      </c>
      <c r="C30" s="9">
        <v>40211650.000266239</v>
      </c>
      <c r="D30" s="9">
        <v>10629188.237721926</v>
      </c>
      <c r="E30" s="9">
        <v>25819930.120000001</v>
      </c>
      <c r="F30" s="9">
        <v>0</v>
      </c>
      <c r="G30" s="9">
        <v>21533089.225419503</v>
      </c>
      <c r="H30" s="9">
        <v>0</v>
      </c>
      <c r="I30" s="62">
        <f t="shared" si="4"/>
        <v>98193857.58340767</v>
      </c>
      <c r="L30" s="258" t="s">
        <v>14</v>
      </c>
      <c r="M30" s="249">
        <f t="shared" si="6"/>
        <v>2993287.4216528879</v>
      </c>
      <c r="N30" s="249">
        <f t="shared" si="7"/>
        <v>9528922.0099999998</v>
      </c>
      <c r="O30" s="249">
        <f t="shared" si="8"/>
        <v>0</v>
      </c>
      <c r="P30" s="211">
        <f t="shared" si="9"/>
        <v>10702987.214842148</v>
      </c>
      <c r="Q30" s="208">
        <f t="shared" si="5"/>
        <v>23225196.646495037</v>
      </c>
    </row>
    <row r="31" spans="1:17">
      <c r="A31" s="13" t="s">
        <v>203</v>
      </c>
      <c r="B31" s="64" t="s">
        <v>26</v>
      </c>
      <c r="C31" s="9">
        <v>3418148.7462279918</v>
      </c>
      <c r="D31" s="9">
        <v>1108203.5596047996</v>
      </c>
      <c r="E31" s="9">
        <v>3270671.09</v>
      </c>
      <c r="F31" s="9">
        <v>0</v>
      </c>
      <c r="G31" s="9">
        <v>1015628.3716966492</v>
      </c>
      <c r="H31" s="9">
        <v>1400552.1969527467</v>
      </c>
      <c r="I31" s="62">
        <f t="shared" si="4"/>
        <v>10213203.964482188</v>
      </c>
      <c r="L31" s="258" t="s">
        <v>15</v>
      </c>
      <c r="M31" s="249">
        <f t="shared" si="6"/>
        <v>1075118.3466373291</v>
      </c>
      <c r="N31" s="249">
        <f t="shared" si="7"/>
        <v>3657728.35</v>
      </c>
      <c r="O31" s="249">
        <f t="shared" si="8"/>
        <v>0</v>
      </c>
      <c r="P31" s="211">
        <f t="shared" si="9"/>
        <v>3290292.1362277023</v>
      </c>
      <c r="Q31" s="208">
        <f t="shared" si="5"/>
        <v>8023138.8328650314</v>
      </c>
    </row>
    <row r="32" spans="1:17">
      <c r="A32" s="13" t="s">
        <v>27</v>
      </c>
      <c r="B32" s="64" t="s">
        <v>27</v>
      </c>
      <c r="C32" s="9">
        <v>6433558.3112932499</v>
      </c>
      <c r="D32" s="9">
        <v>1888495.3853000544</v>
      </c>
      <c r="E32" s="9">
        <v>3815699.12</v>
      </c>
      <c r="F32" s="9">
        <v>0</v>
      </c>
      <c r="G32" s="9">
        <v>1926113.909807907</v>
      </c>
      <c r="H32" s="9">
        <v>597561.13833998377</v>
      </c>
      <c r="I32" s="62">
        <f t="shared" si="4"/>
        <v>14661427.864741195</v>
      </c>
      <c r="L32" s="258" t="s">
        <v>16</v>
      </c>
      <c r="M32" s="249">
        <f t="shared" si="6"/>
        <v>1179842.159302311</v>
      </c>
      <c r="N32" s="249">
        <f t="shared" si="7"/>
        <v>3329926.12</v>
      </c>
      <c r="O32" s="249">
        <f t="shared" si="8"/>
        <v>0</v>
      </c>
      <c r="P32" s="211">
        <f t="shared" si="9"/>
        <v>3694993.5261451462</v>
      </c>
      <c r="Q32" s="208">
        <f t="shared" si="5"/>
        <v>8204761.8054474574</v>
      </c>
    </row>
    <row r="33" spans="1:17">
      <c r="A33" s="13" t="s">
        <v>28</v>
      </c>
      <c r="B33" s="64" t="s">
        <v>28</v>
      </c>
      <c r="C33" s="9">
        <v>3295841.8388320552</v>
      </c>
      <c r="D33" s="9">
        <v>1076554.4326759838</v>
      </c>
      <c r="E33" s="9">
        <v>3521482.98</v>
      </c>
      <c r="F33" s="9">
        <v>0</v>
      </c>
      <c r="G33" s="9">
        <v>1434617.0971836334</v>
      </c>
      <c r="H33" s="9">
        <v>777725.66762956302</v>
      </c>
      <c r="I33" s="62">
        <f t="shared" si="4"/>
        <v>10106222.016321234</v>
      </c>
      <c r="L33" s="258" t="s">
        <v>17</v>
      </c>
      <c r="M33" s="249">
        <f t="shared" si="6"/>
        <v>3259239.5091960789</v>
      </c>
      <c r="N33" s="249">
        <f t="shared" si="7"/>
        <v>9076729.6300000008</v>
      </c>
      <c r="O33" s="249">
        <f t="shared" si="8"/>
        <v>0</v>
      </c>
      <c r="P33" s="211">
        <f t="shared" si="9"/>
        <v>11730749.447148316</v>
      </c>
      <c r="Q33" s="208">
        <f t="shared" si="5"/>
        <v>24066718.586344395</v>
      </c>
    </row>
    <row r="34" spans="1:17">
      <c r="A34" s="13" t="s">
        <v>29</v>
      </c>
      <c r="B34" s="64" t="s">
        <v>29</v>
      </c>
      <c r="C34" s="9">
        <v>4499700.4037763504</v>
      </c>
      <c r="D34" s="9">
        <v>1388074.6349072598</v>
      </c>
      <c r="E34" s="9">
        <v>3684977.98</v>
      </c>
      <c r="F34" s="9">
        <v>0</v>
      </c>
      <c r="G34" s="9">
        <v>1707740.3481501609</v>
      </c>
      <c r="H34" s="9">
        <v>129719.15557216387</v>
      </c>
      <c r="I34" s="62">
        <f t="shared" si="4"/>
        <v>11410212.522405934</v>
      </c>
      <c r="L34" s="258" t="s">
        <v>19</v>
      </c>
      <c r="M34" s="249">
        <f t="shared" si="6"/>
        <v>1304118.8357243626</v>
      </c>
      <c r="N34" s="249">
        <f t="shared" si="7"/>
        <v>4493475.45</v>
      </c>
      <c r="O34" s="249">
        <f t="shared" si="8"/>
        <v>0</v>
      </c>
      <c r="P34" s="211">
        <f t="shared" si="9"/>
        <v>4175256.2515218593</v>
      </c>
      <c r="Q34" s="208">
        <f t="shared" si="5"/>
        <v>9972850.5372462217</v>
      </c>
    </row>
    <row r="35" spans="1:17">
      <c r="A35" s="13" t="s">
        <v>30</v>
      </c>
      <c r="B35" s="64" t="s">
        <v>30</v>
      </c>
      <c r="C35" s="9">
        <v>3703958.4303521784</v>
      </c>
      <c r="D35" s="9">
        <v>1182161.9905955228</v>
      </c>
      <c r="E35" s="9">
        <v>3723138.72</v>
      </c>
      <c r="F35" s="9">
        <v>0</v>
      </c>
      <c r="G35" s="9">
        <v>1771489.0135240941</v>
      </c>
      <c r="H35" s="9">
        <v>640443.69791075634</v>
      </c>
      <c r="I35" s="62">
        <f t="shared" si="4"/>
        <v>11021191.852382552</v>
      </c>
      <c r="L35" s="258" t="s">
        <v>21</v>
      </c>
      <c r="M35" s="249">
        <f t="shared" si="6"/>
        <v>1779297.6122838783</v>
      </c>
      <c r="N35" s="249">
        <f t="shared" si="7"/>
        <v>5580952.8300000001</v>
      </c>
      <c r="O35" s="249">
        <f t="shared" si="8"/>
        <v>0</v>
      </c>
      <c r="P35" s="211">
        <f t="shared" si="9"/>
        <v>6011567.4632622451</v>
      </c>
      <c r="Q35" s="208">
        <f t="shared" si="5"/>
        <v>13371817.905546123</v>
      </c>
    </row>
    <row r="36" spans="1:17">
      <c r="A36" s="13" t="s">
        <v>204</v>
      </c>
      <c r="B36" s="64" t="s">
        <v>31</v>
      </c>
      <c r="C36" s="9">
        <v>30281877.969713636</v>
      </c>
      <c r="D36" s="9">
        <v>8059679.9240843095</v>
      </c>
      <c r="E36" s="9">
        <v>20539885.899999999</v>
      </c>
      <c r="F36" s="9">
        <v>22246066.818953641</v>
      </c>
      <c r="G36" s="9">
        <v>15157090.536375064</v>
      </c>
      <c r="H36" s="9">
        <v>0</v>
      </c>
      <c r="I36" s="62">
        <f t="shared" si="4"/>
        <v>96284601.149126649</v>
      </c>
      <c r="L36" s="258" t="s">
        <v>22</v>
      </c>
      <c r="M36" s="249">
        <f t="shared" si="6"/>
        <v>1099863.2137649197</v>
      </c>
      <c r="N36" s="249">
        <f t="shared" si="7"/>
        <v>3243351.66</v>
      </c>
      <c r="O36" s="249">
        <f t="shared" si="8"/>
        <v>0</v>
      </c>
      <c r="P36" s="211">
        <f t="shared" si="9"/>
        <v>3385917.7811027104</v>
      </c>
      <c r="Q36" s="208">
        <f t="shared" si="5"/>
        <v>7729132.6548676305</v>
      </c>
    </row>
    <row r="37" spans="1:17">
      <c r="A37" s="13" t="s">
        <v>32</v>
      </c>
      <c r="B37" s="64" t="s">
        <v>32</v>
      </c>
      <c r="C37" s="9">
        <v>4142171.4859959083</v>
      </c>
      <c r="D37" s="9">
        <v>1295557.5535708438</v>
      </c>
      <c r="E37" s="9">
        <v>5199408.5199999996</v>
      </c>
      <c r="F37" s="9">
        <v>0</v>
      </c>
      <c r="G37" s="9">
        <v>4237641.6509963283</v>
      </c>
      <c r="H37" s="9">
        <v>641730.82713421714</v>
      </c>
      <c r="I37" s="62">
        <f t="shared" si="4"/>
        <v>15516510.037697297</v>
      </c>
      <c r="L37" s="258" t="s">
        <v>23</v>
      </c>
      <c r="M37" s="249">
        <f t="shared" si="6"/>
        <v>1346980.480570368</v>
      </c>
      <c r="N37" s="249">
        <f t="shared" si="7"/>
        <v>4327252.8600000003</v>
      </c>
      <c r="O37" s="249">
        <f t="shared" si="8"/>
        <v>0</v>
      </c>
      <c r="P37" s="211">
        <f t="shared" si="9"/>
        <v>4340893.5292517841</v>
      </c>
      <c r="Q37" s="208">
        <f t="shared" si="5"/>
        <v>10015126.869822152</v>
      </c>
    </row>
    <row r="38" spans="1:17">
      <c r="A38" s="13" t="s">
        <v>33</v>
      </c>
      <c r="B38" s="64" t="s">
        <v>33</v>
      </c>
      <c r="C38" s="9">
        <v>21071966.180775475</v>
      </c>
      <c r="D38" s="9">
        <v>5676448.4826441873</v>
      </c>
      <c r="E38" s="9">
        <v>9637071</v>
      </c>
      <c r="F38" s="9">
        <v>0</v>
      </c>
      <c r="G38" s="9">
        <v>11650888.920644164</v>
      </c>
      <c r="H38" s="9">
        <v>2516022.2271560971</v>
      </c>
      <c r="I38" s="62">
        <f t="shared" si="4"/>
        <v>50552396.811219923</v>
      </c>
      <c r="L38" s="258" t="s">
        <v>24</v>
      </c>
      <c r="M38" s="249">
        <f t="shared" si="6"/>
        <v>6642105.8754827334</v>
      </c>
      <c r="N38" s="249">
        <f t="shared" si="7"/>
        <v>8685943.0199999996</v>
      </c>
      <c r="O38" s="249">
        <f t="shared" si="8"/>
        <v>9875712.5928713474</v>
      </c>
      <c r="P38" s="211">
        <f t="shared" si="9"/>
        <v>24803714.282002624</v>
      </c>
      <c r="Q38" s="208">
        <f t="shared" si="5"/>
        <v>50007475.7703567</v>
      </c>
    </row>
    <row r="39" spans="1:17">
      <c r="A39" s="13" t="s">
        <v>205</v>
      </c>
      <c r="B39" s="64" t="s">
        <v>34</v>
      </c>
      <c r="C39" s="9">
        <v>4092651.0627570646</v>
      </c>
      <c r="D39" s="9">
        <v>1282743.2473797698</v>
      </c>
      <c r="E39" s="9">
        <v>3961581.76</v>
      </c>
      <c r="F39" s="9">
        <v>0</v>
      </c>
      <c r="G39" s="9">
        <v>2169815.2031722297</v>
      </c>
      <c r="H39" s="9">
        <v>1005548.6397588453</v>
      </c>
      <c r="I39" s="62">
        <f t="shared" si="4"/>
        <v>12512339.913067909</v>
      </c>
      <c r="L39" s="258" t="s">
        <v>26</v>
      </c>
      <c r="M39" s="249">
        <f t="shared" si="6"/>
        <v>1108203.5596047996</v>
      </c>
      <c r="N39" s="249">
        <f t="shared" si="7"/>
        <v>3270671.09</v>
      </c>
      <c r="O39" s="249">
        <f t="shared" si="8"/>
        <v>0</v>
      </c>
      <c r="P39" s="211">
        <f t="shared" si="9"/>
        <v>3418148.7462279918</v>
      </c>
      <c r="Q39" s="208">
        <f t="shared" si="5"/>
        <v>7797023.395832791</v>
      </c>
    </row>
    <row r="40" spans="1:17">
      <c r="A40" s="13" t="s">
        <v>35</v>
      </c>
      <c r="B40" s="64" t="s">
        <v>35</v>
      </c>
      <c r="C40" s="9">
        <v>3316546.4985482963</v>
      </c>
      <c r="D40" s="9">
        <v>1081912.1382817344</v>
      </c>
      <c r="E40" s="9">
        <v>2902224.73</v>
      </c>
      <c r="F40" s="9">
        <v>0</v>
      </c>
      <c r="G40" s="9">
        <v>400127.75486680702</v>
      </c>
      <c r="H40" s="9">
        <v>2699345.1643851092</v>
      </c>
      <c r="I40" s="62">
        <f t="shared" si="4"/>
        <v>10400156.286081947</v>
      </c>
      <c r="L40" s="258" t="s">
        <v>27</v>
      </c>
      <c r="M40" s="249">
        <f t="shared" si="6"/>
        <v>1888495.3853000544</v>
      </c>
      <c r="N40" s="249">
        <f t="shared" si="7"/>
        <v>3815699.12</v>
      </c>
      <c r="O40" s="249">
        <f t="shared" si="8"/>
        <v>0</v>
      </c>
      <c r="P40" s="211">
        <f t="shared" si="9"/>
        <v>6433558.3112932499</v>
      </c>
      <c r="Q40" s="208">
        <f t="shared" si="5"/>
        <v>12137752.816593304</v>
      </c>
    </row>
    <row r="41" spans="1:17">
      <c r="A41" s="13" t="s">
        <v>36</v>
      </c>
      <c r="B41" s="64" t="s">
        <v>36</v>
      </c>
      <c r="C41" s="9">
        <v>4633320.1664811606</v>
      </c>
      <c r="D41" s="9">
        <v>1422651.1679917951</v>
      </c>
      <c r="E41" s="9">
        <v>4494836.6500000004</v>
      </c>
      <c r="F41" s="9">
        <v>0</v>
      </c>
      <c r="G41" s="9">
        <v>3060633.3644220917</v>
      </c>
      <c r="H41" s="9">
        <v>948814.38712733472</v>
      </c>
      <c r="I41" s="62">
        <f t="shared" si="4"/>
        <v>14560255.736022383</v>
      </c>
      <c r="L41" s="258" t="s">
        <v>28</v>
      </c>
      <c r="M41" s="249">
        <f t="shared" si="6"/>
        <v>1076554.4326759838</v>
      </c>
      <c r="N41" s="249">
        <f t="shared" si="7"/>
        <v>3521482.98</v>
      </c>
      <c r="O41" s="249">
        <f t="shared" si="8"/>
        <v>0</v>
      </c>
      <c r="P41" s="211">
        <f t="shared" si="9"/>
        <v>3295841.8388320552</v>
      </c>
      <c r="Q41" s="208">
        <f t="shared" si="5"/>
        <v>7893879.2515080394</v>
      </c>
    </row>
    <row r="42" spans="1:17">
      <c r="A42" s="13" t="s">
        <v>37</v>
      </c>
      <c r="B42" s="64" t="s">
        <v>37</v>
      </c>
      <c r="C42" s="9">
        <v>4290946.205812606</v>
      </c>
      <c r="D42" s="9">
        <v>1334055.7062224748</v>
      </c>
      <c r="E42" s="9">
        <v>5079801.93</v>
      </c>
      <c r="F42" s="9">
        <v>0</v>
      </c>
      <c r="G42" s="9">
        <v>4037835.2872767048</v>
      </c>
      <c r="H42" s="9">
        <v>0</v>
      </c>
      <c r="I42" s="62">
        <f t="shared" si="4"/>
        <v>14742639.129311785</v>
      </c>
      <c r="L42" s="258" t="s">
        <v>29</v>
      </c>
      <c r="M42" s="249">
        <f t="shared" si="6"/>
        <v>1388074.6349072598</v>
      </c>
      <c r="N42" s="249">
        <f t="shared" si="7"/>
        <v>3684977.98</v>
      </c>
      <c r="O42" s="249">
        <f t="shared" si="8"/>
        <v>0</v>
      </c>
      <c r="P42" s="211">
        <f t="shared" si="9"/>
        <v>4499700.4037763504</v>
      </c>
      <c r="Q42" s="208">
        <f t="shared" si="5"/>
        <v>9572753.0186836105</v>
      </c>
    </row>
    <row r="43" spans="1:17">
      <c r="A43" s="13" t="s">
        <v>38</v>
      </c>
      <c r="B43" s="64" t="s">
        <v>38</v>
      </c>
      <c r="C43" s="9">
        <v>17392513.35408935</v>
      </c>
      <c r="D43" s="9">
        <v>4724323.4390160423</v>
      </c>
      <c r="E43" s="9">
        <v>7907431.5300000003</v>
      </c>
      <c r="F43" s="9">
        <v>0</v>
      </c>
      <c r="G43" s="9">
        <v>8761474.6957567986</v>
      </c>
      <c r="H43" s="9">
        <v>9144122.2726853173</v>
      </c>
      <c r="I43" s="62">
        <f t="shared" si="4"/>
        <v>47929865.291547514</v>
      </c>
      <c r="L43" s="258" t="s">
        <v>30</v>
      </c>
      <c r="M43" s="249">
        <f t="shared" si="6"/>
        <v>1182161.9905955228</v>
      </c>
      <c r="N43" s="249">
        <f t="shared" si="7"/>
        <v>3723138.72</v>
      </c>
      <c r="O43" s="249">
        <f t="shared" si="8"/>
        <v>0</v>
      </c>
      <c r="P43" s="211">
        <f t="shared" si="9"/>
        <v>3703958.4303521784</v>
      </c>
      <c r="Q43" s="208">
        <f t="shared" si="5"/>
        <v>8609259.1409477014</v>
      </c>
    </row>
    <row r="44" spans="1:17">
      <c r="A44" s="13" t="s">
        <v>39</v>
      </c>
      <c r="B44" s="64" t="s">
        <v>39</v>
      </c>
      <c r="C44" s="9">
        <v>69132559.446972609</v>
      </c>
      <c r="D44" s="9">
        <v>18112997.234808952</v>
      </c>
      <c r="E44" s="9">
        <v>77841174.790000007</v>
      </c>
      <c r="F44" s="9">
        <v>0</v>
      </c>
      <c r="G44" s="9">
        <v>84352144.211345762</v>
      </c>
      <c r="H44" s="9">
        <v>0</v>
      </c>
      <c r="I44" s="62">
        <f t="shared" si="4"/>
        <v>249438875.68312731</v>
      </c>
      <c r="L44" s="258" t="s">
        <v>32</v>
      </c>
      <c r="M44" s="249">
        <f t="shared" si="6"/>
        <v>1295557.5535708438</v>
      </c>
      <c r="N44" s="249">
        <f t="shared" si="7"/>
        <v>5199408.5199999996</v>
      </c>
      <c r="O44" s="249">
        <f t="shared" si="8"/>
        <v>0</v>
      </c>
      <c r="P44" s="211">
        <f t="shared" si="9"/>
        <v>4142171.4859959083</v>
      </c>
      <c r="Q44" s="208">
        <f t="shared" si="5"/>
        <v>10637137.559566751</v>
      </c>
    </row>
    <row r="45" spans="1:17">
      <c r="A45" s="13" t="s">
        <v>206</v>
      </c>
      <c r="B45" s="64" t="s">
        <v>40</v>
      </c>
      <c r="C45" s="9">
        <v>3193385.79075169</v>
      </c>
      <c r="D45" s="9">
        <v>1050042.0750392794</v>
      </c>
      <c r="E45" s="9">
        <v>3878940.74</v>
      </c>
      <c r="F45" s="9">
        <v>0</v>
      </c>
      <c r="G45" s="9">
        <v>2031760.9157511813</v>
      </c>
      <c r="H45" s="9">
        <v>1523830.0615797767</v>
      </c>
      <c r="I45" s="62">
        <f t="shared" si="4"/>
        <v>11677959.583121927</v>
      </c>
      <c r="L45" s="258" t="s">
        <v>33</v>
      </c>
      <c r="M45" s="249">
        <f t="shared" si="6"/>
        <v>5676448.4826441873</v>
      </c>
      <c r="N45" s="249">
        <f t="shared" si="7"/>
        <v>9637071</v>
      </c>
      <c r="O45" s="249">
        <f t="shared" si="8"/>
        <v>0</v>
      </c>
      <c r="P45" s="211">
        <f t="shared" si="9"/>
        <v>21071966.180775475</v>
      </c>
      <c r="Q45" s="208">
        <f t="shared" si="5"/>
        <v>36385485.663419664</v>
      </c>
    </row>
    <row r="46" spans="1:17">
      <c r="A46" s="13" t="s">
        <v>207</v>
      </c>
      <c r="B46" s="64" t="s">
        <v>41</v>
      </c>
      <c r="C46" s="9">
        <v>34510357.58711642</v>
      </c>
      <c r="D46" s="9">
        <v>9153875.5911684223</v>
      </c>
      <c r="E46" s="9">
        <v>11469377.560000001</v>
      </c>
      <c r="F46" s="9">
        <v>11288374.500973731</v>
      </c>
      <c r="G46" s="9">
        <v>14711811.564027086</v>
      </c>
      <c r="H46" s="9">
        <v>0</v>
      </c>
      <c r="I46" s="62">
        <f t="shared" si="4"/>
        <v>81133796.803285658</v>
      </c>
      <c r="L46" s="258" t="s">
        <v>34</v>
      </c>
      <c r="M46" s="249">
        <f t="shared" si="6"/>
        <v>1282743.2473797698</v>
      </c>
      <c r="N46" s="249">
        <f t="shared" si="7"/>
        <v>3961581.76</v>
      </c>
      <c r="O46" s="249">
        <f t="shared" si="8"/>
        <v>0</v>
      </c>
      <c r="P46" s="211">
        <f t="shared" si="9"/>
        <v>4092651.0627570646</v>
      </c>
      <c r="Q46" s="208">
        <f t="shared" si="5"/>
        <v>9336976.0701368339</v>
      </c>
    </row>
    <row r="47" spans="1:17">
      <c r="A47" s="13" t="s">
        <v>208</v>
      </c>
      <c r="B47" s="64" t="s">
        <v>42</v>
      </c>
      <c r="C47" s="9">
        <v>4150282.5898022708</v>
      </c>
      <c r="D47" s="9">
        <v>1297656.4485504162</v>
      </c>
      <c r="E47" s="9">
        <v>4010015.27</v>
      </c>
      <c r="F47" s="9">
        <v>0</v>
      </c>
      <c r="G47" s="9">
        <v>2250724.8167878329</v>
      </c>
      <c r="H47" s="9">
        <v>0</v>
      </c>
      <c r="I47" s="62">
        <f t="shared" si="4"/>
        <v>11708679.12514052</v>
      </c>
      <c r="L47" s="258" t="s">
        <v>35</v>
      </c>
      <c r="M47" s="249">
        <f t="shared" si="6"/>
        <v>1081912.1382817344</v>
      </c>
      <c r="N47" s="249">
        <f t="shared" si="7"/>
        <v>2902224.73</v>
      </c>
      <c r="O47" s="249">
        <f t="shared" si="8"/>
        <v>0</v>
      </c>
      <c r="P47" s="211">
        <f t="shared" si="9"/>
        <v>3316546.4985482963</v>
      </c>
      <c r="Q47" s="208">
        <f t="shared" si="5"/>
        <v>7300683.3668300305</v>
      </c>
    </row>
    <row r="48" spans="1:17">
      <c r="A48" s="13" t="s">
        <v>43</v>
      </c>
      <c r="B48" s="64" t="s">
        <v>43</v>
      </c>
      <c r="C48" s="9">
        <v>3507370.8880979768</v>
      </c>
      <c r="D48" s="9">
        <v>1131291.4043800964</v>
      </c>
      <c r="E48" s="9">
        <v>3902130.69</v>
      </c>
      <c r="F48" s="9">
        <v>0</v>
      </c>
      <c r="G48" s="9">
        <v>2070500.4170154054</v>
      </c>
      <c r="H48" s="9">
        <v>512356.1408261098</v>
      </c>
      <c r="I48" s="62">
        <f t="shared" si="4"/>
        <v>11123649.540319588</v>
      </c>
      <c r="L48" s="258" t="s">
        <v>36</v>
      </c>
      <c r="M48" s="249">
        <f t="shared" si="6"/>
        <v>1422651.1679917951</v>
      </c>
      <c r="N48" s="249">
        <f t="shared" si="7"/>
        <v>4494836.6500000004</v>
      </c>
      <c r="O48" s="249">
        <f t="shared" si="8"/>
        <v>0</v>
      </c>
      <c r="P48" s="211">
        <f t="shared" si="9"/>
        <v>4633320.1664811606</v>
      </c>
      <c r="Q48" s="208">
        <f t="shared" si="5"/>
        <v>10550807.984472957</v>
      </c>
    </row>
    <row r="49" spans="1:17">
      <c r="A49" s="13" t="s">
        <v>44</v>
      </c>
      <c r="B49" s="64" t="s">
        <v>44</v>
      </c>
      <c r="C49" s="9">
        <v>10408639.526711266</v>
      </c>
      <c r="D49" s="9">
        <v>2917119.6275257729</v>
      </c>
      <c r="E49" s="9">
        <v>6061701.79</v>
      </c>
      <c r="F49" s="9">
        <v>0</v>
      </c>
      <c r="G49" s="9">
        <v>5678128.2230453743</v>
      </c>
      <c r="H49" s="9">
        <v>0</v>
      </c>
      <c r="I49" s="62">
        <f t="shared" si="4"/>
        <v>25065589.167282414</v>
      </c>
      <c r="L49" s="258" t="s">
        <v>37</v>
      </c>
      <c r="M49" s="249">
        <f t="shared" si="6"/>
        <v>1334055.7062224748</v>
      </c>
      <c r="N49" s="249">
        <f t="shared" si="7"/>
        <v>5079801.93</v>
      </c>
      <c r="O49" s="249">
        <f t="shared" si="8"/>
        <v>0</v>
      </c>
      <c r="P49" s="211">
        <f t="shared" si="9"/>
        <v>4290946.205812606</v>
      </c>
      <c r="Q49" s="208">
        <f t="shared" si="5"/>
        <v>10704803.842035081</v>
      </c>
    </row>
    <row r="50" spans="1:17">
      <c r="A50" s="13" t="s">
        <v>45</v>
      </c>
      <c r="B50" s="64" t="s">
        <v>45</v>
      </c>
      <c r="C50" s="9">
        <v>8020199.2774905432</v>
      </c>
      <c r="D50" s="9">
        <v>2299067.4649870722</v>
      </c>
      <c r="E50" s="9">
        <v>10527748.359999999</v>
      </c>
      <c r="F50" s="9">
        <v>9741093.1909087617</v>
      </c>
      <c r="G50" s="9">
        <v>3066779.6837666859</v>
      </c>
      <c r="H50" s="9">
        <v>0</v>
      </c>
      <c r="I50" s="62">
        <f t="shared" si="4"/>
        <v>33654887.977153063</v>
      </c>
      <c r="L50" s="258" t="s">
        <v>38</v>
      </c>
      <c r="M50" s="249">
        <f t="shared" si="6"/>
        <v>4724323.4390160423</v>
      </c>
      <c r="N50" s="249">
        <f t="shared" si="7"/>
        <v>7907431.5300000003</v>
      </c>
      <c r="O50" s="249">
        <f t="shared" si="8"/>
        <v>0</v>
      </c>
      <c r="P50" s="211">
        <f t="shared" si="9"/>
        <v>17392513.35408935</v>
      </c>
      <c r="Q50" s="208">
        <f t="shared" si="5"/>
        <v>30024268.323105391</v>
      </c>
    </row>
    <row r="51" spans="1:17">
      <c r="A51" s="13" t="s">
        <v>209</v>
      </c>
      <c r="B51" s="64" t="s">
        <v>46</v>
      </c>
      <c r="C51" s="9">
        <v>26849447.041264139</v>
      </c>
      <c r="D51" s="9">
        <v>7171476.2695088647</v>
      </c>
      <c r="E51" s="9">
        <v>25672427.239999998</v>
      </c>
      <c r="F51" s="9">
        <v>0</v>
      </c>
      <c r="G51" s="9">
        <v>21354969.852377772</v>
      </c>
      <c r="H51" s="9">
        <v>0</v>
      </c>
      <c r="I51" s="62">
        <f t="shared" si="4"/>
        <v>81048320.403150767</v>
      </c>
      <c r="L51" s="258" t="s">
        <v>40</v>
      </c>
      <c r="M51" s="249">
        <f t="shared" si="6"/>
        <v>1050042.0750392794</v>
      </c>
      <c r="N51" s="249">
        <f t="shared" si="7"/>
        <v>3878940.74</v>
      </c>
      <c r="O51" s="249">
        <f t="shared" si="8"/>
        <v>0</v>
      </c>
      <c r="P51" s="211">
        <f t="shared" si="9"/>
        <v>3193385.79075169</v>
      </c>
      <c r="Q51" s="208">
        <f t="shared" si="5"/>
        <v>8122368.6057909699</v>
      </c>
    </row>
    <row r="52" spans="1:17">
      <c r="A52" s="13" t="s">
        <v>201</v>
      </c>
      <c r="B52" s="64" t="s">
        <v>47</v>
      </c>
      <c r="C52" s="9">
        <v>10647174.219240803</v>
      </c>
      <c r="D52" s="9">
        <v>2978844.7984219203</v>
      </c>
      <c r="E52" s="9">
        <v>42048535.149999999</v>
      </c>
      <c r="F52" s="9">
        <v>0</v>
      </c>
      <c r="G52" s="9">
        <v>41130191.110956699</v>
      </c>
      <c r="H52" s="9">
        <v>0</v>
      </c>
      <c r="I52" s="62">
        <f t="shared" si="4"/>
        <v>96804745.278619424</v>
      </c>
      <c r="L52" s="258" t="s">
        <v>41</v>
      </c>
      <c r="M52" s="249">
        <f t="shared" si="6"/>
        <v>9153875.5911684223</v>
      </c>
      <c r="N52" s="249">
        <f t="shared" si="7"/>
        <v>11469377.560000001</v>
      </c>
      <c r="O52" s="249">
        <f t="shared" si="8"/>
        <v>11288374.500973731</v>
      </c>
      <c r="P52" s="211">
        <f t="shared" si="9"/>
        <v>34510357.58711642</v>
      </c>
      <c r="Q52" s="208">
        <f t="shared" si="5"/>
        <v>66421985.239258572</v>
      </c>
    </row>
    <row r="53" spans="1:17">
      <c r="A53" s="13" t="s">
        <v>48</v>
      </c>
      <c r="B53" s="64" t="s">
        <v>48</v>
      </c>
      <c r="C53" s="9">
        <v>20723503.251036789</v>
      </c>
      <c r="D53" s="9">
        <v>5586277.389873567</v>
      </c>
      <c r="E53" s="9">
        <v>17098937.399999999</v>
      </c>
      <c r="F53" s="9">
        <v>17383623.776573174</v>
      </c>
      <c r="G53" s="9">
        <v>11001920.183686111</v>
      </c>
      <c r="H53" s="9">
        <v>0</v>
      </c>
      <c r="I53" s="62">
        <f t="shared" si="4"/>
        <v>71794262.001169637</v>
      </c>
      <c r="L53" s="258" t="s">
        <v>42</v>
      </c>
      <c r="M53" s="249">
        <f t="shared" si="6"/>
        <v>1297656.4485504162</v>
      </c>
      <c r="N53" s="249">
        <f t="shared" si="7"/>
        <v>4010015.27</v>
      </c>
      <c r="O53" s="249">
        <f t="shared" si="8"/>
        <v>0</v>
      </c>
      <c r="P53" s="211">
        <f t="shared" si="9"/>
        <v>4150282.5898022708</v>
      </c>
      <c r="Q53" s="208">
        <f t="shared" si="5"/>
        <v>9457954.3083526865</v>
      </c>
    </row>
    <row r="54" spans="1:17">
      <c r="A54" s="13" t="s">
        <v>49</v>
      </c>
      <c r="B54" s="64" t="s">
        <v>49</v>
      </c>
      <c r="C54" s="9">
        <v>5706878.3048442658</v>
      </c>
      <c r="D54" s="9">
        <v>1700453.7754645273</v>
      </c>
      <c r="E54" s="9">
        <v>12351398.9</v>
      </c>
      <c r="F54" s="9">
        <v>10133382.321452726</v>
      </c>
      <c r="G54" s="9">
        <v>5268956.9796195589</v>
      </c>
      <c r="H54" s="9">
        <v>0</v>
      </c>
      <c r="I54" s="62">
        <f t="shared" si="4"/>
        <v>35161070.281381078</v>
      </c>
      <c r="L54" s="258" t="s">
        <v>43</v>
      </c>
      <c r="M54" s="249">
        <f t="shared" si="6"/>
        <v>1131291.4043800964</v>
      </c>
      <c r="N54" s="249">
        <f t="shared" si="7"/>
        <v>3902130.69</v>
      </c>
      <c r="O54" s="249">
        <f t="shared" si="8"/>
        <v>0</v>
      </c>
      <c r="P54" s="211">
        <f t="shared" si="9"/>
        <v>3507370.8880979768</v>
      </c>
      <c r="Q54" s="208">
        <f t="shared" si="5"/>
        <v>8540792.9824780729</v>
      </c>
    </row>
    <row r="55" spans="1:17">
      <c r="A55" s="13" t="s">
        <v>50</v>
      </c>
      <c r="B55" s="64" t="s">
        <v>50</v>
      </c>
      <c r="C55" s="9">
        <v>3331274.5554598486</v>
      </c>
      <c r="D55" s="9">
        <v>1085723.2896920107</v>
      </c>
      <c r="E55" s="9">
        <v>4579377.5199999996</v>
      </c>
      <c r="F55" s="9">
        <v>0</v>
      </c>
      <c r="G55" s="9">
        <v>3201861.4134041988</v>
      </c>
      <c r="H55" s="9">
        <v>0</v>
      </c>
      <c r="I55" s="62">
        <f t="shared" si="4"/>
        <v>12198236.778556058</v>
      </c>
      <c r="L55" s="258" t="s">
        <v>44</v>
      </c>
      <c r="M55" s="249">
        <f t="shared" si="6"/>
        <v>2917119.6275257729</v>
      </c>
      <c r="N55" s="249">
        <f t="shared" si="7"/>
        <v>6061701.79</v>
      </c>
      <c r="O55" s="249">
        <f t="shared" si="8"/>
        <v>0</v>
      </c>
      <c r="P55" s="211">
        <f t="shared" si="9"/>
        <v>10408639.526711266</v>
      </c>
      <c r="Q55" s="208">
        <f t="shared" si="5"/>
        <v>19387460.944237038</v>
      </c>
    </row>
    <row r="56" spans="1:17">
      <c r="A56" s="13" t="s">
        <v>51</v>
      </c>
      <c r="B56" s="64" t="s">
        <v>51</v>
      </c>
      <c r="C56" s="9">
        <v>3762657.207898221</v>
      </c>
      <c r="D56" s="9">
        <v>1197351.3621582179</v>
      </c>
      <c r="E56" s="9">
        <v>4268261.33</v>
      </c>
      <c r="F56" s="9">
        <v>0</v>
      </c>
      <c r="G56" s="9">
        <v>2682132.55249824</v>
      </c>
      <c r="H56" s="9">
        <v>865531.74620229332</v>
      </c>
      <c r="I56" s="62">
        <f t="shared" si="4"/>
        <v>12775934.198756972</v>
      </c>
      <c r="L56" s="258" t="s">
        <v>50</v>
      </c>
      <c r="M56" s="249">
        <f t="shared" si="6"/>
        <v>1085723.2896920107</v>
      </c>
      <c r="N56" s="249">
        <f t="shared" si="7"/>
        <v>4579377.5199999996</v>
      </c>
      <c r="O56" s="249">
        <f t="shared" si="8"/>
        <v>0</v>
      </c>
      <c r="P56" s="211">
        <f t="shared" si="9"/>
        <v>3331274.5554598486</v>
      </c>
      <c r="Q56" s="208">
        <f t="shared" si="5"/>
        <v>8996375.3651518598</v>
      </c>
    </row>
    <row r="57" spans="1:17" ht="13.5" thickBot="1">
      <c r="B57" s="65" t="s">
        <v>52</v>
      </c>
      <c r="C57" s="12">
        <f>SUM(C6:C56)</f>
        <v>625430707.57632005</v>
      </c>
      <c r="D57" s="12">
        <f>SUM(D6:D56)</f>
        <v>173249999.99999994</v>
      </c>
      <c r="E57" s="12">
        <f>SUM(E6:E56)</f>
        <v>520059229.68999994</v>
      </c>
      <c r="F57" s="12">
        <f>SUM(F6:F56)</f>
        <v>183550316.35392001</v>
      </c>
      <c r="G57" s="12">
        <f>SUM(G6:G56)</f>
        <v>435082231.35743994</v>
      </c>
      <c r="H57" s="12">
        <f t="shared" ref="H57:I57" si="10">SUM(H6:H56)</f>
        <v>48783998.509551227</v>
      </c>
      <c r="I57" s="20">
        <f t="shared" si="10"/>
        <v>1986156483.4872315</v>
      </c>
      <c r="L57" s="258" t="s">
        <v>51</v>
      </c>
      <c r="M57" s="249">
        <f t="shared" si="6"/>
        <v>1197351.3621582179</v>
      </c>
      <c r="N57" s="249">
        <f t="shared" si="7"/>
        <v>4268261.33</v>
      </c>
      <c r="O57" s="249">
        <f t="shared" si="8"/>
        <v>0</v>
      </c>
      <c r="P57" s="211">
        <f t="shared" si="9"/>
        <v>3762657.207898221</v>
      </c>
      <c r="Q57" s="208">
        <f t="shared" si="5"/>
        <v>9228269.9000564404</v>
      </c>
    </row>
    <row r="58" spans="1:17" ht="14.25" thickTop="1" thickBot="1">
      <c r="D58" s="9">
        <f>D57+C57</f>
        <v>798680707.57631993</v>
      </c>
      <c r="G58" s="9">
        <f>G57+H57</f>
        <v>483866229.86699116</v>
      </c>
      <c r="L58" s="259" t="s">
        <v>129</v>
      </c>
      <c r="M58" s="260">
        <f>SUM(M19:M57)</f>
        <v>87900000</v>
      </c>
      <c r="N58" s="260">
        <f>SUM(N19:N57)</f>
        <v>208023691.91000003</v>
      </c>
      <c r="O58" s="260">
        <f>SUM(O19:O57)</f>
        <v>40178110.408054166</v>
      </c>
      <c r="P58" s="261">
        <f>SUM(P19:P57)</f>
        <v>305972283.03052807</v>
      </c>
      <c r="Q58" s="256">
        <f>SUM(Q19:Q57)</f>
        <v>642074085.34858215</v>
      </c>
    </row>
    <row r="59" spans="1:17" ht="13.5" thickBot="1">
      <c r="A59" s="295">
        <v>1</v>
      </c>
      <c r="B59" s="295">
        <v>2</v>
      </c>
      <c r="C59" s="295">
        <v>3</v>
      </c>
      <c r="D59" s="295">
        <v>4</v>
      </c>
      <c r="E59" s="295">
        <v>5</v>
      </c>
      <c r="F59" s="295">
        <v>6</v>
      </c>
      <c r="G59" s="295">
        <v>7</v>
      </c>
      <c r="H59" s="295">
        <v>8</v>
      </c>
      <c r="L59" s="259" t="s">
        <v>52</v>
      </c>
      <c r="M59" s="260">
        <f>M58+M18</f>
        <v>173250000</v>
      </c>
      <c r="N59" s="260">
        <f>N58+N18</f>
        <v>520059229.69</v>
      </c>
      <c r="O59" s="260">
        <f>O58+O18</f>
        <v>183550316.35392001</v>
      </c>
      <c r="P59" s="261">
        <f>P58+P18</f>
        <v>625430707.57632005</v>
      </c>
      <c r="Q59" s="256">
        <f>Q58+Q18</f>
        <v>1502290253.62024</v>
      </c>
    </row>
    <row r="60" spans="1:17" ht="48" customHeight="1">
      <c r="B60" s="296"/>
      <c r="C60" s="297" t="s">
        <v>136</v>
      </c>
      <c r="D60" s="297" t="s">
        <v>192</v>
      </c>
      <c r="E60" s="297" t="s">
        <v>144</v>
      </c>
      <c r="F60" s="297" t="s">
        <v>149</v>
      </c>
      <c r="G60" s="297" t="s">
        <v>164</v>
      </c>
      <c r="H60" s="297" t="s">
        <v>193</v>
      </c>
    </row>
    <row r="68" spans="3:8" ht="15">
      <c r="C68" s="298" t="s">
        <v>0</v>
      </c>
      <c r="D68" s="298" t="s">
        <v>215</v>
      </c>
      <c r="E68" s="298" t="s">
        <v>166</v>
      </c>
      <c r="F68" s="298" t="s">
        <v>167</v>
      </c>
      <c r="G68" s="298" t="s">
        <v>168</v>
      </c>
      <c r="H68" s="299" t="s">
        <v>53</v>
      </c>
    </row>
    <row r="69" spans="3:8">
      <c r="C69" s="300" t="s">
        <v>1</v>
      </c>
      <c r="D69" s="301">
        <f>C6+D6</f>
        <v>4799066.7470886791</v>
      </c>
      <c r="E69" s="301">
        <f>E6</f>
        <v>3133486.17</v>
      </c>
      <c r="F69" s="301">
        <f>F6</f>
        <v>0</v>
      </c>
      <c r="G69" s="301">
        <f>G6</f>
        <v>786456.87887226848</v>
      </c>
      <c r="H69" s="302">
        <f t="shared" ref="H69:H100" si="11">SUM(D69:G69)</f>
        <v>8719009.7959609479</v>
      </c>
    </row>
    <row r="70" spans="3:8">
      <c r="C70" s="303" t="s">
        <v>2</v>
      </c>
      <c r="D70" s="301">
        <f t="shared" ref="D70:D119" si="12">C7+D7</f>
        <v>4908689.8919481877</v>
      </c>
      <c r="E70" s="301">
        <f t="shared" ref="E70:G70" si="13">E7</f>
        <v>3504850.52</v>
      </c>
      <c r="F70" s="301">
        <f t="shared" si="13"/>
        <v>0</v>
      </c>
      <c r="G70" s="301">
        <f t="shared" si="13"/>
        <v>1406832.0655235953</v>
      </c>
      <c r="H70" s="304">
        <f t="shared" si="11"/>
        <v>9820372.4774717819</v>
      </c>
    </row>
    <row r="71" spans="3:8">
      <c r="C71" s="300" t="s">
        <v>3</v>
      </c>
      <c r="D71" s="301">
        <f t="shared" si="12"/>
        <v>4378038.6392581612</v>
      </c>
      <c r="E71" s="301">
        <f t="shared" ref="E71:G71" si="14">E8</f>
        <v>3726741.57</v>
      </c>
      <c r="F71" s="301">
        <f t="shared" si="14"/>
        <v>0</v>
      </c>
      <c r="G71" s="301">
        <f t="shared" si="14"/>
        <v>1777507.6809280245</v>
      </c>
      <c r="H71" s="302">
        <f t="shared" si="11"/>
        <v>9882287.8901861869</v>
      </c>
    </row>
    <row r="72" spans="3:8">
      <c r="C72" s="303" t="s">
        <v>4</v>
      </c>
      <c r="D72" s="301">
        <f t="shared" si="12"/>
        <v>13481595.977811828</v>
      </c>
      <c r="E72" s="301">
        <f t="shared" ref="E72:G72" si="15">E9</f>
        <v>7665104.1799999997</v>
      </c>
      <c r="F72" s="301">
        <f t="shared" si="15"/>
        <v>0</v>
      </c>
      <c r="G72" s="301">
        <f t="shared" si="15"/>
        <v>8356659.6481780438</v>
      </c>
      <c r="H72" s="304">
        <f t="shared" si="11"/>
        <v>29503359.805989873</v>
      </c>
    </row>
    <row r="73" spans="3:8">
      <c r="C73" s="300" t="s">
        <v>5</v>
      </c>
      <c r="D73" s="301">
        <f t="shared" si="12"/>
        <v>8844375.7397474386</v>
      </c>
      <c r="E73" s="301">
        <f t="shared" ref="E73:G73" si="16">E10</f>
        <v>6113138.6200000001</v>
      </c>
      <c r="F73" s="301">
        <f t="shared" si="16"/>
        <v>0</v>
      </c>
      <c r="G73" s="301">
        <f t="shared" si="16"/>
        <v>5764054.9902188107</v>
      </c>
      <c r="H73" s="302">
        <f t="shared" si="11"/>
        <v>20721569.34996625</v>
      </c>
    </row>
    <row r="74" spans="3:8">
      <c r="C74" s="303" t="s">
        <v>6</v>
      </c>
      <c r="D74" s="301">
        <f t="shared" si="12"/>
        <v>51811021.861487508</v>
      </c>
      <c r="E74" s="301">
        <f t="shared" ref="E74:G74" si="17">E11</f>
        <v>29150918.780000001</v>
      </c>
      <c r="F74" s="301">
        <f t="shared" si="17"/>
        <v>30500525.904894315</v>
      </c>
      <c r="G74" s="301">
        <f t="shared" si="17"/>
        <v>25555475.876100872</v>
      </c>
      <c r="H74" s="304">
        <f t="shared" si="11"/>
        <v>137017942.4224827</v>
      </c>
    </row>
    <row r="75" spans="3:8">
      <c r="C75" s="300" t="s">
        <v>7</v>
      </c>
      <c r="D75" s="301">
        <f t="shared" si="12"/>
        <v>8028113.205229816</v>
      </c>
      <c r="E75" s="301">
        <f t="shared" ref="E75:G75" si="18">E12</f>
        <v>5776124.2000000002</v>
      </c>
      <c r="F75" s="301">
        <f t="shared" si="18"/>
        <v>0</v>
      </c>
      <c r="G75" s="301">
        <f t="shared" si="18"/>
        <v>5201062.357268923</v>
      </c>
      <c r="H75" s="302">
        <f t="shared" si="11"/>
        <v>19005299.76249874</v>
      </c>
    </row>
    <row r="76" spans="3:8">
      <c r="C76" s="303" t="s">
        <v>8</v>
      </c>
      <c r="D76" s="301">
        <f t="shared" si="12"/>
        <v>4983652.7777712345</v>
      </c>
      <c r="E76" s="301">
        <f t="shared" ref="E76:G76" si="19">E13</f>
        <v>3542810.45</v>
      </c>
      <c r="F76" s="301">
        <f t="shared" si="19"/>
        <v>0</v>
      </c>
      <c r="G76" s="301">
        <f t="shared" si="19"/>
        <v>1470245.2649857672</v>
      </c>
      <c r="H76" s="304">
        <f t="shared" si="11"/>
        <v>9996708.492757</v>
      </c>
    </row>
    <row r="77" spans="3:8">
      <c r="C77" s="300" t="s">
        <v>9</v>
      </c>
      <c r="D77" s="301">
        <f t="shared" si="12"/>
        <v>12909943.2436033</v>
      </c>
      <c r="E77" s="301">
        <f t="shared" ref="E77:G77" si="20">E14</f>
        <v>11301342.189999999</v>
      </c>
      <c r="F77" s="301">
        <f t="shared" si="20"/>
        <v>10807381.677791363</v>
      </c>
      <c r="G77" s="301">
        <f t="shared" si="20"/>
        <v>4000944.8289309465</v>
      </c>
      <c r="H77" s="302">
        <f t="shared" si="11"/>
        <v>39019611.94032561</v>
      </c>
    </row>
    <row r="78" spans="3:8">
      <c r="C78" s="303" t="s">
        <v>10</v>
      </c>
      <c r="D78" s="301">
        <f t="shared" si="12"/>
        <v>32071585.609391723</v>
      </c>
      <c r="E78" s="301">
        <f t="shared" ref="E78:G78" si="21">E15</f>
        <v>9031679.4000000004</v>
      </c>
      <c r="F78" s="301">
        <f t="shared" si="21"/>
        <v>9994317.4785233811</v>
      </c>
      <c r="G78" s="301">
        <f t="shared" si="21"/>
        <v>10639564.233837573</v>
      </c>
      <c r="H78" s="304">
        <f t="shared" si="11"/>
        <v>61737146.721752681</v>
      </c>
    </row>
    <row r="79" spans="3:8">
      <c r="C79" s="300" t="s">
        <v>11</v>
      </c>
      <c r="D79" s="301">
        <f t="shared" si="12"/>
        <v>5972141.8707568608</v>
      </c>
      <c r="E79" s="301">
        <f t="shared" ref="E79:G79" si="22">E16</f>
        <v>5101028.28</v>
      </c>
      <c r="F79" s="301">
        <f t="shared" si="22"/>
        <v>0</v>
      </c>
      <c r="G79" s="301">
        <f t="shared" si="22"/>
        <v>4073294.5275232112</v>
      </c>
      <c r="H79" s="302">
        <f t="shared" si="11"/>
        <v>15146464.678280074</v>
      </c>
    </row>
    <row r="80" spans="3:8">
      <c r="C80" s="303" t="s">
        <v>12</v>
      </c>
      <c r="D80" s="301">
        <f t="shared" si="12"/>
        <v>6668033.8932718839</v>
      </c>
      <c r="E80" s="301">
        <f t="shared" ref="E80:G80" si="23">E17</f>
        <v>5697087.5800000001</v>
      </c>
      <c r="F80" s="301">
        <f t="shared" si="23"/>
        <v>0</v>
      </c>
      <c r="G80" s="301">
        <f t="shared" si="23"/>
        <v>5069029.336094101</v>
      </c>
      <c r="H80" s="304">
        <f t="shared" si="11"/>
        <v>17434150.809365984</v>
      </c>
    </row>
    <row r="81" spans="3:8">
      <c r="C81" s="300" t="s">
        <v>13</v>
      </c>
      <c r="D81" s="301">
        <f t="shared" si="12"/>
        <v>22471231.224648759</v>
      </c>
      <c r="E81" s="301">
        <f t="shared" ref="E81:G81" si="24">E18</f>
        <v>7439228.0999999996</v>
      </c>
      <c r="F81" s="301">
        <f t="shared" si="24"/>
        <v>9019705.8356857095</v>
      </c>
      <c r="G81" s="301">
        <f t="shared" si="24"/>
        <v>7979326.9282206465</v>
      </c>
      <c r="H81" s="302">
        <f t="shared" si="11"/>
        <v>46909492.088555112</v>
      </c>
    </row>
    <row r="82" spans="3:8">
      <c r="C82" s="303" t="s">
        <v>14</v>
      </c>
      <c r="D82" s="301">
        <f t="shared" si="12"/>
        <v>13696274.636495035</v>
      </c>
      <c r="E82" s="301">
        <f t="shared" ref="E82:G82" si="25">E19</f>
        <v>9528922.0099999998</v>
      </c>
      <c r="F82" s="301">
        <f t="shared" si="25"/>
        <v>0</v>
      </c>
      <c r="G82" s="301">
        <f t="shared" si="25"/>
        <v>11470222.812779348</v>
      </c>
      <c r="H82" s="304">
        <f t="shared" si="11"/>
        <v>34695419.459274381</v>
      </c>
    </row>
    <row r="83" spans="3:8">
      <c r="C83" s="300" t="s">
        <v>15</v>
      </c>
      <c r="D83" s="301">
        <f t="shared" si="12"/>
        <v>4365410.4828650318</v>
      </c>
      <c r="E83" s="301">
        <f t="shared" ref="E83:G83" si="26">E20</f>
        <v>3657728.35</v>
      </c>
      <c r="F83" s="301">
        <f t="shared" si="26"/>
        <v>0</v>
      </c>
      <c r="G83" s="301">
        <f t="shared" si="26"/>
        <v>1662219.0344746455</v>
      </c>
      <c r="H83" s="302">
        <f t="shared" si="11"/>
        <v>9685357.8673396762</v>
      </c>
    </row>
    <row r="84" spans="3:8">
      <c r="C84" s="303" t="s">
        <v>16</v>
      </c>
      <c r="D84" s="301">
        <f t="shared" si="12"/>
        <v>4874835.6854474572</v>
      </c>
      <c r="E84" s="301">
        <f t="shared" ref="E84:G84" si="27">E21</f>
        <v>3329926.12</v>
      </c>
      <c r="F84" s="301">
        <f t="shared" si="27"/>
        <v>0</v>
      </c>
      <c r="G84" s="301">
        <f t="shared" si="27"/>
        <v>1114615.6617491418</v>
      </c>
      <c r="H84" s="304">
        <f t="shared" si="11"/>
        <v>9319377.4671965986</v>
      </c>
    </row>
    <row r="85" spans="3:8">
      <c r="C85" s="300" t="s">
        <v>17</v>
      </c>
      <c r="D85" s="301">
        <f t="shared" si="12"/>
        <v>14989988.956344394</v>
      </c>
      <c r="E85" s="301">
        <f t="shared" ref="E85:G85" si="28">E22</f>
        <v>9076729.6300000008</v>
      </c>
      <c r="F85" s="301">
        <f t="shared" si="28"/>
        <v>0</v>
      </c>
      <c r="G85" s="301">
        <f t="shared" si="28"/>
        <v>10714821.975123702</v>
      </c>
      <c r="H85" s="302">
        <f t="shared" si="11"/>
        <v>34781540.561468095</v>
      </c>
    </row>
    <row r="86" spans="3:8">
      <c r="C86" s="303" t="s">
        <v>18</v>
      </c>
      <c r="D86" s="301">
        <f t="shared" si="12"/>
        <v>32928893.18910427</v>
      </c>
      <c r="E86" s="301">
        <f t="shared" ref="E86:G86" si="29">E23</f>
        <v>17931628.760000002</v>
      </c>
      <c r="F86" s="301">
        <f t="shared" si="29"/>
        <v>19432331.817890011</v>
      </c>
      <c r="G86" s="301">
        <f t="shared" si="29"/>
        <v>12007449.466503495</v>
      </c>
      <c r="H86" s="304">
        <f t="shared" si="11"/>
        <v>82300303.233497784</v>
      </c>
    </row>
    <row r="87" spans="3:8">
      <c r="C87" s="300" t="s">
        <v>19</v>
      </c>
      <c r="D87" s="301">
        <f t="shared" si="12"/>
        <v>5479375.0872462224</v>
      </c>
      <c r="E87" s="301">
        <f t="shared" ref="E87:G87" si="30">E24</f>
        <v>4493475.45</v>
      </c>
      <c r="F87" s="301">
        <f t="shared" si="30"/>
        <v>0</v>
      </c>
      <c r="G87" s="301">
        <f t="shared" si="30"/>
        <v>3058359.4497591765</v>
      </c>
      <c r="H87" s="302">
        <f t="shared" si="11"/>
        <v>13031209.9870054</v>
      </c>
    </row>
    <row r="88" spans="3:8">
      <c r="C88" s="303" t="s">
        <v>20</v>
      </c>
      <c r="D88" s="301">
        <f t="shared" si="12"/>
        <v>39047291.645896792</v>
      </c>
      <c r="E88" s="301">
        <f t="shared" ref="E88:G88" si="31">E25</f>
        <v>21751610.190000001</v>
      </c>
      <c r="F88" s="301">
        <f t="shared" si="31"/>
        <v>23127800.437401839</v>
      </c>
      <c r="G88" s="301">
        <f t="shared" si="31"/>
        <v>16620326.859381488</v>
      </c>
      <c r="H88" s="304">
        <f t="shared" si="11"/>
        <v>100547029.1326801</v>
      </c>
    </row>
    <row r="89" spans="3:8">
      <c r="C89" s="300" t="s">
        <v>21</v>
      </c>
      <c r="D89" s="301">
        <f t="shared" si="12"/>
        <v>7790865.0755461231</v>
      </c>
      <c r="E89" s="301">
        <f t="shared" ref="E89:G89" si="32">E26</f>
        <v>5580952.8300000001</v>
      </c>
      <c r="F89" s="301">
        <f t="shared" si="32"/>
        <v>0</v>
      </c>
      <c r="G89" s="301">
        <f t="shared" si="32"/>
        <v>4875022.774231459</v>
      </c>
      <c r="H89" s="302">
        <f t="shared" si="11"/>
        <v>18246840.679777581</v>
      </c>
    </row>
    <row r="90" spans="3:8">
      <c r="C90" s="303" t="s">
        <v>22</v>
      </c>
      <c r="D90" s="301">
        <f t="shared" si="12"/>
        <v>4485780.9948676303</v>
      </c>
      <c r="E90" s="301">
        <f t="shared" ref="E90:G90" si="33">E27</f>
        <v>3243351.66</v>
      </c>
      <c r="F90" s="301">
        <f t="shared" si="33"/>
        <v>0</v>
      </c>
      <c r="G90" s="301">
        <f t="shared" si="33"/>
        <v>969990.43592066725</v>
      </c>
      <c r="H90" s="304">
        <f t="shared" si="11"/>
        <v>8699123.0907882974</v>
      </c>
    </row>
    <row r="91" spans="3:8">
      <c r="C91" s="300" t="s">
        <v>23</v>
      </c>
      <c r="D91" s="301">
        <f t="shared" si="12"/>
        <v>5687874.0098221526</v>
      </c>
      <c r="E91" s="301">
        <f t="shared" ref="E91:G91" si="34">E28</f>
        <v>4327252.8600000003</v>
      </c>
      <c r="F91" s="301">
        <f t="shared" si="34"/>
        <v>0</v>
      </c>
      <c r="G91" s="301">
        <f t="shared" si="34"/>
        <v>2780679.6552892257</v>
      </c>
      <c r="H91" s="302">
        <f t="shared" si="11"/>
        <v>12795806.525111377</v>
      </c>
    </row>
    <row r="92" spans="3:8">
      <c r="C92" s="303" t="s">
        <v>24</v>
      </c>
      <c r="D92" s="301">
        <f t="shared" si="12"/>
        <v>31445820.157485358</v>
      </c>
      <c r="E92" s="301">
        <f t="shared" ref="E92:G92" si="35">E29</f>
        <v>8685943.0199999996</v>
      </c>
      <c r="F92" s="301">
        <f t="shared" si="35"/>
        <v>9875712.5928713474</v>
      </c>
      <c r="G92" s="301">
        <f t="shared" si="35"/>
        <v>10062001.31197078</v>
      </c>
      <c r="H92" s="304">
        <f t="shared" si="11"/>
        <v>60069477.082327485</v>
      </c>
    </row>
    <row r="93" spans="3:8">
      <c r="C93" s="300" t="s">
        <v>25</v>
      </c>
      <c r="D93" s="301">
        <f t="shared" si="12"/>
        <v>50840838.237988167</v>
      </c>
      <c r="E93" s="301">
        <f t="shared" ref="E93:G93" si="36">E30</f>
        <v>25819930.120000001</v>
      </c>
      <c r="F93" s="301">
        <f t="shared" si="36"/>
        <v>0</v>
      </c>
      <c r="G93" s="301">
        <f t="shared" si="36"/>
        <v>21533089.225419503</v>
      </c>
      <c r="H93" s="302">
        <f t="shared" si="11"/>
        <v>98193857.58340767</v>
      </c>
    </row>
    <row r="94" spans="3:8">
      <c r="C94" s="303" t="s">
        <v>26</v>
      </c>
      <c r="D94" s="301">
        <f t="shared" si="12"/>
        <v>4526352.3058327911</v>
      </c>
      <c r="E94" s="301">
        <f t="shared" ref="E94:G94" si="37">E31</f>
        <v>3270671.09</v>
      </c>
      <c r="F94" s="301">
        <f t="shared" si="37"/>
        <v>0</v>
      </c>
      <c r="G94" s="301">
        <f t="shared" si="37"/>
        <v>1015628.3716966492</v>
      </c>
      <c r="H94" s="304">
        <f t="shared" si="11"/>
        <v>8812651.767529441</v>
      </c>
    </row>
    <row r="95" spans="3:8">
      <c r="C95" s="300" t="s">
        <v>27</v>
      </c>
      <c r="D95" s="301">
        <f t="shared" si="12"/>
        <v>8322053.6965933042</v>
      </c>
      <c r="E95" s="301">
        <f t="shared" ref="E95:G95" si="38">E32</f>
        <v>3815699.12</v>
      </c>
      <c r="F95" s="301">
        <f t="shared" si="38"/>
        <v>0</v>
      </c>
      <c r="G95" s="301">
        <f t="shared" si="38"/>
        <v>1926113.909807907</v>
      </c>
      <c r="H95" s="302">
        <f t="shared" si="11"/>
        <v>14063866.726401212</v>
      </c>
    </row>
    <row r="96" spans="3:8">
      <c r="C96" s="303" t="s">
        <v>28</v>
      </c>
      <c r="D96" s="301">
        <f t="shared" si="12"/>
        <v>4372396.271508039</v>
      </c>
      <c r="E96" s="301">
        <f t="shared" ref="E96:G96" si="39">E33</f>
        <v>3521482.98</v>
      </c>
      <c r="F96" s="301">
        <f t="shared" si="39"/>
        <v>0</v>
      </c>
      <c r="G96" s="301">
        <f t="shared" si="39"/>
        <v>1434617.0971836334</v>
      </c>
      <c r="H96" s="304">
        <f t="shared" si="11"/>
        <v>9328496.3486916721</v>
      </c>
    </row>
    <row r="97" spans="3:8">
      <c r="C97" s="300" t="s">
        <v>29</v>
      </c>
      <c r="D97" s="301">
        <f t="shared" si="12"/>
        <v>5887775.03868361</v>
      </c>
      <c r="E97" s="301">
        <f t="shared" ref="E97:G97" si="40">E34</f>
        <v>3684977.98</v>
      </c>
      <c r="F97" s="301">
        <f t="shared" si="40"/>
        <v>0</v>
      </c>
      <c r="G97" s="301">
        <f t="shared" si="40"/>
        <v>1707740.3481501609</v>
      </c>
      <c r="H97" s="302">
        <f t="shared" si="11"/>
        <v>11280493.366833771</v>
      </c>
    </row>
    <row r="98" spans="3:8">
      <c r="C98" s="303" t="s">
        <v>30</v>
      </c>
      <c r="D98" s="301">
        <f t="shared" si="12"/>
        <v>4886120.4209477007</v>
      </c>
      <c r="E98" s="301">
        <f t="shared" ref="E98:G98" si="41">E35</f>
        <v>3723138.72</v>
      </c>
      <c r="F98" s="301">
        <f t="shared" si="41"/>
        <v>0</v>
      </c>
      <c r="G98" s="301">
        <f t="shared" si="41"/>
        <v>1771489.0135240941</v>
      </c>
      <c r="H98" s="304">
        <f t="shared" si="11"/>
        <v>10380748.154471796</v>
      </c>
    </row>
    <row r="99" spans="3:8">
      <c r="C99" s="300" t="s">
        <v>31</v>
      </c>
      <c r="D99" s="301">
        <f t="shared" si="12"/>
        <v>38341557.893797949</v>
      </c>
      <c r="E99" s="301">
        <f t="shared" ref="E99:G99" si="42">E36</f>
        <v>20539885.899999999</v>
      </c>
      <c r="F99" s="301">
        <f t="shared" si="42"/>
        <v>22246066.818953641</v>
      </c>
      <c r="G99" s="301">
        <f t="shared" si="42"/>
        <v>15157090.536375064</v>
      </c>
      <c r="H99" s="302">
        <f t="shared" si="11"/>
        <v>96284601.149126649</v>
      </c>
    </row>
    <row r="100" spans="3:8">
      <c r="C100" s="303" t="s">
        <v>32</v>
      </c>
      <c r="D100" s="301">
        <f t="shared" si="12"/>
        <v>5437729.0395667516</v>
      </c>
      <c r="E100" s="301">
        <f t="shared" ref="E100:G100" si="43">E37</f>
        <v>5199408.5199999996</v>
      </c>
      <c r="F100" s="301">
        <f t="shared" si="43"/>
        <v>0</v>
      </c>
      <c r="G100" s="301">
        <f t="shared" si="43"/>
        <v>4237641.6509963283</v>
      </c>
      <c r="H100" s="304">
        <f t="shared" si="11"/>
        <v>14874779.210563079</v>
      </c>
    </row>
    <row r="101" spans="3:8">
      <c r="C101" s="300" t="s">
        <v>33</v>
      </c>
      <c r="D101" s="301">
        <f t="shared" si="12"/>
        <v>26748414.663419664</v>
      </c>
      <c r="E101" s="301">
        <f t="shared" ref="E101:G101" si="44">E38</f>
        <v>9637071</v>
      </c>
      <c r="F101" s="301">
        <f t="shared" si="44"/>
        <v>0</v>
      </c>
      <c r="G101" s="301">
        <f t="shared" si="44"/>
        <v>11650888.920644164</v>
      </c>
      <c r="H101" s="302">
        <f t="shared" ref="H101:H119" si="45">SUM(D101:G101)</f>
        <v>48036374.584063828</v>
      </c>
    </row>
    <row r="102" spans="3:8">
      <c r="C102" s="303" t="s">
        <v>34</v>
      </c>
      <c r="D102" s="301">
        <f t="shared" si="12"/>
        <v>5375394.3101368342</v>
      </c>
      <c r="E102" s="301">
        <f t="shared" ref="E102:G102" si="46">E39</f>
        <v>3961581.76</v>
      </c>
      <c r="F102" s="301">
        <f t="shared" si="46"/>
        <v>0</v>
      </c>
      <c r="G102" s="301">
        <f t="shared" si="46"/>
        <v>2169815.2031722297</v>
      </c>
      <c r="H102" s="304">
        <f t="shared" si="45"/>
        <v>11506791.273309063</v>
      </c>
    </row>
    <row r="103" spans="3:8">
      <c r="C103" s="300" t="s">
        <v>35</v>
      </c>
      <c r="D103" s="301">
        <f t="shared" si="12"/>
        <v>4398458.6368300309</v>
      </c>
      <c r="E103" s="301">
        <f t="shared" ref="E103:G103" si="47">E40</f>
        <v>2902224.73</v>
      </c>
      <c r="F103" s="301">
        <f t="shared" si="47"/>
        <v>0</v>
      </c>
      <c r="G103" s="301">
        <f t="shared" si="47"/>
        <v>400127.75486680702</v>
      </c>
      <c r="H103" s="302">
        <f t="shared" si="45"/>
        <v>7700811.1216968372</v>
      </c>
    </row>
    <row r="104" spans="3:8">
      <c r="C104" s="303" t="s">
        <v>36</v>
      </c>
      <c r="D104" s="301">
        <f t="shared" si="12"/>
        <v>6055971.3344729561</v>
      </c>
      <c r="E104" s="301">
        <f t="shared" ref="E104:G104" si="48">E41</f>
        <v>4494836.6500000004</v>
      </c>
      <c r="F104" s="301">
        <f t="shared" si="48"/>
        <v>0</v>
      </c>
      <c r="G104" s="301">
        <f t="shared" si="48"/>
        <v>3060633.3644220917</v>
      </c>
      <c r="H104" s="304">
        <f t="shared" si="45"/>
        <v>13611441.348895049</v>
      </c>
    </row>
    <row r="105" spans="3:8">
      <c r="C105" s="300" t="s">
        <v>37</v>
      </c>
      <c r="D105" s="301">
        <f t="shared" si="12"/>
        <v>5625001.9120350806</v>
      </c>
      <c r="E105" s="301">
        <f t="shared" ref="E105:G105" si="49">E42</f>
        <v>5079801.93</v>
      </c>
      <c r="F105" s="301">
        <f t="shared" si="49"/>
        <v>0</v>
      </c>
      <c r="G105" s="301">
        <f t="shared" si="49"/>
        <v>4037835.2872767048</v>
      </c>
      <c r="H105" s="302">
        <f t="shared" si="45"/>
        <v>14742639.129311785</v>
      </c>
    </row>
    <row r="106" spans="3:8">
      <c r="C106" s="303" t="s">
        <v>38</v>
      </c>
      <c r="D106" s="301">
        <f t="shared" si="12"/>
        <v>22116836.793105394</v>
      </c>
      <c r="E106" s="301">
        <f t="shared" ref="E106:G106" si="50">E43</f>
        <v>7907431.5300000003</v>
      </c>
      <c r="F106" s="301">
        <f t="shared" si="50"/>
        <v>0</v>
      </c>
      <c r="G106" s="301">
        <f t="shared" si="50"/>
        <v>8761474.6957567986</v>
      </c>
      <c r="H106" s="304">
        <f t="shared" si="45"/>
        <v>38785743.018862195</v>
      </c>
    </row>
    <row r="107" spans="3:8">
      <c r="C107" s="300" t="s">
        <v>39</v>
      </c>
      <c r="D107" s="301">
        <f t="shared" si="12"/>
        <v>87245556.68178156</v>
      </c>
      <c r="E107" s="301">
        <f t="shared" ref="E107:G107" si="51">E44</f>
        <v>77841174.790000007</v>
      </c>
      <c r="F107" s="301">
        <f t="shared" si="51"/>
        <v>0</v>
      </c>
      <c r="G107" s="301">
        <f t="shared" si="51"/>
        <v>84352144.211345762</v>
      </c>
      <c r="H107" s="302">
        <f t="shared" si="45"/>
        <v>249438875.68312731</v>
      </c>
    </row>
    <row r="108" spans="3:8">
      <c r="C108" s="303" t="s">
        <v>40</v>
      </c>
      <c r="D108" s="301">
        <f t="shared" si="12"/>
        <v>4243427.8657909697</v>
      </c>
      <c r="E108" s="301">
        <f t="shared" ref="E108:G108" si="52">E45</f>
        <v>3878940.74</v>
      </c>
      <c r="F108" s="301">
        <f t="shared" si="52"/>
        <v>0</v>
      </c>
      <c r="G108" s="301">
        <f t="shared" si="52"/>
        <v>2031760.9157511813</v>
      </c>
      <c r="H108" s="304">
        <f t="shared" si="45"/>
        <v>10154129.521542151</v>
      </c>
    </row>
    <row r="109" spans="3:8">
      <c r="C109" s="300" t="s">
        <v>41</v>
      </c>
      <c r="D109" s="301">
        <f t="shared" si="12"/>
        <v>43664233.178284839</v>
      </c>
      <c r="E109" s="301">
        <f t="shared" ref="E109:G109" si="53">E46</f>
        <v>11469377.560000001</v>
      </c>
      <c r="F109" s="301">
        <f t="shared" si="53"/>
        <v>11288374.500973731</v>
      </c>
      <c r="G109" s="301">
        <f t="shared" si="53"/>
        <v>14711811.564027086</v>
      </c>
      <c r="H109" s="302">
        <f t="shared" si="45"/>
        <v>81133796.803285658</v>
      </c>
    </row>
    <row r="110" spans="3:8">
      <c r="C110" s="303" t="s">
        <v>42</v>
      </c>
      <c r="D110" s="301">
        <f t="shared" si="12"/>
        <v>5447939.0383526869</v>
      </c>
      <c r="E110" s="301">
        <f t="shared" ref="E110:G110" si="54">E47</f>
        <v>4010015.27</v>
      </c>
      <c r="F110" s="301">
        <f t="shared" si="54"/>
        <v>0</v>
      </c>
      <c r="G110" s="301">
        <f t="shared" si="54"/>
        <v>2250724.8167878329</v>
      </c>
      <c r="H110" s="304">
        <f t="shared" si="45"/>
        <v>11708679.12514052</v>
      </c>
    </row>
    <row r="111" spans="3:8">
      <c r="C111" s="300" t="s">
        <v>43</v>
      </c>
      <c r="D111" s="301">
        <f t="shared" si="12"/>
        <v>4638662.2924780734</v>
      </c>
      <c r="E111" s="301">
        <f t="shared" ref="E111:G111" si="55">E48</f>
        <v>3902130.69</v>
      </c>
      <c r="F111" s="301">
        <f t="shared" si="55"/>
        <v>0</v>
      </c>
      <c r="G111" s="301">
        <f t="shared" si="55"/>
        <v>2070500.4170154054</v>
      </c>
      <c r="H111" s="302">
        <f t="shared" si="45"/>
        <v>10611293.399493478</v>
      </c>
    </row>
    <row r="112" spans="3:8">
      <c r="C112" s="303" t="s">
        <v>44</v>
      </c>
      <c r="D112" s="301">
        <f t="shared" si="12"/>
        <v>13325759.154237039</v>
      </c>
      <c r="E112" s="301">
        <f t="shared" ref="E112:G112" si="56">E49</f>
        <v>6061701.79</v>
      </c>
      <c r="F112" s="301">
        <f t="shared" si="56"/>
        <v>0</v>
      </c>
      <c r="G112" s="301">
        <f t="shared" si="56"/>
        <v>5678128.2230453743</v>
      </c>
      <c r="H112" s="304">
        <f t="shared" si="45"/>
        <v>25065589.167282414</v>
      </c>
    </row>
    <row r="113" spans="3:8">
      <c r="C113" s="300" t="s">
        <v>45</v>
      </c>
      <c r="D113" s="301">
        <f t="shared" si="12"/>
        <v>10319266.742477614</v>
      </c>
      <c r="E113" s="301">
        <f t="shared" ref="E113:G113" si="57">E50</f>
        <v>10527748.359999999</v>
      </c>
      <c r="F113" s="301">
        <f t="shared" si="57"/>
        <v>9741093.1909087617</v>
      </c>
      <c r="G113" s="301">
        <f t="shared" si="57"/>
        <v>3066779.6837666859</v>
      </c>
      <c r="H113" s="302">
        <f t="shared" si="45"/>
        <v>33654887.977153063</v>
      </c>
    </row>
    <row r="114" spans="3:8">
      <c r="C114" s="303" t="s">
        <v>46</v>
      </c>
      <c r="D114" s="301">
        <f t="shared" si="12"/>
        <v>34020923.310773</v>
      </c>
      <c r="E114" s="301">
        <f t="shared" ref="E114:G114" si="58">E51</f>
        <v>25672427.239999998</v>
      </c>
      <c r="F114" s="301">
        <f t="shared" si="58"/>
        <v>0</v>
      </c>
      <c r="G114" s="301">
        <f t="shared" si="58"/>
        <v>21354969.852377772</v>
      </c>
      <c r="H114" s="304">
        <f t="shared" si="45"/>
        <v>81048320.403150767</v>
      </c>
    </row>
    <row r="115" spans="3:8">
      <c r="C115" s="300" t="s">
        <v>47</v>
      </c>
      <c r="D115" s="301">
        <f t="shared" si="12"/>
        <v>13626019.017662723</v>
      </c>
      <c r="E115" s="301">
        <f t="shared" ref="E115:G115" si="59">E52</f>
        <v>42048535.149999999</v>
      </c>
      <c r="F115" s="301">
        <f t="shared" si="59"/>
        <v>0</v>
      </c>
      <c r="G115" s="301">
        <f t="shared" si="59"/>
        <v>41130191.110956699</v>
      </c>
      <c r="H115" s="302">
        <f t="shared" si="45"/>
        <v>96804745.278619424</v>
      </c>
    </row>
    <row r="116" spans="3:8">
      <c r="C116" s="303" t="s">
        <v>48</v>
      </c>
      <c r="D116" s="301">
        <f t="shared" si="12"/>
        <v>26309780.640910357</v>
      </c>
      <c r="E116" s="301">
        <f t="shared" ref="E116:G116" si="60">E53</f>
        <v>17098937.399999999</v>
      </c>
      <c r="F116" s="301">
        <f t="shared" si="60"/>
        <v>17383623.776573174</v>
      </c>
      <c r="G116" s="301">
        <f t="shared" si="60"/>
        <v>11001920.183686111</v>
      </c>
      <c r="H116" s="304">
        <f t="shared" si="45"/>
        <v>71794262.001169637</v>
      </c>
    </row>
    <row r="117" spans="3:8">
      <c r="C117" s="300" t="s">
        <v>49</v>
      </c>
      <c r="D117" s="301">
        <f t="shared" si="12"/>
        <v>7407332.0803087931</v>
      </c>
      <c r="E117" s="301">
        <f t="shared" ref="E117:G117" si="61">E54</f>
        <v>12351398.9</v>
      </c>
      <c r="F117" s="301">
        <f t="shared" si="61"/>
        <v>10133382.321452726</v>
      </c>
      <c r="G117" s="301">
        <f t="shared" si="61"/>
        <v>5268956.9796195589</v>
      </c>
      <c r="H117" s="302">
        <f t="shared" si="45"/>
        <v>35161070.281381078</v>
      </c>
    </row>
    <row r="118" spans="3:8">
      <c r="C118" s="303" t="s">
        <v>50</v>
      </c>
      <c r="D118" s="301">
        <f t="shared" si="12"/>
        <v>4416997.8451518593</v>
      </c>
      <c r="E118" s="301">
        <f t="shared" ref="E118:G118" si="62">E55</f>
        <v>4579377.5199999996</v>
      </c>
      <c r="F118" s="301">
        <f t="shared" si="62"/>
        <v>0</v>
      </c>
      <c r="G118" s="301">
        <f t="shared" si="62"/>
        <v>3201861.4134041988</v>
      </c>
      <c r="H118" s="304">
        <f t="shared" si="45"/>
        <v>12198236.778556058</v>
      </c>
    </row>
    <row r="119" spans="3:8">
      <c r="C119" s="300" t="s">
        <v>51</v>
      </c>
      <c r="D119" s="301">
        <f t="shared" si="12"/>
        <v>4960008.5700564384</v>
      </c>
      <c r="E119" s="301">
        <f t="shared" ref="E119:G119" si="63">E56</f>
        <v>4268261.33</v>
      </c>
      <c r="F119" s="301">
        <f t="shared" si="63"/>
        <v>0</v>
      </c>
      <c r="G119" s="301">
        <f t="shared" si="63"/>
        <v>2682132.55249824</v>
      </c>
      <c r="H119" s="302">
        <f t="shared" si="45"/>
        <v>11910402.452554679</v>
      </c>
    </row>
  </sheetData>
  <mergeCells count="8">
    <mergeCell ref="B1:I1"/>
    <mergeCell ref="B2:I2"/>
    <mergeCell ref="B3:I3"/>
    <mergeCell ref="B4:I4"/>
    <mergeCell ref="L1:Q1"/>
    <mergeCell ref="L2:Q2"/>
    <mergeCell ref="L3:Q3"/>
    <mergeCell ref="L4:Q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/>
    <pageSetUpPr fitToPage="1"/>
  </sheetPr>
  <dimension ref="A1:AM61"/>
  <sheetViews>
    <sheetView tabSelected="1" zoomScale="85" zoomScaleNormal="85" workbookViewId="0">
      <pane xSplit="1" ySplit="4" topLeftCell="AC5" activePane="bottomRight" state="frozen"/>
      <selection pane="topRight" activeCell="B1" sqref="B1"/>
      <selection pane="bottomLeft" activeCell="A5" sqref="A5"/>
      <selection pane="bottomRight" activeCell="AK5" sqref="AK5"/>
    </sheetView>
  </sheetViews>
  <sheetFormatPr baseColWidth="10" defaultColWidth="11.42578125" defaultRowHeight="12.75"/>
  <cols>
    <col min="1" max="1" width="34" style="1" customWidth="1"/>
    <col min="2" max="2" width="16.140625" style="83" customWidth="1"/>
    <col min="3" max="3" width="18.85546875" style="83" customWidth="1"/>
    <col min="4" max="4" width="16.140625" style="83" customWidth="1"/>
    <col min="5" max="7" width="15" style="1" customWidth="1"/>
    <col min="8" max="8" width="18.7109375" style="1" customWidth="1"/>
    <col min="9" max="10" width="17.42578125" style="1" customWidth="1"/>
    <col min="11" max="21" width="17.28515625" style="1" customWidth="1"/>
    <col min="22" max="23" width="16.7109375" style="1" customWidth="1"/>
    <col min="24" max="24" width="22.42578125" style="1" bestFit="1" customWidth="1"/>
    <col min="25" max="38" width="16.7109375" style="1" customWidth="1"/>
    <col min="39" max="16384" width="11.42578125" style="1"/>
  </cols>
  <sheetData>
    <row r="1" spans="1:39" ht="15">
      <c r="A1" s="157">
        <v>1</v>
      </c>
      <c r="B1" s="157">
        <v>2</v>
      </c>
      <c r="C1" s="157">
        <v>3</v>
      </c>
      <c r="D1" s="157">
        <v>4</v>
      </c>
      <c r="E1" s="157">
        <v>5</v>
      </c>
      <c r="F1" s="157">
        <v>6</v>
      </c>
      <c r="G1" s="157">
        <v>7</v>
      </c>
      <c r="H1" s="157">
        <v>8</v>
      </c>
      <c r="I1" s="157">
        <v>9</v>
      </c>
      <c r="J1" s="157">
        <v>10</v>
      </c>
      <c r="K1" s="157">
        <v>11</v>
      </c>
      <c r="L1" s="157">
        <v>12</v>
      </c>
      <c r="M1" s="157">
        <v>13</v>
      </c>
      <c r="N1" s="157">
        <v>14</v>
      </c>
      <c r="O1" s="157">
        <v>15</v>
      </c>
      <c r="P1" s="157">
        <v>16</v>
      </c>
      <c r="Q1" s="157">
        <v>17</v>
      </c>
      <c r="R1" s="157">
        <v>18</v>
      </c>
      <c r="S1" s="157">
        <v>19</v>
      </c>
      <c r="T1" s="157">
        <v>20</v>
      </c>
      <c r="U1" s="157">
        <v>21</v>
      </c>
      <c r="V1" s="157">
        <v>22</v>
      </c>
      <c r="W1" s="157">
        <v>23</v>
      </c>
      <c r="X1" s="157">
        <v>24</v>
      </c>
      <c r="Y1" s="157">
        <v>25</v>
      </c>
      <c r="Z1" s="157">
        <v>26</v>
      </c>
      <c r="AA1" s="157">
        <v>27</v>
      </c>
      <c r="AB1" s="157">
        <v>28</v>
      </c>
      <c r="AC1" s="157">
        <v>29</v>
      </c>
      <c r="AD1" s="157">
        <v>30</v>
      </c>
      <c r="AE1" s="157">
        <v>31</v>
      </c>
      <c r="AF1" s="157">
        <v>32</v>
      </c>
      <c r="AG1" s="157">
        <v>33</v>
      </c>
      <c r="AH1" s="157">
        <v>34</v>
      </c>
      <c r="AI1" s="157">
        <v>35</v>
      </c>
      <c r="AJ1" s="157">
        <v>36</v>
      </c>
      <c r="AK1" s="157">
        <v>37</v>
      </c>
      <c r="AL1" s="157">
        <v>38</v>
      </c>
      <c r="AM1" s="157"/>
    </row>
    <row r="2" spans="1:39">
      <c r="A2" s="386" t="s">
        <v>62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Y2" s="68"/>
      <c r="Z2" s="68"/>
      <c r="AA2" s="68"/>
      <c r="AB2" s="68"/>
      <c r="AC2" s="68"/>
      <c r="AD2" s="68"/>
      <c r="AE2" s="81"/>
      <c r="AF2" s="81"/>
      <c r="AG2" s="81"/>
      <c r="AH2" s="81"/>
      <c r="AI2" s="81"/>
      <c r="AJ2" s="81"/>
      <c r="AK2" s="81"/>
      <c r="AL2" s="81"/>
    </row>
    <row r="3" spans="1:39" s="31" customFormat="1" ht="21" customHeight="1" thickBot="1">
      <c r="B3" s="83"/>
      <c r="C3" s="83"/>
      <c r="D3" s="83"/>
      <c r="E3" s="387" t="s">
        <v>74</v>
      </c>
      <c r="F3" s="387"/>
      <c r="G3" s="387"/>
      <c r="H3" s="387"/>
      <c r="I3" s="387"/>
      <c r="J3" s="387"/>
      <c r="K3" s="389" t="s">
        <v>75</v>
      </c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8" t="s">
        <v>77</v>
      </c>
      <c r="W3" s="388"/>
      <c r="X3" s="37" t="s">
        <v>179</v>
      </c>
      <c r="Y3" s="385" t="s">
        <v>97</v>
      </c>
      <c r="Z3" s="385"/>
      <c r="AA3" s="385"/>
      <c r="AB3" s="385"/>
      <c r="AC3" s="385"/>
      <c r="AD3" s="385"/>
      <c r="AE3" s="385"/>
      <c r="AF3" s="385"/>
      <c r="AG3" s="385"/>
      <c r="AH3" s="385"/>
      <c r="AI3" s="385"/>
      <c r="AJ3" s="385"/>
      <c r="AK3" s="384" t="s">
        <v>95</v>
      </c>
      <c r="AL3" s="384"/>
    </row>
    <row r="4" spans="1:39" ht="69" customHeight="1" thickTop="1">
      <c r="A4" s="15" t="s">
        <v>63</v>
      </c>
      <c r="B4" s="84" t="s">
        <v>89</v>
      </c>
      <c r="C4" s="232" t="s">
        <v>156</v>
      </c>
      <c r="D4" s="84" t="s">
        <v>90</v>
      </c>
      <c r="E4" s="316" t="s">
        <v>176</v>
      </c>
      <c r="F4" s="265" t="s">
        <v>177</v>
      </c>
      <c r="G4" s="265" t="s">
        <v>180</v>
      </c>
      <c r="H4" s="267" t="s">
        <v>181</v>
      </c>
      <c r="I4" s="265" t="s">
        <v>182</v>
      </c>
      <c r="J4" s="317" t="s">
        <v>183</v>
      </c>
      <c r="K4" s="268" t="s">
        <v>210</v>
      </c>
      <c r="L4" s="269" t="s">
        <v>216</v>
      </c>
      <c r="M4" s="269" t="s">
        <v>217</v>
      </c>
      <c r="N4" s="269" t="s">
        <v>218</v>
      </c>
      <c r="O4" s="16" t="s">
        <v>211</v>
      </c>
      <c r="P4" s="269" t="s">
        <v>212</v>
      </c>
      <c r="Q4" s="269" t="s">
        <v>219</v>
      </c>
      <c r="R4" s="269" t="s">
        <v>213</v>
      </c>
      <c r="S4" s="269" t="s">
        <v>214</v>
      </c>
      <c r="T4" s="16" t="s">
        <v>220</v>
      </c>
      <c r="U4" s="16" t="s">
        <v>221</v>
      </c>
      <c r="V4" s="71" t="s">
        <v>76</v>
      </c>
      <c r="W4" s="77" t="s">
        <v>178</v>
      </c>
      <c r="X4" s="28" t="s">
        <v>222</v>
      </c>
      <c r="Y4" s="78" t="s">
        <v>184</v>
      </c>
      <c r="Z4" s="74" t="s">
        <v>78</v>
      </c>
      <c r="AA4" s="75" t="s">
        <v>79</v>
      </c>
      <c r="AB4" s="75" t="s">
        <v>80</v>
      </c>
      <c r="AC4" s="74" t="s">
        <v>81</v>
      </c>
      <c r="AD4" s="74" t="s">
        <v>82</v>
      </c>
      <c r="AE4" s="74" t="s">
        <v>131</v>
      </c>
      <c r="AF4" s="74" t="s">
        <v>132</v>
      </c>
      <c r="AG4" s="74" t="s">
        <v>133</v>
      </c>
      <c r="AH4" s="74" t="s">
        <v>134</v>
      </c>
      <c r="AI4" s="74" t="s">
        <v>115</v>
      </c>
      <c r="AJ4" s="74" t="s">
        <v>116</v>
      </c>
      <c r="AK4" s="89" t="s">
        <v>101</v>
      </c>
      <c r="AL4" s="76" t="s">
        <v>103</v>
      </c>
    </row>
    <row r="5" spans="1:39">
      <c r="A5" s="17" t="s">
        <v>1</v>
      </c>
      <c r="B5" s="85" t="s">
        <v>91</v>
      </c>
      <c r="C5" s="85" t="s">
        <v>91</v>
      </c>
      <c r="D5" s="85" t="s">
        <v>92</v>
      </c>
      <c r="E5" s="318">
        <v>110684</v>
      </c>
      <c r="F5" s="18">
        <v>558823</v>
      </c>
      <c r="G5" s="266">
        <v>145672.85</v>
      </c>
      <c r="H5" s="266">
        <v>626624</v>
      </c>
      <c r="I5" s="14">
        <f t="shared" ref="I5:I55" si="0">G5/H5</f>
        <v>0.23247250344704321</v>
      </c>
      <c r="J5" s="319">
        <f t="shared" ref="J5:J36" si="1">(G5-E5)/E5</f>
        <v>0.3161147952730296</v>
      </c>
      <c r="K5" s="270">
        <v>296</v>
      </c>
      <c r="L5" s="271">
        <v>291</v>
      </c>
      <c r="M5" s="287">
        <f>L5/$L$56</f>
        <v>2.7055597858981759E-4</v>
      </c>
      <c r="N5" s="285">
        <v>1.7570912812999999</v>
      </c>
      <c r="O5" s="305">
        <f>N5*M5</f>
        <v>4.7539155108375792E-4</v>
      </c>
      <c r="P5" s="293">
        <f>O5/$O$56</f>
        <v>2.4656536212427173E-4</v>
      </c>
      <c r="Q5" s="293">
        <f>0.85*P5</f>
        <v>2.0958055780563096E-4</v>
      </c>
      <c r="R5" s="285">
        <f>K5/L5</f>
        <v>1.0171821305841924</v>
      </c>
      <c r="S5" s="286">
        <f>R5/$R$56</f>
        <v>1.351657209931304E-2</v>
      </c>
      <c r="T5" s="57">
        <f>0.15*S5</f>
        <v>2.0274858148969558E-3</v>
      </c>
      <c r="U5" s="290">
        <f>T5+Q5</f>
        <v>2.2370663727025869E-3</v>
      </c>
      <c r="V5" s="72">
        <v>46.9</v>
      </c>
      <c r="W5" s="18">
        <v>2974</v>
      </c>
      <c r="X5" s="70">
        <v>1744434.2825838525</v>
      </c>
      <c r="Y5" s="79">
        <f t="shared" ref="Y5:Y36" si="2">(G5/F5)*G5</f>
        <v>37973.704065728321</v>
      </c>
      <c r="Z5" s="33">
        <f t="shared" ref="Z5:Z36" si="3">Y5/$Y$56</f>
        <v>2.3846074066165529E-5</v>
      </c>
      <c r="AA5" s="29">
        <f t="shared" ref="AA5:AA36" si="4">0.85*W5/$W$56</f>
        <v>4.3701708825155477E-4</v>
      </c>
      <c r="AB5" s="29">
        <f t="shared" ref="AB5:AB36" si="5">0.15*V5/$V$56</f>
        <v>1.0965390826168547E-4</v>
      </c>
      <c r="AC5" s="33">
        <f>AA5+AB5</f>
        <v>5.4667099651324028E-4</v>
      </c>
      <c r="AD5" s="33">
        <f t="shared" ref="AD5:AD36" si="6">U5</f>
        <v>2.2370663727025869E-3</v>
      </c>
      <c r="AE5" s="118">
        <f>IF('Datos Mun'!B5="AMM",W5,0)</f>
        <v>0</v>
      </c>
      <c r="AF5" s="33">
        <f>AE5/$AE$56</f>
        <v>0</v>
      </c>
      <c r="AG5" s="118">
        <f>IF('Datos Mun'!B5="AMM",0,W5)</f>
        <v>2974</v>
      </c>
      <c r="AH5" s="33">
        <f>AG5/$AG$56</f>
        <v>3.3592259548210087E-3</v>
      </c>
      <c r="AI5" s="118">
        <f t="shared" ref="AI5:AI36" si="7">IF(D5="Zona de Crec",W5,0)</f>
        <v>0</v>
      </c>
      <c r="AJ5" s="33">
        <f>AI5/$AI$56</f>
        <v>0</v>
      </c>
      <c r="AK5" s="90">
        <f>IF('Datos Mun'!B5="AMM",'Art 14 F I'!F7,'Art 14 F I'!M7)</f>
        <v>4.5190128565958257E-3</v>
      </c>
      <c r="AL5" s="35">
        <f>IF('Datos Mun'!D5="Zona de Crec",'Art 14 F I'!T7,0)</f>
        <v>0</v>
      </c>
    </row>
    <row r="6" spans="1:39">
      <c r="A6" s="17" t="s">
        <v>2</v>
      </c>
      <c r="B6" s="85" t="s">
        <v>91</v>
      </c>
      <c r="C6" s="85" t="s">
        <v>91</v>
      </c>
      <c r="D6" s="85" t="s">
        <v>92</v>
      </c>
      <c r="E6" s="318">
        <v>953414</v>
      </c>
      <c r="F6" s="18">
        <v>2588435</v>
      </c>
      <c r="G6" s="266">
        <v>768052</v>
      </c>
      <c r="H6" s="266">
        <v>2597546</v>
      </c>
      <c r="I6" s="14">
        <f t="shared" si="0"/>
        <v>0.29568369530318234</v>
      </c>
      <c r="J6" s="319">
        <f t="shared" si="1"/>
        <v>-0.19441921347913918</v>
      </c>
      <c r="K6" s="8">
        <v>250</v>
      </c>
      <c r="L6" s="9">
        <v>278</v>
      </c>
      <c r="M6" s="306">
        <f t="shared" ref="M6:M55" si="8">L6/$L$56</f>
        <v>2.5846928538821062E-4</v>
      </c>
      <c r="N6" s="288">
        <v>1.7189329948000001</v>
      </c>
      <c r="O6" s="290">
        <f t="shared" ref="O6:O55" si="9">N6*M6</f>
        <v>4.4429138279617278E-4</v>
      </c>
      <c r="P6" s="307">
        <f t="shared" ref="P6:P55" si="10">O6/$O$56</f>
        <v>2.3043502863712235E-4</v>
      </c>
      <c r="Q6" s="307">
        <f t="shared" ref="Q6:Q55" si="11">0.85*P6</f>
        <v>1.95869774341554E-4</v>
      </c>
      <c r="R6" s="288">
        <f t="shared" ref="R6:R55" si="12">K6/L6</f>
        <v>0.89928057553956831</v>
      </c>
      <c r="S6" s="308">
        <f t="shared" ref="S6:S55" si="13">R6/$R$56</f>
        <v>1.1949866568941082E-2</v>
      </c>
      <c r="T6" s="14">
        <f t="shared" ref="T6:T55" si="14">0.15*S6</f>
        <v>1.7924799853411622E-3</v>
      </c>
      <c r="U6" s="290">
        <f t="shared" ref="U6:U55" si="15">T6+Q6</f>
        <v>1.9883497596827164E-3</v>
      </c>
      <c r="V6" s="72">
        <v>980.9</v>
      </c>
      <c r="W6" s="18">
        <v>3382</v>
      </c>
      <c r="X6" s="70">
        <v>2900632.6789315422</v>
      </c>
      <c r="Y6" s="79">
        <f t="shared" si="2"/>
        <v>227899.82159258393</v>
      </c>
      <c r="Z6" s="33">
        <f t="shared" si="3"/>
        <v>1.4311261329566678E-4</v>
      </c>
      <c r="AA6" s="29">
        <f t="shared" si="4"/>
        <v>4.9697101293435045E-4</v>
      </c>
      <c r="AB6" s="29">
        <f t="shared" si="5"/>
        <v>2.2933799278014345E-3</v>
      </c>
      <c r="AC6" s="33">
        <f t="shared" ref="AC6:AC55" si="16">AA6+AB6</f>
        <v>2.7903509407357849E-3</v>
      </c>
      <c r="AD6" s="33">
        <f t="shared" si="6"/>
        <v>1.9883497596827164E-3</v>
      </c>
      <c r="AE6" s="118">
        <f>IF('Datos Mun'!B6="AMM",W6,0)</f>
        <v>0</v>
      </c>
      <c r="AF6" s="33">
        <f t="shared" ref="AF6:AF55" si="17">AE6/$AE$56</f>
        <v>0</v>
      </c>
      <c r="AG6" s="118">
        <f>IF('Datos Mun'!B6="AMM",0,W6)</f>
        <v>3382</v>
      </c>
      <c r="AH6" s="33">
        <f t="shared" ref="AH6:AH55" si="18">AG6/$AG$56</f>
        <v>3.8200747071972601E-3</v>
      </c>
      <c r="AI6" s="118">
        <f t="shared" si="7"/>
        <v>0</v>
      </c>
      <c r="AJ6" s="33">
        <f t="shared" ref="AJ6:AJ55" si="19">AI6/$AI$56</f>
        <v>0</v>
      </c>
      <c r="AK6" s="90">
        <f>IF('Datos Mun'!B6="AMM",'Art 14 F I'!F8,'Art 14 F I'!M8)</f>
        <v>8.0837136300322618E-3</v>
      </c>
      <c r="AL6" s="35">
        <f>IF('Datos Mun'!D6="Zona de Crec",'Art 14 F I'!T8,0)</f>
        <v>0</v>
      </c>
    </row>
    <row r="7" spans="1:39">
      <c r="A7" s="17" t="s">
        <v>3</v>
      </c>
      <c r="B7" s="85" t="s">
        <v>91</v>
      </c>
      <c r="C7" s="85" t="s">
        <v>91</v>
      </c>
      <c r="D7" s="85" t="s">
        <v>92</v>
      </c>
      <c r="E7" s="318">
        <v>293401</v>
      </c>
      <c r="F7" s="18">
        <v>1115974</v>
      </c>
      <c r="G7" s="266">
        <v>272877</v>
      </c>
      <c r="H7" s="266">
        <v>1129316</v>
      </c>
      <c r="I7" s="14">
        <f t="shared" si="0"/>
        <v>0.24163033198856654</v>
      </c>
      <c r="J7" s="319">
        <f t="shared" si="1"/>
        <v>-6.9952045153220344E-2</v>
      </c>
      <c r="K7" s="8">
        <v>366</v>
      </c>
      <c r="L7" s="9">
        <v>167</v>
      </c>
      <c r="M7" s="306">
        <f t="shared" si="8"/>
        <v>1.5526752035910496E-4</v>
      </c>
      <c r="N7" s="288">
        <v>1.7050555638</v>
      </c>
      <c r="O7" s="290">
        <f t="shared" si="9"/>
        <v>2.6473974946572169E-4</v>
      </c>
      <c r="P7" s="307">
        <f t="shared" si="10"/>
        <v>1.3730923918798022E-4</v>
      </c>
      <c r="Q7" s="307">
        <f t="shared" si="11"/>
        <v>1.1671285330978319E-4</v>
      </c>
      <c r="R7" s="288">
        <f t="shared" si="12"/>
        <v>2.191616766467066</v>
      </c>
      <c r="S7" s="308">
        <f t="shared" si="13"/>
        <v>2.9122755057643529E-2</v>
      </c>
      <c r="T7" s="14">
        <f t="shared" si="14"/>
        <v>4.3684132586465294E-3</v>
      </c>
      <c r="U7" s="290">
        <f t="shared" si="15"/>
        <v>4.4851261119563121E-3</v>
      </c>
      <c r="V7" s="72">
        <v>694.5</v>
      </c>
      <c r="W7" s="18">
        <v>1407</v>
      </c>
      <c r="X7" s="70">
        <v>2209789.0505263684</v>
      </c>
      <c r="Y7" s="79">
        <f t="shared" si="2"/>
        <v>66723.648695220501</v>
      </c>
      <c r="Z7" s="33">
        <f t="shared" si="3"/>
        <v>4.1899970200352918E-5</v>
      </c>
      <c r="AA7" s="29">
        <f t="shared" si="4"/>
        <v>2.0675287261934686E-4</v>
      </c>
      <c r="AB7" s="29">
        <f t="shared" si="5"/>
        <v>1.6237662961138713E-3</v>
      </c>
      <c r="AC7" s="33">
        <f t="shared" si="16"/>
        <v>1.8305191687332182E-3</v>
      </c>
      <c r="AD7" s="33">
        <f t="shared" si="6"/>
        <v>4.4851261119563121E-3</v>
      </c>
      <c r="AE7" s="118">
        <f>IF('Datos Mun'!B7="AMM",W7,0)</f>
        <v>0</v>
      </c>
      <c r="AF7" s="33">
        <f t="shared" si="17"/>
        <v>0</v>
      </c>
      <c r="AG7" s="118">
        <f>IF('Datos Mun'!B7="AMM",0,W7)</f>
        <v>1407</v>
      </c>
      <c r="AH7" s="33">
        <f t="shared" si="18"/>
        <v>1.5892504769445728E-3</v>
      </c>
      <c r="AI7" s="118">
        <f t="shared" si="7"/>
        <v>0</v>
      </c>
      <c r="AJ7" s="33">
        <f t="shared" si="19"/>
        <v>0</v>
      </c>
      <c r="AK7" s="90">
        <f>IF('Datos Mun'!B7="AMM",'Art 14 F I'!F9,'Art 14 F I'!M9)</f>
        <v>1.0213630624389486E-2</v>
      </c>
      <c r="AL7" s="35">
        <f>IF('Datos Mun'!D7="Zona de Crec",'Art 14 F I'!T9,0)</f>
        <v>0</v>
      </c>
    </row>
    <row r="8" spans="1:39">
      <c r="A8" s="17" t="s">
        <v>4</v>
      </c>
      <c r="B8" s="85" t="s">
        <v>91</v>
      </c>
      <c r="C8" s="85" t="s">
        <v>91</v>
      </c>
      <c r="D8" s="85" t="s">
        <v>92</v>
      </c>
      <c r="E8" s="318">
        <v>18200124</v>
      </c>
      <c r="F8" s="18">
        <v>37146815</v>
      </c>
      <c r="G8" s="266">
        <v>23142962</v>
      </c>
      <c r="H8" s="266">
        <v>54890194.010000005</v>
      </c>
      <c r="I8" s="14">
        <f t="shared" si="0"/>
        <v>0.42162288578873974</v>
      </c>
      <c r="J8" s="319">
        <f t="shared" si="1"/>
        <v>0.27158265515114072</v>
      </c>
      <c r="K8" s="8">
        <v>6372</v>
      </c>
      <c r="L8" s="9">
        <v>6876</v>
      </c>
      <c r="M8" s="306">
        <f t="shared" si="8"/>
        <v>6.3929309580191959E-3</v>
      </c>
      <c r="N8" s="288">
        <v>1.5964581414000001</v>
      </c>
      <c r="O8" s="290">
        <f t="shared" si="9"/>
        <v>1.0206046675337848E-2</v>
      </c>
      <c r="P8" s="307">
        <f t="shared" si="10"/>
        <v>5.2934419819306551E-3</v>
      </c>
      <c r="Q8" s="307">
        <f t="shared" si="11"/>
        <v>4.499425684641057E-3</v>
      </c>
      <c r="R8" s="288">
        <f t="shared" si="12"/>
        <v>0.92670157068062831</v>
      </c>
      <c r="S8" s="308">
        <f t="shared" si="13"/>
        <v>1.2314243652174133E-2</v>
      </c>
      <c r="T8" s="14">
        <f t="shared" si="14"/>
        <v>1.8471365478261198E-3</v>
      </c>
      <c r="U8" s="290">
        <f t="shared" si="15"/>
        <v>6.3465622324671766E-3</v>
      </c>
      <c r="V8" s="72">
        <v>190.5</v>
      </c>
      <c r="W8" s="18">
        <v>35289</v>
      </c>
      <c r="X8" s="70">
        <v>8518240.5976785552</v>
      </c>
      <c r="Y8" s="79">
        <f t="shared" si="2"/>
        <v>14418374.499494614</v>
      </c>
      <c r="Z8" s="33">
        <f t="shared" si="3"/>
        <v>9.0542030251656077E-3</v>
      </c>
      <c r="AA8" s="29">
        <f t="shared" si="4"/>
        <v>5.1855736473803348E-3</v>
      </c>
      <c r="AB8" s="29">
        <f t="shared" si="5"/>
        <v>4.4539593867486317E-4</v>
      </c>
      <c r="AC8" s="33">
        <f t="shared" si="16"/>
        <v>5.6309695860551979E-3</v>
      </c>
      <c r="AD8" s="33">
        <f t="shared" si="6"/>
        <v>6.3465622324671766E-3</v>
      </c>
      <c r="AE8" s="118">
        <f>IF('Datos Mun'!B8="AMM",W8,0)</f>
        <v>0</v>
      </c>
      <c r="AF8" s="33">
        <f t="shared" si="17"/>
        <v>0</v>
      </c>
      <c r="AG8" s="118">
        <f>IF('Datos Mun'!B8="AMM",0,W8)</f>
        <v>35289</v>
      </c>
      <c r="AH8" s="33">
        <f t="shared" si="18"/>
        <v>3.9860028486778269E-2</v>
      </c>
      <c r="AI8" s="118">
        <f t="shared" si="7"/>
        <v>0</v>
      </c>
      <c r="AJ8" s="33">
        <f t="shared" si="19"/>
        <v>0</v>
      </c>
      <c r="AK8" s="90">
        <f>IF('Datos Mun'!B8="AMM",'Art 14 F I'!F10,'Art 14 F I'!M10)</f>
        <v>4.8017702435845189E-2</v>
      </c>
      <c r="AL8" s="35">
        <f>IF('Datos Mun'!D8="Zona de Crec",'Art 14 F I'!T10,0)</f>
        <v>0</v>
      </c>
    </row>
    <row r="9" spans="1:39">
      <c r="A9" s="17" t="s">
        <v>5</v>
      </c>
      <c r="B9" s="85" t="s">
        <v>91</v>
      </c>
      <c r="C9" s="85" t="s">
        <v>91</v>
      </c>
      <c r="D9" s="85" t="s">
        <v>92</v>
      </c>
      <c r="E9" s="318">
        <v>1756976</v>
      </c>
      <c r="F9" s="18">
        <v>10240869</v>
      </c>
      <c r="G9" s="266">
        <v>2531264</v>
      </c>
      <c r="H9" s="266">
        <v>10678636</v>
      </c>
      <c r="I9" s="14">
        <f t="shared" si="0"/>
        <v>0.23704001147712123</v>
      </c>
      <c r="J9" s="319">
        <f t="shared" si="1"/>
        <v>0.44069355529045362</v>
      </c>
      <c r="K9" s="8">
        <v>7349</v>
      </c>
      <c r="L9" s="9">
        <v>5491</v>
      </c>
      <c r="M9" s="306">
        <f t="shared" si="8"/>
        <v>5.1052332592326066E-3</v>
      </c>
      <c r="N9" s="288">
        <v>1.7933312159000001</v>
      </c>
      <c r="O9" s="290">
        <f t="shared" si="9"/>
        <v>9.1553741682327307E-3</v>
      </c>
      <c r="P9" s="307">
        <f t="shared" si="10"/>
        <v>4.7485028752136602E-3</v>
      </c>
      <c r="Q9" s="307">
        <f t="shared" si="11"/>
        <v>4.036227443931611E-3</v>
      </c>
      <c r="R9" s="288">
        <f t="shared" si="12"/>
        <v>1.3383718812602441</v>
      </c>
      <c r="S9" s="308">
        <f t="shared" si="13"/>
        <v>1.7784622325559021E-2</v>
      </c>
      <c r="T9" s="14">
        <f t="shared" si="14"/>
        <v>2.6676933488338529E-3</v>
      </c>
      <c r="U9" s="290">
        <f t="shared" si="15"/>
        <v>6.7039207927654639E-3</v>
      </c>
      <c r="V9" s="72">
        <v>4539.2</v>
      </c>
      <c r="W9" s="18">
        <v>18030</v>
      </c>
      <c r="X9" s="70">
        <v>6137628.3987900307</v>
      </c>
      <c r="Y9" s="79">
        <f t="shared" si="2"/>
        <v>625659.5448780763</v>
      </c>
      <c r="Z9" s="33">
        <f t="shared" si="3"/>
        <v>3.9289092845780761E-4</v>
      </c>
      <c r="AA9" s="29">
        <f t="shared" si="4"/>
        <v>2.6494344657617798E-3</v>
      </c>
      <c r="AB9" s="29">
        <f t="shared" si="5"/>
        <v>1.0612814933506241E-2</v>
      </c>
      <c r="AC9" s="33">
        <f t="shared" si="16"/>
        <v>1.3262249399268022E-2</v>
      </c>
      <c r="AD9" s="33">
        <f t="shared" si="6"/>
        <v>6.7039207927654639E-3</v>
      </c>
      <c r="AE9" s="118">
        <f>IF('Datos Mun'!B9="AMM",W9,0)</f>
        <v>0</v>
      </c>
      <c r="AF9" s="33">
        <f t="shared" si="17"/>
        <v>0</v>
      </c>
      <c r="AG9" s="118">
        <f>IF('Datos Mun'!B9="AMM",0,W9)</f>
        <v>18030</v>
      </c>
      <c r="AH9" s="33">
        <f t="shared" si="18"/>
        <v>2.0365448542509344E-2</v>
      </c>
      <c r="AI9" s="118">
        <f t="shared" si="7"/>
        <v>0</v>
      </c>
      <c r="AJ9" s="33">
        <f t="shared" si="19"/>
        <v>0</v>
      </c>
      <c r="AK9" s="90">
        <f>IF('Datos Mun'!B9="AMM",'Art 14 F I'!F11,'Art 14 F I'!M11)</f>
        <v>3.3120491798959345E-2</v>
      </c>
      <c r="AL9" s="35">
        <f>IF('Datos Mun'!D9="Zona de Crec",'Art 14 F I'!T11,0)</f>
        <v>0</v>
      </c>
    </row>
    <row r="10" spans="1:39">
      <c r="A10" s="17" t="s">
        <v>6</v>
      </c>
      <c r="B10" s="85" t="s">
        <v>93</v>
      </c>
      <c r="C10" s="85" t="s">
        <v>93</v>
      </c>
      <c r="D10" s="85" t="s">
        <v>94</v>
      </c>
      <c r="E10" s="318">
        <v>292840828.44000006</v>
      </c>
      <c r="F10" s="18">
        <v>679461530</v>
      </c>
      <c r="G10" s="266">
        <v>299493654.98000002</v>
      </c>
      <c r="H10" s="266">
        <v>683317463.73000002</v>
      </c>
      <c r="I10" s="14">
        <f t="shared" si="0"/>
        <v>0.43829357637834249</v>
      </c>
      <c r="J10" s="319">
        <f t="shared" si="1"/>
        <v>2.2718234255245096E-2</v>
      </c>
      <c r="K10" s="8">
        <v>77936</v>
      </c>
      <c r="L10" s="9">
        <v>87455</v>
      </c>
      <c r="M10" s="306">
        <f t="shared" si="8"/>
        <v>8.1310904149733673E-2</v>
      </c>
      <c r="N10" s="288">
        <v>1.8323297204</v>
      </c>
      <c r="O10" s="290">
        <f t="shared" si="9"/>
        <v>0.14898838626615271</v>
      </c>
      <c r="P10" s="307">
        <f t="shared" si="10"/>
        <v>7.7273934146028844E-2</v>
      </c>
      <c r="Q10" s="307">
        <f t="shared" si="11"/>
        <v>6.5682844024124512E-2</v>
      </c>
      <c r="R10" s="288">
        <f t="shared" si="12"/>
        <v>0.89115545137499286</v>
      </c>
      <c r="S10" s="308">
        <f t="shared" si="13"/>
        <v>1.1841897874560577E-2</v>
      </c>
      <c r="T10" s="14">
        <f t="shared" si="14"/>
        <v>1.7762846811840865E-3</v>
      </c>
      <c r="U10" s="290">
        <f t="shared" si="15"/>
        <v>6.7459128705308596E-2</v>
      </c>
      <c r="V10" s="72">
        <v>224</v>
      </c>
      <c r="W10" s="18">
        <v>656464</v>
      </c>
      <c r="X10" s="70">
        <v>20753289.731132537</v>
      </c>
      <c r="Y10" s="79">
        <f t="shared" si="2"/>
        <v>132011078.49811494</v>
      </c>
      <c r="Z10" s="33">
        <f t="shared" si="3"/>
        <v>8.2898048343445538E-2</v>
      </c>
      <c r="AA10" s="29">
        <f t="shared" si="4"/>
        <v>9.6464689247467608E-2</v>
      </c>
      <c r="AB10" s="29">
        <f t="shared" si="5"/>
        <v>5.2372015886178146E-4</v>
      </c>
      <c r="AC10" s="33">
        <f t="shared" si="16"/>
        <v>9.6988409406329384E-2</v>
      </c>
      <c r="AD10" s="33">
        <f t="shared" si="6"/>
        <v>6.7459128705308596E-2</v>
      </c>
      <c r="AE10" s="118">
        <f>IF('Datos Mun'!B10="AMM",W10,0)</f>
        <v>656464</v>
      </c>
      <c r="AF10" s="33">
        <f t="shared" si="17"/>
        <v>0.13399633689240861</v>
      </c>
      <c r="AG10" s="118">
        <f>IF('Datos Mun'!B10="AMM",0,W10)</f>
        <v>0</v>
      </c>
      <c r="AH10" s="33">
        <f t="shared" si="18"/>
        <v>0</v>
      </c>
      <c r="AI10" s="118">
        <f t="shared" si="7"/>
        <v>656464</v>
      </c>
      <c r="AJ10" s="33">
        <f t="shared" si="19"/>
        <v>0.21943487323890931</v>
      </c>
      <c r="AK10" s="90">
        <f>IF('Datos Mun'!B10="AMM",'Art 14 F I'!F12,'Art 14 F I'!M12)</f>
        <v>9.789519480171506E-2</v>
      </c>
      <c r="AL10" s="35">
        <f>IF('Datos Mun'!D10="Zona de Crec",'Art 14 F I'!T12,0)</f>
        <v>0.24392413702459448</v>
      </c>
    </row>
    <row r="11" spans="1:39">
      <c r="A11" s="17" t="s">
        <v>7</v>
      </c>
      <c r="B11" s="85" t="s">
        <v>91</v>
      </c>
      <c r="C11" s="85" t="s">
        <v>91</v>
      </c>
      <c r="D11" s="85" t="s">
        <v>92</v>
      </c>
      <c r="E11" s="318">
        <v>785811.45</v>
      </c>
      <c r="F11" s="18">
        <v>1835394</v>
      </c>
      <c r="G11" s="266">
        <v>788778.4</v>
      </c>
      <c r="H11" s="266">
        <v>1836204</v>
      </c>
      <c r="I11" s="14">
        <f t="shared" si="0"/>
        <v>0.42957013490875745</v>
      </c>
      <c r="J11" s="319">
        <f t="shared" si="1"/>
        <v>3.7756512710524514E-3</v>
      </c>
      <c r="K11" s="8">
        <v>10274</v>
      </c>
      <c r="L11" s="9">
        <v>7471</v>
      </c>
      <c r="M11" s="306">
        <f t="shared" si="8"/>
        <v>6.9461296084004373E-3</v>
      </c>
      <c r="N11" s="288">
        <v>2.3084826450000002</v>
      </c>
      <c r="O11" s="290">
        <f t="shared" si="9"/>
        <v>1.6035019650913057E-2</v>
      </c>
      <c r="P11" s="307">
        <f t="shared" si="10"/>
        <v>8.3166821494490614E-3</v>
      </c>
      <c r="Q11" s="307">
        <f t="shared" si="11"/>
        <v>7.0691798270317019E-3</v>
      </c>
      <c r="R11" s="288">
        <f t="shared" si="12"/>
        <v>1.375184044973899</v>
      </c>
      <c r="S11" s="308">
        <f t="shared" si="13"/>
        <v>1.8273791619834338E-2</v>
      </c>
      <c r="T11" s="14">
        <f t="shared" si="14"/>
        <v>2.7410687429751507E-3</v>
      </c>
      <c r="U11" s="290">
        <f t="shared" si="15"/>
        <v>9.8102485700068531E-3</v>
      </c>
      <c r="V11" s="72">
        <v>2688.6</v>
      </c>
      <c r="W11" s="18">
        <v>14992</v>
      </c>
      <c r="X11" s="70">
        <v>8224675.0942434929</v>
      </c>
      <c r="Y11" s="79">
        <f t="shared" si="2"/>
        <v>338985.17937105609</v>
      </c>
      <c r="Z11" s="33">
        <f t="shared" si="3"/>
        <v>2.1287008716934795E-4</v>
      </c>
      <c r="AA11" s="29">
        <f t="shared" si="4"/>
        <v>2.2030128403050801E-3</v>
      </c>
      <c r="AB11" s="29">
        <f t="shared" si="5"/>
        <v>6.2860447281954702E-3</v>
      </c>
      <c r="AC11" s="33">
        <f t="shared" si="16"/>
        <v>8.48905756850055E-3</v>
      </c>
      <c r="AD11" s="33">
        <f t="shared" si="6"/>
        <v>9.8102485700068531E-3</v>
      </c>
      <c r="AE11" s="118">
        <f>IF('Datos Mun'!B11="AMM",W11,0)</f>
        <v>0</v>
      </c>
      <c r="AF11" s="33">
        <f t="shared" si="17"/>
        <v>0</v>
      </c>
      <c r="AG11" s="118">
        <f>IF('Datos Mun'!B11="AMM",0,W11)</f>
        <v>14992</v>
      </c>
      <c r="AH11" s="33">
        <f t="shared" si="18"/>
        <v>1.6933932587315591E-2</v>
      </c>
      <c r="AI11" s="118">
        <f t="shared" si="7"/>
        <v>0</v>
      </c>
      <c r="AJ11" s="33">
        <f t="shared" si="19"/>
        <v>0</v>
      </c>
      <c r="AK11" s="90">
        <f>IF('Datos Mun'!B11="AMM",'Art 14 F I'!F13,'Art 14 F I'!M13)</f>
        <v>2.9885513486966626E-2</v>
      </c>
      <c r="AL11" s="35">
        <f>IF('Datos Mun'!D11="Zona de Crec",'Art 14 F I'!T13,0)</f>
        <v>0</v>
      </c>
    </row>
    <row r="12" spans="1:39">
      <c r="A12" s="17" t="s">
        <v>8</v>
      </c>
      <c r="B12" s="85" t="s">
        <v>91</v>
      </c>
      <c r="C12" s="85" t="s">
        <v>91</v>
      </c>
      <c r="D12" s="85" t="s">
        <v>92</v>
      </c>
      <c r="E12" s="318">
        <v>927656</v>
      </c>
      <c r="F12" s="18">
        <v>2443492</v>
      </c>
      <c r="G12" s="266">
        <v>799410</v>
      </c>
      <c r="H12" s="266">
        <v>2185720</v>
      </c>
      <c r="I12" s="14">
        <f t="shared" si="0"/>
        <v>0.36574218106619327</v>
      </c>
      <c r="J12" s="319">
        <f t="shared" si="1"/>
        <v>-0.13824736755866399</v>
      </c>
      <c r="K12" s="8">
        <v>1472</v>
      </c>
      <c r="L12" s="9">
        <v>1100</v>
      </c>
      <c r="M12" s="306">
        <f t="shared" si="8"/>
        <v>1.0227201939821285E-3</v>
      </c>
      <c r="N12" s="288">
        <v>1.4822637890000001</v>
      </c>
      <c r="O12" s="290">
        <f t="shared" si="9"/>
        <v>1.515941109818765E-3</v>
      </c>
      <c r="P12" s="307">
        <f t="shared" si="10"/>
        <v>7.8625412641311154E-4</v>
      </c>
      <c r="Q12" s="307">
        <f t="shared" si="11"/>
        <v>6.6831600745114481E-4</v>
      </c>
      <c r="R12" s="288">
        <f t="shared" si="12"/>
        <v>1.3381818181818181</v>
      </c>
      <c r="S12" s="308">
        <f t="shared" si="13"/>
        <v>1.7782096719548338E-2</v>
      </c>
      <c r="T12" s="14">
        <f t="shared" si="14"/>
        <v>2.6673145079322506E-3</v>
      </c>
      <c r="U12" s="290">
        <f t="shared" si="15"/>
        <v>3.3356305153833953E-3</v>
      </c>
      <c r="V12" s="72">
        <v>466.7</v>
      </c>
      <c r="W12" s="18">
        <v>3661</v>
      </c>
      <c r="X12" s="70">
        <v>2974219.0796211474</v>
      </c>
      <c r="Y12" s="79">
        <f t="shared" si="2"/>
        <v>261534.04557903195</v>
      </c>
      <c r="Z12" s="33">
        <f t="shared" si="3"/>
        <v>1.6423365523960225E-4</v>
      </c>
      <c r="AA12" s="29">
        <f t="shared" si="4"/>
        <v>5.3796891731302686E-4</v>
      </c>
      <c r="AB12" s="29">
        <f t="shared" si="5"/>
        <v>1.0911615988428275E-3</v>
      </c>
      <c r="AC12" s="33">
        <f t="shared" si="16"/>
        <v>1.6291305161558545E-3</v>
      </c>
      <c r="AD12" s="33">
        <f t="shared" si="6"/>
        <v>3.3356305153833953E-3</v>
      </c>
      <c r="AE12" s="118">
        <f>IF('Datos Mun'!B12="AMM",W12,0)</f>
        <v>0</v>
      </c>
      <c r="AF12" s="33">
        <f t="shared" si="17"/>
        <v>0</v>
      </c>
      <c r="AG12" s="118">
        <f>IF('Datos Mun'!B12="AMM",0,W12)</f>
        <v>3661</v>
      </c>
      <c r="AH12" s="33">
        <f t="shared" si="18"/>
        <v>4.1352139275721966E-3</v>
      </c>
      <c r="AI12" s="118">
        <f t="shared" si="7"/>
        <v>0</v>
      </c>
      <c r="AJ12" s="33">
        <f t="shared" si="19"/>
        <v>0</v>
      </c>
      <c r="AK12" s="90">
        <f>IF('Datos Mun'!B12="AMM",'Art 14 F I'!F14,'Art 14 F I'!M14)</f>
        <v>8.4480884245643501E-3</v>
      </c>
      <c r="AL12" s="35">
        <f>IF('Datos Mun'!D12="Zona de Crec",'Art 14 F I'!T14,0)</f>
        <v>0</v>
      </c>
    </row>
    <row r="13" spans="1:39">
      <c r="A13" s="17" t="s">
        <v>9</v>
      </c>
      <c r="B13" s="85" t="s">
        <v>93</v>
      </c>
      <c r="C13" s="85" t="s">
        <v>91</v>
      </c>
      <c r="D13" s="85" t="s">
        <v>94</v>
      </c>
      <c r="E13" s="318">
        <v>28519495.5</v>
      </c>
      <c r="F13" s="18">
        <v>96076042</v>
      </c>
      <c r="G13" s="266">
        <v>27527682</v>
      </c>
      <c r="H13" s="266">
        <v>110141115</v>
      </c>
      <c r="I13" s="14">
        <f t="shared" si="0"/>
        <v>0.24993102711916435</v>
      </c>
      <c r="J13" s="319">
        <f t="shared" si="1"/>
        <v>-3.4776684601591216E-2</v>
      </c>
      <c r="K13" s="8">
        <v>26523</v>
      </c>
      <c r="L13" s="9">
        <v>24758</v>
      </c>
      <c r="M13" s="306">
        <f t="shared" si="8"/>
        <v>2.3018642329645032E-2</v>
      </c>
      <c r="N13" s="288">
        <v>1.8739893594999999</v>
      </c>
      <c r="O13" s="290">
        <f t="shared" si="9"/>
        <v>4.3136690795891081E-2</v>
      </c>
      <c r="P13" s="307">
        <f t="shared" si="10"/>
        <v>2.2373165367967789E-2</v>
      </c>
      <c r="Q13" s="307">
        <f t="shared" si="11"/>
        <v>1.901719056277262E-2</v>
      </c>
      <c r="R13" s="288">
        <f t="shared" si="12"/>
        <v>1.0712900880523468</v>
      </c>
      <c r="S13" s="308">
        <f t="shared" si="13"/>
        <v>1.4235572253046412E-2</v>
      </c>
      <c r="T13" s="14">
        <f t="shared" si="14"/>
        <v>2.1353358379569616E-3</v>
      </c>
      <c r="U13" s="290">
        <f t="shared" si="15"/>
        <v>2.1152526400729583E-2</v>
      </c>
      <c r="V13" s="72">
        <v>1140.9000000000001</v>
      </c>
      <c r="W13" s="18">
        <v>122337</v>
      </c>
      <c r="X13" s="70">
        <v>6080772.1341687543</v>
      </c>
      <c r="Y13" s="79">
        <f t="shared" si="2"/>
        <v>7887224.1249605604</v>
      </c>
      <c r="Z13" s="33">
        <f t="shared" si="3"/>
        <v>4.9528834567919003E-3</v>
      </c>
      <c r="AA13" s="29">
        <f t="shared" si="4"/>
        <v>1.7976919813527389E-2</v>
      </c>
      <c r="AB13" s="29">
        <f t="shared" si="5"/>
        <v>2.6674657555598503E-3</v>
      </c>
      <c r="AC13" s="33">
        <f t="shared" si="16"/>
        <v>2.064438556908724E-2</v>
      </c>
      <c r="AD13" s="33">
        <f t="shared" si="6"/>
        <v>2.1152526400729583E-2</v>
      </c>
      <c r="AE13" s="118">
        <f>IF('Datos Mun'!B13="AMM",W13,0)</f>
        <v>122337</v>
      </c>
      <c r="AF13" s="33">
        <f t="shared" si="17"/>
        <v>2.4971224418104562E-2</v>
      </c>
      <c r="AG13" s="118">
        <f>IF('Datos Mun'!B13="AMM",0,W13)</f>
        <v>0</v>
      </c>
      <c r="AH13" s="33">
        <f t="shared" si="18"/>
        <v>0</v>
      </c>
      <c r="AI13" s="118">
        <f t="shared" si="7"/>
        <v>122337</v>
      </c>
      <c r="AJ13" s="33">
        <f t="shared" si="19"/>
        <v>4.0893337772411664E-2</v>
      </c>
      <c r="AK13" s="90">
        <f>IF('Datos Mun'!B13="AMM",'Art 14 F I'!F15,'Art 14 F I'!M15)</f>
        <v>1.5326393267651766E-2</v>
      </c>
      <c r="AL13" s="35">
        <f>IF('Datos Mun'!D13="Zona de Crec",'Art 14 F I'!T15,0)</f>
        <v>3.818856746833927E-2</v>
      </c>
    </row>
    <row r="14" spans="1:39">
      <c r="A14" s="17" t="s">
        <v>10</v>
      </c>
      <c r="B14" s="85" t="s">
        <v>91</v>
      </c>
      <c r="C14" s="85" t="s">
        <v>91</v>
      </c>
      <c r="D14" s="85" t="s">
        <v>94</v>
      </c>
      <c r="E14" s="318">
        <v>6103961.7199999997</v>
      </c>
      <c r="F14" s="18">
        <v>25918809</v>
      </c>
      <c r="G14" s="266">
        <v>4946842.92</v>
      </c>
      <c r="H14" s="266">
        <v>32779189</v>
      </c>
      <c r="I14" s="14">
        <f t="shared" si="0"/>
        <v>0.15091413396469328</v>
      </c>
      <c r="J14" s="319">
        <f t="shared" si="1"/>
        <v>-0.1895684889714544</v>
      </c>
      <c r="K14" s="8">
        <v>8234</v>
      </c>
      <c r="L14" s="9">
        <v>27842</v>
      </c>
      <c r="M14" s="306">
        <f t="shared" si="8"/>
        <v>2.5885977855318563E-2</v>
      </c>
      <c r="N14" s="288">
        <v>1.8343045897000001</v>
      </c>
      <c r="O14" s="290">
        <f t="shared" si="9"/>
        <v>4.7482767988883408E-2</v>
      </c>
      <c r="P14" s="307">
        <f t="shared" si="10"/>
        <v>2.4627290613709465E-2</v>
      </c>
      <c r="Q14" s="307">
        <f t="shared" si="11"/>
        <v>2.0933197021653045E-2</v>
      </c>
      <c r="R14" s="288">
        <f t="shared" si="12"/>
        <v>0.29574024854536313</v>
      </c>
      <c r="S14" s="308">
        <f t="shared" si="13"/>
        <v>3.9298708382110078E-3</v>
      </c>
      <c r="T14" s="14">
        <f t="shared" si="14"/>
        <v>5.8948062573165115E-4</v>
      </c>
      <c r="U14" s="290">
        <f t="shared" si="15"/>
        <v>2.1522677647384695E-2</v>
      </c>
      <c r="V14" s="72">
        <v>104.3</v>
      </c>
      <c r="W14" s="18">
        <v>104478</v>
      </c>
      <c r="X14" s="70">
        <v>4234401.3555107117</v>
      </c>
      <c r="Y14" s="79">
        <f t="shared" si="2"/>
        <v>944150.43820702273</v>
      </c>
      <c r="Z14" s="33">
        <f t="shared" si="3"/>
        <v>5.9289136609158675E-4</v>
      </c>
      <c r="AA14" s="29">
        <f t="shared" si="4"/>
        <v>1.5352613095610606E-2</v>
      </c>
      <c r="AB14" s="29">
        <f t="shared" si="5"/>
        <v>2.4385719897001694E-4</v>
      </c>
      <c r="AC14" s="33">
        <f t="shared" si="16"/>
        <v>1.5596470294580623E-2</v>
      </c>
      <c r="AD14" s="33">
        <f t="shared" si="6"/>
        <v>2.1522677647384695E-2</v>
      </c>
      <c r="AE14" s="118">
        <f>IF('Datos Mun'!B14="AMM",W14,0)</f>
        <v>0</v>
      </c>
      <c r="AF14" s="33">
        <f t="shared" si="17"/>
        <v>0</v>
      </c>
      <c r="AG14" s="118">
        <f>IF('Datos Mun'!B14="AMM",0,W14)</f>
        <v>104478</v>
      </c>
      <c r="AH14" s="33">
        <f t="shared" si="18"/>
        <v>0.11801116654599508</v>
      </c>
      <c r="AI14" s="118">
        <f t="shared" si="7"/>
        <v>104478</v>
      </c>
      <c r="AJ14" s="33">
        <f t="shared" si="19"/>
        <v>3.4923646515657776E-2</v>
      </c>
      <c r="AK14" s="90">
        <f>IF('Datos Mun'!B14="AMM",'Art 14 F I'!F16,'Art 14 F I'!M16)</f>
        <v>6.1135364001435634E-2</v>
      </c>
      <c r="AL14" s="35">
        <f>IF('Datos Mun'!D14="Zona de Crec",'Art 14 F I'!T16,0)</f>
        <v>2.8292739583546417E-2</v>
      </c>
    </row>
    <row r="15" spans="1:39">
      <c r="A15" s="17" t="s">
        <v>191</v>
      </c>
      <c r="B15" s="85" t="s">
        <v>91</v>
      </c>
      <c r="C15" s="85" t="s">
        <v>91</v>
      </c>
      <c r="D15" s="85" t="s">
        <v>92</v>
      </c>
      <c r="E15" s="318">
        <v>826855</v>
      </c>
      <c r="F15" s="18">
        <v>2065528</v>
      </c>
      <c r="G15" s="266">
        <v>1221813</v>
      </c>
      <c r="H15" s="266">
        <v>2853628</v>
      </c>
      <c r="I15" s="14">
        <f t="shared" si="0"/>
        <v>0.42816127399927389</v>
      </c>
      <c r="J15" s="319">
        <f t="shared" si="1"/>
        <v>0.47766295178719365</v>
      </c>
      <c r="K15" s="8">
        <v>3737</v>
      </c>
      <c r="L15" s="9">
        <v>763</v>
      </c>
      <c r="M15" s="306">
        <f t="shared" si="8"/>
        <v>7.0939591637123999E-4</v>
      </c>
      <c r="N15" s="288">
        <v>1.7930753231000001</v>
      </c>
      <c r="O15" s="290">
        <f t="shared" si="9"/>
        <v>1.2720003119531817E-3</v>
      </c>
      <c r="P15" s="307">
        <f t="shared" si="10"/>
        <v>6.5973241809605702E-4</v>
      </c>
      <c r="Q15" s="307">
        <f t="shared" si="11"/>
        <v>5.607725553816484E-4</v>
      </c>
      <c r="R15" s="288">
        <f t="shared" si="12"/>
        <v>4.8977719528178243</v>
      </c>
      <c r="S15" s="308">
        <f t="shared" si="13"/>
        <v>6.5082826109257794E-2</v>
      </c>
      <c r="T15" s="14">
        <f t="shared" si="14"/>
        <v>9.762423916388669E-3</v>
      </c>
      <c r="U15" s="290">
        <f t="shared" si="15"/>
        <v>1.0323196471770317E-2</v>
      </c>
      <c r="V15" s="72">
        <v>1007.4</v>
      </c>
      <c r="W15" s="18">
        <v>7340</v>
      </c>
      <c r="X15" s="70">
        <v>3693123.365987632</v>
      </c>
      <c r="Y15" s="79">
        <f t="shared" si="2"/>
        <v>722733.85157160775</v>
      </c>
      <c r="Z15" s="33">
        <f t="shared" si="3"/>
        <v>4.5384998326396719E-4</v>
      </c>
      <c r="AA15" s="29">
        <f t="shared" si="4"/>
        <v>1.0785828607150006E-3</v>
      </c>
      <c r="AB15" s="29">
        <f t="shared" si="5"/>
        <v>2.3553378930239221E-3</v>
      </c>
      <c r="AC15" s="33">
        <f t="shared" si="16"/>
        <v>3.4339207537389229E-3</v>
      </c>
      <c r="AD15" s="33">
        <f t="shared" si="6"/>
        <v>1.0323196471770317E-2</v>
      </c>
      <c r="AE15" s="118">
        <f>IF('Datos Mun'!B15="AMM",W15,0)</f>
        <v>0</v>
      </c>
      <c r="AF15" s="33">
        <f t="shared" si="17"/>
        <v>0</v>
      </c>
      <c r="AG15" s="118">
        <f>IF('Datos Mun'!B15="AMM",0,W15)</f>
        <v>7340</v>
      </c>
      <c r="AH15" s="33">
        <f t="shared" si="18"/>
        <v>8.2907594177492275E-3</v>
      </c>
      <c r="AI15" s="118">
        <f t="shared" si="7"/>
        <v>0</v>
      </c>
      <c r="AJ15" s="33">
        <f t="shared" si="19"/>
        <v>0</v>
      </c>
      <c r="AK15" s="90">
        <f>IF('Datos Mun'!B15="AMM",'Art 14 F I'!F17,'Art 14 F I'!M17)</f>
        <v>2.3405314179429294E-2</v>
      </c>
      <c r="AL15" s="35">
        <f>IF('Datos Mun'!D15="Zona de Crec",'Art 14 F I'!T17,0)</f>
        <v>0</v>
      </c>
    </row>
    <row r="16" spans="1:39">
      <c r="A16" s="17" t="s">
        <v>12</v>
      </c>
      <c r="B16" s="85" t="s">
        <v>91</v>
      </c>
      <c r="C16" s="85" t="s">
        <v>91</v>
      </c>
      <c r="D16" s="85" t="s">
        <v>92</v>
      </c>
      <c r="E16" s="318">
        <v>1648610</v>
      </c>
      <c r="F16" s="18">
        <v>4522487</v>
      </c>
      <c r="G16" s="266">
        <v>1408205</v>
      </c>
      <c r="H16" s="266">
        <v>4729640</v>
      </c>
      <c r="I16" s="14">
        <f t="shared" si="0"/>
        <v>0.29774041998968209</v>
      </c>
      <c r="J16" s="319">
        <f t="shared" si="1"/>
        <v>-0.1458228446994741</v>
      </c>
      <c r="K16" s="8">
        <v>4127</v>
      </c>
      <c r="L16" s="9">
        <v>1614</v>
      </c>
      <c r="M16" s="306">
        <f t="shared" si="8"/>
        <v>1.5006094482610502E-3</v>
      </c>
      <c r="N16" s="288">
        <v>1.7681716602999999</v>
      </c>
      <c r="O16" s="290">
        <f t="shared" si="9"/>
        <v>2.6533350995936078E-3</v>
      </c>
      <c r="P16" s="307">
        <f t="shared" si="10"/>
        <v>1.3761719748213892E-3</v>
      </c>
      <c r="Q16" s="307">
        <f t="shared" si="11"/>
        <v>1.1697461785981809E-3</v>
      </c>
      <c r="R16" s="288">
        <f t="shared" si="12"/>
        <v>2.5570012391573731</v>
      </c>
      <c r="S16" s="308">
        <f t="shared" si="13"/>
        <v>3.3978075870496942E-2</v>
      </c>
      <c r="T16" s="14">
        <f t="shared" si="14"/>
        <v>5.0967113805745409E-3</v>
      </c>
      <c r="U16" s="290">
        <f t="shared" si="15"/>
        <v>6.2664575591727216E-3</v>
      </c>
      <c r="V16" s="72">
        <v>4265.7</v>
      </c>
      <c r="W16" s="18">
        <v>9930</v>
      </c>
      <c r="X16" s="70">
        <v>5563132.2810582956</v>
      </c>
      <c r="Y16" s="79">
        <f t="shared" si="2"/>
        <v>438484.69260939833</v>
      </c>
      <c r="Z16" s="33">
        <f t="shared" si="3"/>
        <v>2.7535208150211281E-4</v>
      </c>
      <c r="AA16" s="29">
        <f t="shared" si="4"/>
        <v>1.4591727257356889E-3</v>
      </c>
      <c r="AB16" s="29">
        <f t="shared" si="5"/>
        <v>9.9733619716816987E-3</v>
      </c>
      <c r="AC16" s="33">
        <f t="shared" si="16"/>
        <v>1.1432534697417387E-2</v>
      </c>
      <c r="AD16" s="33">
        <f t="shared" si="6"/>
        <v>6.2664575591727216E-3</v>
      </c>
      <c r="AE16" s="118">
        <f>IF('Datos Mun'!B16="AMM",W16,0)</f>
        <v>0</v>
      </c>
      <c r="AF16" s="33">
        <f t="shared" si="17"/>
        <v>0</v>
      </c>
      <c r="AG16" s="118">
        <f>IF('Datos Mun'!B16="AMM",0,W16)</f>
        <v>9930</v>
      </c>
      <c r="AH16" s="33">
        <f t="shared" si="18"/>
        <v>1.1216245370333765E-2</v>
      </c>
      <c r="AI16" s="118">
        <f t="shared" si="7"/>
        <v>0</v>
      </c>
      <c r="AJ16" s="33">
        <f t="shared" si="19"/>
        <v>0</v>
      </c>
      <c r="AK16" s="90">
        <f>IF('Datos Mun'!B16="AMM",'Art 14 F I'!F18,'Art 14 F I'!M18)</f>
        <v>2.9126846437045485E-2</v>
      </c>
      <c r="AL16" s="35">
        <f>IF('Datos Mun'!D16="Zona de Crec",'Art 14 F I'!T18,0)</f>
        <v>0</v>
      </c>
    </row>
    <row r="17" spans="1:38">
      <c r="A17" s="17" t="s">
        <v>13</v>
      </c>
      <c r="B17" s="85" t="s">
        <v>91</v>
      </c>
      <c r="C17" s="85" t="s">
        <v>91</v>
      </c>
      <c r="D17" s="85" t="s">
        <v>94</v>
      </c>
      <c r="E17" s="318">
        <v>14225141</v>
      </c>
      <c r="F17" s="18">
        <v>45557174</v>
      </c>
      <c r="G17" s="266">
        <v>12990205</v>
      </c>
      <c r="H17" s="266">
        <v>49791403.200000003</v>
      </c>
      <c r="I17" s="14">
        <f t="shared" si="0"/>
        <v>0.26089252692521026</v>
      </c>
      <c r="J17" s="319">
        <f t="shared" si="1"/>
        <v>-8.6813621038975997E-2</v>
      </c>
      <c r="K17" s="8">
        <v>10747</v>
      </c>
      <c r="L17" s="9">
        <v>15877</v>
      </c>
      <c r="M17" s="306">
        <f t="shared" si="8"/>
        <v>1.4761571381685684E-2</v>
      </c>
      <c r="N17" s="288">
        <v>1.8900298334000001</v>
      </c>
      <c r="O17" s="290">
        <f t="shared" si="9"/>
        <v>2.7899810299249601E-2</v>
      </c>
      <c r="P17" s="307">
        <f t="shared" si="10"/>
        <v>1.4470444024405789E-2</v>
      </c>
      <c r="Q17" s="307">
        <f t="shared" si="11"/>
        <v>1.2299877420744921E-2</v>
      </c>
      <c r="R17" s="288">
        <f t="shared" si="12"/>
        <v>0.67689110033381616</v>
      </c>
      <c r="S17" s="308">
        <f t="shared" si="13"/>
        <v>8.9946992637304091E-3</v>
      </c>
      <c r="T17" s="14">
        <f t="shared" si="14"/>
        <v>1.3492048895595613E-3</v>
      </c>
      <c r="U17" s="290">
        <f t="shared" si="15"/>
        <v>1.3649082310304482E-2</v>
      </c>
      <c r="V17" s="72">
        <v>138.69999999999999</v>
      </c>
      <c r="W17" s="18">
        <v>68747</v>
      </c>
      <c r="X17" s="70">
        <v>3514902.872750218</v>
      </c>
      <c r="Y17" s="79">
        <f t="shared" si="2"/>
        <v>3704036.2938672402</v>
      </c>
      <c r="Z17" s="33">
        <f t="shared" si="3"/>
        <v>2.3259970545522657E-3</v>
      </c>
      <c r="AA17" s="29">
        <f t="shared" si="4"/>
        <v>1.010208936315724E-2</v>
      </c>
      <c r="AB17" s="29">
        <f t="shared" si="5"/>
        <v>3.2428565193807617E-4</v>
      </c>
      <c r="AC17" s="33">
        <f t="shared" si="16"/>
        <v>1.0426375015095317E-2</v>
      </c>
      <c r="AD17" s="33">
        <f t="shared" si="6"/>
        <v>1.3649082310304482E-2</v>
      </c>
      <c r="AE17" s="118">
        <f>IF('Datos Mun'!B17="AMM",W17,0)</f>
        <v>0</v>
      </c>
      <c r="AF17" s="33">
        <f t="shared" si="17"/>
        <v>0</v>
      </c>
      <c r="AG17" s="118">
        <f>IF('Datos Mun'!B17="AMM",0,W17)</f>
        <v>68747</v>
      </c>
      <c r="AH17" s="33">
        <f t="shared" si="18"/>
        <v>7.7651885244142529E-2</v>
      </c>
      <c r="AI17" s="118">
        <f t="shared" si="7"/>
        <v>68747</v>
      </c>
      <c r="AJ17" s="33">
        <f t="shared" si="19"/>
        <v>2.2979918518845358E-2</v>
      </c>
      <c r="AK17" s="90">
        <f>IF('Datos Mun'!B17="AMM",'Art 14 F I'!F19,'Art 14 F I'!M19)</f>
        <v>4.584953345098379E-2</v>
      </c>
      <c r="AL17" s="35">
        <f>IF('Datos Mun'!D17="Zona de Crec",'Art 14 F I'!T19,0)</f>
        <v>2.1218633946880932E-2</v>
      </c>
    </row>
    <row r="18" spans="1:38">
      <c r="A18" s="17" t="s">
        <v>14</v>
      </c>
      <c r="B18" s="85" t="s">
        <v>91</v>
      </c>
      <c r="C18" s="85" t="s">
        <v>91</v>
      </c>
      <c r="D18" s="85" t="s">
        <v>92</v>
      </c>
      <c r="E18" s="318">
        <v>766514</v>
      </c>
      <c r="F18" s="18">
        <v>6492908</v>
      </c>
      <c r="G18" s="266">
        <v>691812</v>
      </c>
      <c r="H18" s="266">
        <v>6711875</v>
      </c>
      <c r="I18" s="14">
        <f t="shared" si="0"/>
        <v>0.10307283732191079</v>
      </c>
      <c r="J18" s="319">
        <f t="shared" si="1"/>
        <v>-9.7456797918889934E-2</v>
      </c>
      <c r="K18" s="8">
        <v>25568</v>
      </c>
      <c r="L18" s="9">
        <v>20948</v>
      </c>
      <c r="M18" s="306">
        <f t="shared" si="8"/>
        <v>1.9476311475943298E-2</v>
      </c>
      <c r="N18" s="288">
        <v>2.5216163224999999</v>
      </c>
      <c r="O18" s="290">
        <f t="shared" si="9"/>
        <v>4.9111784919832688E-2</v>
      </c>
      <c r="P18" s="307">
        <f t="shared" si="10"/>
        <v>2.5472192355379904E-2</v>
      </c>
      <c r="Q18" s="307">
        <f t="shared" si="11"/>
        <v>2.1651363502072918E-2</v>
      </c>
      <c r="R18" s="288">
        <f t="shared" si="12"/>
        <v>1.220546114187512</v>
      </c>
      <c r="S18" s="308">
        <f t="shared" si="13"/>
        <v>1.6218923884827686E-2</v>
      </c>
      <c r="T18" s="14">
        <f t="shared" si="14"/>
        <v>2.4328385827241529E-3</v>
      </c>
      <c r="U18" s="290">
        <f t="shared" si="15"/>
        <v>2.4084202084797071E-2</v>
      </c>
      <c r="V18" s="72">
        <v>5053.7</v>
      </c>
      <c r="W18" s="18">
        <v>36088</v>
      </c>
      <c r="X18" s="70">
        <v>19031636.416049201</v>
      </c>
      <c r="Y18" s="79">
        <f t="shared" si="2"/>
        <v>73711.785742844353</v>
      </c>
      <c r="Z18" s="33">
        <f t="shared" si="3"/>
        <v>4.6288260405957263E-5</v>
      </c>
      <c r="AA18" s="29">
        <f t="shared" si="4"/>
        <v>5.3029834165508102E-3</v>
      </c>
      <c r="AB18" s="29">
        <f t="shared" si="5"/>
        <v>1.1815734673391896E-2</v>
      </c>
      <c r="AC18" s="33">
        <f t="shared" si="16"/>
        <v>1.7118718089942704E-2</v>
      </c>
      <c r="AD18" s="33">
        <f t="shared" si="6"/>
        <v>2.4084202084797071E-2</v>
      </c>
      <c r="AE18" s="118">
        <f>IF('Datos Mun'!B18="AMM",W18,0)</f>
        <v>0</v>
      </c>
      <c r="AF18" s="33">
        <f t="shared" si="17"/>
        <v>0</v>
      </c>
      <c r="AG18" s="118">
        <f>IF('Datos Mun'!B18="AMM",0,W18)</f>
        <v>36088</v>
      </c>
      <c r="AH18" s="33">
        <f t="shared" si="18"/>
        <v>4.0762523960181762E-2</v>
      </c>
      <c r="AI18" s="118">
        <f t="shared" si="7"/>
        <v>0</v>
      </c>
      <c r="AJ18" s="33">
        <f t="shared" si="19"/>
        <v>0</v>
      </c>
      <c r="AK18" s="90">
        <f>IF('Datos Mun'!B18="AMM",'Art 14 F I'!F20,'Art 14 F I'!M20)</f>
        <v>6.5908361604383889E-2</v>
      </c>
      <c r="AL18" s="35">
        <f>IF('Datos Mun'!D18="Zona de Crec",'Art 14 F I'!T20,0)</f>
        <v>0</v>
      </c>
    </row>
    <row r="19" spans="1:38">
      <c r="A19" s="17" t="s">
        <v>15</v>
      </c>
      <c r="B19" s="85" t="s">
        <v>91</v>
      </c>
      <c r="C19" s="85" t="s">
        <v>91</v>
      </c>
      <c r="D19" s="85" t="s">
        <v>92</v>
      </c>
      <c r="E19" s="318">
        <v>328496</v>
      </c>
      <c r="F19" s="18">
        <v>1493874</v>
      </c>
      <c r="G19" s="266">
        <v>329170</v>
      </c>
      <c r="H19" s="266">
        <v>1548836</v>
      </c>
      <c r="I19" s="14">
        <f t="shared" si="0"/>
        <v>0.21252734311444207</v>
      </c>
      <c r="J19" s="319">
        <f t="shared" si="1"/>
        <v>2.051775364083581E-3</v>
      </c>
      <c r="K19" s="8">
        <v>347</v>
      </c>
      <c r="L19" s="9">
        <v>179</v>
      </c>
      <c r="M19" s="306">
        <f t="shared" si="8"/>
        <v>1.6642446792981908E-4</v>
      </c>
      <c r="N19" s="288">
        <v>1.9685182910000001</v>
      </c>
      <c r="O19" s="290">
        <f t="shared" si="9"/>
        <v>3.2760960918979179E-4</v>
      </c>
      <c r="P19" s="307">
        <f t="shared" si="10"/>
        <v>1.699171593208232E-4</v>
      </c>
      <c r="Q19" s="307">
        <f t="shared" si="11"/>
        <v>1.4442958542269972E-4</v>
      </c>
      <c r="R19" s="288">
        <f t="shared" si="12"/>
        <v>1.9385474860335195</v>
      </c>
      <c r="S19" s="308">
        <f t="shared" si="13"/>
        <v>2.5759906780770288E-2</v>
      </c>
      <c r="T19" s="14">
        <f t="shared" si="14"/>
        <v>3.8639860171155432E-3</v>
      </c>
      <c r="U19" s="290">
        <f t="shared" si="15"/>
        <v>4.0084156025382428E-3</v>
      </c>
      <c r="V19" s="72">
        <v>720.7</v>
      </c>
      <c r="W19" s="18">
        <v>1360</v>
      </c>
      <c r="X19" s="70">
        <v>2627805.8082002974</v>
      </c>
      <c r="Y19" s="79">
        <f t="shared" si="2"/>
        <v>72531.477822092085</v>
      </c>
      <c r="Z19" s="33">
        <f t="shared" si="3"/>
        <v>4.5547070922560457E-5</v>
      </c>
      <c r="AA19" s="29">
        <f t="shared" si="4"/>
        <v>1.9984641560931893E-4</v>
      </c>
      <c r="AB19" s="29">
        <f t="shared" si="5"/>
        <v>1.685022850409312E-3</v>
      </c>
      <c r="AC19" s="33">
        <f t="shared" si="16"/>
        <v>1.8848692660186309E-3</v>
      </c>
      <c r="AD19" s="33">
        <f t="shared" si="6"/>
        <v>4.0084156025382428E-3</v>
      </c>
      <c r="AE19" s="118">
        <f>IF('Datos Mun'!B19="AMM",W19,0)</f>
        <v>0</v>
      </c>
      <c r="AF19" s="33">
        <f t="shared" si="17"/>
        <v>0</v>
      </c>
      <c r="AG19" s="118">
        <f>IF('Datos Mun'!B19="AMM",0,W19)</f>
        <v>1360</v>
      </c>
      <c r="AH19" s="33">
        <f t="shared" si="18"/>
        <v>1.536162507920838E-3</v>
      </c>
      <c r="AI19" s="118">
        <f t="shared" si="7"/>
        <v>0</v>
      </c>
      <c r="AJ19" s="33">
        <f t="shared" si="19"/>
        <v>0</v>
      </c>
      <c r="AK19" s="90">
        <f>IF('Datos Mun'!B19="AMM",'Art 14 F I'!F21,'Art 14 F I'!M21)</f>
        <v>9.5511774250616101E-3</v>
      </c>
      <c r="AL19" s="35">
        <f>IF('Datos Mun'!D19="Zona de Crec",'Art 14 F I'!T21,0)</f>
        <v>0</v>
      </c>
    </row>
    <row r="20" spans="1:38">
      <c r="A20" s="17" t="s">
        <v>16</v>
      </c>
      <c r="B20" s="85" t="s">
        <v>91</v>
      </c>
      <c r="C20" s="85" t="s">
        <v>91</v>
      </c>
      <c r="D20" s="85" t="s">
        <v>92</v>
      </c>
      <c r="E20" s="318">
        <v>704192</v>
      </c>
      <c r="F20" s="18">
        <v>2353237</v>
      </c>
      <c r="G20" s="266">
        <v>632096</v>
      </c>
      <c r="H20" s="266">
        <v>2192867</v>
      </c>
      <c r="I20" s="14">
        <f t="shared" si="0"/>
        <v>0.28825095183611227</v>
      </c>
      <c r="J20" s="319">
        <f t="shared" si="1"/>
        <v>-0.10238116877215304</v>
      </c>
      <c r="K20" s="8">
        <v>355</v>
      </c>
      <c r="L20" s="9">
        <v>468</v>
      </c>
      <c r="M20" s="306">
        <f t="shared" si="8"/>
        <v>4.3512095525785101E-4</v>
      </c>
      <c r="N20" s="288">
        <v>1.9393994637</v>
      </c>
      <c r="O20" s="290">
        <f t="shared" si="9"/>
        <v>8.43873347271708E-4</v>
      </c>
      <c r="P20" s="307">
        <f t="shared" si="10"/>
        <v>4.3768118508360012E-4</v>
      </c>
      <c r="Q20" s="307">
        <f t="shared" si="11"/>
        <v>3.7202900732106011E-4</v>
      </c>
      <c r="R20" s="288">
        <f t="shared" si="12"/>
        <v>0.75854700854700852</v>
      </c>
      <c r="S20" s="308">
        <f t="shared" si="13"/>
        <v>1.0079763518707652E-2</v>
      </c>
      <c r="T20" s="14">
        <f t="shared" si="14"/>
        <v>1.5119645278061477E-3</v>
      </c>
      <c r="U20" s="290">
        <f t="shared" si="15"/>
        <v>1.8839935351272078E-3</v>
      </c>
      <c r="V20" s="72">
        <v>614.70000000000005</v>
      </c>
      <c r="W20" s="18">
        <v>3256</v>
      </c>
      <c r="X20" s="70">
        <v>1318325.5513900062</v>
      </c>
      <c r="Y20" s="79">
        <f t="shared" si="2"/>
        <v>169785.42884375862</v>
      </c>
      <c r="Z20" s="33">
        <f t="shared" si="3"/>
        <v>1.0661893568654935E-4</v>
      </c>
      <c r="AA20" s="29">
        <f t="shared" si="4"/>
        <v>4.7845583031172234E-4</v>
      </c>
      <c r="AB20" s="29">
        <f t="shared" si="5"/>
        <v>1.4371909895193617E-3</v>
      </c>
      <c r="AC20" s="33">
        <f t="shared" si="16"/>
        <v>1.9156468198310841E-3</v>
      </c>
      <c r="AD20" s="33">
        <f t="shared" si="6"/>
        <v>1.8839935351272078E-3</v>
      </c>
      <c r="AE20" s="118">
        <f>IF('Datos Mun'!B20="AMM",W20,0)</f>
        <v>0</v>
      </c>
      <c r="AF20" s="33">
        <f t="shared" si="17"/>
        <v>0</v>
      </c>
      <c r="AG20" s="118">
        <f>IF('Datos Mun'!B20="AMM",0,W20)</f>
        <v>3256</v>
      </c>
      <c r="AH20" s="33">
        <f t="shared" si="18"/>
        <v>3.6777537689634179E-3</v>
      </c>
      <c r="AI20" s="118">
        <f t="shared" si="7"/>
        <v>0</v>
      </c>
      <c r="AJ20" s="33">
        <f t="shared" si="19"/>
        <v>0</v>
      </c>
      <c r="AK20" s="90">
        <f>IF('Datos Mun'!B20="AMM",'Art 14 F I'!F22,'Art 14 F I'!M22)</f>
        <v>6.4046264212605465E-3</v>
      </c>
      <c r="AL20" s="35">
        <f>IF('Datos Mun'!D20="Zona de Crec",'Art 14 F I'!T22,0)</f>
        <v>0</v>
      </c>
    </row>
    <row r="21" spans="1:38">
      <c r="A21" s="17" t="s">
        <v>17</v>
      </c>
      <c r="B21" s="85" t="s">
        <v>91</v>
      </c>
      <c r="C21" s="85" t="s">
        <v>91</v>
      </c>
      <c r="D21" s="85" t="s">
        <v>92</v>
      </c>
      <c r="E21" s="318">
        <v>1253081</v>
      </c>
      <c r="F21" s="18">
        <v>9897478</v>
      </c>
      <c r="G21" s="266">
        <v>1193413</v>
      </c>
      <c r="H21" s="266">
        <v>10046865</v>
      </c>
      <c r="I21" s="14">
        <f t="shared" si="0"/>
        <v>0.11878461589759591</v>
      </c>
      <c r="J21" s="319">
        <f t="shared" si="1"/>
        <v>-4.7617033535741107E-2</v>
      </c>
      <c r="K21" s="8">
        <v>23646</v>
      </c>
      <c r="L21" s="9">
        <v>15246</v>
      </c>
      <c r="M21" s="306">
        <f t="shared" si="8"/>
        <v>1.4174901888592301E-2</v>
      </c>
      <c r="N21" s="288">
        <v>2.0430424666000002</v>
      </c>
      <c r="O21" s="290">
        <f t="shared" si="9"/>
        <v>2.8959926518282615E-2</v>
      </c>
      <c r="P21" s="307">
        <f t="shared" si="10"/>
        <v>1.5020281182520606E-2</v>
      </c>
      <c r="Q21" s="307">
        <f t="shared" si="11"/>
        <v>1.2767239005142515E-2</v>
      </c>
      <c r="R21" s="288">
        <f t="shared" si="12"/>
        <v>1.5509641873278237</v>
      </c>
      <c r="S21" s="308">
        <f t="shared" si="13"/>
        <v>2.060960238205228E-2</v>
      </c>
      <c r="T21" s="14">
        <f t="shared" si="14"/>
        <v>3.0914403573078417E-3</v>
      </c>
      <c r="U21" s="290">
        <f t="shared" si="15"/>
        <v>1.5858679362450355E-2</v>
      </c>
      <c r="V21" s="72">
        <v>7068.3</v>
      </c>
      <c r="W21" s="18">
        <v>40903</v>
      </c>
      <c r="X21" s="70">
        <v>13770707.582336763</v>
      </c>
      <c r="Y21" s="79">
        <f t="shared" si="2"/>
        <v>143898.73749343015</v>
      </c>
      <c r="Z21" s="33">
        <f t="shared" si="3"/>
        <v>9.0363056138970116E-5</v>
      </c>
      <c r="AA21" s="29">
        <f t="shared" si="4"/>
        <v>6.0105278953440965E-3</v>
      </c>
      <c r="AB21" s="29">
        <f t="shared" si="5"/>
        <v>1.6525942852155039E-2</v>
      </c>
      <c r="AC21" s="33">
        <f t="shared" si="16"/>
        <v>2.2536470747499135E-2</v>
      </c>
      <c r="AD21" s="33">
        <f t="shared" si="6"/>
        <v>1.5858679362450355E-2</v>
      </c>
      <c r="AE21" s="118">
        <f>IF('Datos Mun'!B21="AMM",W21,0)</f>
        <v>0</v>
      </c>
      <c r="AF21" s="33">
        <f t="shared" si="17"/>
        <v>0</v>
      </c>
      <c r="AG21" s="118">
        <f>IF('Datos Mun'!B21="AMM",0,W21)</f>
        <v>40903</v>
      </c>
      <c r="AH21" s="33">
        <f t="shared" si="18"/>
        <v>4.6201216956975023E-2</v>
      </c>
      <c r="AI21" s="118">
        <f t="shared" si="7"/>
        <v>0</v>
      </c>
      <c r="AJ21" s="33">
        <f t="shared" si="19"/>
        <v>0</v>
      </c>
      <c r="AK21" s="90">
        <f>IF('Datos Mun'!B21="AMM",'Art 14 F I'!F23,'Art 14 F I'!M23)</f>
        <v>6.1567798009665109E-2</v>
      </c>
      <c r="AL21" s="35">
        <f>IF('Datos Mun'!D21="Zona de Crec",'Art 14 F I'!T23,0)</f>
        <v>0</v>
      </c>
    </row>
    <row r="22" spans="1:38">
      <c r="A22" s="17" t="s">
        <v>18</v>
      </c>
      <c r="B22" s="85" t="s">
        <v>93</v>
      </c>
      <c r="C22" s="85" t="s">
        <v>93</v>
      </c>
      <c r="D22" s="85" t="s">
        <v>94</v>
      </c>
      <c r="E22" s="318">
        <v>89654721.319999993</v>
      </c>
      <c r="F22" s="18">
        <v>377012210</v>
      </c>
      <c r="G22" s="266">
        <v>90011508</v>
      </c>
      <c r="H22" s="266">
        <v>425436337.39000034</v>
      </c>
      <c r="I22" s="14">
        <f t="shared" si="0"/>
        <v>0.21157456495655624</v>
      </c>
      <c r="J22" s="319">
        <f t="shared" si="1"/>
        <v>3.9795637613611757E-3</v>
      </c>
      <c r="K22" s="8">
        <v>49018</v>
      </c>
      <c r="L22" s="9">
        <v>87249</v>
      </c>
      <c r="M22" s="306">
        <f t="shared" si="8"/>
        <v>8.1119376549769751E-2</v>
      </c>
      <c r="N22" s="288">
        <v>1.8532766358999999</v>
      </c>
      <c r="O22" s="290">
        <f t="shared" si="9"/>
        <v>0.15033664527846263</v>
      </c>
      <c r="P22" s="307">
        <f t="shared" si="10"/>
        <v>7.7973218705987155E-2</v>
      </c>
      <c r="Q22" s="307">
        <f t="shared" si="11"/>
        <v>6.6277235900089077E-2</v>
      </c>
      <c r="R22" s="288">
        <f t="shared" si="12"/>
        <v>0.56181732741922541</v>
      </c>
      <c r="S22" s="308">
        <f t="shared" si="13"/>
        <v>7.4655700138420563E-3</v>
      </c>
      <c r="T22" s="14">
        <f t="shared" si="14"/>
        <v>1.1198355020763085E-3</v>
      </c>
      <c r="U22" s="290">
        <f t="shared" si="15"/>
        <v>6.7397071402165387E-2</v>
      </c>
      <c r="V22" s="72">
        <v>1032</v>
      </c>
      <c r="W22" s="18">
        <v>397205</v>
      </c>
      <c r="X22" s="70">
        <v>8052108.5615451084</v>
      </c>
      <c r="Y22" s="79">
        <f t="shared" si="2"/>
        <v>21490210.018487372</v>
      </c>
      <c r="Z22" s="33">
        <f t="shared" si="3"/>
        <v>1.3495052758384991E-2</v>
      </c>
      <c r="AA22" s="29">
        <f t="shared" si="4"/>
        <v>5.8367643758896706E-2</v>
      </c>
      <c r="AB22" s="29">
        <f t="shared" si="5"/>
        <v>2.4128535890417784E-3</v>
      </c>
      <c r="AC22" s="33">
        <f t="shared" si="16"/>
        <v>6.0780497347938486E-2</v>
      </c>
      <c r="AD22" s="33">
        <f t="shared" si="6"/>
        <v>6.7397071402165387E-2</v>
      </c>
      <c r="AE22" s="118">
        <f>IF('Datos Mun'!B22="AMM",W22,0)</f>
        <v>397205</v>
      </c>
      <c r="AF22" s="33">
        <f t="shared" si="17"/>
        <v>8.1076822179661279E-2</v>
      </c>
      <c r="AG22" s="118">
        <f>IF('Datos Mun'!B22="AMM",0,W22)</f>
        <v>0</v>
      </c>
      <c r="AH22" s="33">
        <f t="shared" si="18"/>
        <v>0</v>
      </c>
      <c r="AI22" s="118">
        <f t="shared" si="7"/>
        <v>397205</v>
      </c>
      <c r="AJ22" s="33">
        <f t="shared" si="19"/>
        <v>0.13277289969421169</v>
      </c>
      <c r="AK22" s="90">
        <f>IF('Datos Mun'!B22="AMM",'Art 14 F I'!F24,'Art 14 F I'!M24)</f>
        <v>4.5996858375640506E-2</v>
      </c>
      <c r="AL22" s="35">
        <f>IF('Datos Mun'!D22="Zona de Crec",'Art 14 F I'!T24,0)</f>
        <v>0.11460975186622785</v>
      </c>
    </row>
    <row r="23" spans="1:38">
      <c r="A23" s="17" t="s">
        <v>19</v>
      </c>
      <c r="B23" s="85" t="s">
        <v>91</v>
      </c>
      <c r="C23" s="85" t="s">
        <v>91</v>
      </c>
      <c r="D23" s="85" t="s">
        <v>92</v>
      </c>
      <c r="E23" s="318">
        <v>1101010</v>
      </c>
      <c r="F23" s="18">
        <v>4942797</v>
      </c>
      <c r="G23" s="266">
        <v>877317</v>
      </c>
      <c r="H23" s="266">
        <v>5541859</v>
      </c>
      <c r="I23" s="14">
        <f t="shared" si="0"/>
        <v>0.15830734776904284</v>
      </c>
      <c r="J23" s="319">
        <f t="shared" si="1"/>
        <v>-0.20317072506153441</v>
      </c>
      <c r="K23" s="8">
        <v>2284</v>
      </c>
      <c r="L23" s="9">
        <v>950</v>
      </c>
      <c r="M23" s="306">
        <f t="shared" si="8"/>
        <v>8.8325834934820178E-4</v>
      </c>
      <c r="N23" s="288">
        <v>2.0503201405999998</v>
      </c>
      <c r="O23" s="290">
        <f t="shared" si="9"/>
        <v>1.8109623830217289E-3</v>
      </c>
      <c r="P23" s="307">
        <f t="shared" si="10"/>
        <v>9.3926910300624043E-4</v>
      </c>
      <c r="Q23" s="307">
        <f t="shared" si="11"/>
        <v>7.9837873755530435E-4</v>
      </c>
      <c r="R23" s="288">
        <f t="shared" si="12"/>
        <v>2.4042105263157896</v>
      </c>
      <c r="S23" s="308">
        <f t="shared" si="13"/>
        <v>3.1947754432346431E-2</v>
      </c>
      <c r="T23" s="14">
        <f t="shared" si="14"/>
        <v>4.7921631648519649E-3</v>
      </c>
      <c r="U23" s="290">
        <f t="shared" si="15"/>
        <v>5.5905419024072697E-3</v>
      </c>
      <c r="V23" s="72">
        <v>1888.6</v>
      </c>
      <c r="W23" s="18">
        <v>5506</v>
      </c>
      <c r="X23" s="70">
        <v>2319885.6734325793</v>
      </c>
      <c r="Y23" s="79">
        <f t="shared" si="2"/>
        <v>155718.53719442655</v>
      </c>
      <c r="Z23" s="33">
        <f t="shared" si="3"/>
        <v>9.778545082107276E-5</v>
      </c>
      <c r="AA23" s="29">
        <f t="shared" si="4"/>
        <v>8.090840914300808E-4</v>
      </c>
      <c r="AB23" s="29">
        <f t="shared" si="5"/>
        <v>4.4156155894033936E-3</v>
      </c>
      <c r="AC23" s="33">
        <f t="shared" si="16"/>
        <v>5.224699680833474E-3</v>
      </c>
      <c r="AD23" s="33">
        <f t="shared" si="6"/>
        <v>5.5905419024072697E-3</v>
      </c>
      <c r="AE23" s="118">
        <f>IF('Datos Mun'!B23="AMM",W23,0)</f>
        <v>0</v>
      </c>
      <c r="AF23" s="33">
        <f t="shared" si="17"/>
        <v>0</v>
      </c>
      <c r="AG23" s="118">
        <f>IF('Datos Mun'!B23="AMM",0,W23)</f>
        <v>5506</v>
      </c>
      <c r="AH23" s="33">
        <f t="shared" si="18"/>
        <v>6.219199094567745E-3</v>
      </c>
      <c r="AI23" s="118">
        <f t="shared" si="7"/>
        <v>0</v>
      </c>
      <c r="AJ23" s="33">
        <f t="shared" si="19"/>
        <v>0</v>
      </c>
      <c r="AK23" s="90">
        <f>IF('Datos Mun'!B23="AMM",'Art 14 F I'!F25,'Art 14 F I'!M25)</f>
        <v>1.7573456402811549E-2</v>
      </c>
      <c r="AL23" s="35">
        <f>IF('Datos Mun'!D23="Zona de Crec",'Art 14 F I'!T25,0)</f>
        <v>0</v>
      </c>
    </row>
    <row r="24" spans="1:38">
      <c r="A24" s="17" t="s">
        <v>20</v>
      </c>
      <c r="B24" s="85" t="s">
        <v>93</v>
      </c>
      <c r="C24" s="85" t="s">
        <v>93</v>
      </c>
      <c r="D24" s="85" t="s">
        <v>94</v>
      </c>
      <c r="E24" s="318">
        <v>149244141.31999999</v>
      </c>
      <c r="F24" s="18">
        <v>437682929</v>
      </c>
      <c r="G24" s="266">
        <v>130662277.23999999</v>
      </c>
      <c r="H24" s="266">
        <v>449264751.14000052</v>
      </c>
      <c r="I24" s="14">
        <f t="shared" si="0"/>
        <v>0.29083580874850967</v>
      </c>
      <c r="J24" s="319">
        <f t="shared" si="1"/>
        <v>-0.12450648927087812</v>
      </c>
      <c r="K24" s="8">
        <v>95635</v>
      </c>
      <c r="L24" s="9">
        <v>113990</v>
      </c>
      <c r="M24" s="306">
        <f t="shared" si="8"/>
        <v>0.10598170446547529</v>
      </c>
      <c r="N24" s="288">
        <v>1.9916235985999999</v>
      </c>
      <c r="O24" s="290">
        <f t="shared" si="9"/>
        <v>0.21107566363329158</v>
      </c>
      <c r="P24" s="307">
        <f t="shared" si="10"/>
        <v>0.10947596212157762</v>
      </c>
      <c r="Q24" s="307">
        <f t="shared" si="11"/>
        <v>9.3054567803340968E-2</v>
      </c>
      <c r="R24" s="288">
        <f t="shared" si="12"/>
        <v>0.83897710325467145</v>
      </c>
      <c r="S24" s="308">
        <f t="shared" si="13"/>
        <v>1.1148538855378512E-2</v>
      </c>
      <c r="T24" s="14">
        <f t="shared" si="14"/>
        <v>1.6722808283067768E-3</v>
      </c>
      <c r="U24" s="290">
        <f t="shared" si="15"/>
        <v>9.472684863164775E-2</v>
      </c>
      <c r="V24" s="72">
        <v>149.4</v>
      </c>
      <c r="W24" s="18">
        <v>481213</v>
      </c>
      <c r="X24" s="70">
        <v>12262442.592855737</v>
      </c>
      <c r="Y24" s="79">
        <f t="shared" si="2"/>
        <v>39006846.194685884</v>
      </c>
      <c r="Z24" s="33">
        <f t="shared" si="3"/>
        <v>2.4494848904810584E-2</v>
      </c>
      <c r="AA24" s="29">
        <f t="shared" si="4"/>
        <v>7.0712274407799397E-2</v>
      </c>
      <c r="AB24" s="29">
        <f t="shared" si="5"/>
        <v>3.4930264166942025E-4</v>
      </c>
      <c r="AC24" s="33">
        <f t="shared" si="16"/>
        <v>7.1061577049468819E-2</v>
      </c>
      <c r="AD24" s="33">
        <f t="shared" si="6"/>
        <v>9.472684863164775E-2</v>
      </c>
      <c r="AE24" s="118">
        <f>IF('Datos Mun'!B24="AMM",W24,0)</f>
        <v>481213</v>
      </c>
      <c r="AF24" s="33">
        <f t="shared" si="17"/>
        <v>9.8224395039189699E-2</v>
      </c>
      <c r="AG24" s="118">
        <f>IF('Datos Mun'!B24="AMM",0,W24)</f>
        <v>0</v>
      </c>
      <c r="AH24" s="33">
        <f t="shared" si="18"/>
        <v>0</v>
      </c>
      <c r="AI24" s="118">
        <f t="shared" si="7"/>
        <v>481213</v>
      </c>
      <c r="AJ24" s="33">
        <f t="shared" si="19"/>
        <v>0.16085408134477333</v>
      </c>
      <c r="AK24" s="90">
        <f>IF('Datos Mun'!B24="AMM",'Art 14 F I'!F26,'Art 14 F I'!M26)</f>
        <v>6.3667377725840843E-2</v>
      </c>
      <c r="AL24" s="35">
        <f>IF('Datos Mun'!D24="Zona de Crec",'Art 14 F I'!T26,0)</f>
        <v>0.15863914668999199</v>
      </c>
    </row>
    <row r="25" spans="1:38">
      <c r="A25" s="17" t="s">
        <v>21</v>
      </c>
      <c r="B25" s="85" t="s">
        <v>91</v>
      </c>
      <c r="C25" s="85" t="s">
        <v>91</v>
      </c>
      <c r="D25" s="85" t="s">
        <v>92</v>
      </c>
      <c r="E25" s="318">
        <v>4417747</v>
      </c>
      <c r="F25" s="18">
        <v>11203821</v>
      </c>
      <c r="G25" s="266">
        <v>3648762.03</v>
      </c>
      <c r="H25" s="266">
        <v>12500507</v>
      </c>
      <c r="I25" s="14">
        <f t="shared" si="0"/>
        <v>0.29188912337715578</v>
      </c>
      <c r="J25" s="319">
        <f t="shared" si="1"/>
        <v>-0.17406722702771349</v>
      </c>
      <c r="K25" s="8">
        <v>5621</v>
      </c>
      <c r="L25" s="9">
        <v>1660</v>
      </c>
      <c r="M25" s="306">
        <f t="shared" si="8"/>
        <v>1.543377747282121E-3</v>
      </c>
      <c r="N25" s="288">
        <v>2.1173054283999999</v>
      </c>
      <c r="O25" s="290">
        <f t="shared" si="9"/>
        <v>3.2678020823921979E-3</v>
      </c>
      <c r="P25" s="307">
        <f t="shared" si="10"/>
        <v>1.6948698435187855E-3</v>
      </c>
      <c r="Q25" s="307">
        <f t="shared" si="11"/>
        <v>1.4406393669909676E-3</v>
      </c>
      <c r="R25" s="288">
        <f t="shared" si="12"/>
        <v>3.3861445783132531</v>
      </c>
      <c r="S25" s="308">
        <f t="shared" si="13"/>
        <v>4.499594119411314E-2</v>
      </c>
      <c r="T25" s="14">
        <f t="shared" si="14"/>
        <v>6.7493911791169708E-3</v>
      </c>
      <c r="U25" s="290">
        <f t="shared" si="15"/>
        <v>8.1900305461079376E-3</v>
      </c>
      <c r="V25" s="72">
        <v>2478.8000000000002</v>
      </c>
      <c r="W25" s="18">
        <v>14109</v>
      </c>
      <c r="X25" s="70">
        <v>5035804.9607381932</v>
      </c>
      <c r="Y25" s="79">
        <f t="shared" si="2"/>
        <v>1188296.7740710708</v>
      </c>
      <c r="Z25" s="33">
        <f t="shared" si="3"/>
        <v>7.4620618620815709E-4</v>
      </c>
      <c r="AA25" s="29">
        <f t="shared" si="4"/>
        <v>2.0732596160528533E-3</v>
      </c>
      <c r="AB25" s="29">
        <f t="shared" si="5"/>
        <v>5.7955246865472486E-3</v>
      </c>
      <c r="AC25" s="33">
        <f t="shared" si="16"/>
        <v>7.8687843026001014E-3</v>
      </c>
      <c r="AD25" s="33">
        <f t="shared" si="6"/>
        <v>8.1900305461079376E-3</v>
      </c>
      <c r="AE25" s="118">
        <f>IF('Datos Mun'!B25="AMM",W25,0)</f>
        <v>0</v>
      </c>
      <c r="AF25" s="33">
        <f t="shared" si="17"/>
        <v>0</v>
      </c>
      <c r="AG25" s="118">
        <f>IF('Datos Mun'!B25="AMM",0,W25)</f>
        <v>14109</v>
      </c>
      <c r="AH25" s="33">
        <f t="shared" si="18"/>
        <v>1.5936556488422869E-2</v>
      </c>
      <c r="AI25" s="118">
        <f t="shared" si="7"/>
        <v>0</v>
      </c>
      <c r="AJ25" s="33">
        <f t="shared" si="19"/>
        <v>0</v>
      </c>
      <c r="AK25" s="90">
        <f>IF('Datos Mun'!B25="AMM",'Art 14 F I'!F27,'Art 14 F I'!M27)</f>
        <v>2.8012076929811478E-2</v>
      </c>
      <c r="AL25" s="35">
        <f>IF('Datos Mun'!D25="Zona de Crec",'Art 14 F I'!T27,0)</f>
        <v>0</v>
      </c>
    </row>
    <row r="26" spans="1:38">
      <c r="A26" s="17" t="s">
        <v>22</v>
      </c>
      <c r="B26" s="85" t="s">
        <v>91</v>
      </c>
      <c r="C26" s="85" t="s">
        <v>91</v>
      </c>
      <c r="D26" s="85" t="s">
        <v>92</v>
      </c>
      <c r="E26" s="318">
        <v>320606.25</v>
      </c>
      <c r="F26" s="18">
        <v>822645</v>
      </c>
      <c r="G26" s="266">
        <v>218938</v>
      </c>
      <c r="H26" s="266">
        <v>796636</v>
      </c>
      <c r="I26" s="14">
        <f t="shared" si="0"/>
        <v>0.27482815238076108</v>
      </c>
      <c r="J26" s="319">
        <f t="shared" si="1"/>
        <v>-0.31711250170575278</v>
      </c>
      <c r="K26" s="8">
        <v>196</v>
      </c>
      <c r="L26" s="9">
        <v>185</v>
      </c>
      <c r="M26" s="306">
        <f t="shared" si="8"/>
        <v>1.7200294171517615E-4</v>
      </c>
      <c r="N26" s="288">
        <v>1.7757863003000001</v>
      </c>
      <c r="O26" s="290">
        <f t="shared" si="9"/>
        <v>3.054404675091092E-4</v>
      </c>
      <c r="P26" s="307">
        <f t="shared" si="10"/>
        <v>1.5841896917835949E-4</v>
      </c>
      <c r="Q26" s="307">
        <f t="shared" si="11"/>
        <v>1.3465612380160556E-4</v>
      </c>
      <c r="R26" s="288">
        <f t="shared" si="12"/>
        <v>1.0594594594594595</v>
      </c>
      <c r="S26" s="308">
        <f t="shared" si="13"/>
        <v>1.4078363883426199E-2</v>
      </c>
      <c r="T26" s="14">
        <f t="shared" si="14"/>
        <v>2.1117545825139299E-3</v>
      </c>
      <c r="U26" s="290">
        <f t="shared" si="15"/>
        <v>2.2464107063155355E-3</v>
      </c>
      <c r="V26" s="72">
        <v>387.9</v>
      </c>
      <c r="W26" s="18">
        <v>1808</v>
      </c>
      <c r="X26" s="70">
        <v>2579267.2832715013</v>
      </c>
      <c r="Y26" s="79">
        <f t="shared" si="2"/>
        <v>58267.962297224192</v>
      </c>
      <c r="Z26" s="33">
        <f t="shared" si="3"/>
        <v>3.6590113574887031E-5</v>
      </c>
      <c r="AA26" s="29">
        <f t="shared" si="4"/>
        <v>2.6567817604532988E-4</v>
      </c>
      <c r="AB26" s="29">
        <f t="shared" si="5"/>
        <v>9.0692432867180801E-4</v>
      </c>
      <c r="AC26" s="33">
        <f t="shared" si="16"/>
        <v>1.1726025047171379E-3</v>
      </c>
      <c r="AD26" s="33">
        <f t="shared" si="6"/>
        <v>2.2464107063155355E-3</v>
      </c>
      <c r="AE26" s="118">
        <f>IF('Datos Mun'!B26="AMM",W26,0)</f>
        <v>0</v>
      </c>
      <c r="AF26" s="33">
        <f t="shared" si="17"/>
        <v>0</v>
      </c>
      <c r="AG26" s="118">
        <f>IF('Datos Mun'!B26="AMM",0,W26)</f>
        <v>1808</v>
      </c>
      <c r="AH26" s="33">
        <f t="shared" si="18"/>
        <v>2.0421925105300553E-3</v>
      </c>
      <c r="AI26" s="118">
        <f t="shared" si="7"/>
        <v>0</v>
      </c>
      <c r="AJ26" s="33">
        <f t="shared" si="19"/>
        <v>0</v>
      </c>
      <c r="AK26" s="90">
        <f>IF('Datos Mun'!B26="AMM",'Art 14 F I'!F28,'Art 14 F I'!M28)</f>
        <v>5.5736040569522565E-3</v>
      </c>
      <c r="AL26" s="35">
        <f>IF('Datos Mun'!D26="Zona de Crec",'Art 14 F I'!T28,0)</f>
        <v>0</v>
      </c>
    </row>
    <row r="27" spans="1:38">
      <c r="A27" s="17" t="s">
        <v>23</v>
      </c>
      <c r="B27" s="85" t="s">
        <v>91</v>
      </c>
      <c r="C27" s="85" t="s">
        <v>91</v>
      </c>
      <c r="D27" s="85" t="s">
        <v>92</v>
      </c>
      <c r="E27" s="318">
        <v>194672</v>
      </c>
      <c r="F27" s="18">
        <v>1482915</v>
      </c>
      <c r="G27" s="266">
        <v>140414</v>
      </c>
      <c r="H27" s="266">
        <v>1746864</v>
      </c>
      <c r="I27" s="14">
        <f t="shared" si="0"/>
        <v>8.0380613487941815E-2</v>
      </c>
      <c r="J27" s="319">
        <f t="shared" si="1"/>
        <v>-0.27871496671324075</v>
      </c>
      <c r="K27" s="8">
        <v>3611</v>
      </c>
      <c r="L27" s="9">
        <v>3897</v>
      </c>
      <c r="M27" s="306">
        <f t="shared" si="8"/>
        <v>3.6232187235894133E-3</v>
      </c>
      <c r="N27" s="288">
        <v>2.6101222018999999</v>
      </c>
      <c r="O27" s="290">
        <f t="shared" si="9"/>
        <v>9.4570436327805069E-3</v>
      </c>
      <c r="P27" s="307">
        <f t="shared" si="10"/>
        <v>4.9049659856717437E-3</v>
      </c>
      <c r="Q27" s="307">
        <f t="shared" si="11"/>
        <v>4.1692210878209821E-3</v>
      </c>
      <c r="R27" s="288">
        <f t="shared" si="12"/>
        <v>0.92661021298434698</v>
      </c>
      <c r="S27" s="308">
        <f t="shared" si="13"/>
        <v>1.2313029668118099E-2</v>
      </c>
      <c r="T27" s="14">
        <f t="shared" si="14"/>
        <v>1.8469544502177147E-3</v>
      </c>
      <c r="U27" s="290">
        <f t="shared" si="15"/>
        <v>6.0161755380386973E-3</v>
      </c>
      <c r="V27" s="72">
        <v>1306.7</v>
      </c>
      <c r="W27" s="18">
        <v>6282</v>
      </c>
      <c r="X27" s="70">
        <v>4083989.3872715957</v>
      </c>
      <c r="Y27" s="79">
        <f t="shared" si="2"/>
        <v>13295.496637366268</v>
      </c>
      <c r="Z27" s="33">
        <f t="shared" si="3"/>
        <v>8.3490774829950728E-6</v>
      </c>
      <c r="AA27" s="29">
        <f t="shared" si="4"/>
        <v>9.2311410504245699E-4</v>
      </c>
      <c r="AB27" s="29">
        <f t="shared" si="5"/>
        <v>3.0551121945745076E-3</v>
      </c>
      <c r="AC27" s="33">
        <f t="shared" si="16"/>
        <v>3.9782262996169646E-3</v>
      </c>
      <c r="AD27" s="33">
        <f t="shared" si="6"/>
        <v>6.0161755380386973E-3</v>
      </c>
      <c r="AE27" s="118">
        <f>IF('Datos Mun'!B27="AMM",W27,0)</f>
        <v>0</v>
      </c>
      <c r="AF27" s="33">
        <f t="shared" si="17"/>
        <v>0</v>
      </c>
      <c r="AG27" s="118">
        <f>IF('Datos Mun'!B27="AMM",0,W27)</f>
        <v>6282</v>
      </c>
      <c r="AH27" s="33">
        <f t="shared" si="18"/>
        <v>7.0957153490872824E-3</v>
      </c>
      <c r="AI27" s="118">
        <f t="shared" si="7"/>
        <v>0</v>
      </c>
      <c r="AJ27" s="33">
        <f t="shared" si="19"/>
        <v>0</v>
      </c>
      <c r="AK27" s="90">
        <f>IF('Datos Mun'!B27="AMM",'Art 14 F I'!F29,'Art 14 F I'!M29)</f>
        <v>1.5977897135752997E-2</v>
      </c>
      <c r="AL27" s="35">
        <f>IF('Datos Mun'!D27="Zona de Crec",'Art 14 F I'!T29,0)</f>
        <v>0</v>
      </c>
    </row>
    <row r="28" spans="1:38">
      <c r="A28" s="17" t="s">
        <v>24</v>
      </c>
      <c r="B28" s="85" t="s">
        <v>91</v>
      </c>
      <c r="C28" s="85" t="s">
        <v>91</v>
      </c>
      <c r="D28" s="85" t="s">
        <v>94</v>
      </c>
      <c r="E28" s="318">
        <v>7133102</v>
      </c>
      <c r="F28" s="18">
        <v>59610291</v>
      </c>
      <c r="G28" s="266">
        <v>9156806</v>
      </c>
      <c r="H28" s="266">
        <v>63133792</v>
      </c>
      <c r="I28" s="14">
        <f t="shared" si="0"/>
        <v>0.14503811207791859</v>
      </c>
      <c r="J28" s="319">
        <f t="shared" si="1"/>
        <v>0.28370602298971753</v>
      </c>
      <c r="K28" s="8">
        <v>12989</v>
      </c>
      <c r="L28" s="9">
        <v>23008</v>
      </c>
      <c r="M28" s="306">
        <f t="shared" si="8"/>
        <v>2.1391587475582556E-2</v>
      </c>
      <c r="N28" s="288">
        <v>1.8972127424</v>
      </c>
      <c r="O28" s="290">
        <f t="shared" si="9"/>
        <v>4.0584392338839474E-2</v>
      </c>
      <c r="P28" s="307">
        <f t="shared" si="10"/>
        <v>2.1049396798927165E-2</v>
      </c>
      <c r="Q28" s="307">
        <f t="shared" si="11"/>
        <v>1.7891987279088091E-2</v>
      </c>
      <c r="R28" s="288">
        <f t="shared" si="12"/>
        <v>0.56454276773296241</v>
      </c>
      <c r="S28" s="308">
        <f t="shared" si="13"/>
        <v>7.5017863505189922E-3</v>
      </c>
      <c r="T28" s="14">
        <f t="shared" si="14"/>
        <v>1.1252679525778487E-3</v>
      </c>
      <c r="U28" s="290">
        <f t="shared" si="15"/>
        <v>1.901725523166594E-2</v>
      </c>
      <c r="V28" s="72">
        <v>184.5</v>
      </c>
      <c r="W28" s="18">
        <v>102149</v>
      </c>
      <c r="X28" s="70">
        <v>5239837.4272957211</v>
      </c>
      <c r="Y28" s="79">
        <f t="shared" si="2"/>
        <v>1406587.59947399</v>
      </c>
      <c r="Z28" s="33">
        <f t="shared" si="3"/>
        <v>8.8328470721607565E-4</v>
      </c>
      <c r="AA28" s="29">
        <f t="shared" si="4"/>
        <v>1.5010376108879646E-2</v>
      </c>
      <c r="AB28" s="29">
        <f t="shared" si="5"/>
        <v>4.3136772013392265E-4</v>
      </c>
      <c r="AC28" s="33">
        <f t="shared" si="16"/>
        <v>1.5441743829013569E-2</v>
      </c>
      <c r="AD28" s="33">
        <f t="shared" si="6"/>
        <v>1.901725523166594E-2</v>
      </c>
      <c r="AE28" s="118">
        <f>IF('Datos Mun'!B28="AMM",W28,0)</f>
        <v>0</v>
      </c>
      <c r="AF28" s="33">
        <f t="shared" si="17"/>
        <v>0</v>
      </c>
      <c r="AG28" s="118">
        <f>IF('Datos Mun'!B28="AMM",0,W28)</f>
        <v>102149</v>
      </c>
      <c r="AH28" s="33">
        <f t="shared" si="18"/>
        <v>0.11538048825118065</v>
      </c>
      <c r="AI28" s="118">
        <f t="shared" si="7"/>
        <v>102149</v>
      </c>
      <c r="AJ28" s="33">
        <f t="shared" si="19"/>
        <v>3.4145136468231842E-2</v>
      </c>
      <c r="AK28" s="90">
        <f>IF('Datos Mun'!B28="AMM",'Art 14 F I'!F30,'Art 14 F I'!M30)</f>
        <v>5.7816664223322316E-2</v>
      </c>
      <c r="AL28" s="35">
        <f>IF('Datos Mun'!D28="Zona de Crec",'Art 14 F I'!T30,0)</f>
        <v>2.6756883698629656E-2</v>
      </c>
    </row>
    <row r="29" spans="1:38">
      <c r="A29" s="17" t="s">
        <v>25</v>
      </c>
      <c r="B29" s="85" t="s">
        <v>93</v>
      </c>
      <c r="C29" s="85" t="s">
        <v>93</v>
      </c>
      <c r="D29" s="85" t="s">
        <v>92</v>
      </c>
      <c r="E29" s="318">
        <v>259353547.03000003</v>
      </c>
      <c r="F29" s="18">
        <v>542535324</v>
      </c>
      <c r="G29" s="266">
        <v>215375991.11000001</v>
      </c>
      <c r="H29" s="266">
        <v>516795710.3599999</v>
      </c>
      <c r="I29" s="14">
        <f t="shared" si="0"/>
        <v>0.41675266801260619</v>
      </c>
      <c r="J29" s="319">
        <f t="shared" si="1"/>
        <v>-0.169566047673576</v>
      </c>
      <c r="K29" s="8">
        <v>113831</v>
      </c>
      <c r="L29" s="9">
        <v>95688</v>
      </c>
      <c r="M29" s="306">
        <f t="shared" si="8"/>
        <v>8.8965499928874453E-2</v>
      </c>
      <c r="N29" s="288">
        <v>1.8797706219999999</v>
      </c>
      <c r="O29" s="290">
        <f t="shared" si="9"/>
        <v>0.16723473313784129</v>
      </c>
      <c r="P29" s="307">
        <f t="shared" si="10"/>
        <v>8.6737537597976422E-2</v>
      </c>
      <c r="Q29" s="307">
        <f t="shared" si="11"/>
        <v>7.372690695827995E-2</v>
      </c>
      <c r="R29" s="288">
        <f t="shared" si="12"/>
        <v>1.1896058021904523</v>
      </c>
      <c r="S29" s="308">
        <f t="shared" si="13"/>
        <v>1.5807781233665195E-2</v>
      </c>
      <c r="T29" s="14">
        <f t="shared" si="14"/>
        <v>2.3711671850497793E-3</v>
      </c>
      <c r="U29" s="290">
        <f t="shared" si="15"/>
        <v>7.6098074143329725E-2</v>
      </c>
      <c r="V29" s="72">
        <v>118.4</v>
      </c>
      <c r="W29" s="18">
        <v>643143</v>
      </c>
      <c r="X29" s="70">
        <v>19216953.724318821</v>
      </c>
      <c r="Y29" s="79">
        <f t="shared" si="2"/>
        <v>85500087.265497223</v>
      </c>
      <c r="Z29" s="33">
        <f t="shared" si="3"/>
        <v>5.3690875403348902E-2</v>
      </c>
      <c r="AA29" s="29">
        <f t="shared" si="4"/>
        <v>9.4507222995753079E-2</v>
      </c>
      <c r="AB29" s="29">
        <f t="shared" si="5"/>
        <v>2.7682351254122733E-4</v>
      </c>
      <c r="AC29" s="33">
        <f t="shared" si="16"/>
        <v>9.4784046508294306E-2</v>
      </c>
      <c r="AD29" s="33">
        <f t="shared" si="6"/>
        <v>7.6098074143329725E-2</v>
      </c>
      <c r="AE29" s="118">
        <f>IF('Datos Mun'!B29="AMM",W29,0)</f>
        <v>643143</v>
      </c>
      <c r="AF29" s="33">
        <f t="shared" si="17"/>
        <v>0.13127727658789265</v>
      </c>
      <c r="AG29" s="118">
        <f>IF('Datos Mun'!B29="AMM",0,W29)</f>
        <v>0</v>
      </c>
      <c r="AH29" s="33">
        <f t="shared" si="18"/>
        <v>0</v>
      </c>
      <c r="AI29" s="118">
        <f t="shared" si="7"/>
        <v>0</v>
      </c>
      <c r="AJ29" s="33">
        <f t="shared" si="19"/>
        <v>0</v>
      </c>
      <c r="AK29" s="90">
        <f>IF('Datos Mun'!B29="AMM",'Art 14 F I'!F31,'Art 14 F I'!M31)</f>
        <v>8.2486664487297343E-2</v>
      </c>
      <c r="AL29" s="35">
        <f>IF('Datos Mun'!D29="Zona de Crec",'Art 14 F I'!T31,0)</f>
        <v>0</v>
      </c>
    </row>
    <row r="30" spans="1:38">
      <c r="A30" s="17" t="s">
        <v>26</v>
      </c>
      <c r="B30" s="85" t="s">
        <v>91</v>
      </c>
      <c r="C30" s="85" t="s">
        <v>91</v>
      </c>
      <c r="D30" s="85" t="s">
        <v>92</v>
      </c>
      <c r="E30" s="318">
        <v>294751</v>
      </c>
      <c r="F30" s="18">
        <v>1019354</v>
      </c>
      <c r="G30" s="266">
        <v>288216.5</v>
      </c>
      <c r="H30" s="266">
        <v>997290</v>
      </c>
      <c r="I30" s="14">
        <f t="shared" si="0"/>
        <v>0.28899968915761715</v>
      </c>
      <c r="J30" s="319">
        <f t="shared" si="1"/>
        <v>-2.2169560069346669E-2</v>
      </c>
      <c r="K30" s="8">
        <v>188</v>
      </c>
      <c r="L30" s="9">
        <v>192</v>
      </c>
      <c r="M30" s="306">
        <f t="shared" si="8"/>
        <v>1.7851116113142606E-4</v>
      </c>
      <c r="N30" s="288">
        <v>1.9505591721</v>
      </c>
      <c r="O30" s="290">
        <f t="shared" si="9"/>
        <v>3.4819658266712413E-4</v>
      </c>
      <c r="P30" s="307">
        <f t="shared" si="10"/>
        <v>1.8059474616246836E-4</v>
      </c>
      <c r="Q30" s="307">
        <f t="shared" si="11"/>
        <v>1.5350553423809811E-4</v>
      </c>
      <c r="R30" s="288">
        <f t="shared" si="12"/>
        <v>0.97916666666666663</v>
      </c>
      <c r="S30" s="308">
        <f t="shared" si="13"/>
        <v>1.3011413049148681E-2</v>
      </c>
      <c r="T30" s="14">
        <f t="shared" si="14"/>
        <v>1.9517119573723022E-3</v>
      </c>
      <c r="U30" s="290">
        <f t="shared" si="15"/>
        <v>2.1052174916104003E-3</v>
      </c>
      <c r="V30" s="72">
        <v>496.6</v>
      </c>
      <c r="W30" s="18">
        <v>1959</v>
      </c>
      <c r="X30" s="70">
        <v>2416180.5686493958</v>
      </c>
      <c r="Y30" s="79">
        <f t="shared" si="2"/>
        <v>81491.563158873178</v>
      </c>
      <c r="Z30" s="33">
        <f t="shared" si="3"/>
        <v>5.1173671325044735E-5</v>
      </c>
      <c r="AA30" s="29">
        <f t="shared" si="4"/>
        <v>2.8786700601371744E-4</v>
      </c>
      <c r="AB30" s="29">
        <f t="shared" si="5"/>
        <v>1.1610688879051814E-3</v>
      </c>
      <c r="AC30" s="33">
        <f t="shared" si="16"/>
        <v>1.4489358939188987E-3</v>
      </c>
      <c r="AD30" s="33">
        <f t="shared" si="6"/>
        <v>2.1052174916104003E-3</v>
      </c>
      <c r="AE30" s="118">
        <f>IF('Datos Mun'!B30="AMM",W30,0)</f>
        <v>0</v>
      </c>
      <c r="AF30" s="33">
        <f t="shared" si="17"/>
        <v>0</v>
      </c>
      <c r="AG30" s="118">
        <f>IF('Datos Mun'!B30="AMM",0,W30)</f>
        <v>1959</v>
      </c>
      <c r="AH30" s="33">
        <f t="shared" si="18"/>
        <v>2.2127517301595012E-3</v>
      </c>
      <c r="AI30" s="118">
        <f t="shared" si="7"/>
        <v>0</v>
      </c>
      <c r="AJ30" s="33">
        <f t="shared" si="19"/>
        <v>0</v>
      </c>
      <c r="AK30" s="90">
        <f>IF('Datos Mun'!B30="AMM",'Art 14 F I'!F32,'Art 14 F I'!M32)</f>
        <v>5.835841471438211E-3</v>
      </c>
      <c r="AL30" s="35">
        <f>IF('Datos Mun'!D30="Zona de Crec",'Art 14 F I'!T32,0)</f>
        <v>0</v>
      </c>
    </row>
    <row r="31" spans="1:38">
      <c r="A31" s="17" t="s">
        <v>27</v>
      </c>
      <c r="B31" s="85" t="s">
        <v>91</v>
      </c>
      <c r="C31" s="85" t="s">
        <v>91</v>
      </c>
      <c r="D31" s="85" t="s">
        <v>92</v>
      </c>
      <c r="E31" s="318">
        <v>501704</v>
      </c>
      <c r="F31" s="18">
        <v>2430155</v>
      </c>
      <c r="G31" s="266">
        <v>518824</v>
      </c>
      <c r="H31" s="266">
        <v>2347113</v>
      </c>
      <c r="I31" s="14">
        <f t="shared" si="0"/>
        <v>0.22104772970027434</v>
      </c>
      <c r="J31" s="319">
        <f t="shared" si="1"/>
        <v>3.4123706408559627E-2</v>
      </c>
      <c r="K31" s="8">
        <v>3006</v>
      </c>
      <c r="L31" s="9">
        <v>3272</v>
      </c>
      <c r="M31" s="306">
        <f t="shared" si="8"/>
        <v>3.0421277042813858E-3</v>
      </c>
      <c r="N31" s="288">
        <v>1.6415123341</v>
      </c>
      <c r="O31" s="290">
        <f t="shared" si="9"/>
        <v>4.9936901484852123E-3</v>
      </c>
      <c r="P31" s="307">
        <f t="shared" si="10"/>
        <v>2.5900145195906737E-3</v>
      </c>
      <c r="Q31" s="307">
        <f t="shared" si="11"/>
        <v>2.2015123416520726E-3</v>
      </c>
      <c r="R31" s="288">
        <f t="shared" si="12"/>
        <v>0.91870415647921755</v>
      </c>
      <c r="S31" s="308">
        <f t="shared" si="13"/>
        <v>1.2207971999919139E-2</v>
      </c>
      <c r="T31" s="14">
        <f t="shared" si="14"/>
        <v>1.8311957999878707E-3</v>
      </c>
      <c r="U31" s="290">
        <f t="shared" si="15"/>
        <v>4.0327081416399431E-3</v>
      </c>
      <c r="V31" s="72">
        <v>170.6</v>
      </c>
      <c r="W31" s="18">
        <v>16086</v>
      </c>
      <c r="X31" s="70">
        <v>2523675.0481478907</v>
      </c>
      <c r="Y31" s="79">
        <f t="shared" si="2"/>
        <v>110765.9153329726</v>
      </c>
      <c r="Z31" s="33">
        <f t="shared" si="3"/>
        <v>6.95568758966686E-5</v>
      </c>
      <c r="AA31" s="29">
        <f t="shared" si="4"/>
        <v>2.3637716481555177E-3</v>
      </c>
      <c r="AB31" s="29">
        <f t="shared" si="5"/>
        <v>3.988690138474103E-4</v>
      </c>
      <c r="AC31" s="33">
        <f t="shared" si="16"/>
        <v>2.762640662002928E-3</v>
      </c>
      <c r="AD31" s="33">
        <f t="shared" si="6"/>
        <v>4.0327081416399431E-3</v>
      </c>
      <c r="AE31" s="118">
        <f>IF('Datos Mun'!B31="AMM",W31,0)</f>
        <v>0</v>
      </c>
      <c r="AF31" s="33">
        <f t="shared" si="17"/>
        <v>0</v>
      </c>
      <c r="AG31" s="118">
        <f>IF('Datos Mun'!B31="AMM",0,W31)</f>
        <v>16086</v>
      </c>
      <c r="AH31" s="33">
        <f t="shared" si="18"/>
        <v>1.8169639781187207E-2</v>
      </c>
      <c r="AI31" s="118">
        <f t="shared" si="7"/>
        <v>0</v>
      </c>
      <c r="AJ31" s="33">
        <f t="shared" si="19"/>
        <v>0</v>
      </c>
      <c r="AK31" s="90">
        <f>IF('Datos Mun'!B31="AMM",'Art 14 F I'!F33,'Art 14 F I'!M33)</f>
        <v>1.1067527992343566E-2</v>
      </c>
      <c r="AL31" s="35">
        <f>IF('Datos Mun'!D31="Zona de Crec",'Art 14 F I'!T33,0)</f>
        <v>0</v>
      </c>
    </row>
    <row r="32" spans="1:38">
      <c r="A32" s="17" t="s">
        <v>28</v>
      </c>
      <c r="B32" s="85" t="s">
        <v>91</v>
      </c>
      <c r="C32" s="85" t="s">
        <v>91</v>
      </c>
      <c r="D32" s="85" t="s">
        <v>92</v>
      </c>
      <c r="E32" s="318">
        <v>314751</v>
      </c>
      <c r="F32" s="18">
        <v>721085</v>
      </c>
      <c r="G32" s="266">
        <v>336929</v>
      </c>
      <c r="H32" s="266">
        <v>702996</v>
      </c>
      <c r="I32" s="14">
        <f t="shared" si="0"/>
        <v>0.47927584225230302</v>
      </c>
      <c r="J32" s="319">
        <f t="shared" si="1"/>
        <v>7.046204777744948E-2</v>
      </c>
      <c r="K32" s="8">
        <v>237</v>
      </c>
      <c r="L32" s="9">
        <v>131</v>
      </c>
      <c r="M32" s="306">
        <f t="shared" si="8"/>
        <v>1.2179667764696256E-4</v>
      </c>
      <c r="N32" s="288">
        <v>2.2584083591000002</v>
      </c>
      <c r="O32" s="290">
        <f t="shared" si="9"/>
        <v>2.7506663490850839E-4</v>
      </c>
      <c r="P32" s="307">
        <f t="shared" si="10"/>
        <v>1.426653550949875E-4</v>
      </c>
      <c r="Q32" s="307">
        <f t="shared" si="11"/>
        <v>1.2126555183073937E-4</v>
      </c>
      <c r="R32" s="288">
        <f t="shared" si="12"/>
        <v>1.8091603053435115</v>
      </c>
      <c r="S32" s="308">
        <f t="shared" si="13"/>
        <v>2.4040577366755789E-2</v>
      </c>
      <c r="T32" s="14">
        <f t="shared" si="14"/>
        <v>3.6060866050133681E-3</v>
      </c>
      <c r="U32" s="290">
        <f t="shared" si="15"/>
        <v>3.7273521568441073E-3</v>
      </c>
      <c r="V32" s="72">
        <v>443.2</v>
      </c>
      <c r="W32" s="18">
        <v>1386</v>
      </c>
      <c r="X32" s="70">
        <v>2212342.7648131964</v>
      </c>
      <c r="Y32" s="79">
        <f t="shared" si="2"/>
        <v>157431.02552542349</v>
      </c>
      <c r="Z32" s="33">
        <f t="shared" si="3"/>
        <v>9.886082981248519E-5</v>
      </c>
      <c r="AA32" s="29">
        <f t="shared" si="4"/>
        <v>2.0366700884890884E-4</v>
      </c>
      <c r="AB32" s="29">
        <f t="shared" si="5"/>
        <v>1.0362177428908102E-3</v>
      </c>
      <c r="AC32" s="33">
        <f t="shared" si="16"/>
        <v>1.239884751739719E-3</v>
      </c>
      <c r="AD32" s="33">
        <f t="shared" si="6"/>
        <v>3.7273521568441073E-3</v>
      </c>
      <c r="AE32" s="118">
        <f>IF('Datos Mun'!B32="AMM",W32,0)</f>
        <v>0</v>
      </c>
      <c r="AF32" s="33">
        <f t="shared" si="17"/>
        <v>0</v>
      </c>
      <c r="AG32" s="118">
        <f>IF('Datos Mun'!B32="AMM",0,W32)</f>
        <v>1386</v>
      </c>
      <c r="AH32" s="33">
        <f t="shared" si="18"/>
        <v>1.5655303205722657E-3</v>
      </c>
      <c r="AI32" s="118">
        <f t="shared" si="7"/>
        <v>0</v>
      </c>
      <c r="AJ32" s="33">
        <f t="shared" si="19"/>
        <v>0</v>
      </c>
      <c r="AK32" s="90">
        <f>IF('Datos Mun'!B32="AMM",'Art 14 F I'!F34,'Art 14 F I'!M34)</f>
        <v>8.2433675394400878E-3</v>
      </c>
      <c r="AL32" s="35">
        <f>IF('Datos Mun'!D32="Zona de Crec",'Art 14 F I'!T34,0)</f>
        <v>0</v>
      </c>
    </row>
    <row r="33" spans="1:38">
      <c r="A33" s="17" t="s">
        <v>29</v>
      </c>
      <c r="B33" s="85" t="s">
        <v>91</v>
      </c>
      <c r="C33" s="85" t="s">
        <v>91</v>
      </c>
      <c r="D33" s="85" t="s">
        <v>92</v>
      </c>
      <c r="E33" s="318">
        <v>586273</v>
      </c>
      <c r="F33" s="18">
        <v>1890448</v>
      </c>
      <c r="G33" s="266">
        <v>629171</v>
      </c>
      <c r="H33" s="266">
        <v>1978005</v>
      </c>
      <c r="I33" s="14">
        <f t="shared" si="0"/>
        <v>0.31808362466222279</v>
      </c>
      <c r="J33" s="319">
        <f t="shared" si="1"/>
        <v>7.3170690105121672E-2</v>
      </c>
      <c r="K33" s="8">
        <v>2843</v>
      </c>
      <c r="L33" s="9">
        <v>1571</v>
      </c>
      <c r="M33" s="306">
        <f t="shared" si="8"/>
        <v>1.4606303861326581E-3</v>
      </c>
      <c r="N33" s="288">
        <v>1.4705313694</v>
      </c>
      <c r="O33" s="290">
        <f t="shared" si="9"/>
        <v>2.1479028019069082E-3</v>
      </c>
      <c r="P33" s="307">
        <f t="shared" si="10"/>
        <v>1.1140257561426585E-3</v>
      </c>
      <c r="Q33" s="307">
        <f t="shared" si="11"/>
        <v>9.4692189272125974E-4</v>
      </c>
      <c r="R33" s="288">
        <f t="shared" si="12"/>
        <v>1.8096753660089115</v>
      </c>
      <c r="S33" s="308">
        <f t="shared" si="13"/>
        <v>2.4047421622479592E-2</v>
      </c>
      <c r="T33" s="14">
        <f t="shared" si="14"/>
        <v>3.6071132433719384E-3</v>
      </c>
      <c r="U33" s="290">
        <f t="shared" si="15"/>
        <v>4.554035136093198E-3</v>
      </c>
      <c r="V33" s="72">
        <v>127.8</v>
      </c>
      <c r="W33" s="18">
        <v>7026</v>
      </c>
      <c r="X33" s="70">
        <v>1837459.5037223247</v>
      </c>
      <c r="Y33" s="79">
        <f t="shared" si="2"/>
        <v>209398.06185676623</v>
      </c>
      <c r="Z33" s="33">
        <f t="shared" si="3"/>
        <v>1.3149419618652597E-4</v>
      </c>
      <c r="AA33" s="29">
        <f t="shared" si="4"/>
        <v>1.0324418500522608E-3</v>
      </c>
      <c r="AB33" s="29">
        <f t="shared" si="5"/>
        <v>2.9880105492203417E-4</v>
      </c>
      <c r="AC33" s="33">
        <f t="shared" si="16"/>
        <v>1.331242904974295E-3</v>
      </c>
      <c r="AD33" s="33">
        <f t="shared" si="6"/>
        <v>4.554035136093198E-3</v>
      </c>
      <c r="AE33" s="118">
        <f>IF('Datos Mun'!B33="AMM",W33,0)</f>
        <v>0</v>
      </c>
      <c r="AF33" s="33">
        <f t="shared" si="17"/>
        <v>0</v>
      </c>
      <c r="AG33" s="118">
        <f>IF('Datos Mun'!B33="AMM",0,W33)</f>
        <v>7026</v>
      </c>
      <c r="AH33" s="33">
        <f t="shared" si="18"/>
        <v>7.9360866034204457E-3</v>
      </c>
      <c r="AI33" s="118">
        <f t="shared" si="7"/>
        <v>0</v>
      </c>
      <c r="AJ33" s="33">
        <f t="shared" si="19"/>
        <v>0</v>
      </c>
      <c r="AK33" s="90">
        <f>IF('Datos Mun'!B33="AMM",'Art 14 F I'!F35,'Art 14 F I'!M35)</f>
        <v>9.8127447242678453E-3</v>
      </c>
      <c r="AL33" s="35">
        <f>IF('Datos Mun'!D33="Zona de Crec",'Art 14 F I'!T35,0)</f>
        <v>0</v>
      </c>
    </row>
    <row r="34" spans="1:38">
      <c r="A34" s="17" t="s">
        <v>30</v>
      </c>
      <c r="B34" s="85" t="s">
        <v>91</v>
      </c>
      <c r="C34" s="85" t="s">
        <v>91</v>
      </c>
      <c r="D34" s="85" t="s">
        <v>92</v>
      </c>
      <c r="E34" s="318">
        <v>107675</v>
      </c>
      <c r="F34" s="18">
        <v>574456</v>
      </c>
      <c r="G34" s="266">
        <v>112915</v>
      </c>
      <c r="H34" s="266">
        <v>579083</v>
      </c>
      <c r="I34" s="14">
        <f t="shared" si="0"/>
        <v>0.19498931932037375</v>
      </c>
      <c r="J34" s="319">
        <f t="shared" si="1"/>
        <v>4.8664964012073368E-2</v>
      </c>
      <c r="K34" s="8">
        <v>2022</v>
      </c>
      <c r="L34" s="9">
        <v>1144</v>
      </c>
      <c r="M34" s="306">
        <f t="shared" si="8"/>
        <v>1.0636290017414136E-3</v>
      </c>
      <c r="N34" s="288">
        <v>2.2004042460000002</v>
      </c>
      <c r="O34" s="290">
        <f t="shared" si="9"/>
        <v>2.3404137716005482E-3</v>
      </c>
      <c r="P34" s="307">
        <f t="shared" si="10"/>
        <v>1.2138730017388346E-3</v>
      </c>
      <c r="Q34" s="307">
        <f t="shared" si="11"/>
        <v>1.0317920514780095E-3</v>
      </c>
      <c r="R34" s="288">
        <f t="shared" si="12"/>
        <v>1.7674825174825175</v>
      </c>
      <c r="S34" s="308">
        <f t="shared" si="13"/>
        <v>2.3486752434499599E-2</v>
      </c>
      <c r="T34" s="14">
        <f t="shared" si="14"/>
        <v>3.5230128651749398E-3</v>
      </c>
      <c r="U34" s="290">
        <f t="shared" si="15"/>
        <v>4.5548049166529488E-3</v>
      </c>
      <c r="V34" s="72">
        <v>560.5</v>
      </c>
      <c r="W34" s="18">
        <v>3298</v>
      </c>
      <c r="X34" s="70">
        <v>2411932.7114348505</v>
      </c>
      <c r="Y34" s="79">
        <f t="shared" si="2"/>
        <v>22194.558373487263</v>
      </c>
      <c r="Z34" s="33">
        <f t="shared" si="3"/>
        <v>1.3937357333483521E-5</v>
      </c>
      <c r="AA34" s="29">
        <f t="shared" si="4"/>
        <v>4.8462755785259838E-4</v>
      </c>
      <c r="AB34" s="29">
        <f t="shared" si="5"/>
        <v>1.3104694153661986E-3</v>
      </c>
      <c r="AC34" s="33">
        <f t="shared" si="16"/>
        <v>1.7950969732187969E-3</v>
      </c>
      <c r="AD34" s="33">
        <f t="shared" si="6"/>
        <v>4.5548049166529488E-3</v>
      </c>
      <c r="AE34" s="118">
        <f>IF('Datos Mun'!B34="AMM",W34,0)</f>
        <v>0</v>
      </c>
      <c r="AF34" s="33">
        <f t="shared" si="17"/>
        <v>0</v>
      </c>
      <c r="AG34" s="118">
        <f>IF('Datos Mun'!B34="AMM",0,W34)</f>
        <v>3298</v>
      </c>
      <c r="AH34" s="33">
        <f t="shared" si="18"/>
        <v>3.7251940817080321E-3</v>
      </c>
      <c r="AI34" s="118">
        <f t="shared" si="7"/>
        <v>0</v>
      </c>
      <c r="AJ34" s="33">
        <f t="shared" si="19"/>
        <v>0</v>
      </c>
      <c r="AK34" s="90">
        <f>IF('Datos Mun'!B34="AMM",'Art 14 F I'!F36,'Art 14 F I'!M36)</f>
        <v>1.0179047119421055E-2</v>
      </c>
      <c r="AL34" s="35">
        <f>IF('Datos Mun'!D34="Zona de Crec",'Art 14 F I'!T36,0)</f>
        <v>0</v>
      </c>
    </row>
    <row r="35" spans="1:38">
      <c r="A35" s="17" t="s">
        <v>31</v>
      </c>
      <c r="B35" s="85" t="s">
        <v>93</v>
      </c>
      <c r="C35" s="85" t="s">
        <v>93</v>
      </c>
      <c r="D35" s="85" t="s">
        <v>94</v>
      </c>
      <c r="E35" s="318">
        <v>81896056.420000002</v>
      </c>
      <c r="F35" s="18">
        <v>369239404</v>
      </c>
      <c r="G35" s="266">
        <v>99086847.890000001</v>
      </c>
      <c r="H35" s="266">
        <v>512545762.94000041</v>
      </c>
      <c r="I35" s="14">
        <f t="shared" si="0"/>
        <v>0.19332292851594463</v>
      </c>
      <c r="J35" s="319">
        <f t="shared" si="1"/>
        <v>0.20990988115273645</v>
      </c>
      <c r="K35" s="8">
        <v>78885</v>
      </c>
      <c r="L35" s="9">
        <v>113737</v>
      </c>
      <c r="M35" s="306">
        <f t="shared" si="8"/>
        <v>0.1057464788208594</v>
      </c>
      <c r="N35" s="288">
        <v>1.9568038190999999</v>
      </c>
      <c r="O35" s="290">
        <f t="shared" si="9"/>
        <v>0.20692511361303492</v>
      </c>
      <c r="P35" s="307">
        <f t="shared" si="10"/>
        <v>0.10732324849756292</v>
      </c>
      <c r="Q35" s="307">
        <f t="shared" si="11"/>
        <v>9.1224761222928483E-2</v>
      </c>
      <c r="R35" s="288">
        <f t="shared" si="12"/>
        <v>0.69357377106834184</v>
      </c>
      <c r="S35" s="308">
        <f t="shared" si="13"/>
        <v>9.216382790222178E-3</v>
      </c>
      <c r="T35" s="14">
        <f t="shared" si="14"/>
        <v>1.3824574185333266E-3</v>
      </c>
      <c r="U35" s="290">
        <f t="shared" si="15"/>
        <v>9.2607218641461805E-2</v>
      </c>
      <c r="V35" s="72">
        <v>247.3</v>
      </c>
      <c r="W35" s="18">
        <v>471523</v>
      </c>
      <c r="X35" s="70">
        <v>9399530.3955752458</v>
      </c>
      <c r="Y35" s="79">
        <f t="shared" si="2"/>
        <v>26590345.771373838</v>
      </c>
      <c r="Z35" s="33">
        <f t="shared" si="3"/>
        <v>1.669774835795889E-2</v>
      </c>
      <c r="AA35" s="29">
        <f t="shared" si="4"/>
        <v>6.9288368696583003E-2</v>
      </c>
      <c r="AB35" s="29">
        <f t="shared" si="5"/>
        <v>5.7819640752910064E-4</v>
      </c>
      <c r="AC35" s="33">
        <f t="shared" si="16"/>
        <v>6.9866565104112099E-2</v>
      </c>
      <c r="AD35" s="33">
        <f t="shared" si="6"/>
        <v>9.2607218641461805E-2</v>
      </c>
      <c r="AE35" s="118">
        <f>IF('Datos Mun'!B35="AMM",W35,0)</f>
        <v>471523</v>
      </c>
      <c r="AF35" s="33">
        <f t="shared" si="17"/>
        <v>9.6246488399240757E-2</v>
      </c>
      <c r="AG35" s="118">
        <f>IF('Datos Mun'!B35="AMM",0,W35)</f>
        <v>0</v>
      </c>
      <c r="AH35" s="33">
        <f t="shared" si="18"/>
        <v>0</v>
      </c>
      <c r="AI35" s="118">
        <f t="shared" si="7"/>
        <v>471523</v>
      </c>
      <c r="AJ35" s="33">
        <f t="shared" si="19"/>
        <v>0.15761502494307417</v>
      </c>
      <c r="AK35" s="90">
        <f>IF('Datos Mun'!B35="AMM",'Art 14 F I'!F37,'Art 14 F I'!M37)</f>
        <v>5.8062167884469093E-2</v>
      </c>
      <c r="AL35" s="35">
        <f>IF('Datos Mun'!D35="Zona de Crec",'Art 14 F I'!T37,0)</f>
        <v>0.14467272089996522</v>
      </c>
    </row>
    <row r="36" spans="1:38">
      <c r="A36" s="17" t="s">
        <v>32</v>
      </c>
      <c r="B36" s="85" t="s">
        <v>91</v>
      </c>
      <c r="C36" s="85" t="s">
        <v>91</v>
      </c>
      <c r="D36" s="85" t="s">
        <v>92</v>
      </c>
      <c r="E36" s="318">
        <v>1383880</v>
      </c>
      <c r="F36" s="18">
        <v>3808697</v>
      </c>
      <c r="G36" s="266">
        <v>1194083</v>
      </c>
      <c r="H36" s="266">
        <v>3788861</v>
      </c>
      <c r="I36" s="14">
        <f t="shared" si="0"/>
        <v>0.3151561907391166</v>
      </c>
      <c r="J36" s="319">
        <f t="shared" si="1"/>
        <v>-0.1371484521779345</v>
      </c>
      <c r="K36" s="8">
        <v>2081</v>
      </c>
      <c r="L36" s="9">
        <v>764</v>
      </c>
      <c r="M36" s="306">
        <f t="shared" si="8"/>
        <v>7.1032566200213284E-4</v>
      </c>
      <c r="N36" s="288">
        <v>1.7755281664</v>
      </c>
      <c r="O36" s="290">
        <f t="shared" si="9"/>
        <v>1.2612032202015131E-3</v>
      </c>
      <c r="P36" s="307">
        <f t="shared" si="10"/>
        <v>6.5413242619134164E-4</v>
      </c>
      <c r="Q36" s="307">
        <f t="shared" si="11"/>
        <v>5.5601256226264035E-4</v>
      </c>
      <c r="R36" s="288">
        <f t="shared" si="12"/>
        <v>2.7238219895287958</v>
      </c>
      <c r="S36" s="308">
        <f t="shared" si="13"/>
        <v>3.6194831977647418E-2</v>
      </c>
      <c r="T36" s="14">
        <f t="shared" si="14"/>
        <v>5.4292247966471127E-3</v>
      </c>
      <c r="U36" s="290">
        <f t="shared" si="15"/>
        <v>5.9852373589097535E-3</v>
      </c>
      <c r="V36" s="72">
        <v>3428</v>
      </c>
      <c r="W36" s="18">
        <v>5351</v>
      </c>
      <c r="X36" s="70">
        <v>4879372.4781305455</v>
      </c>
      <c r="Y36" s="79">
        <f t="shared" si="2"/>
        <v>374362.73110961571</v>
      </c>
      <c r="Z36" s="33">
        <f t="shared" si="3"/>
        <v>2.3508587411436363E-4</v>
      </c>
      <c r="AA36" s="29">
        <f t="shared" si="4"/>
        <v>7.8630747788637162E-4</v>
      </c>
      <c r="AB36" s="29">
        <f t="shared" si="5"/>
        <v>8.0147888597240455E-3</v>
      </c>
      <c r="AC36" s="33">
        <f t="shared" si="16"/>
        <v>8.8010963376104166E-3</v>
      </c>
      <c r="AD36" s="33">
        <f t="shared" si="6"/>
        <v>5.9852373589097535E-3</v>
      </c>
      <c r="AE36" s="118">
        <f>IF('Datos Mun'!B36="AMM",W36,0)</f>
        <v>0</v>
      </c>
      <c r="AF36" s="33">
        <f t="shared" si="17"/>
        <v>0</v>
      </c>
      <c r="AG36" s="118">
        <f>IF('Datos Mun'!B36="AMM",0,W36)</f>
        <v>5351</v>
      </c>
      <c r="AH36" s="33">
        <f t="shared" si="18"/>
        <v>6.0441217499150029E-3</v>
      </c>
      <c r="AI36" s="118">
        <f t="shared" si="7"/>
        <v>0</v>
      </c>
      <c r="AJ36" s="33">
        <f t="shared" si="19"/>
        <v>0</v>
      </c>
      <c r="AK36" s="90">
        <f>IF('Datos Mun'!B36="AMM",'Art 14 F I'!F38,'Art 14 F I'!M38)</f>
        <v>2.4349659360800874E-2</v>
      </c>
      <c r="AL36" s="35">
        <f>IF('Datos Mun'!D36="Zona de Crec",'Art 14 F I'!T38,0)</f>
        <v>0</v>
      </c>
    </row>
    <row r="37" spans="1:38">
      <c r="A37" s="17" t="s">
        <v>33</v>
      </c>
      <c r="B37" s="85" t="s">
        <v>91</v>
      </c>
      <c r="C37" s="85" t="s">
        <v>91</v>
      </c>
      <c r="D37" s="85" t="s">
        <v>92</v>
      </c>
      <c r="E37" s="318">
        <v>10865396</v>
      </c>
      <c r="F37" s="18">
        <v>39439786</v>
      </c>
      <c r="G37" s="266">
        <v>10280239</v>
      </c>
      <c r="H37" s="266">
        <v>39384069</v>
      </c>
      <c r="I37" s="14">
        <f t="shared" si="0"/>
        <v>0.26102531457579969</v>
      </c>
      <c r="J37" s="319">
        <f t="shared" ref="J37:J55" si="20">(G37-E37)/E37</f>
        <v>-5.3855101093416201E-2</v>
      </c>
      <c r="K37" s="8">
        <v>25760</v>
      </c>
      <c r="L37" s="9">
        <v>21267</v>
      </c>
      <c r="M37" s="306">
        <f t="shared" si="8"/>
        <v>1.9772900332198112E-2</v>
      </c>
      <c r="N37" s="288">
        <v>2.0486592371999999</v>
      </c>
      <c r="O37" s="290">
        <f t="shared" si="9"/>
        <v>4.0507934911792609E-2</v>
      </c>
      <c r="P37" s="307">
        <f t="shared" si="10"/>
        <v>2.1009741585989696E-2</v>
      </c>
      <c r="Q37" s="307">
        <f t="shared" si="11"/>
        <v>1.7858280348091241E-2</v>
      </c>
      <c r="R37" s="288">
        <f t="shared" si="12"/>
        <v>1.2112662810927728</v>
      </c>
      <c r="S37" s="308">
        <f t="shared" si="13"/>
        <v>1.6095611127629923E-2</v>
      </c>
      <c r="T37" s="14">
        <f t="shared" si="14"/>
        <v>2.4143416691444885E-3</v>
      </c>
      <c r="U37" s="290">
        <f t="shared" si="15"/>
        <v>2.0272622017235731E-2</v>
      </c>
      <c r="V37" s="72">
        <v>2509.1999999999998</v>
      </c>
      <c r="W37" s="18">
        <v>84666</v>
      </c>
      <c r="X37" s="70">
        <v>14166911.147800261</v>
      </c>
      <c r="Y37" s="79">
        <f t="shared" ref="Y37:Y55" si="21">(G37/F37)*G37</f>
        <v>2679611.7478203606</v>
      </c>
      <c r="Z37" s="33">
        <f t="shared" ref="Z37:Z55" si="22">Y37/$Y$56</f>
        <v>1.6826965338037809E-3</v>
      </c>
      <c r="AA37" s="29">
        <f t="shared" ref="AA37:AA55" si="23">0.85*W37/$W$56</f>
        <v>1.2441321047043085E-2</v>
      </c>
      <c r="AB37" s="29">
        <f t="shared" ref="AB37:AB55" si="24">0.15*V37/$V$56</f>
        <v>5.8666009938213469E-3</v>
      </c>
      <c r="AC37" s="33">
        <f t="shared" si="16"/>
        <v>1.8307922040864431E-2</v>
      </c>
      <c r="AD37" s="33">
        <f t="shared" ref="AD37:AD55" si="25">U37</f>
        <v>2.0272622017235731E-2</v>
      </c>
      <c r="AE37" s="118">
        <f>IF('Datos Mun'!B37="AMM",W37,0)</f>
        <v>0</v>
      </c>
      <c r="AF37" s="33">
        <f t="shared" si="17"/>
        <v>0</v>
      </c>
      <c r="AG37" s="118">
        <f>IF('Datos Mun'!B37="AMM",0,W37)</f>
        <v>84666</v>
      </c>
      <c r="AH37" s="33">
        <f t="shared" si="18"/>
        <v>9.5632893305607106E-2</v>
      </c>
      <c r="AI37" s="118">
        <f t="shared" ref="AI37:AI55" si="26">IF(D37="Zona de Crec",W37,0)</f>
        <v>0</v>
      </c>
      <c r="AJ37" s="33">
        <f t="shared" si="19"/>
        <v>0</v>
      </c>
      <c r="AK37" s="90">
        <f>IF('Datos Mun'!B37="AMM",'Art 14 F I'!F39,'Art 14 F I'!M39)</f>
        <v>6.6946476326405199E-2</v>
      </c>
      <c r="AL37" s="35">
        <f>IF('Datos Mun'!D37="Zona de Crec",'Art 14 F I'!T39,0)</f>
        <v>0</v>
      </c>
    </row>
    <row r="38" spans="1:38">
      <c r="A38" s="17" t="s">
        <v>34</v>
      </c>
      <c r="B38" s="85" t="s">
        <v>91</v>
      </c>
      <c r="C38" s="85" t="s">
        <v>91</v>
      </c>
      <c r="D38" s="85" t="s">
        <v>92</v>
      </c>
      <c r="E38" s="318">
        <v>1126052</v>
      </c>
      <c r="F38" s="18">
        <v>2142351</v>
      </c>
      <c r="G38" s="266">
        <v>940947</v>
      </c>
      <c r="H38" s="266">
        <v>2191945</v>
      </c>
      <c r="I38" s="14">
        <f t="shared" si="0"/>
        <v>0.42927491337601992</v>
      </c>
      <c r="J38" s="319">
        <f t="shared" si="20"/>
        <v>-0.16438406041639284</v>
      </c>
      <c r="K38" s="8">
        <v>1318</v>
      </c>
      <c r="L38" s="9">
        <v>475</v>
      </c>
      <c r="M38" s="306">
        <f t="shared" si="8"/>
        <v>4.4162917467410089E-4</v>
      </c>
      <c r="N38" s="288">
        <v>2.0058388967999998</v>
      </c>
      <c r="O38" s="290">
        <f t="shared" si="9"/>
        <v>8.8583697652299298E-4</v>
      </c>
      <c r="P38" s="307">
        <f t="shared" si="10"/>
        <v>4.5944593336068676E-4</v>
      </c>
      <c r="Q38" s="307">
        <f t="shared" si="11"/>
        <v>3.9052904335658376E-4</v>
      </c>
      <c r="R38" s="288">
        <f t="shared" si="12"/>
        <v>2.7747368421052632</v>
      </c>
      <c r="S38" s="308">
        <f t="shared" si="13"/>
        <v>3.6871401350116108E-2</v>
      </c>
      <c r="T38" s="14">
        <f t="shared" si="14"/>
        <v>5.5307102025174163E-3</v>
      </c>
      <c r="U38" s="290">
        <f t="shared" si="15"/>
        <v>5.921239245874E-3</v>
      </c>
      <c r="V38" s="72">
        <v>264.89999999999998</v>
      </c>
      <c r="W38" s="18">
        <v>5119</v>
      </c>
      <c r="X38" s="70">
        <v>3175363.842931075</v>
      </c>
      <c r="Y38" s="79">
        <f t="shared" si="21"/>
        <v>413275.53552569117</v>
      </c>
      <c r="Z38" s="33">
        <f t="shared" si="22"/>
        <v>2.5952166827923688E-4</v>
      </c>
      <c r="AA38" s="29">
        <f t="shared" si="23"/>
        <v>7.5221603051772322E-4</v>
      </c>
      <c r="AB38" s="29">
        <f t="shared" si="24"/>
        <v>6.1934584858252617E-4</v>
      </c>
      <c r="AC38" s="33">
        <f t="shared" si="16"/>
        <v>1.3715618791002495E-3</v>
      </c>
      <c r="AD38" s="33">
        <f t="shared" si="25"/>
        <v>5.921239245874E-3</v>
      </c>
      <c r="AE38" s="118">
        <f>IF('Datos Mun'!B38="AMM",W38,0)</f>
        <v>0</v>
      </c>
      <c r="AF38" s="33">
        <f t="shared" si="17"/>
        <v>0</v>
      </c>
      <c r="AG38" s="118">
        <f>IF('Datos Mun'!B38="AMM",0,W38)</f>
        <v>5119</v>
      </c>
      <c r="AH38" s="33">
        <f t="shared" si="18"/>
        <v>5.7820704985638008E-3</v>
      </c>
      <c r="AI38" s="118">
        <f t="shared" si="26"/>
        <v>0</v>
      </c>
      <c r="AJ38" s="33">
        <f t="shared" si="19"/>
        <v>0</v>
      </c>
      <c r="AK38" s="90">
        <f>IF('Datos Mun'!B38="AMM",'Art 14 F I'!F40,'Art 14 F I'!M40)</f>
        <v>1.2467845425464105E-2</v>
      </c>
      <c r="AL38" s="35">
        <f>IF('Datos Mun'!D38="Zona de Crec",'Art 14 F I'!T40,0)</f>
        <v>0</v>
      </c>
    </row>
    <row r="39" spans="1:38">
      <c r="A39" s="17" t="s">
        <v>35</v>
      </c>
      <c r="B39" s="85" t="s">
        <v>91</v>
      </c>
      <c r="C39" s="85" t="s">
        <v>91</v>
      </c>
      <c r="D39" s="85" t="s">
        <v>92</v>
      </c>
      <c r="E39" s="318">
        <v>319251</v>
      </c>
      <c r="F39" s="18">
        <v>758867</v>
      </c>
      <c r="G39" s="266">
        <v>301669</v>
      </c>
      <c r="H39" s="266">
        <v>739738</v>
      </c>
      <c r="I39" s="14">
        <f t="shared" si="0"/>
        <v>0.40780519589368125</v>
      </c>
      <c r="J39" s="319">
        <f t="shared" si="20"/>
        <v>-5.5072654431779382E-2</v>
      </c>
      <c r="K39" s="8">
        <v>35</v>
      </c>
      <c r="L39" s="9">
        <v>141</v>
      </c>
      <c r="M39" s="306">
        <f t="shared" si="8"/>
        <v>1.3109413395589101E-4</v>
      </c>
      <c r="N39" s="288">
        <v>1.5774653305999999</v>
      </c>
      <c r="O39" s="290">
        <f t="shared" si="9"/>
        <v>2.0679645136045029E-4</v>
      </c>
      <c r="P39" s="307">
        <f t="shared" si="10"/>
        <v>1.072565168637593E-4</v>
      </c>
      <c r="Q39" s="307">
        <f t="shared" si="11"/>
        <v>9.1168039334195411E-5</v>
      </c>
      <c r="R39" s="288">
        <f t="shared" si="12"/>
        <v>0.24822695035460993</v>
      </c>
      <c r="S39" s="308">
        <f t="shared" si="13"/>
        <v>3.2985021763346587E-3</v>
      </c>
      <c r="T39" s="14">
        <f t="shared" si="14"/>
        <v>4.9477532645019883E-4</v>
      </c>
      <c r="U39" s="290">
        <f t="shared" si="15"/>
        <v>5.8594336578439421E-4</v>
      </c>
      <c r="V39" s="72">
        <v>207.9</v>
      </c>
      <c r="W39" s="18">
        <v>1483</v>
      </c>
      <c r="X39" s="70">
        <v>3099472.9192519165</v>
      </c>
      <c r="Y39" s="79">
        <f t="shared" si="21"/>
        <v>119921.1265755396</v>
      </c>
      <c r="Z39" s="33">
        <f t="shared" si="22"/>
        <v>7.5306008112050149E-5</v>
      </c>
      <c r="AA39" s="29">
        <f t="shared" si="23"/>
        <v>2.1792076055045584E-4</v>
      </c>
      <c r="AB39" s="29">
        <f t="shared" si="24"/>
        <v>4.8607777244359082E-4</v>
      </c>
      <c r="AC39" s="33">
        <f t="shared" si="16"/>
        <v>7.0399853299404663E-4</v>
      </c>
      <c r="AD39" s="33">
        <f t="shared" si="25"/>
        <v>5.8594336578439421E-4</v>
      </c>
      <c r="AE39" s="118">
        <f>IF('Datos Mun'!B39="AMM",W39,0)</f>
        <v>0</v>
      </c>
      <c r="AF39" s="33">
        <f t="shared" si="17"/>
        <v>0</v>
      </c>
      <c r="AG39" s="118">
        <f>IF('Datos Mun'!B39="AMM",0,W39)</f>
        <v>1483</v>
      </c>
      <c r="AH39" s="33">
        <f t="shared" si="18"/>
        <v>1.6750948523872079E-3</v>
      </c>
      <c r="AI39" s="118">
        <f t="shared" si="26"/>
        <v>0</v>
      </c>
      <c r="AJ39" s="33">
        <f t="shared" si="19"/>
        <v>0</v>
      </c>
      <c r="AK39" s="90">
        <f>IF('Datos Mun'!B39="AMM",'Art 14 F I'!F41,'Art 14 F I'!M41)</f>
        <v>2.2991501722468854E-3</v>
      </c>
      <c r="AL39" s="35">
        <f>IF('Datos Mun'!D39="Zona de Crec",'Art 14 F I'!T41,0)</f>
        <v>0</v>
      </c>
    </row>
    <row r="40" spans="1:38">
      <c r="A40" s="17" t="s">
        <v>36</v>
      </c>
      <c r="B40" s="85" t="s">
        <v>91</v>
      </c>
      <c r="C40" s="85" t="s">
        <v>91</v>
      </c>
      <c r="D40" s="85" t="s">
        <v>92</v>
      </c>
      <c r="E40" s="318">
        <v>69817</v>
      </c>
      <c r="F40" s="18">
        <v>746282</v>
      </c>
      <c r="G40" s="266">
        <v>64774</v>
      </c>
      <c r="H40" s="266">
        <v>841795</v>
      </c>
      <c r="I40" s="14">
        <f t="shared" si="0"/>
        <v>7.6947475335443896E-2</v>
      </c>
      <c r="J40" s="319">
        <f t="shared" si="20"/>
        <v>-7.2231691421860006E-2</v>
      </c>
      <c r="K40" s="8">
        <v>5295</v>
      </c>
      <c r="L40" s="9">
        <v>4705</v>
      </c>
      <c r="M40" s="306">
        <f t="shared" si="8"/>
        <v>4.3744531933508314E-3</v>
      </c>
      <c r="N40" s="288">
        <v>2.7540316573000001</v>
      </c>
      <c r="O40" s="290">
        <f t="shared" si="9"/>
        <v>1.2047382577865268E-2</v>
      </c>
      <c r="P40" s="307">
        <f t="shared" si="10"/>
        <v>6.2484645366312659E-3</v>
      </c>
      <c r="Q40" s="307">
        <f t="shared" si="11"/>
        <v>5.3111948561365757E-3</v>
      </c>
      <c r="R40" s="288">
        <f t="shared" si="12"/>
        <v>1.1253985122210415</v>
      </c>
      <c r="S40" s="308">
        <f t="shared" si="13"/>
        <v>1.4954578608413996E-2</v>
      </c>
      <c r="T40" s="14">
        <f t="shared" si="14"/>
        <v>2.2431867912620991E-3</v>
      </c>
      <c r="U40" s="290">
        <f t="shared" si="15"/>
        <v>7.5543816473986752E-3</v>
      </c>
      <c r="V40" s="72">
        <v>997.9</v>
      </c>
      <c r="W40" s="18">
        <v>7652</v>
      </c>
      <c r="X40" s="70">
        <v>4009447.7515494265</v>
      </c>
      <c r="Y40" s="79">
        <f t="shared" si="21"/>
        <v>5622.0987187149094</v>
      </c>
      <c r="Z40" s="33">
        <f t="shared" si="22"/>
        <v>3.5304689324412032E-6</v>
      </c>
      <c r="AA40" s="29">
        <f t="shared" si="23"/>
        <v>1.1244299795900798E-3</v>
      </c>
      <c r="AB40" s="29">
        <f t="shared" si="24"/>
        <v>2.3331265470007663E-3</v>
      </c>
      <c r="AC40" s="33">
        <f t="shared" si="16"/>
        <v>3.4575565265908461E-3</v>
      </c>
      <c r="AD40" s="33">
        <f t="shared" si="25"/>
        <v>7.5543816473986752E-3</v>
      </c>
      <c r="AE40" s="118">
        <f>IF('Datos Mun'!B40="AMM",W40,0)</f>
        <v>0</v>
      </c>
      <c r="AF40" s="33">
        <f t="shared" si="17"/>
        <v>0</v>
      </c>
      <c r="AG40" s="118">
        <f>IF('Datos Mun'!B40="AMM",0,W40)</f>
        <v>7652</v>
      </c>
      <c r="AH40" s="33">
        <f t="shared" si="18"/>
        <v>8.6431731695663615E-3</v>
      </c>
      <c r="AI40" s="118">
        <f t="shared" si="26"/>
        <v>0</v>
      </c>
      <c r="AJ40" s="33">
        <f t="shared" si="19"/>
        <v>0</v>
      </c>
      <c r="AK40" s="90">
        <f>IF('Datos Mun'!B40="AMM",'Art 14 F I'!F42,'Art 14 F I'!M42)</f>
        <v>1.7586522407919487E-2</v>
      </c>
      <c r="AL40" s="35">
        <f>IF('Datos Mun'!D40="Zona de Crec",'Art 14 F I'!T42,0)</f>
        <v>0</v>
      </c>
    </row>
    <row r="41" spans="1:38">
      <c r="A41" s="17" t="s">
        <v>37</v>
      </c>
      <c r="B41" s="85" t="s">
        <v>91</v>
      </c>
      <c r="C41" s="85" t="s">
        <v>91</v>
      </c>
      <c r="D41" s="85" t="s">
        <v>92</v>
      </c>
      <c r="E41" s="318">
        <v>875732</v>
      </c>
      <c r="F41" s="18">
        <v>4564482</v>
      </c>
      <c r="G41" s="266">
        <v>1105076</v>
      </c>
      <c r="H41" s="266">
        <v>4742394</v>
      </c>
      <c r="I41" s="14">
        <f t="shared" si="0"/>
        <v>0.23302070641958469</v>
      </c>
      <c r="J41" s="319">
        <f t="shared" si="20"/>
        <v>0.26188834026848395</v>
      </c>
      <c r="K41" s="8">
        <v>1618</v>
      </c>
      <c r="L41" s="9">
        <v>916</v>
      </c>
      <c r="M41" s="306">
        <f t="shared" si="8"/>
        <v>8.5164699789784515E-4</v>
      </c>
      <c r="N41" s="288">
        <v>2.0422796606000002</v>
      </c>
      <c r="O41" s="290">
        <f t="shared" si="9"/>
        <v>1.7393013418178203E-3</v>
      </c>
      <c r="P41" s="307">
        <f t="shared" si="10"/>
        <v>9.0210157124349997E-4</v>
      </c>
      <c r="Q41" s="307">
        <f t="shared" si="11"/>
        <v>7.6678633555697499E-4</v>
      </c>
      <c r="R41" s="288">
        <f t="shared" si="12"/>
        <v>1.7663755458515285</v>
      </c>
      <c r="S41" s="308">
        <f t="shared" si="13"/>
        <v>2.3472042716925653E-2</v>
      </c>
      <c r="T41" s="14">
        <f t="shared" si="14"/>
        <v>3.5208064075388477E-3</v>
      </c>
      <c r="U41" s="290">
        <f t="shared" si="15"/>
        <v>4.2875927430958225E-3</v>
      </c>
      <c r="V41" s="72">
        <v>3860</v>
      </c>
      <c r="W41" s="18">
        <v>6048</v>
      </c>
      <c r="X41" s="70">
        <v>3822980.5102342176</v>
      </c>
      <c r="Y41" s="79">
        <f t="shared" si="21"/>
        <v>267542.50882706954</v>
      </c>
      <c r="Z41" s="33">
        <f t="shared" si="22"/>
        <v>1.680067467291377E-4</v>
      </c>
      <c r="AA41" s="29">
        <f t="shared" si="23"/>
        <v>8.8872876588614778E-4</v>
      </c>
      <c r="AB41" s="29">
        <f t="shared" si="24"/>
        <v>9.0248205946717678E-3</v>
      </c>
      <c r="AC41" s="33">
        <f t="shared" si="16"/>
        <v>9.9135493605579158E-3</v>
      </c>
      <c r="AD41" s="33">
        <f t="shared" si="25"/>
        <v>4.2875927430958225E-3</v>
      </c>
      <c r="AE41" s="118">
        <f>IF('Datos Mun'!B41="AMM",W41,0)</f>
        <v>0</v>
      </c>
      <c r="AF41" s="33">
        <f t="shared" si="17"/>
        <v>0</v>
      </c>
      <c r="AG41" s="118">
        <f>IF('Datos Mun'!B41="AMM",0,W41)</f>
        <v>6048</v>
      </c>
      <c r="AH41" s="33">
        <f t="shared" si="18"/>
        <v>6.8314050352244323E-3</v>
      </c>
      <c r="AI41" s="118">
        <f t="shared" si="26"/>
        <v>0</v>
      </c>
      <c r="AJ41" s="33">
        <f t="shared" si="19"/>
        <v>0</v>
      </c>
      <c r="AK41" s="90">
        <f>IF('Datos Mun'!B41="AMM",'Art 14 F I'!F43,'Art 14 F I'!M43)</f>
        <v>2.3201563958833781E-2</v>
      </c>
      <c r="AL41" s="35">
        <f>IF('Datos Mun'!D41="Zona de Crec",'Art 14 F I'!T43,0)</f>
        <v>0</v>
      </c>
    </row>
    <row r="42" spans="1:38">
      <c r="A42" s="17" t="s">
        <v>38</v>
      </c>
      <c r="B42" s="85" t="s">
        <v>91</v>
      </c>
      <c r="C42" s="85" t="s">
        <v>91</v>
      </c>
      <c r="D42" s="85" t="s">
        <v>92</v>
      </c>
      <c r="E42" s="318">
        <v>15135193.17</v>
      </c>
      <c r="F42" s="18">
        <v>56486259</v>
      </c>
      <c r="G42" s="266">
        <v>16891683.199999999</v>
      </c>
      <c r="H42" s="266">
        <v>59084249</v>
      </c>
      <c r="I42" s="14">
        <f t="shared" si="0"/>
        <v>0.2858914767622755</v>
      </c>
      <c r="J42" s="319">
        <f t="shared" si="20"/>
        <v>0.11605336055317748</v>
      </c>
      <c r="K42" s="8">
        <v>15090</v>
      </c>
      <c r="L42" s="9">
        <v>11157</v>
      </c>
      <c r="M42" s="306">
        <f t="shared" si="8"/>
        <v>1.037317200387146E-2</v>
      </c>
      <c r="N42" s="288">
        <v>1.7986407321</v>
      </c>
      <c r="O42" s="290">
        <f t="shared" si="9"/>
        <v>1.8657609687242588E-2</v>
      </c>
      <c r="P42" s="307">
        <f t="shared" si="10"/>
        <v>9.6769079686436638E-3</v>
      </c>
      <c r="Q42" s="307">
        <f t="shared" si="11"/>
        <v>8.2253717733471142E-3</v>
      </c>
      <c r="R42" s="288">
        <f t="shared" si="12"/>
        <v>1.352514116698037</v>
      </c>
      <c r="S42" s="308">
        <f t="shared" si="13"/>
        <v>1.7972547908591634E-2</v>
      </c>
      <c r="T42" s="14">
        <f t="shared" si="14"/>
        <v>2.695882186288745E-3</v>
      </c>
      <c r="U42" s="290">
        <f t="shared" si="15"/>
        <v>1.0921253959635859E-2</v>
      </c>
      <c r="V42" s="72">
        <v>1869</v>
      </c>
      <c r="W42" s="18">
        <v>67428</v>
      </c>
      <c r="X42" s="70">
        <v>17905596.968442116</v>
      </c>
      <c r="Y42" s="79">
        <f t="shared" si="21"/>
        <v>5051298.6057221852</v>
      </c>
      <c r="Z42" s="33">
        <f t="shared" si="22"/>
        <v>3.1720276872089655E-3</v>
      </c>
      <c r="AA42" s="29">
        <f t="shared" si="23"/>
        <v>9.9082677291949667E-3</v>
      </c>
      <c r="AB42" s="29">
        <f t="shared" si="24"/>
        <v>4.3697900755029877E-3</v>
      </c>
      <c r="AC42" s="33">
        <f t="shared" si="16"/>
        <v>1.4278057804697954E-2</v>
      </c>
      <c r="AD42" s="33">
        <f t="shared" si="25"/>
        <v>1.0921253959635859E-2</v>
      </c>
      <c r="AE42" s="118">
        <f>IF('Datos Mun'!B42="AMM",W42,0)</f>
        <v>0</v>
      </c>
      <c r="AF42" s="33">
        <f t="shared" si="17"/>
        <v>0</v>
      </c>
      <c r="AG42" s="118">
        <f>IF('Datos Mun'!B42="AMM",0,W42)</f>
        <v>67428</v>
      </c>
      <c r="AH42" s="33">
        <f t="shared" si="18"/>
        <v>7.616203351771049E-2</v>
      </c>
      <c r="AI42" s="118">
        <f t="shared" si="26"/>
        <v>0</v>
      </c>
      <c r="AJ42" s="33">
        <f t="shared" si="19"/>
        <v>0</v>
      </c>
      <c r="AK42" s="90">
        <f>IF('Datos Mun'!B42="AMM",'Art 14 F I'!F44,'Art 14 F I'!M44)</f>
        <v>5.034378598053367E-2</v>
      </c>
      <c r="AL42" s="35">
        <f>IF('Datos Mun'!D42="Zona de Crec",'Art 14 F I'!T44,0)</f>
        <v>0</v>
      </c>
    </row>
    <row r="43" spans="1:38">
      <c r="A43" s="17" t="s">
        <v>39</v>
      </c>
      <c r="B43" s="85" t="s">
        <v>93</v>
      </c>
      <c r="C43" s="85" t="s">
        <v>93</v>
      </c>
      <c r="D43" s="85" t="s">
        <v>92</v>
      </c>
      <c r="E43" s="318">
        <v>1234436745.7600002</v>
      </c>
      <c r="F43" s="18">
        <v>2430413136</v>
      </c>
      <c r="G43" s="266">
        <v>1205887491.6800001</v>
      </c>
      <c r="H43" s="266">
        <v>2540450510.1400013</v>
      </c>
      <c r="I43" s="14">
        <f t="shared" si="0"/>
        <v>0.47467466375227479</v>
      </c>
      <c r="J43" s="319">
        <f t="shared" si="20"/>
        <v>-2.3127352760730861E-2</v>
      </c>
      <c r="K43" s="8">
        <v>182930</v>
      </c>
      <c r="L43" s="9">
        <v>207064</v>
      </c>
      <c r="M43" s="306">
        <f t="shared" si="8"/>
        <v>0.19251684931519586</v>
      </c>
      <c r="N43" s="288">
        <v>1.9809358914999999</v>
      </c>
      <c r="O43" s="290">
        <f t="shared" si="9"/>
        <v>0.38136353652696864</v>
      </c>
      <c r="P43" s="307">
        <f t="shared" si="10"/>
        <v>0.19779703335156221</v>
      </c>
      <c r="Q43" s="307">
        <f t="shared" si="11"/>
        <v>0.16812747834882788</v>
      </c>
      <c r="R43" s="288">
        <f t="shared" si="12"/>
        <v>0.8834466638334042</v>
      </c>
      <c r="S43" s="308">
        <f t="shared" si="13"/>
        <v>1.1739461565986884E-2</v>
      </c>
      <c r="T43" s="14">
        <f t="shared" si="14"/>
        <v>1.7609192348980326E-3</v>
      </c>
      <c r="U43" s="290">
        <f t="shared" si="15"/>
        <v>0.16988839758372593</v>
      </c>
      <c r="V43" s="72">
        <v>324.39999999999998</v>
      </c>
      <c r="W43" s="18">
        <v>1142994</v>
      </c>
      <c r="X43" s="70">
        <v>72944316.912798315</v>
      </c>
      <c r="Y43" s="79">
        <f t="shared" si="21"/>
        <v>598319940.36353922</v>
      </c>
      <c r="Z43" s="33">
        <f t="shared" si="22"/>
        <v>0.37572267347101768</v>
      </c>
      <c r="AA43" s="29">
        <f t="shared" si="23"/>
        <v>0.16795827497276314</v>
      </c>
      <c r="AB43" s="29">
        <f t="shared" si="24"/>
        <v>7.584590157801869E-4</v>
      </c>
      <c r="AC43" s="33">
        <f t="shared" si="16"/>
        <v>0.16871673398854334</v>
      </c>
      <c r="AD43" s="33">
        <f t="shared" si="25"/>
        <v>0.16988839758372593</v>
      </c>
      <c r="AE43" s="118">
        <f>IF('Datos Mun'!B43="AMM",W43,0)</f>
        <v>1142994</v>
      </c>
      <c r="AF43" s="33">
        <f t="shared" si="17"/>
        <v>0.23330602910441653</v>
      </c>
      <c r="AG43" s="118">
        <f>IF('Datos Mun'!B43="AMM",0,W43)</f>
        <v>0</v>
      </c>
      <c r="AH43" s="33">
        <f t="shared" si="18"/>
        <v>0</v>
      </c>
      <c r="AI43" s="118">
        <f t="shared" si="26"/>
        <v>0</v>
      </c>
      <c r="AJ43" s="33">
        <f t="shared" si="19"/>
        <v>0</v>
      </c>
      <c r="AK43" s="90">
        <f>IF('Datos Mun'!B43="AMM",'Art 14 F I'!F45,'Art 14 F I'!M45)</f>
        <v>0.32312720880437656</v>
      </c>
      <c r="AL43" s="35">
        <f>IF('Datos Mun'!D43="Zona de Crec",'Art 14 F I'!T45,0)</f>
        <v>0</v>
      </c>
    </row>
    <row r="44" spans="1:38">
      <c r="A44" s="17" t="s">
        <v>40</v>
      </c>
      <c r="B44" s="85" t="s">
        <v>91</v>
      </c>
      <c r="C44" s="85" t="s">
        <v>91</v>
      </c>
      <c r="D44" s="85" t="s">
        <v>92</v>
      </c>
      <c r="E44" s="318">
        <v>468889</v>
      </c>
      <c r="F44" s="18">
        <v>1354101</v>
      </c>
      <c r="G44" s="266">
        <v>451420</v>
      </c>
      <c r="H44" s="266">
        <v>1346236</v>
      </c>
      <c r="I44" s="14">
        <f t="shared" si="0"/>
        <v>0.33532010732145034</v>
      </c>
      <c r="J44" s="319">
        <f t="shared" si="20"/>
        <v>-3.725615230896865E-2</v>
      </c>
      <c r="K44" s="8">
        <v>133</v>
      </c>
      <c r="L44" s="9">
        <v>63</v>
      </c>
      <c r="M44" s="306">
        <f t="shared" si="8"/>
        <v>5.8573974746249173E-5</v>
      </c>
      <c r="N44" s="288">
        <v>1.7977681072</v>
      </c>
      <c r="O44" s="290">
        <f t="shared" si="9"/>
        <v>1.0530242371074497E-4</v>
      </c>
      <c r="P44" s="307">
        <f t="shared" si="10"/>
        <v>5.4615884896592997E-5</v>
      </c>
      <c r="Q44" s="307">
        <f t="shared" si="11"/>
        <v>4.6423502162104046E-5</v>
      </c>
      <c r="R44" s="288">
        <f t="shared" si="12"/>
        <v>2.1111111111111112</v>
      </c>
      <c r="S44" s="308">
        <f t="shared" si="13"/>
        <v>2.8052975652065243E-2</v>
      </c>
      <c r="T44" s="14">
        <f t="shared" si="14"/>
        <v>4.2079463478097859E-3</v>
      </c>
      <c r="U44" s="290">
        <f t="shared" si="15"/>
        <v>4.2543698499718898E-3</v>
      </c>
      <c r="V44" s="72">
        <v>1171.2</v>
      </c>
      <c r="W44" s="18">
        <v>906</v>
      </c>
      <c r="X44" s="70">
        <v>3555590.977330958</v>
      </c>
      <c r="Y44" s="79">
        <f t="shared" si="21"/>
        <v>150491.00207443905</v>
      </c>
      <c r="Z44" s="33">
        <f t="shared" si="22"/>
        <v>9.4502753156422046E-5</v>
      </c>
      <c r="AA44" s="29">
        <f t="shared" si="23"/>
        <v>1.331329798103257E-4</v>
      </c>
      <c r="AB44" s="29">
        <f t="shared" si="24"/>
        <v>2.7383082591916001E-3</v>
      </c>
      <c r="AC44" s="33">
        <f t="shared" si="16"/>
        <v>2.8714412390019256E-3</v>
      </c>
      <c r="AD44" s="33">
        <f t="shared" si="25"/>
        <v>4.2543698499718898E-3</v>
      </c>
      <c r="AE44" s="118">
        <f>IF('Datos Mun'!B44="AMM",W44,0)</f>
        <v>0</v>
      </c>
      <c r="AF44" s="33">
        <f t="shared" si="17"/>
        <v>0</v>
      </c>
      <c r="AG44" s="118">
        <f>IF('Datos Mun'!B44="AMM",0,W44)</f>
        <v>906</v>
      </c>
      <c r="AH44" s="33">
        <f t="shared" si="18"/>
        <v>1.0233553177766759E-3</v>
      </c>
      <c r="AI44" s="118">
        <f t="shared" si="26"/>
        <v>0</v>
      </c>
      <c r="AJ44" s="33">
        <f t="shared" si="19"/>
        <v>0</v>
      </c>
      <c r="AK44" s="90">
        <f>IF('Datos Mun'!B44="AMM",'Art 14 F I'!F46,'Art 14 F I'!M46)</f>
        <v>1.1674579937522181E-2</v>
      </c>
      <c r="AL44" s="35">
        <f>IF('Datos Mun'!D44="Zona de Crec",'Art 14 F I'!T46,0)</f>
        <v>0</v>
      </c>
    </row>
    <row r="45" spans="1:38">
      <c r="A45" s="17" t="s">
        <v>41</v>
      </c>
      <c r="B45" s="85" t="s">
        <v>91</v>
      </c>
      <c r="C45" s="85" t="s">
        <v>91</v>
      </c>
      <c r="D45" s="85" t="s">
        <v>94</v>
      </c>
      <c r="E45" s="318">
        <v>15857010</v>
      </c>
      <c r="F45" s="18">
        <v>81632998</v>
      </c>
      <c r="G45" s="266">
        <v>17252658</v>
      </c>
      <c r="H45" s="266">
        <v>105243330.84</v>
      </c>
      <c r="I45" s="14">
        <f t="shared" si="0"/>
        <v>0.16393112857886435</v>
      </c>
      <c r="J45" s="319">
        <f t="shared" si="20"/>
        <v>8.8014575257252162E-2</v>
      </c>
      <c r="K45" s="8">
        <v>19678</v>
      </c>
      <c r="L45" s="9">
        <v>32877</v>
      </c>
      <c r="M45" s="306">
        <f t="shared" si="8"/>
        <v>3.0567247106864034E-2</v>
      </c>
      <c r="N45" s="288">
        <v>1.8363293522999999</v>
      </c>
      <c r="O45" s="290">
        <f t="shared" si="9"/>
        <v>5.6131533081341681E-2</v>
      </c>
      <c r="P45" s="307">
        <f t="shared" si="10"/>
        <v>2.9113036925540778E-2</v>
      </c>
      <c r="Q45" s="307">
        <f t="shared" si="11"/>
        <v>2.474608138670966E-2</v>
      </c>
      <c r="R45" s="288">
        <f t="shared" si="12"/>
        <v>0.59853392949478357</v>
      </c>
      <c r="S45" s="308">
        <f t="shared" si="13"/>
        <v>7.953469461024678E-3</v>
      </c>
      <c r="T45" s="14">
        <f t="shared" si="14"/>
        <v>1.1930204191537017E-3</v>
      </c>
      <c r="U45" s="290">
        <f t="shared" si="15"/>
        <v>2.5939101805863361E-2</v>
      </c>
      <c r="V45" s="72">
        <v>322.8</v>
      </c>
      <c r="W45" s="18">
        <v>147624</v>
      </c>
      <c r="X45" s="70">
        <v>6379069.1452513868</v>
      </c>
      <c r="Y45" s="79">
        <f t="shared" si="21"/>
        <v>3646248.6415721742</v>
      </c>
      <c r="Z45" s="33">
        <f t="shared" si="22"/>
        <v>2.289708557797965E-3</v>
      </c>
      <c r="AA45" s="29">
        <f t="shared" si="23"/>
        <v>2.1692740630816248E-2</v>
      </c>
      <c r="AB45" s="29">
        <f t="shared" si="24"/>
        <v>7.547181575026029E-4</v>
      </c>
      <c r="AC45" s="33">
        <f t="shared" si="16"/>
        <v>2.2447458788318851E-2</v>
      </c>
      <c r="AD45" s="33">
        <f t="shared" si="25"/>
        <v>2.5939101805863361E-2</v>
      </c>
      <c r="AE45" s="118">
        <f>IF('Datos Mun'!B45="AMM",W45,0)</f>
        <v>0</v>
      </c>
      <c r="AF45" s="33">
        <f t="shared" si="17"/>
        <v>0</v>
      </c>
      <c r="AG45" s="118">
        <f>IF('Datos Mun'!B45="AMM",0,W45)</f>
        <v>147624</v>
      </c>
      <c r="AH45" s="33">
        <f t="shared" si="18"/>
        <v>0.16674592210978367</v>
      </c>
      <c r="AI45" s="118">
        <f t="shared" si="26"/>
        <v>147624</v>
      </c>
      <c r="AJ45" s="33">
        <f t="shared" si="19"/>
        <v>4.9345971335855048E-2</v>
      </c>
      <c r="AK45" s="90">
        <f>IF('Datos Mun'!B45="AMM",'Art 14 F I'!F47,'Art 14 F I'!M47)</f>
        <v>8.4534660942868156E-2</v>
      </c>
      <c r="AL45" s="35">
        <f>IF('Datos Mun'!D45="Zona de Crec",'Art 14 F I'!T47,0)</f>
        <v>3.91216636541789E-2</v>
      </c>
    </row>
    <row r="46" spans="1:38">
      <c r="A46" s="17" t="s">
        <v>42</v>
      </c>
      <c r="B46" s="85" t="s">
        <v>91</v>
      </c>
      <c r="C46" s="85" t="s">
        <v>91</v>
      </c>
      <c r="D46" s="85" t="s">
        <v>92</v>
      </c>
      <c r="E46" s="318">
        <v>1139783</v>
      </c>
      <c r="F46" s="18">
        <v>7103115</v>
      </c>
      <c r="G46" s="266">
        <v>1075933</v>
      </c>
      <c r="H46" s="266">
        <v>7778604</v>
      </c>
      <c r="I46" s="14">
        <f t="shared" si="0"/>
        <v>0.13831954936901275</v>
      </c>
      <c r="J46" s="319">
        <f t="shared" si="20"/>
        <v>-5.601943527846967E-2</v>
      </c>
      <c r="K46" s="8">
        <v>1611</v>
      </c>
      <c r="L46" s="9">
        <v>1054</v>
      </c>
      <c r="M46" s="306">
        <f t="shared" si="8"/>
        <v>9.7995189496105769E-4</v>
      </c>
      <c r="N46" s="288">
        <v>2.1403267704000002</v>
      </c>
      <c r="O46" s="290">
        <f t="shared" si="9"/>
        <v>2.0974172744893608E-3</v>
      </c>
      <c r="P46" s="307">
        <f t="shared" si="10"/>
        <v>1.0878410620281658E-3</v>
      </c>
      <c r="Q46" s="307">
        <f t="shared" si="11"/>
        <v>9.2466490272394091E-4</v>
      </c>
      <c r="R46" s="288">
        <f t="shared" si="12"/>
        <v>1.5284629981024669</v>
      </c>
      <c r="S46" s="308">
        <f t="shared" si="13"/>
        <v>2.0310600917771596E-2</v>
      </c>
      <c r="T46" s="14">
        <f t="shared" si="14"/>
        <v>3.0465901376657395E-3</v>
      </c>
      <c r="U46" s="290">
        <f t="shared" si="15"/>
        <v>3.9712550403896802E-3</v>
      </c>
      <c r="V46" s="72">
        <v>1341</v>
      </c>
      <c r="W46" s="18">
        <v>5389</v>
      </c>
      <c r="X46" s="70">
        <v>2047968.1588161185</v>
      </c>
      <c r="Y46" s="79">
        <f t="shared" si="21"/>
        <v>162975.232766047</v>
      </c>
      <c r="Z46" s="33">
        <f t="shared" si="22"/>
        <v>1.0234238579315125E-4</v>
      </c>
      <c r="AA46" s="29">
        <f t="shared" si="23"/>
        <v>7.9189142185192619E-4</v>
      </c>
      <c r="AB46" s="29">
        <f t="shared" si="24"/>
        <v>3.135306843900218E-3</v>
      </c>
      <c r="AC46" s="33">
        <f t="shared" si="16"/>
        <v>3.927198265752144E-3</v>
      </c>
      <c r="AD46" s="33">
        <f t="shared" si="25"/>
        <v>3.9712550403896802E-3</v>
      </c>
      <c r="AE46" s="118">
        <f>IF('Datos Mun'!B46="AMM",W46,0)</f>
        <v>0</v>
      </c>
      <c r="AF46" s="33">
        <f t="shared" si="17"/>
        <v>0</v>
      </c>
      <c r="AG46" s="118">
        <f>IF('Datos Mun'!B46="AMM",0,W46)</f>
        <v>5389</v>
      </c>
      <c r="AH46" s="33">
        <f t="shared" si="18"/>
        <v>6.0870439376363205E-3</v>
      </c>
      <c r="AI46" s="118">
        <f t="shared" si="26"/>
        <v>0</v>
      </c>
      <c r="AJ46" s="33">
        <f t="shared" si="19"/>
        <v>0</v>
      </c>
      <c r="AK46" s="90">
        <f>IF('Datos Mun'!B46="AMM",'Art 14 F I'!F48,'Art 14 F I'!M48)</f>
        <v>1.2932755319412017E-2</v>
      </c>
      <c r="AL46" s="35">
        <f>IF('Datos Mun'!D46="Zona de Crec",'Art 14 F I'!T48,0)</f>
        <v>0</v>
      </c>
    </row>
    <row r="47" spans="1:38">
      <c r="A47" s="17" t="s">
        <v>43</v>
      </c>
      <c r="B47" s="85" t="s">
        <v>91</v>
      </c>
      <c r="C47" s="85" t="s">
        <v>91</v>
      </c>
      <c r="D47" s="85" t="s">
        <v>92</v>
      </c>
      <c r="E47" s="318">
        <v>622808</v>
      </c>
      <c r="F47" s="18">
        <v>939947</v>
      </c>
      <c r="G47" s="266">
        <v>222448</v>
      </c>
      <c r="H47" s="266">
        <v>938475</v>
      </c>
      <c r="I47" s="14">
        <f t="shared" si="0"/>
        <v>0.23703135405844589</v>
      </c>
      <c r="J47" s="319">
        <f t="shared" si="20"/>
        <v>-0.64283053525324019</v>
      </c>
      <c r="K47" s="8">
        <v>1875</v>
      </c>
      <c r="L47" s="9">
        <v>790</v>
      </c>
      <c r="M47" s="306">
        <f t="shared" si="8"/>
        <v>7.3449904840534679E-4</v>
      </c>
      <c r="N47" s="288">
        <v>2.1956719391999999</v>
      </c>
      <c r="O47" s="290">
        <f t="shared" si="9"/>
        <v>1.6127189499527224E-3</v>
      </c>
      <c r="P47" s="307">
        <f t="shared" si="10"/>
        <v>8.3644867266416574E-4</v>
      </c>
      <c r="Q47" s="307">
        <f t="shared" si="11"/>
        <v>7.1098137176454088E-4</v>
      </c>
      <c r="R47" s="288">
        <f t="shared" si="12"/>
        <v>2.3734177215189876</v>
      </c>
      <c r="S47" s="308">
        <f t="shared" si="13"/>
        <v>3.1538571893977414E-2</v>
      </c>
      <c r="T47" s="14">
        <f t="shared" si="14"/>
        <v>4.7307857840966118E-3</v>
      </c>
      <c r="U47" s="290">
        <f t="shared" si="15"/>
        <v>5.4417671558611522E-3</v>
      </c>
      <c r="V47" s="72">
        <v>683.1</v>
      </c>
      <c r="W47" s="18">
        <v>2377</v>
      </c>
      <c r="X47" s="70">
        <v>2582856.5578415152</v>
      </c>
      <c r="Y47" s="79">
        <f t="shared" si="21"/>
        <v>52644.577517668549</v>
      </c>
      <c r="Z47" s="33">
        <f t="shared" si="22"/>
        <v>3.3058837044061201E-5</v>
      </c>
      <c r="AA47" s="29">
        <f t="shared" si="23"/>
        <v>3.4929038963481696E-4</v>
      </c>
      <c r="AB47" s="29">
        <f t="shared" si="24"/>
        <v>1.5971126808860842E-3</v>
      </c>
      <c r="AC47" s="33">
        <f t="shared" si="16"/>
        <v>1.9464030705209012E-3</v>
      </c>
      <c r="AD47" s="33">
        <f t="shared" si="25"/>
        <v>5.4417671558611522E-3</v>
      </c>
      <c r="AE47" s="118">
        <f>IF('Datos Mun'!B47="AMM",W47,0)</f>
        <v>0</v>
      </c>
      <c r="AF47" s="33">
        <f t="shared" si="17"/>
        <v>0</v>
      </c>
      <c r="AG47" s="118">
        <f>IF('Datos Mun'!B47="AMM",0,W47)</f>
        <v>2377</v>
      </c>
      <c r="AH47" s="33">
        <f t="shared" si="18"/>
        <v>2.6848957950939938E-3</v>
      </c>
      <c r="AI47" s="118">
        <f t="shared" si="26"/>
        <v>0</v>
      </c>
      <c r="AJ47" s="33">
        <f t="shared" si="19"/>
        <v>0</v>
      </c>
      <c r="AK47" s="90">
        <f>IF('Datos Mun'!B47="AMM",'Art 14 F I'!F49,'Art 14 F I'!M49)</f>
        <v>1.1897178669854677E-2</v>
      </c>
      <c r="AL47" s="35">
        <f>IF('Datos Mun'!D47="Zona de Crec",'Art 14 F I'!T49,0)</f>
        <v>0</v>
      </c>
    </row>
    <row r="48" spans="1:38">
      <c r="A48" s="17" t="s">
        <v>44</v>
      </c>
      <c r="B48" s="85" t="s">
        <v>91</v>
      </c>
      <c r="C48" s="85" t="s">
        <v>91</v>
      </c>
      <c r="D48" s="85" t="s">
        <v>92</v>
      </c>
      <c r="E48" s="318">
        <v>9313018</v>
      </c>
      <c r="F48" s="18">
        <v>19089007</v>
      </c>
      <c r="G48" s="266">
        <v>7881801</v>
      </c>
      <c r="H48" s="266">
        <v>19310735</v>
      </c>
      <c r="I48" s="14">
        <f t="shared" si="0"/>
        <v>0.4081564476960613</v>
      </c>
      <c r="J48" s="319">
        <f t="shared" si="20"/>
        <v>-0.15367918326798036</v>
      </c>
      <c r="K48" s="8">
        <v>9838</v>
      </c>
      <c r="L48" s="9">
        <v>7575</v>
      </c>
      <c r="M48" s="306">
        <f t="shared" si="8"/>
        <v>7.0428231540132936E-3</v>
      </c>
      <c r="N48" s="288">
        <v>1.6303971907999999</v>
      </c>
      <c r="O48" s="290">
        <f t="shared" si="9"/>
        <v>1.1482599085604469E-2</v>
      </c>
      <c r="P48" s="307">
        <f t="shared" si="10"/>
        <v>5.9555353796581761E-3</v>
      </c>
      <c r="Q48" s="307">
        <f t="shared" si="11"/>
        <v>5.0622050727094497E-3</v>
      </c>
      <c r="R48" s="288">
        <f t="shared" si="12"/>
        <v>1.2987458745874587</v>
      </c>
      <c r="S48" s="308">
        <f t="shared" si="13"/>
        <v>1.7258061978010494E-2</v>
      </c>
      <c r="T48" s="14">
        <f t="shared" si="14"/>
        <v>2.5887092967015741E-3</v>
      </c>
      <c r="U48" s="290">
        <f t="shared" si="15"/>
        <v>7.6509143694110243E-3</v>
      </c>
      <c r="V48" s="72">
        <v>1541.5</v>
      </c>
      <c r="W48" s="18">
        <v>34709</v>
      </c>
      <c r="X48" s="70">
        <v>4652120.7671424607</v>
      </c>
      <c r="Y48" s="79">
        <f t="shared" si="21"/>
        <v>3254374.9920360446</v>
      </c>
      <c r="Z48" s="33">
        <f t="shared" si="22"/>
        <v>2.0436264780713579E-3</v>
      </c>
      <c r="AA48" s="29">
        <f t="shared" si="23"/>
        <v>5.1003450289587131E-3</v>
      </c>
      <c r="AB48" s="29">
        <f t="shared" si="24"/>
        <v>3.6040831468099823E-3</v>
      </c>
      <c r="AC48" s="33">
        <f t="shared" si="16"/>
        <v>8.7044281757686949E-3</v>
      </c>
      <c r="AD48" s="33">
        <f t="shared" si="25"/>
        <v>7.6509143694110243E-3</v>
      </c>
      <c r="AE48" s="118">
        <f>IF('Datos Mun'!B48="AMM",W48,0)</f>
        <v>0</v>
      </c>
      <c r="AF48" s="33">
        <f t="shared" si="17"/>
        <v>0</v>
      </c>
      <c r="AG48" s="118">
        <f>IF('Datos Mun'!B48="AMM",0,W48)</f>
        <v>34709</v>
      </c>
      <c r="AH48" s="33">
        <f t="shared" si="18"/>
        <v>3.9204900358400269E-2</v>
      </c>
      <c r="AI48" s="118">
        <f t="shared" si="26"/>
        <v>0</v>
      </c>
      <c r="AJ48" s="33">
        <f t="shared" si="19"/>
        <v>0</v>
      </c>
      <c r="AK48" s="90">
        <f>IF('Datos Mun'!B48="AMM",'Art 14 F I'!F50,'Art 14 F I'!M50)</f>
        <v>3.2626753138882678E-2</v>
      </c>
      <c r="AL48" s="35">
        <f>IF('Datos Mun'!D48="Zona de Crec",'Art 14 F I'!T50,0)</f>
        <v>0</v>
      </c>
    </row>
    <row r="49" spans="1:38">
      <c r="A49" s="17" t="s">
        <v>45</v>
      </c>
      <c r="B49" s="85" t="s">
        <v>93</v>
      </c>
      <c r="C49" s="85" t="s">
        <v>91</v>
      </c>
      <c r="D49" s="85" t="s">
        <v>94</v>
      </c>
      <c r="E49" s="318">
        <v>20380807.240000002</v>
      </c>
      <c r="F49" s="18">
        <v>119215481</v>
      </c>
      <c r="G49" s="266">
        <v>19038713.890000001</v>
      </c>
      <c r="H49" s="266">
        <v>125378961.84</v>
      </c>
      <c r="I49" s="14">
        <f t="shared" si="0"/>
        <v>0.15184935024662188</v>
      </c>
      <c r="J49" s="319">
        <f t="shared" si="20"/>
        <v>-6.5850843599853479E-2</v>
      </c>
      <c r="K49" s="8">
        <v>13606</v>
      </c>
      <c r="L49" s="9">
        <v>22970</v>
      </c>
      <c r="M49" s="306">
        <f t="shared" si="8"/>
        <v>2.1356257141608628E-2</v>
      </c>
      <c r="N49" s="288">
        <v>1.9100372027999999</v>
      </c>
      <c r="O49" s="290">
        <f t="shared" si="9"/>
        <v>4.0791245653035664E-2</v>
      </c>
      <c r="P49" s="307">
        <f t="shared" si="10"/>
        <v>2.1156682808123412E-2</v>
      </c>
      <c r="Q49" s="307">
        <f t="shared" si="11"/>
        <v>1.7983180386904898E-2</v>
      </c>
      <c r="R49" s="288">
        <f t="shared" si="12"/>
        <v>0.59233783195472356</v>
      </c>
      <c r="S49" s="308">
        <f t="shared" si="13"/>
        <v>7.8711341578214088E-3</v>
      </c>
      <c r="T49" s="14">
        <f t="shared" si="14"/>
        <v>1.1806701236732112E-3</v>
      </c>
      <c r="U49" s="290">
        <f t="shared" si="15"/>
        <v>1.9163850510578111E-2</v>
      </c>
      <c r="V49" s="72">
        <v>1667.4</v>
      </c>
      <c r="W49" s="18">
        <v>86766</v>
      </c>
      <c r="X49" s="70">
        <v>2640599.7003082009</v>
      </c>
      <c r="Y49" s="79">
        <f t="shared" si="21"/>
        <v>3040482.8596487311</v>
      </c>
      <c r="Z49" s="33">
        <f t="shared" si="22"/>
        <v>1.9093101727077942E-3</v>
      </c>
      <c r="AA49" s="29">
        <f t="shared" si="23"/>
        <v>1.2749907424086885E-2</v>
      </c>
      <c r="AB49" s="29">
        <f t="shared" si="24"/>
        <v>3.8984419325273855E-3</v>
      </c>
      <c r="AC49" s="33">
        <f t="shared" si="16"/>
        <v>1.6648349356614269E-2</v>
      </c>
      <c r="AD49" s="33">
        <f t="shared" si="25"/>
        <v>1.9163850510578111E-2</v>
      </c>
      <c r="AE49" s="118">
        <f>IF('Datos Mun'!B49="AMM",W49,0)</f>
        <v>86766</v>
      </c>
      <c r="AF49" s="33">
        <f t="shared" si="17"/>
        <v>1.7710531220000984E-2</v>
      </c>
      <c r="AG49" s="118">
        <f>IF('Datos Mun'!B49="AMM",0,W49)</f>
        <v>0</v>
      </c>
      <c r="AH49" s="33">
        <f t="shared" si="18"/>
        <v>0</v>
      </c>
      <c r="AI49" s="118">
        <f t="shared" si="26"/>
        <v>86766</v>
      </c>
      <c r="AJ49" s="33">
        <f t="shared" si="19"/>
        <v>2.9003092647041127E-2</v>
      </c>
      <c r="AK49" s="90">
        <f>IF('Datos Mun'!B49="AMM",'Art 14 F I'!F51,'Art 14 F I'!M51)</f>
        <v>1.1747892937382012E-2</v>
      </c>
      <c r="AL49" s="35">
        <f>IF('Datos Mun'!D49="Zona de Crec",'Art 14 F I'!T51,0)</f>
        <v>2.9272066442203273E-2</v>
      </c>
    </row>
    <row r="50" spans="1:38">
      <c r="A50" s="17" t="s">
        <v>46</v>
      </c>
      <c r="B50" s="85" t="s">
        <v>93</v>
      </c>
      <c r="C50" s="85" t="s">
        <v>93</v>
      </c>
      <c r="D50" s="85" t="s">
        <v>92</v>
      </c>
      <c r="E50" s="318">
        <v>291911120</v>
      </c>
      <c r="F50" s="18">
        <v>642295900</v>
      </c>
      <c r="G50" s="266">
        <v>306694612.58999997</v>
      </c>
      <c r="H50" s="266">
        <v>658439418</v>
      </c>
      <c r="I50" s="14">
        <f t="shared" si="0"/>
        <v>0.46579017629530794</v>
      </c>
      <c r="J50" s="319">
        <f t="shared" si="20"/>
        <v>5.0643814425431873E-2</v>
      </c>
      <c r="K50" s="8">
        <v>47668</v>
      </c>
      <c r="L50" s="9">
        <v>40796</v>
      </c>
      <c r="M50" s="306">
        <f t="shared" si="8"/>
        <v>3.7929902757904463E-2</v>
      </c>
      <c r="N50" s="288">
        <v>1.7340616191</v>
      </c>
      <c r="O50" s="290">
        <f t="shared" si="9"/>
        <v>6.5772788588677369E-2</v>
      </c>
      <c r="P50" s="307">
        <f t="shared" si="10"/>
        <v>3.4113545769418024E-2</v>
      </c>
      <c r="Q50" s="307">
        <f t="shared" si="11"/>
        <v>2.899651390400532E-2</v>
      </c>
      <c r="R50" s="288">
        <f t="shared" si="12"/>
        <v>1.1684478870477497</v>
      </c>
      <c r="S50" s="308">
        <f t="shared" si="13"/>
        <v>1.5526629533395704E-2</v>
      </c>
      <c r="T50" s="14">
        <f t="shared" si="14"/>
        <v>2.3289944300093554E-3</v>
      </c>
      <c r="U50" s="290">
        <f t="shared" si="15"/>
        <v>3.1325508334014679E-2</v>
      </c>
      <c r="V50" s="72">
        <v>60.1</v>
      </c>
      <c r="W50" s="18">
        <v>412199</v>
      </c>
      <c r="X50" s="70">
        <v>18802603.882779483</v>
      </c>
      <c r="Y50" s="79">
        <f t="shared" si="21"/>
        <v>146445875.47846743</v>
      </c>
      <c r="Z50" s="33">
        <f t="shared" si="22"/>
        <v>9.1962564075904835E-2</v>
      </c>
      <c r="AA50" s="29">
        <f t="shared" si="23"/>
        <v>6.0570950490989442E-2</v>
      </c>
      <c r="AB50" s="29">
        <f t="shared" si="24"/>
        <v>1.4051598905175474E-4</v>
      </c>
      <c r="AC50" s="33">
        <f t="shared" si="16"/>
        <v>6.07114664800412E-2</v>
      </c>
      <c r="AD50" s="33">
        <f t="shared" si="25"/>
        <v>3.1325508334014679E-2</v>
      </c>
      <c r="AE50" s="118">
        <f>IF('Datos Mun'!B50="AMM",W50,0)</f>
        <v>412199</v>
      </c>
      <c r="AF50" s="33">
        <f t="shared" si="17"/>
        <v>8.4137372454108586E-2</v>
      </c>
      <c r="AG50" s="118">
        <f>IF('Datos Mun'!B50="AMM",0,W50)</f>
        <v>0</v>
      </c>
      <c r="AH50" s="33">
        <f t="shared" si="18"/>
        <v>0</v>
      </c>
      <c r="AI50" s="118">
        <f t="shared" si="26"/>
        <v>0</v>
      </c>
      <c r="AJ50" s="33">
        <f t="shared" si="19"/>
        <v>0</v>
      </c>
      <c r="AK50" s="90">
        <f>IF('Datos Mun'!B50="AMM",'Art 14 F I'!F52,'Art 14 F I'!M52)</f>
        <v>8.1804343766430379E-2</v>
      </c>
      <c r="AL50" s="35">
        <f>IF('Datos Mun'!D50="Zona de Crec",'Art 14 F I'!T52,0)</f>
        <v>0</v>
      </c>
    </row>
    <row r="51" spans="1:38">
      <c r="A51" s="17" t="s">
        <v>47</v>
      </c>
      <c r="B51" s="85" t="s">
        <v>93</v>
      </c>
      <c r="C51" s="85" t="s">
        <v>93</v>
      </c>
      <c r="D51" s="85" t="s">
        <v>92</v>
      </c>
      <c r="E51" s="318">
        <v>707374780.13</v>
      </c>
      <c r="F51" s="18">
        <v>1119704293</v>
      </c>
      <c r="G51" s="266">
        <v>671271036.40999997</v>
      </c>
      <c r="H51" s="266">
        <v>1139151243</v>
      </c>
      <c r="I51" s="14">
        <f t="shared" si="0"/>
        <v>0.58927297014765223</v>
      </c>
      <c r="J51" s="319">
        <f t="shared" si="20"/>
        <v>-5.1039059822524283E-2</v>
      </c>
      <c r="K51" s="8">
        <v>4761</v>
      </c>
      <c r="L51" s="9">
        <v>6438</v>
      </c>
      <c r="M51" s="306">
        <f t="shared" si="8"/>
        <v>5.9857023716881298E-3</v>
      </c>
      <c r="N51" s="288">
        <v>1.903799258</v>
      </c>
      <c r="O51" s="290">
        <f t="shared" si="9"/>
        <v>1.1395575733828702E-2</v>
      </c>
      <c r="P51" s="307">
        <f t="shared" si="10"/>
        <v>5.91040007131089E-3</v>
      </c>
      <c r="Q51" s="307">
        <f t="shared" si="11"/>
        <v>5.0238400606142566E-3</v>
      </c>
      <c r="R51" s="288">
        <f t="shared" si="12"/>
        <v>0.73951537744641194</v>
      </c>
      <c r="S51" s="308">
        <f t="shared" si="13"/>
        <v>9.8268664158151723E-3</v>
      </c>
      <c r="T51" s="14">
        <f t="shared" si="14"/>
        <v>1.4740299623722758E-3</v>
      </c>
      <c r="U51" s="290">
        <f t="shared" si="15"/>
        <v>6.4978700229865322E-3</v>
      </c>
      <c r="V51" s="72">
        <v>70.8</v>
      </c>
      <c r="W51" s="18">
        <v>132169</v>
      </c>
      <c r="X51" s="70">
        <v>37957810.446233124</v>
      </c>
      <c r="Y51" s="79">
        <f t="shared" si="21"/>
        <v>402431969.88703114</v>
      </c>
      <c r="Z51" s="33">
        <f t="shared" si="22"/>
        <v>0.25271231228612001</v>
      </c>
      <c r="AA51" s="29">
        <f t="shared" si="23"/>
        <v>1.9421691841667699E-2</v>
      </c>
      <c r="AB51" s="29">
        <f t="shared" si="24"/>
        <v>1.6553297878309876E-4</v>
      </c>
      <c r="AC51" s="33">
        <f t="shared" si="16"/>
        <v>1.9587224820450798E-2</v>
      </c>
      <c r="AD51" s="33">
        <f t="shared" si="25"/>
        <v>6.4978700229865322E-3</v>
      </c>
      <c r="AE51" s="118">
        <f>IF('Datos Mun'!B51="AMM",W51,0)</f>
        <v>132169</v>
      </c>
      <c r="AF51" s="33">
        <f t="shared" si="17"/>
        <v>2.6978115861239542E-2</v>
      </c>
      <c r="AG51" s="118">
        <f>IF('Datos Mun'!B51="AMM",0,W51)</f>
        <v>0</v>
      </c>
      <c r="AH51" s="33">
        <f t="shared" si="18"/>
        <v>0</v>
      </c>
      <c r="AI51" s="118">
        <f t="shared" si="26"/>
        <v>0</v>
      </c>
      <c r="AJ51" s="33">
        <f t="shared" si="19"/>
        <v>0</v>
      </c>
      <c r="AK51" s="90">
        <f>IF('Datos Mun'!B51="AMM",'Art 14 F I'!F53,'Art 14 F I'!M53)</f>
        <v>0.1575571548954936</v>
      </c>
      <c r="AL51" s="35">
        <f>IF('Datos Mun'!D51="Zona de Crec",'Art 14 F I'!T53,0)</f>
        <v>0</v>
      </c>
    </row>
    <row r="52" spans="1:38">
      <c r="A52" s="17" t="s">
        <v>48</v>
      </c>
      <c r="B52" s="85" t="s">
        <v>93</v>
      </c>
      <c r="C52" s="85" t="s">
        <v>93</v>
      </c>
      <c r="D52" s="85" t="s">
        <v>94</v>
      </c>
      <c r="E52" s="318">
        <v>114179634.2</v>
      </c>
      <c r="F52" s="18">
        <v>274755070</v>
      </c>
      <c r="G52" s="266">
        <v>112141719.38</v>
      </c>
      <c r="H52" s="266">
        <v>289861941.84000015</v>
      </c>
      <c r="I52" s="14">
        <f t="shared" si="0"/>
        <v>0.38687976306286082</v>
      </c>
      <c r="J52" s="319">
        <f t="shared" si="20"/>
        <v>-1.7848321500402983E-2</v>
      </c>
      <c r="K52" s="8">
        <v>43432</v>
      </c>
      <c r="L52" s="9">
        <v>47092</v>
      </c>
      <c r="M52" s="306">
        <f t="shared" si="8"/>
        <v>4.378358125000581E-2</v>
      </c>
      <c r="N52" s="288">
        <v>1.8493369051999999</v>
      </c>
      <c r="O52" s="290">
        <f t="shared" si="9"/>
        <v>8.0970592647458484E-2</v>
      </c>
      <c r="P52" s="307">
        <f t="shared" si="10"/>
        <v>4.1995999827981793E-2</v>
      </c>
      <c r="Q52" s="307">
        <f t="shared" si="11"/>
        <v>3.5696599853784525E-2</v>
      </c>
      <c r="R52" s="288">
        <f t="shared" si="12"/>
        <v>0.92227979274611394</v>
      </c>
      <c r="S52" s="308">
        <f t="shared" si="13"/>
        <v>1.2255485954351926E-2</v>
      </c>
      <c r="T52" s="14">
        <f t="shared" si="14"/>
        <v>1.8383228931527888E-3</v>
      </c>
      <c r="U52" s="290">
        <f t="shared" si="15"/>
        <v>3.7534922746937316E-2</v>
      </c>
      <c r="V52" s="72">
        <v>915.8</v>
      </c>
      <c r="W52" s="18">
        <v>306322</v>
      </c>
      <c r="X52" s="70">
        <v>9810871.836344054</v>
      </c>
      <c r="Y52" s="79">
        <f t="shared" si="21"/>
        <v>45770821.355553754</v>
      </c>
      <c r="Z52" s="33">
        <f t="shared" si="22"/>
        <v>2.8742373781198108E-2</v>
      </c>
      <c r="AA52" s="29">
        <f t="shared" si="23"/>
        <v>4.5012760089910141E-2</v>
      </c>
      <c r="AB52" s="29">
        <f t="shared" si="24"/>
        <v>2.1411737566322292E-3</v>
      </c>
      <c r="AC52" s="33">
        <f t="shared" si="16"/>
        <v>4.7153933846542373E-2</v>
      </c>
      <c r="AD52" s="33">
        <f t="shared" si="25"/>
        <v>3.7534922746937316E-2</v>
      </c>
      <c r="AE52" s="118">
        <f>IF('Datos Mun'!B52="AMM",W52,0)</f>
        <v>306322</v>
      </c>
      <c r="AF52" s="33">
        <f t="shared" si="17"/>
        <v>6.252593578559737E-2</v>
      </c>
      <c r="AG52" s="118">
        <f>IF('Datos Mun'!B52="AMM",0,W52)</f>
        <v>0</v>
      </c>
      <c r="AH52" s="33">
        <f t="shared" si="18"/>
        <v>0</v>
      </c>
      <c r="AI52" s="118">
        <f t="shared" si="26"/>
        <v>306322</v>
      </c>
      <c r="AJ52" s="33">
        <f t="shared" si="19"/>
        <v>0.10239362591138156</v>
      </c>
      <c r="AK52" s="90">
        <f>IF('Datos Mun'!B52="AMM",'Art 14 F I'!F54,'Art 14 F I'!M54)</f>
        <v>4.2144983908599443E-2</v>
      </c>
      <c r="AL52" s="35">
        <f>IF('Datos Mun'!D52="Zona de Crec",'Art 14 F I'!T54,0)</f>
        <v>0.1050120881892401</v>
      </c>
    </row>
    <row r="53" spans="1:38">
      <c r="A53" s="17" t="s">
        <v>49</v>
      </c>
      <c r="B53" s="85" t="s">
        <v>93</v>
      </c>
      <c r="C53" s="85" t="s">
        <v>91</v>
      </c>
      <c r="D53" s="85" t="s">
        <v>94</v>
      </c>
      <c r="E53" s="318">
        <v>77757928.799999997</v>
      </c>
      <c r="F53" s="18">
        <v>175563518</v>
      </c>
      <c r="G53" s="266">
        <v>85362095.170000002</v>
      </c>
      <c r="H53" s="266">
        <v>198838484.40000001</v>
      </c>
      <c r="I53" s="14">
        <f t="shared" si="0"/>
        <v>0.4293036905183733</v>
      </c>
      <c r="J53" s="319">
        <f t="shared" si="20"/>
        <v>9.7792810165488936E-2</v>
      </c>
      <c r="K53" s="8">
        <v>7735</v>
      </c>
      <c r="L53" s="9">
        <v>5334</v>
      </c>
      <c r="M53" s="306">
        <f t="shared" si="8"/>
        <v>4.9592631951824303E-3</v>
      </c>
      <c r="N53" s="288">
        <v>2.0438860060000001</v>
      </c>
      <c r="O53" s="290">
        <f t="shared" si="9"/>
        <v>1.0136168644704216E-2</v>
      </c>
      <c r="P53" s="307">
        <f t="shared" si="10"/>
        <v>5.2571992218554417E-3</v>
      </c>
      <c r="Q53" s="307">
        <f t="shared" si="11"/>
        <v>4.4686193385771256E-3</v>
      </c>
      <c r="R53" s="288">
        <f t="shared" si="12"/>
        <v>1.4501312335958005</v>
      </c>
      <c r="S53" s="308">
        <f t="shared" si="13"/>
        <v>1.9269708720803205E-2</v>
      </c>
      <c r="T53" s="14">
        <f t="shared" si="14"/>
        <v>2.8904563081204805E-3</v>
      </c>
      <c r="U53" s="290">
        <f t="shared" si="15"/>
        <v>7.3590756466976066E-3</v>
      </c>
      <c r="V53" s="72">
        <v>739.2</v>
      </c>
      <c r="W53" s="18">
        <v>46784</v>
      </c>
      <c r="X53" s="70">
        <v>4869932.0790867042</v>
      </c>
      <c r="Y53" s="79">
        <f t="shared" si="21"/>
        <v>41504564.130528174</v>
      </c>
      <c r="Z53" s="33">
        <f t="shared" si="22"/>
        <v>2.606332288858083E-2</v>
      </c>
      <c r="AA53" s="29">
        <f t="shared" si="23"/>
        <v>6.8747166969605712E-3</v>
      </c>
      <c r="AB53" s="29">
        <f t="shared" si="24"/>
        <v>1.7282765242438787E-3</v>
      </c>
      <c r="AC53" s="33">
        <f t="shared" si="16"/>
        <v>8.6029932212044503E-3</v>
      </c>
      <c r="AD53" s="33">
        <f t="shared" si="25"/>
        <v>7.3590756466976066E-3</v>
      </c>
      <c r="AE53" s="118">
        <f>IF('Datos Mun'!B53="AMM",W53,0)</f>
        <v>46784</v>
      </c>
      <c r="AF53" s="33">
        <f t="shared" si="17"/>
        <v>9.5494720581394323E-3</v>
      </c>
      <c r="AG53" s="118">
        <f>IF('Datos Mun'!B53="AMM",0,W53)</f>
        <v>0</v>
      </c>
      <c r="AH53" s="33">
        <f t="shared" si="18"/>
        <v>0</v>
      </c>
      <c r="AI53" s="118">
        <f t="shared" si="26"/>
        <v>46784</v>
      </c>
      <c r="AJ53" s="33">
        <f t="shared" si="19"/>
        <v>1.5638391609607127E-2</v>
      </c>
      <c r="AK53" s="90">
        <f>IF('Datos Mun'!B53="AMM",'Art 14 F I'!F55,'Art 14 F I'!M55)</f>
        <v>2.0183759145103113E-2</v>
      </c>
      <c r="AL53" s="35">
        <f>IF('Datos Mun'!D53="Zona de Crec",'Art 14 F I'!T55,0)</f>
        <v>5.0291600536202109E-2</v>
      </c>
    </row>
    <row r="54" spans="1:38">
      <c r="A54" s="17" t="s">
        <v>50</v>
      </c>
      <c r="B54" s="85" t="s">
        <v>91</v>
      </c>
      <c r="C54" s="85" t="s">
        <v>91</v>
      </c>
      <c r="D54" s="85" t="s">
        <v>92</v>
      </c>
      <c r="E54" s="318">
        <v>1324391</v>
      </c>
      <c r="F54" s="18">
        <v>4524382</v>
      </c>
      <c r="G54" s="266">
        <v>1456869</v>
      </c>
      <c r="H54" s="266">
        <v>4541705</v>
      </c>
      <c r="I54" s="14">
        <f t="shared" si="0"/>
        <v>0.32077578794747785</v>
      </c>
      <c r="J54" s="319">
        <f t="shared" si="20"/>
        <v>0.10002937199059794</v>
      </c>
      <c r="K54" s="8">
        <v>549</v>
      </c>
      <c r="L54" s="9">
        <v>170</v>
      </c>
      <c r="M54" s="306">
        <f t="shared" si="8"/>
        <v>1.5805675725178347E-4</v>
      </c>
      <c r="N54" s="288">
        <v>2.1071899398</v>
      </c>
      <c r="O54" s="290">
        <f t="shared" si="9"/>
        <v>3.3305560879836883E-4</v>
      </c>
      <c r="P54" s="307">
        <f t="shared" si="10"/>
        <v>1.7274176750444833E-4</v>
      </c>
      <c r="Q54" s="307">
        <f t="shared" si="11"/>
        <v>1.4683050237878107E-4</v>
      </c>
      <c r="R54" s="288">
        <f t="shared" si="12"/>
        <v>3.2294117647058824</v>
      </c>
      <c r="S54" s="308">
        <f t="shared" si="13"/>
        <v>4.2913236129057078E-2</v>
      </c>
      <c r="T54" s="14">
        <f t="shared" si="14"/>
        <v>6.4369854193585619E-3</v>
      </c>
      <c r="U54" s="290">
        <f t="shared" si="15"/>
        <v>6.5838159217373425E-3</v>
      </c>
      <c r="V54" s="72">
        <v>1764.9</v>
      </c>
      <c r="W54" s="18">
        <v>1552</v>
      </c>
      <c r="X54" s="70">
        <v>2111646.2918677796</v>
      </c>
      <c r="Y54" s="79">
        <f t="shared" si="21"/>
        <v>469117.61278358015</v>
      </c>
      <c r="Z54" s="33">
        <f t="shared" si="22"/>
        <v>2.9458841625818778E-4</v>
      </c>
      <c r="AA54" s="29">
        <f t="shared" si="23"/>
        <v>2.2806002722475219E-4</v>
      </c>
      <c r="AB54" s="29">
        <f t="shared" si="24"/>
        <v>4.1264004838176696E-3</v>
      </c>
      <c r="AC54" s="33">
        <f t="shared" si="16"/>
        <v>4.354460511042422E-3</v>
      </c>
      <c r="AD54" s="33">
        <f t="shared" si="25"/>
        <v>6.5838159217373425E-3</v>
      </c>
      <c r="AE54" s="118">
        <f>IF('Datos Mun'!B54="AMM",W54,0)</f>
        <v>0</v>
      </c>
      <c r="AF54" s="33">
        <f t="shared" si="17"/>
        <v>0</v>
      </c>
      <c r="AG54" s="118">
        <f>IF('Datos Mun'!B54="AMM",0,W54)</f>
        <v>1552</v>
      </c>
      <c r="AH54" s="33">
        <f t="shared" si="18"/>
        <v>1.7530325090390738E-3</v>
      </c>
      <c r="AI54" s="118">
        <f t="shared" si="26"/>
        <v>0</v>
      </c>
      <c r="AJ54" s="33">
        <f t="shared" si="19"/>
        <v>0</v>
      </c>
      <c r="AK54" s="90">
        <f>IF('Datos Mun'!B54="AMM",'Art 14 F I'!F56,'Art 14 F I'!M56)</f>
        <v>1.8398024457437118E-2</v>
      </c>
      <c r="AL54" s="35">
        <f>IF('Datos Mun'!D54="Zona de Crec",'Art 14 F I'!T56,0)</f>
        <v>0</v>
      </c>
    </row>
    <row r="55" spans="1:38">
      <c r="A55" s="17" t="s">
        <v>51</v>
      </c>
      <c r="B55" s="85" t="s">
        <v>91</v>
      </c>
      <c r="C55" s="85" t="s">
        <v>91</v>
      </c>
      <c r="D55" s="85" t="s">
        <v>92</v>
      </c>
      <c r="E55" s="318">
        <v>442199</v>
      </c>
      <c r="F55" s="18">
        <v>2896776</v>
      </c>
      <c r="G55" s="266">
        <v>668168</v>
      </c>
      <c r="H55" s="266">
        <v>3020813</v>
      </c>
      <c r="I55" s="14">
        <f t="shared" si="0"/>
        <v>0.22118813710084007</v>
      </c>
      <c r="J55" s="319">
        <f t="shared" si="20"/>
        <v>0.51101201042969346</v>
      </c>
      <c r="K55" s="309">
        <v>1377</v>
      </c>
      <c r="L55" s="310">
        <v>417</v>
      </c>
      <c r="M55" s="311">
        <f t="shared" si="8"/>
        <v>3.8770392808231595E-4</v>
      </c>
      <c r="N55" s="312">
        <v>1.7545098130000001</v>
      </c>
      <c r="O55" s="313">
        <f t="shared" si="9"/>
        <v>6.8023034635906966E-4</v>
      </c>
      <c r="P55" s="314">
        <f t="shared" si="10"/>
        <v>3.5280652610587192E-4</v>
      </c>
      <c r="Q55" s="314">
        <f t="shared" si="11"/>
        <v>2.9988554718999113E-4</v>
      </c>
      <c r="R55" s="312">
        <f t="shared" si="12"/>
        <v>3.3021582733812949</v>
      </c>
      <c r="S55" s="315">
        <f t="shared" si="13"/>
        <v>4.3879910041151653E-2</v>
      </c>
      <c r="T55" s="14">
        <f t="shared" si="14"/>
        <v>6.5819865061727476E-3</v>
      </c>
      <c r="U55" s="290">
        <f t="shared" si="15"/>
        <v>6.8818720533627385E-3</v>
      </c>
      <c r="V55" s="72">
        <v>879.3</v>
      </c>
      <c r="W55" s="18">
        <v>3573</v>
      </c>
      <c r="X55" s="70">
        <v>3547664.2987005333</v>
      </c>
      <c r="Y55" s="79">
        <f t="shared" si="21"/>
        <v>154119.08833268433</v>
      </c>
      <c r="Z55" s="33">
        <f t="shared" si="22"/>
        <v>9.6781056412875653E-5</v>
      </c>
      <c r="AA55" s="29">
        <f t="shared" si="23"/>
        <v>5.2503767865595327E-4</v>
      </c>
      <c r="AB55" s="29">
        <f t="shared" si="24"/>
        <v>2.0558354271748409E-3</v>
      </c>
      <c r="AC55" s="33">
        <f t="shared" si="16"/>
        <v>2.5808731058307942E-3</v>
      </c>
      <c r="AD55" s="33">
        <f t="shared" si="25"/>
        <v>6.8818720533627385E-3</v>
      </c>
      <c r="AE55" s="118">
        <f>IF('Datos Mun'!B55="AMM",W55,0)</f>
        <v>0</v>
      </c>
      <c r="AF55" s="33">
        <f t="shared" si="17"/>
        <v>0</v>
      </c>
      <c r="AG55" s="118">
        <f>IF('Datos Mun'!B55="AMM",0,W55)</f>
        <v>3573</v>
      </c>
      <c r="AH55" s="33">
        <f t="shared" si="18"/>
        <v>4.0358151770596724E-3</v>
      </c>
      <c r="AI55" s="118">
        <f t="shared" si="26"/>
        <v>0</v>
      </c>
      <c r="AJ55" s="33">
        <f t="shared" si="19"/>
        <v>0</v>
      </c>
      <c r="AK55" s="90">
        <f>IF('Datos Mun'!B55="AMM",'Art 14 F I'!F57,'Art 14 F I'!M57)</f>
        <v>1.5411641519639221E-2</v>
      </c>
      <c r="AL55" s="35">
        <f>IF('Datos Mun'!D55="Zona de Crec",'Art 14 F I'!T57,0)</f>
        <v>0</v>
      </c>
    </row>
    <row r="56" spans="1:38" ht="13.5" thickBot="1">
      <c r="A56" s="10" t="s">
        <v>52</v>
      </c>
      <c r="B56" s="86"/>
      <c r="C56" s="86"/>
      <c r="D56" s="86"/>
      <c r="E56" s="320">
        <f t="shared" ref="E56:K56" si="27">SUM(E5:E55)</f>
        <v>3470350433.75</v>
      </c>
      <c r="F56" s="19">
        <f t="shared" si="27"/>
        <v>7728371151</v>
      </c>
      <c r="G56" s="19">
        <f t="shared" si="27"/>
        <v>3390132264.2400002</v>
      </c>
      <c r="H56" s="19">
        <f t="shared" si="27"/>
        <v>8177497337.8300028</v>
      </c>
      <c r="I56" s="21">
        <f t="shared" si="27"/>
        <v>14.669270374142426</v>
      </c>
      <c r="J56" s="321">
        <f t="shared" si="27"/>
        <v>-0.44265484889555506</v>
      </c>
      <c r="K56" s="11">
        <f t="shared" si="27"/>
        <v>964355</v>
      </c>
      <c r="L56" s="12">
        <f t="shared" ref="L56:T56" si="28">SUM(L5:L55)</f>
        <v>1075563</v>
      </c>
      <c r="M56" s="12">
        <f t="shared" si="28"/>
        <v>0.99999999999999989</v>
      </c>
      <c r="N56" s="289">
        <f t="shared" si="28"/>
        <v>98.366423307599987</v>
      </c>
      <c r="O56" s="291">
        <f t="shared" si="28"/>
        <v>1.9280548856824229</v>
      </c>
      <c r="P56" s="294">
        <f t="shared" si="28"/>
        <v>1</v>
      </c>
      <c r="Q56" s="294">
        <f t="shared" si="28"/>
        <v>0.85</v>
      </c>
      <c r="R56" s="289">
        <f t="shared" si="28"/>
        <v>75.254444922162563</v>
      </c>
      <c r="S56" s="292">
        <f t="shared" si="28"/>
        <v>1</v>
      </c>
      <c r="T56" s="21">
        <f t="shared" si="28"/>
        <v>0.15</v>
      </c>
      <c r="U56" s="21">
        <f t="shared" ref="U56:V56" si="29">SUM(U5:U55)</f>
        <v>0.99999999999999989</v>
      </c>
      <c r="V56" s="73">
        <f t="shared" si="29"/>
        <v>64156.400000000016</v>
      </c>
      <c r="W56" s="19">
        <f>SUM(W5:W55)</f>
        <v>5784442</v>
      </c>
      <c r="X56" s="224">
        <f t="shared" ref="X56:AC56" si="30">SUM(X5:X55)</f>
        <v>415851323.55687177</v>
      </c>
      <c r="Y56" s="80">
        <f t="shared" si="30"/>
        <v>1592450982.0930254</v>
      </c>
      <c r="Z56" s="34">
        <f t="shared" si="30"/>
        <v>0.99999999999999989</v>
      </c>
      <c r="AA56" s="30">
        <f t="shared" si="30"/>
        <v>0.8500000000000002</v>
      </c>
      <c r="AB56" s="30">
        <f t="shared" si="30"/>
        <v>0.14999999999999997</v>
      </c>
      <c r="AC56" s="34">
        <f t="shared" si="30"/>
        <v>1.0000000000000002</v>
      </c>
      <c r="AD56" s="34">
        <f t="shared" ref="AD56:AJ56" si="31">SUM(AD5:AD55)</f>
        <v>0.99999999999999989</v>
      </c>
      <c r="AE56" s="119">
        <f t="shared" si="31"/>
        <v>4899119</v>
      </c>
      <c r="AF56" s="34">
        <f t="shared" si="31"/>
        <v>1</v>
      </c>
      <c r="AG56" s="119">
        <f t="shared" si="31"/>
        <v>885323</v>
      </c>
      <c r="AH56" s="34">
        <f t="shared" si="31"/>
        <v>0.99999999999999989</v>
      </c>
      <c r="AI56" s="119">
        <f t="shared" si="31"/>
        <v>2991612</v>
      </c>
      <c r="AJ56" s="34">
        <f t="shared" si="31"/>
        <v>1</v>
      </c>
      <c r="AK56" s="91">
        <f>SUM(AK5:AK55)</f>
        <v>2</v>
      </c>
      <c r="AL56" s="36">
        <f>SUM(AL5:AL55)</f>
        <v>1.0000000000000002</v>
      </c>
    </row>
    <row r="57" spans="1:38" ht="13.5" thickTop="1"/>
    <row r="61" spans="1:38">
      <c r="AB61" s="87"/>
    </row>
  </sheetData>
  <mergeCells count="6">
    <mergeCell ref="AK3:AL3"/>
    <mergeCell ref="Y3:AJ3"/>
    <mergeCell ref="A2:W2"/>
    <mergeCell ref="E3:J3"/>
    <mergeCell ref="V3:W3"/>
    <mergeCell ref="K3:U3"/>
  </mergeCells>
  <pageMargins left="0.7" right="0.7" top="0.75" bottom="0.75" header="0.3" footer="0.3"/>
  <pageSetup scale="1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AA111"/>
  <sheetViews>
    <sheetView zoomScale="85" zoomScaleNormal="85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AA7" sqref="AA7"/>
    </sheetView>
  </sheetViews>
  <sheetFormatPr baseColWidth="10" defaultColWidth="11.42578125" defaultRowHeight="12.75"/>
  <cols>
    <col min="1" max="1" width="28.42578125" style="13" bestFit="1" customWidth="1"/>
    <col min="2" max="7" width="16.5703125" style="22" customWidth="1"/>
    <col min="8" max="8" width="28.42578125" style="42" bestFit="1" customWidth="1"/>
    <col min="9" max="13" width="16.5703125" style="22" customWidth="1"/>
    <col min="14" max="14" width="11.42578125" style="13"/>
    <col min="15" max="15" width="28.42578125" style="13" bestFit="1" customWidth="1"/>
    <col min="16" max="21" width="16.5703125" style="22" customWidth="1"/>
    <col min="22" max="22" width="28.42578125" style="13" bestFit="1" customWidth="1"/>
    <col min="23" max="27" width="16.5703125" style="22" customWidth="1"/>
    <col min="28" max="16384" width="11.42578125" style="13"/>
  </cols>
  <sheetData>
    <row r="1" spans="1:27" ht="18">
      <c r="A1" s="390" t="s">
        <v>83</v>
      </c>
      <c r="B1" s="390"/>
      <c r="C1" s="390"/>
      <c r="D1" s="390"/>
      <c r="E1" s="390"/>
      <c r="F1" s="390"/>
      <c r="G1" s="38"/>
      <c r="H1" s="390" t="s">
        <v>102</v>
      </c>
      <c r="I1" s="390"/>
      <c r="J1" s="390"/>
      <c r="K1" s="390"/>
      <c r="L1" s="390"/>
      <c r="M1" s="390"/>
      <c r="O1" s="390" t="s">
        <v>83</v>
      </c>
      <c r="P1" s="390"/>
      <c r="Q1" s="390"/>
      <c r="R1" s="390"/>
      <c r="S1" s="390"/>
      <c r="T1" s="390"/>
      <c r="U1" s="82"/>
      <c r="V1" s="390" t="s">
        <v>83</v>
      </c>
      <c r="W1" s="390"/>
      <c r="X1" s="390"/>
      <c r="Y1" s="390"/>
      <c r="Z1" s="390"/>
      <c r="AA1" s="390"/>
    </row>
    <row r="2" spans="1:27" ht="18.75" customHeight="1" thickBot="1">
      <c r="A2" s="391" t="s">
        <v>98</v>
      </c>
      <c r="B2" s="391"/>
      <c r="C2" s="391"/>
      <c r="D2" s="391"/>
      <c r="E2" s="391"/>
      <c r="F2" s="391"/>
      <c r="G2" s="41"/>
      <c r="H2" s="391" t="s">
        <v>99</v>
      </c>
      <c r="I2" s="391"/>
      <c r="J2" s="391"/>
      <c r="K2" s="391"/>
      <c r="L2" s="391"/>
      <c r="M2" s="391"/>
      <c r="O2" s="391" t="s">
        <v>100</v>
      </c>
      <c r="P2" s="391"/>
      <c r="Q2" s="391"/>
      <c r="R2" s="391"/>
      <c r="S2" s="391"/>
      <c r="T2" s="391"/>
      <c r="U2" s="41"/>
      <c r="V2" s="391" t="s">
        <v>232</v>
      </c>
      <c r="W2" s="391"/>
      <c r="X2" s="391"/>
      <c r="Y2" s="391"/>
      <c r="Z2" s="391"/>
      <c r="AA2" s="391"/>
    </row>
    <row r="3" spans="1:27" ht="65.25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  <c r="V3" s="2" t="s">
        <v>0</v>
      </c>
      <c r="W3" s="3" t="s">
        <v>64</v>
      </c>
      <c r="X3" s="4" t="s">
        <v>65</v>
      </c>
      <c r="Y3" s="5" t="s">
        <v>66</v>
      </c>
      <c r="Z3" s="7" t="s">
        <v>67</v>
      </c>
      <c r="AA3" s="6" t="s">
        <v>54</v>
      </c>
    </row>
    <row r="4" spans="1:27" ht="13.5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  <c r="V4" s="32"/>
      <c r="W4" s="24" t="s">
        <v>68</v>
      </c>
      <c r="X4" s="24" t="s">
        <v>68</v>
      </c>
      <c r="Y4" s="24" t="s">
        <v>68</v>
      </c>
      <c r="Z4" s="24" t="s">
        <v>68</v>
      </c>
      <c r="AA4" s="23"/>
    </row>
    <row r="5" spans="1:27">
      <c r="A5" s="1"/>
      <c r="B5" s="25">
        <f>$E$5*0.5</f>
        <v>21483415594.5</v>
      </c>
      <c r="C5" s="25">
        <f>$E$5*0.25</f>
        <v>10741707797.25</v>
      </c>
      <c r="D5" s="25">
        <f>$E$5*0.25</f>
        <v>10741707797.25</v>
      </c>
      <c r="E5" s="25">
        <f>'Participación 2022'!B13-'Participación 2022'!B12-'Participación 2022'!B5</f>
        <v>42966831189</v>
      </c>
      <c r="F5" s="26"/>
      <c r="G5" s="88">
        <v>7.8576423041586241E-2</v>
      </c>
      <c r="H5" s="1"/>
      <c r="I5" s="25">
        <f>$L$5*0.5</f>
        <v>21483415594.5</v>
      </c>
      <c r="J5" s="25">
        <f>$L$5*0.25</f>
        <v>10741707797.25</v>
      </c>
      <c r="K5" s="25">
        <f>$L$5*0.25</f>
        <v>10741707797.25</v>
      </c>
      <c r="L5" s="25">
        <f>'Participación 2022'!B13-'Participación 2022'!B12-'Participación 2022'!B5</f>
        <v>42966831189</v>
      </c>
      <c r="M5" s="26"/>
      <c r="O5" s="1"/>
      <c r="P5" s="25">
        <f>$S$5*0.5</f>
        <v>21483415594.5</v>
      </c>
      <c r="Q5" s="25">
        <f>$S$5*0.25</f>
        <v>10741707797.25</v>
      </c>
      <c r="R5" s="25">
        <f>$S$5*0.25</f>
        <v>10741707797.25</v>
      </c>
      <c r="S5" s="25">
        <f>'Participación 2022'!B13-'Participación 2022'!B12-'Participación 2022'!B5</f>
        <v>42966831189</v>
      </c>
      <c r="T5" s="26"/>
      <c r="U5" s="88">
        <v>7.8576423041586241E-2</v>
      </c>
      <c r="V5" s="1"/>
      <c r="W5" s="25"/>
      <c r="X5" s="25"/>
      <c r="Y5" s="25"/>
      <c r="Z5" s="25"/>
      <c r="AA5" s="26"/>
    </row>
    <row r="6" spans="1:27" ht="34.5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  <c r="V6" s="1"/>
      <c r="W6" s="25" t="s">
        <v>69</v>
      </c>
      <c r="X6" s="25" t="s">
        <v>70</v>
      </c>
      <c r="Y6" s="25" t="s">
        <v>71</v>
      </c>
      <c r="Z6" s="27" t="s">
        <v>72</v>
      </c>
      <c r="AA6" s="27" t="s">
        <v>73</v>
      </c>
    </row>
    <row r="7" spans="1:27" ht="13.5" thickTop="1">
      <c r="A7" s="43" t="s">
        <v>1</v>
      </c>
      <c r="B7" s="53">
        <f>IF('Datos Mun'!B5="AMM",$B$5*'Datos Mun'!Z5,0)</f>
        <v>0</v>
      </c>
      <c r="C7" s="47">
        <f>IF('Datos Mun'!B5="AMM",$C$5*'Datos Mun'!AC5,0)</f>
        <v>0</v>
      </c>
      <c r="D7" s="47">
        <f>IF('Datos Mun'!B5="AMM",$D$5*'Datos Mun'!AD5,0)</f>
        <v>0</v>
      </c>
      <c r="E7" s="48">
        <f>SUM(B7:D7)</f>
        <v>0</v>
      </c>
      <c r="F7" s="55">
        <f>E7/$E$58</f>
        <v>0</v>
      </c>
      <c r="G7" s="39"/>
      <c r="H7" s="43" t="s">
        <v>1</v>
      </c>
      <c r="I7" s="46">
        <f>IF('Datos Mun'!B5="AMM",0,$B$5*'Datos Mun'!Z5)</f>
        <v>512295.11946066254</v>
      </c>
      <c r="J7" s="47">
        <f>IF('Datos Mun'!B5="AMM",0,$J$5*'Datos Mun'!AC5)</f>
        <v>5872180.1057767002</v>
      </c>
      <c r="K7" s="47">
        <f>IF('Datos Mun'!B5="AMM",0,$K$5*'Datos Mun'!AD5)</f>
        <v>24029913.298625153</v>
      </c>
      <c r="L7" s="48">
        <f>SUM(I7:K7)</f>
        <v>30414388.523862515</v>
      </c>
      <c r="M7" s="55">
        <f>L7/$L$58</f>
        <v>4.5190128565958257E-3</v>
      </c>
      <c r="O7" s="43" t="s">
        <v>1</v>
      </c>
      <c r="P7" s="53">
        <f>IF('Datos Mun'!D5="Zona de Crec",'Datos Mun'!Z5*'Art 14 F I'!$P$5,0)</f>
        <v>0</v>
      </c>
      <c r="Q7" s="47">
        <f>IF('Datos Mun'!D5="Zona de Crec",$Q$5*'Datos Mun'!AC5,0)</f>
        <v>0</v>
      </c>
      <c r="R7" s="47">
        <f>IF('Datos Mun'!D5="Zona de Crec",$R$5*'Datos Mun'!AD5,0)</f>
        <v>0</v>
      </c>
      <c r="S7" s="48">
        <f>SUM(P7:R7)</f>
        <v>0</v>
      </c>
      <c r="T7" s="55">
        <f>S7/$S$58</f>
        <v>0</v>
      </c>
      <c r="U7" s="39"/>
      <c r="V7" s="43" t="s">
        <v>1</v>
      </c>
      <c r="W7" s="53">
        <f>B7+I7</f>
        <v>512295.11946066254</v>
      </c>
      <c r="X7" s="47">
        <f t="shared" ref="X7:Y7" si="0">C7+J7</f>
        <v>5872180.1057767002</v>
      </c>
      <c r="Y7" s="47">
        <f t="shared" si="0"/>
        <v>24029913.298625153</v>
      </c>
      <c r="Z7" s="48">
        <f>SUM(W7:Y7)</f>
        <v>30414388.523862515</v>
      </c>
      <c r="AA7" s="55">
        <f>Z7/$Z$58</f>
        <v>7.0785737933703942E-4</v>
      </c>
    </row>
    <row r="8" spans="1:27">
      <c r="A8" s="44" t="s">
        <v>2</v>
      </c>
      <c r="B8" s="49">
        <f>IF('Datos Mun'!B6="AMM",$B$5*'Datos Mun'!Z6,0)</f>
        <v>0</v>
      </c>
      <c r="C8" s="49">
        <f>IF('Datos Mun'!B6="AMM",$C$5*'Datos Mun'!AC6,0)</f>
        <v>0</v>
      </c>
      <c r="D8" s="49">
        <f>IF('Datos Mun'!B6="AMM",$D$5*'Datos Mun'!AD6,0)</f>
        <v>0</v>
      </c>
      <c r="E8" s="50">
        <f t="shared" ref="E8:E57" si="1">SUM(B8:D8)</f>
        <v>0</v>
      </c>
      <c r="F8" s="56">
        <f t="shared" ref="F8:F57" si="2">E8/$E$58</f>
        <v>0</v>
      </c>
      <c r="G8" s="39"/>
      <c r="H8" s="44" t="s">
        <v>2</v>
      </c>
      <c r="I8" s="49">
        <f>IF('Datos Mun'!B6="AMM",0,$B$5*'Datos Mun'!Z6)</f>
        <v>3074547.7482457757</v>
      </c>
      <c r="J8" s="49">
        <f>IF('Datos Mun'!B6="AMM",0,$J$5*'Datos Mun'!AC6)</f>
        <v>29973134.457165454</v>
      </c>
      <c r="K8" s="49">
        <f>IF('Datos Mun'!B6="AMM",0,$K$5*'Datos Mun'!AD6)</f>
        <v>21358272.117243998</v>
      </c>
      <c r="L8" s="50">
        <f t="shared" ref="L8:L57" si="3">SUM(I8:K8)</f>
        <v>54405954.322655231</v>
      </c>
      <c r="M8" s="56">
        <f t="shared" ref="M8:M57" si="4">L8/$L$58</f>
        <v>8.0837136300322618E-3</v>
      </c>
      <c r="O8" s="44" t="s">
        <v>2</v>
      </c>
      <c r="P8" s="49">
        <f>IF('Datos Mun'!D6="Zona de Crec",'Datos Mun'!Z6*'Art 14 F I'!$P$5,0)</f>
        <v>0</v>
      </c>
      <c r="Q8" s="49">
        <f>IF('Datos Mun'!D6="Zona de Crec",$Q$5*'Datos Mun'!AC6,0)</f>
        <v>0</v>
      </c>
      <c r="R8" s="49">
        <f>IF('Datos Mun'!D6="Zona de Crec",$R$5*'Datos Mun'!AD6,0)</f>
        <v>0</v>
      </c>
      <c r="S8" s="50">
        <f t="shared" ref="S8:S57" si="5">SUM(P8:R8)</f>
        <v>0</v>
      </c>
      <c r="T8" s="56">
        <f t="shared" ref="T8:T57" si="6">S8/$S$58</f>
        <v>0</v>
      </c>
      <c r="U8" s="39"/>
      <c r="V8" s="44" t="s">
        <v>2</v>
      </c>
      <c r="W8" s="49">
        <f t="shared" ref="W8:W57" si="7">B8+I8</f>
        <v>3074547.7482457757</v>
      </c>
      <c r="X8" s="49">
        <f t="shared" ref="X8:X57" si="8">C8+J8</f>
        <v>29973134.457165454</v>
      </c>
      <c r="Y8" s="49">
        <f t="shared" ref="Y8:Y57" si="9">D8+K8</f>
        <v>21358272.117243998</v>
      </c>
      <c r="Z8" s="50">
        <f t="shared" ref="Z8:Z57" si="10">SUM(W8:Y8)</f>
        <v>54405954.322655231</v>
      </c>
      <c r="AA8" s="56">
        <f t="shared" ref="AA8:AA57" si="11">Z8/$Z$58</f>
        <v>1.2662314817524585E-3</v>
      </c>
    </row>
    <row r="9" spans="1:27">
      <c r="A9" s="44" t="s">
        <v>3</v>
      </c>
      <c r="B9" s="49">
        <f>IF('Datos Mun'!B7="AMM",$B$5*'Datos Mun'!Z7,0)</f>
        <v>0</v>
      </c>
      <c r="C9" s="49">
        <f>IF('Datos Mun'!B7="AMM",$C$5*'Datos Mun'!AC7,0)</f>
        <v>0</v>
      </c>
      <c r="D9" s="49">
        <f>IF('Datos Mun'!B7="AMM",$D$5*'Datos Mun'!AD7,0)</f>
        <v>0</v>
      </c>
      <c r="E9" s="50">
        <f t="shared" si="1"/>
        <v>0</v>
      </c>
      <c r="F9" s="56">
        <f t="shared" si="2"/>
        <v>0</v>
      </c>
      <c r="G9" s="39"/>
      <c r="H9" s="44" t="s">
        <v>3</v>
      </c>
      <c r="I9" s="49">
        <f>IF('Datos Mun'!B7="AMM",0,$B$5*'Datos Mun'!Z7)</f>
        <v>900154.47321134713</v>
      </c>
      <c r="J9" s="49">
        <f>IF('Datos Mun'!B7="AMM",0,$J$5*'Datos Mun'!AC7)</f>
        <v>19662902.0277972</v>
      </c>
      <c r="K9" s="49">
        <f>IF('Datos Mun'!B7="AMM",0,$K$5*'Datos Mun'!AD7)</f>
        <v>48177914.128450692</v>
      </c>
      <c r="L9" s="50">
        <f t="shared" si="3"/>
        <v>68740970.629459232</v>
      </c>
      <c r="M9" s="56">
        <f t="shared" si="4"/>
        <v>1.0213630624389486E-2</v>
      </c>
      <c r="O9" s="44" t="s">
        <v>3</v>
      </c>
      <c r="P9" s="49">
        <f>IF('Datos Mun'!D7="Zona de Crec",'Datos Mun'!Z7*'Art 14 F I'!$P$5,0)</f>
        <v>0</v>
      </c>
      <c r="Q9" s="49">
        <f>IF('Datos Mun'!D7="Zona de Crec",$Q$5*'Datos Mun'!AC7,0)</f>
        <v>0</v>
      </c>
      <c r="R9" s="49">
        <f>IF('Datos Mun'!D7="Zona de Crec",$R$5*'Datos Mun'!AD7,0)</f>
        <v>0</v>
      </c>
      <c r="S9" s="50">
        <f t="shared" si="5"/>
        <v>0</v>
      </c>
      <c r="T9" s="56">
        <f t="shared" si="6"/>
        <v>0</v>
      </c>
      <c r="U9" s="39"/>
      <c r="V9" s="44" t="s">
        <v>3</v>
      </c>
      <c r="W9" s="49">
        <f t="shared" si="7"/>
        <v>900154.47321134713</v>
      </c>
      <c r="X9" s="49">
        <f t="shared" si="8"/>
        <v>19662902.0277972</v>
      </c>
      <c r="Y9" s="49">
        <f t="shared" si="9"/>
        <v>48177914.128450692</v>
      </c>
      <c r="Z9" s="50">
        <f t="shared" si="10"/>
        <v>68740970.629459232</v>
      </c>
      <c r="AA9" s="56">
        <f t="shared" si="11"/>
        <v>1.5998613052725585E-3</v>
      </c>
    </row>
    <row r="10" spans="1:27">
      <c r="A10" s="44" t="s">
        <v>4</v>
      </c>
      <c r="B10" s="49">
        <f>IF('Datos Mun'!B8="AMM",$B$5*'Datos Mun'!Z8,0)</f>
        <v>0</v>
      </c>
      <c r="C10" s="49">
        <f>IF('Datos Mun'!B8="AMM",$C$5*'Datos Mun'!AC8,0)</f>
        <v>0</v>
      </c>
      <c r="D10" s="49">
        <f>IF('Datos Mun'!B8="AMM",$D$5*'Datos Mun'!AD8,0)</f>
        <v>0</v>
      </c>
      <c r="E10" s="50">
        <f t="shared" si="1"/>
        <v>0</v>
      </c>
      <c r="F10" s="56">
        <f t="shared" si="2"/>
        <v>0</v>
      </c>
      <c r="G10" s="39"/>
      <c r="H10" s="44" t="s">
        <v>4</v>
      </c>
      <c r="I10" s="49">
        <f>IF('Datos Mun'!B8="AMM",0,$B$5*'Datos Mun'!Z8)</f>
        <v>194515206.46661189</v>
      </c>
      <c r="J10" s="49">
        <f>IF('Datos Mun'!B8="AMM",0,$J$5*'Datos Mun'!AC8)</f>
        <v>60486229.908606723</v>
      </c>
      <c r="K10" s="49">
        <f>IF('Datos Mun'!B8="AMM",0,$K$5*'Datos Mun'!AD8)</f>
        <v>68172917.018225044</v>
      </c>
      <c r="L10" s="50">
        <f t="shared" si="3"/>
        <v>323174353.3934437</v>
      </c>
      <c r="M10" s="56">
        <f t="shared" si="4"/>
        <v>4.8017702435845189E-2</v>
      </c>
      <c r="O10" s="44" t="s">
        <v>4</v>
      </c>
      <c r="P10" s="49">
        <f>IF('Datos Mun'!D8="Zona de Crec",'Datos Mun'!Z8*'Art 14 F I'!$P$5,0)</f>
        <v>0</v>
      </c>
      <c r="Q10" s="49">
        <f>IF('Datos Mun'!D8="Zona de Crec",$Q$5*'Datos Mun'!AC8,0)</f>
        <v>0</v>
      </c>
      <c r="R10" s="49">
        <f>IF('Datos Mun'!D8="Zona de Crec",$R$5*'Datos Mun'!AD8,0)</f>
        <v>0</v>
      </c>
      <c r="S10" s="50">
        <f t="shared" si="5"/>
        <v>0</v>
      </c>
      <c r="T10" s="56">
        <f t="shared" si="6"/>
        <v>0</v>
      </c>
      <c r="U10" s="39"/>
      <c r="V10" s="44" t="s">
        <v>4</v>
      </c>
      <c r="W10" s="49">
        <f t="shared" si="7"/>
        <v>194515206.46661189</v>
      </c>
      <c r="X10" s="49">
        <f t="shared" si="8"/>
        <v>60486229.908606723</v>
      </c>
      <c r="Y10" s="49">
        <f t="shared" si="9"/>
        <v>68172917.018225044</v>
      </c>
      <c r="Z10" s="50">
        <f t="shared" si="10"/>
        <v>323174353.3934437</v>
      </c>
      <c r="AA10" s="56">
        <f t="shared" si="11"/>
        <v>7.5214844672133975E-3</v>
      </c>
    </row>
    <row r="11" spans="1:27">
      <c r="A11" s="44" t="s">
        <v>5</v>
      </c>
      <c r="B11" s="49">
        <f>IF('Datos Mun'!B9="AMM",$B$5*'Datos Mun'!Z9,0)</f>
        <v>0</v>
      </c>
      <c r="C11" s="49">
        <f>IF('Datos Mun'!B9="AMM",$C$5*'Datos Mun'!AC9,0)</f>
        <v>0</v>
      </c>
      <c r="D11" s="49">
        <f>IF('Datos Mun'!B9="AMM",$D$5*'Datos Mun'!AD9,0)</f>
        <v>0</v>
      </c>
      <c r="E11" s="50">
        <f t="shared" si="1"/>
        <v>0</v>
      </c>
      <c r="F11" s="56">
        <f t="shared" si="2"/>
        <v>0</v>
      </c>
      <c r="G11" s="39"/>
      <c r="H11" s="44" t="s">
        <v>5</v>
      </c>
      <c r="I11" s="49">
        <f>IF('Datos Mun'!B9="AMM",0,$B$5*'Datos Mun'!Z9)</f>
        <v>8440639.099368047</v>
      </c>
      <c r="J11" s="49">
        <f>IF('Datos Mun'!B9="AMM",0,$J$5*'Datos Mun'!AC9)</f>
        <v>142459207.78119144</v>
      </c>
      <c r="K11" s="49">
        <f>IF('Datos Mun'!B9="AMM",0,$K$5*'Datos Mun'!AD9)</f>
        <v>72011558.251795188</v>
      </c>
      <c r="L11" s="50">
        <f t="shared" si="3"/>
        <v>222911405.13235468</v>
      </c>
      <c r="M11" s="56">
        <f t="shared" si="4"/>
        <v>3.3120491798959345E-2</v>
      </c>
      <c r="O11" s="44" t="s">
        <v>5</v>
      </c>
      <c r="P11" s="49">
        <f>IF('Datos Mun'!D9="Zona de Crec",'Datos Mun'!Z9*'Art 14 F I'!$P$5,0)</f>
        <v>0</v>
      </c>
      <c r="Q11" s="49">
        <f>IF('Datos Mun'!D9="Zona de Crec",$Q$5*'Datos Mun'!AC9,0)</f>
        <v>0</v>
      </c>
      <c r="R11" s="49">
        <f>IF('Datos Mun'!D9="Zona de Crec",$R$5*'Datos Mun'!AD9,0)</f>
        <v>0</v>
      </c>
      <c r="S11" s="50">
        <f t="shared" si="5"/>
        <v>0</v>
      </c>
      <c r="T11" s="56">
        <f t="shared" si="6"/>
        <v>0</v>
      </c>
      <c r="U11" s="39"/>
      <c r="V11" s="44" t="s">
        <v>5</v>
      </c>
      <c r="W11" s="49">
        <f t="shared" si="7"/>
        <v>8440639.099368047</v>
      </c>
      <c r="X11" s="49">
        <f t="shared" si="8"/>
        <v>142459207.78119144</v>
      </c>
      <c r="Y11" s="49">
        <f t="shared" si="9"/>
        <v>72011558.251795188</v>
      </c>
      <c r="Z11" s="50">
        <f t="shared" si="10"/>
        <v>222911405.13235468</v>
      </c>
      <c r="AA11" s="56">
        <f t="shared" si="11"/>
        <v>5.1879880122372747E-3</v>
      </c>
    </row>
    <row r="12" spans="1:27">
      <c r="A12" s="44" t="s">
        <v>6</v>
      </c>
      <c r="B12" s="49">
        <f>IF('Datos Mun'!B10="AMM",$B$5*'Datos Mun'!Z10,0)</f>
        <v>1780933224.5351927</v>
      </c>
      <c r="C12" s="49">
        <f>IF('Datos Mun'!B10="AMM",$C$5*'Datos Mun'!AC10,0)</f>
        <v>1041821153.5628436</v>
      </c>
      <c r="D12" s="49">
        <f>IF('Datos Mun'!B10="AMM",$D$5*'Datos Mun'!AD10,0)</f>
        <v>724626248.80950463</v>
      </c>
      <c r="E12" s="50">
        <f t="shared" si="1"/>
        <v>3547380626.9075408</v>
      </c>
      <c r="F12" s="56">
        <f t="shared" si="2"/>
        <v>9.789519480171506E-2</v>
      </c>
      <c r="G12" s="39"/>
      <c r="H12" s="44" t="s">
        <v>6</v>
      </c>
      <c r="I12" s="49">
        <f>IF('Datos Mun'!B10="AMM",0,$B$5*'Datos Mun'!Z10)</f>
        <v>0</v>
      </c>
      <c r="J12" s="49">
        <f>IF('Datos Mun'!B10="AMM",0,$J$5*'Datos Mun'!AC10)</f>
        <v>0</v>
      </c>
      <c r="K12" s="49">
        <f>IF('Datos Mun'!B10="AMM",0,$K$5*'Datos Mun'!AD10)</f>
        <v>0</v>
      </c>
      <c r="L12" s="50">
        <f t="shared" si="3"/>
        <v>0</v>
      </c>
      <c r="M12" s="56">
        <f t="shared" si="4"/>
        <v>0</v>
      </c>
      <c r="O12" s="44" t="s">
        <v>6</v>
      </c>
      <c r="P12" s="49">
        <f>IF('Datos Mun'!D10="Zona de Crec",'Datos Mun'!Z10*'Art 14 F I'!$P$5,0)</f>
        <v>1780933224.5351927</v>
      </c>
      <c r="Q12" s="49">
        <f>IF('Datos Mun'!D10="Zona de Crec",$Q$5*'Datos Mun'!AC10,0)</f>
        <v>1041821153.5628436</v>
      </c>
      <c r="R12" s="49">
        <f>IF('Datos Mun'!D10="Zona de Crec",$R$5*'Datos Mun'!AD10,0)</f>
        <v>724626248.80950463</v>
      </c>
      <c r="S12" s="50">
        <f t="shared" si="5"/>
        <v>3547380626.9075408</v>
      </c>
      <c r="T12" s="56">
        <f t="shared" si="6"/>
        <v>0.24392413702459448</v>
      </c>
      <c r="U12" s="39"/>
      <c r="V12" s="44" t="s">
        <v>6</v>
      </c>
      <c r="W12" s="49">
        <f t="shared" si="7"/>
        <v>1780933224.5351927</v>
      </c>
      <c r="X12" s="49">
        <f t="shared" si="8"/>
        <v>1041821153.5628436</v>
      </c>
      <c r="Y12" s="49">
        <f t="shared" si="9"/>
        <v>724626248.80950463</v>
      </c>
      <c r="Z12" s="50">
        <f t="shared" si="10"/>
        <v>3547380626.9075408</v>
      </c>
      <c r="AA12" s="56">
        <f t="shared" si="11"/>
        <v>8.2560908699632243E-2</v>
      </c>
    </row>
    <row r="13" spans="1:27">
      <c r="A13" s="44" t="s">
        <v>7</v>
      </c>
      <c r="B13" s="49">
        <f>IF('Datos Mun'!B11="AMM",$B$5*'Datos Mun'!Z11,0)</f>
        <v>0</v>
      </c>
      <c r="C13" s="49">
        <f>IF('Datos Mun'!B11="AMM",$C$5*'Datos Mun'!AC11,0)</f>
        <v>0</v>
      </c>
      <c r="D13" s="49">
        <f>IF('Datos Mun'!B11="AMM",$D$5*'Datos Mun'!AD11,0)</f>
        <v>0</v>
      </c>
      <c r="E13" s="50">
        <f t="shared" si="1"/>
        <v>0</v>
      </c>
      <c r="F13" s="56">
        <f t="shared" si="2"/>
        <v>0</v>
      </c>
      <c r="G13" s="39"/>
      <c r="H13" s="44" t="s">
        <v>7</v>
      </c>
      <c r="I13" s="49">
        <f>IF('Datos Mun'!B11="AMM",0,$B$5*'Datos Mun'!Z11)</f>
        <v>4573176.5502965441</v>
      </c>
      <c r="J13" s="49">
        <f>IF('Datos Mun'!B11="AMM",0,$J$5*'Datos Mun'!AC11)</f>
        <v>91186975.874866486</v>
      </c>
      <c r="K13" s="49">
        <f>IF('Datos Mun'!B11="AMM",0,$K$5*'Datos Mun'!AD11)</f>
        <v>105378823.55740328</v>
      </c>
      <c r="L13" s="50">
        <f t="shared" si="3"/>
        <v>201138975.9825663</v>
      </c>
      <c r="M13" s="56">
        <f t="shared" si="4"/>
        <v>2.9885513486966626E-2</v>
      </c>
      <c r="O13" s="44" t="s">
        <v>7</v>
      </c>
      <c r="P13" s="49">
        <f>IF('Datos Mun'!D11="Zona de Crec",'Datos Mun'!Z11*'Art 14 F I'!$P$5,0)</f>
        <v>0</v>
      </c>
      <c r="Q13" s="49">
        <f>IF('Datos Mun'!D11="Zona de Crec",$Q$5*'Datos Mun'!AC11,0)</f>
        <v>0</v>
      </c>
      <c r="R13" s="49">
        <f>IF('Datos Mun'!D11="Zona de Crec",$R$5*'Datos Mun'!AD11,0)</f>
        <v>0</v>
      </c>
      <c r="S13" s="50">
        <f t="shared" si="5"/>
        <v>0</v>
      </c>
      <c r="T13" s="56">
        <f t="shared" si="6"/>
        <v>0</v>
      </c>
      <c r="U13" s="39"/>
      <c r="V13" s="44" t="s">
        <v>7</v>
      </c>
      <c r="W13" s="49">
        <f t="shared" si="7"/>
        <v>4573176.5502965441</v>
      </c>
      <c r="X13" s="49">
        <f t="shared" si="8"/>
        <v>91186975.874866486</v>
      </c>
      <c r="Y13" s="49">
        <f t="shared" si="9"/>
        <v>105378823.55740328</v>
      </c>
      <c r="Z13" s="50">
        <f t="shared" si="10"/>
        <v>201138975.9825663</v>
      </c>
      <c r="AA13" s="56">
        <f t="shared" si="11"/>
        <v>4.6812615782115237E-3</v>
      </c>
    </row>
    <row r="14" spans="1:27">
      <c r="A14" s="44" t="s">
        <v>8</v>
      </c>
      <c r="B14" s="49">
        <f>IF('Datos Mun'!B12="AMM",$B$5*'Datos Mun'!Z12,0)</f>
        <v>0</v>
      </c>
      <c r="C14" s="49">
        <f>IF('Datos Mun'!B12="AMM",$C$5*'Datos Mun'!AC12,0)</f>
        <v>0</v>
      </c>
      <c r="D14" s="49">
        <f>IF('Datos Mun'!B12="AMM",$D$5*'Datos Mun'!AD12,0)</f>
        <v>0</v>
      </c>
      <c r="E14" s="50">
        <f t="shared" si="1"/>
        <v>0</v>
      </c>
      <c r="F14" s="56">
        <f t="shared" si="2"/>
        <v>0</v>
      </c>
      <c r="G14" s="39"/>
      <c r="H14" s="44" t="s">
        <v>8</v>
      </c>
      <c r="I14" s="49">
        <f>IF('Datos Mun'!B12="AMM",0,$B$5*'Datos Mun'!Z12)</f>
        <v>3528299.8701162077</v>
      </c>
      <c r="J14" s="49">
        <f>IF('Datos Mun'!B12="AMM",0,$J$5*'Datos Mun'!AC12)</f>
        <v>17499643.968129259</v>
      </c>
      <c r="K14" s="49">
        <f>IF('Datos Mun'!B12="AMM",0,$K$5*'Datos Mun'!AD12)</f>
        <v>35830368.315838851</v>
      </c>
      <c r="L14" s="50">
        <f t="shared" si="3"/>
        <v>56858312.154084317</v>
      </c>
      <c r="M14" s="56">
        <f t="shared" si="4"/>
        <v>8.4480884245643501E-3</v>
      </c>
      <c r="O14" s="44" t="s">
        <v>8</v>
      </c>
      <c r="P14" s="49">
        <f>IF('Datos Mun'!D12="Zona de Crec",'Datos Mun'!Z12*'Art 14 F I'!$P$5,0)</f>
        <v>0</v>
      </c>
      <c r="Q14" s="49">
        <f>IF('Datos Mun'!D12="Zona de Crec",$Q$5*'Datos Mun'!AC12,0)</f>
        <v>0</v>
      </c>
      <c r="R14" s="49">
        <f>IF('Datos Mun'!D12="Zona de Crec",$R$5*'Datos Mun'!AD12,0)</f>
        <v>0</v>
      </c>
      <c r="S14" s="50">
        <f t="shared" si="5"/>
        <v>0</v>
      </c>
      <c r="T14" s="56">
        <f t="shared" si="6"/>
        <v>0</v>
      </c>
      <c r="U14" s="39"/>
      <c r="V14" s="44" t="s">
        <v>8</v>
      </c>
      <c r="W14" s="49">
        <f t="shared" si="7"/>
        <v>3528299.8701162077</v>
      </c>
      <c r="X14" s="49">
        <f t="shared" si="8"/>
        <v>17499643.968129259</v>
      </c>
      <c r="Y14" s="49">
        <f t="shared" si="9"/>
        <v>35830368.315838851</v>
      </c>
      <c r="Z14" s="50">
        <f t="shared" si="10"/>
        <v>56858312.154084317</v>
      </c>
      <c r="AA14" s="56">
        <f t="shared" si="11"/>
        <v>1.3233070855046133E-3</v>
      </c>
    </row>
    <row r="15" spans="1:27">
      <c r="A15" s="44" t="s">
        <v>9</v>
      </c>
      <c r="B15" s="49">
        <f>IF('Datos Mun'!B13="AMM",$B$5*'Datos Mun'!Z13,0)</f>
        <v>106404853.69338417</v>
      </c>
      <c r="C15" s="49">
        <f>IF('Datos Mun'!B13="AMM",$C$5*'Datos Mun'!AC13,0)</f>
        <v>221755957.43689978</v>
      </c>
      <c r="D15" s="49">
        <f>IF('Datos Mun'!B13="AMM",$D$5*'Datos Mun'!AD13,0)</f>
        <v>227214257.77025345</v>
      </c>
      <c r="E15" s="50">
        <f t="shared" si="1"/>
        <v>555375068.90053737</v>
      </c>
      <c r="F15" s="56">
        <f t="shared" si="2"/>
        <v>1.5326393267651766E-2</v>
      </c>
      <c r="G15" s="39"/>
      <c r="H15" s="44" t="s">
        <v>9</v>
      </c>
      <c r="I15" s="49">
        <f>IF('Datos Mun'!B13="AMM",0,$B$5*'Datos Mun'!Z13)</f>
        <v>0</v>
      </c>
      <c r="J15" s="49">
        <f>IF('Datos Mun'!B13="AMM",0,$J$5*'Datos Mun'!AC13)</f>
        <v>0</v>
      </c>
      <c r="K15" s="49">
        <f>IF('Datos Mun'!B13="AMM",0,$K$5*'Datos Mun'!AD13)</f>
        <v>0</v>
      </c>
      <c r="L15" s="50">
        <f t="shared" si="3"/>
        <v>0</v>
      </c>
      <c r="M15" s="56">
        <f t="shared" si="4"/>
        <v>0</v>
      </c>
      <c r="O15" s="44" t="s">
        <v>9</v>
      </c>
      <c r="P15" s="49">
        <f>IF('Datos Mun'!D13="Zona de Crec",'Datos Mun'!Z13*'Art 14 F I'!$P$5,0)</f>
        <v>106404853.69338417</v>
      </c>
      <c r="Q15" s="49">
        <f>IF('Datos Mun'!D13="Zona de Crec",$Q$5*'Datos Mun'!AC13,0)</f>
        <v>221755957.43689978</v>
      </c>
      <c r="R15" s="49">
        <f>IF('Datos Mun'!D13="Zona de Crec",$R$5*'Datos Mun'!AD13,0)</f>
        <v>227214257.77025345</v>
      </c>
      <c r="S15" s="50">
        <f t="shared" si="5"/>
        <v>555375068.90053737</v>
      </c>
      <c r="T15" s="56">
        <f t="shared" si="6"/>
        <v>3.818856746833927E-2</v>
      </c>
      <c r="U15" s="39"/>
      <c r="V15" s="44" t="s">
        <v>9</v>
      </c>
      <c r="W15" s="49">
        <f t="shared" si="7"/>
        <v>106404853.69338417</v>
      </c>
      <c r="X15" s="49">
        <f t="shared" si="8"/>
        <v>221755957.43689978</v>
      </c>
      <c r="Y15" s="49">
        <f t="shared" si="9"/>
        <v>227214257.77025345</v>
      </c>
      <c r="Z15" s="50">
        <f t="shared" si="10"/>
        <v>555375068.90053737</v>
      </c>
      <c r="AA15" s="56">
        <f t="shared" si="11"/>
        <v>1.2925669720850153E-2</v>
      </c>
    </row>
    <row r="16" spans="1:27">
      <c r="A16" s="44" t="s">
        <v>10</v>
      </c>
      <c r="B16" s="49">
        <f>IF('Datos Mun'!B14="AMM",$B$5*'Datos Mun'!Z14,0)</f>
        <v>0</v>
      </c>
      <c r="C16" s="49">
        <f>IF('Datos Mun'!B14="AMM",$C$5*'Datos Mun'!AC14,0)</f>
        <v>0</v>
      </c>
      <c r="D16" s="49">
        <f>IF('Datos Mun'!B14="AMM",$D$5*'Datos Mun'!AD14,0)</f>
        <v>0</v>
      </c>
      <c r="E16" s="50">
        <f t="shared" si="1"/>
        <v>0</v>
      </c>
      <c r="F16" s="56">
        <f t="shared" si="2"/>
        <v>0</v>
      </c>
      <c r="G16" s="39"/>
      <c r="H16" s="44" t="s">
        <v>10</v>
      </c>
      <c r="I16" s="49">
        <f>IF('Datos Mun'!B14="AMM",0,$B$5*'Datos Mun'!Z14)</f>
        <v>12737331.620136403</v>
      </c>
      <c r="J16" s="49">
        <f>IF('Datos Mun'!B14="AMM",0,$J$5*'Datos Mun'!AC14)</f>
        <v>167532726.5728747</v>
      </c>
      <c r="K16" s="49">
        <f>IF('Datos Mun'!B14="AMM",0,$K$5*'Datos Mun'!AD14)</f>
        <v>231190314.30261046</v>
      </c>
      <c r="L16" s="50">
        <f t="shared" si="3"/>
        <v>411460372.49562156</v>
      </c>
      <c r="M16" s="56">
        <f t="shared" si="4"/>
        <v>6.1135364001435634E-2</v>
      </c>
      <c r="O16" s="44" t="s">
        <v>10</v>
      </c>
      <c r="P16" s="49">
        <f>IF('Datos Mun'!D14="Zona de Crec",'Datos Mun'!Z14*'Art 14 F I'!$P$5,0)</f>
        <v>12737331.620136403</v>
      </c>
      <c r="Q16" s="49">
        <f>IF('Datos Mun'!D14="Zona de Crec",$Q$5*'Datos Mun'!AC14,0)</f>
        <v>167532726.5728747</v>
      </c>
      <c r="R16" s="49">
        <f>IF('Datos Mun'!D14="Zona de Crec",$R$5*'Datos Mun'!AD14,0)</f>
        <v>231190314.30261046</v>
      </c>
      <c r="S16" s="50">
        <f t="shared" si="5"/>
        <v>411460372.49562156</v>
      </c>
      <c r="T16" s="56">
        <f t="shared" si="6"/>
        <v>2.8292739583546417E-2</v>
      </c>
      <c r="U16" s="39"/>
      <c r="V16" s="44" t="s">
        <v>10</v>
      </c>
      <c r="W16" s="49">
        <f t="shared" si="7"/>
        <v>12737331.620136403</v>
      </c>
      <c r="X16" s="49">
        <f t="shared" si="8"/>
        <v>167532726.5728747</v>
      </c>
      <c r="Y16" s="49">
        <f t="shared" si="9"/>
        <v>231190314.30261046</v>
      </c>
      <c r="Z16" s="50">
        <f t="shared" si="10"/>
        <v>411460372.49562156</v>
      </c>
      <c r="AA16" s="56">
        <f t="shared" si="11"/>
        <v>9.576232668537122E-3</v>
      </c>
    </row>
    <row r="17" spans="1:27">
      <c r="A17" s="44" t="s">
        <v>11</v>
      </c>
      <c r="B17" s="49">
        <f>IF('Datos Mun'!B15="AMM",$B$5*'Datos Mun'!Z15,0)</f>
        <v>0</v>
      </c>
      <c r="C17" s="49">
        <f>IF('Datos Mun'!B15="AMM",$C$5*'Datos Mun'!AC15,0)</f>
        <v>0</v>
      </c>
      <c r="D17" s="49">
        <f>IF('Datos Mun'!B15="AMM",$D$5*'Datos Mun'!AD15,0)</f>
        <v>0</v>
      </c>
      <c r="E17" s="50">
        <f t="shared" si="1"/>
        <v>0</v>
      </c>
      <c r="F17" s="56">
        <f t="shared" si="2"/>
        <v>0</v>
      </c>
      <c r="G17" s="39"/>
      <c r="H17" s="44" t="s">
        <v>11</v>
      </c>
      <c r="I17" s="49">
        <f>IF('Datos Mun'!B15="AMM",0,$B$5*'Datos Mun'!Z15)</f>
        <v>9750247.8080166765</v>
      </c>
      <c r="J17" s="49">
        <f>IF('Datos Mun'!B15="AMM",0,$J$5*'Datos Mun'!AC15)</f>
        <v>36886173.335575983</v>
      </c>
      <c r="K17" s="49">
        <f>IF('Datos Mun'!B15="AMM",0,$K$5*'Datos Mun'!AD15)</f>
        <v>110888760.0333589</v>
      </c>
      <c r="L17" s="50">
        <f t="shared" si="3"/>
        <v>157525181.17695156</v>
      </c>
      <c r="M17" s="56">
        <f t="shared" si="4"/>
        <v>2.3405314179429294E-2</v>
      </c>
      <c r="O17" s="44" t="s">
        <v>11</v>
      </c>
      <c r="P17" s="49">
        <f>IF('Datos Mun'!D15="Zona de Crec",'Datos Mun'!Z15*'Art 14 F I'!$P$5,0)</f>
        <v>0</v>
      </c>
      <c r="Q17" s="49">
        <f>IF('Datos Mun'!D15="Zona de Crec",$Q$5*'Datos Mun'!AC15,0)</f>
        <v>0</v>
      </c>
      <c r="R17" s="49">
        <f>IF('Datos Mun'!D15="Zona de Crec",$R$5*'Datos Mun'!AD15,0)</f>
        <v>0</v>
      </c>
      <c r="S17" s="50">
        <f t="shared" si="5"/>
        <v>0</v>
      </c>
      <c r="T17" s="56">
        <f t="shared" si="6"/>
        <v>0</v>
      </c>
      <c r="U17" s="39"/>
      <c r="V17" s="44" t="s">
        <v>11</v>
      </c>
      <c r="W17" s="49">
        <f t="shared" si="7"/>
        <v>9750247.8080166765</v>
      </c>
      <c r="X17" s="49">
        <f t="shared" si="8"/>
        <v>36886173.335575983</v>
      </c>
      <c r="Y17" s="49">
        <f t="shared" si="9"/>
        <v>110888760.0333589</v>
      </c>
      <c r="Z17" s="50">
        <f t="shared" si="10"/>
        <v>157525181.17695156</v>
      </c>
      <c r="AA17" s="56">
        <f t="shared" si="11"/>
        <v>3.6662042980092928E-3</v>
      </c>
    </row>
    <row r="18" spans="1:27">
      <c r="A18" s="44" t="s">
        <v>12</v>
      </c>
      <c r="B18" s="49">
        <f>IF('Datos Mun'!B16="AMM",$B$5*'Datos Mun'!Z16,0)</f>
        <v>0</v>
      </c>
      <c r="C18" s="49">
        <f>IF('Datos Mun'!B16="AMM",$C$5*'Datos Mun'!AC16,0)</f>
        <v>0</v>
      </c>
      <c r="D18" s="49">
        <f>IF('Datos Mun'!B16="AMM",$D$5*'Datos Mun'!AD16,0)</f>
        <v>0</v>
      </c>
      <c r="E18" s="50">
        <f t="shared" si="1"/>
        <v>0</v>
      </c>
      <c r="F18" s="56">
        <f t="shared" si="2"/>
        <v>0</v>
      </c>
      <c r="G18" s="39"/>
      <c r="H18" s="44" t="s">
        <v>12</v>
      </c>
      <c r="I18" s="49">
        <f>IF('Datos Mun'!B16="AMM",0,$B$5*'Datos Mun'!Z16)</f>
        <v>5915503.2017205255</v>
      </c>
      <c r="J18" s="49">
        <f>IF('Datos Mun'!B16="AMM",0,$J$5*'Datos Mun'!AC16)</f>
        <v>122804947.10157952</v>
      </c>
      <c r="K18" s="49">
        <f>IF('Datos Mun'!B16="AMM",0,$K$5*'Datos Mun'!AD16)</f>
        <v>67312456.02450183</v>
      </c>
      <c r="L18" s="50">
        <f t="shared" si="3"/>
        <v>196032906.32780188</v>
      </c>
      <c r="M18" s="56">
        <f t="shared" si="4"/>
        <v>2.9126846437045485E-2</v>
      </c>
      <c r="O18" s="44" t="s">
        <v>12</v>
      </c>
      <c r="P18" s="49">
        <f>IF('Datos Mun'!D16="Zona de Crec",'Datos Mun'!Z16*'Art 14 F I'!$P$5,0)</f>
        <v>0</v>
      </c>
      <c r="Q18" s="49">
        <f>IF('Datos Mun'!D16="Zona de Crec",$Q$5*'Datos Mun'!AC16,0)</f>
        <v>0</v>
      </c>
      <c r="R18" s="49">
        <f>IF('Datos Mun'!D16="Zona de Crec",$R$5*'Datos Mun'!AD16,0)</f>
        <v>0</v>
      </c>
      <c r="S18" s="50">
        <f t="shared" si="5"/>
        <v>0</v>
      </c>
      <c r="T18" s="56">
        <f t="shared" si="6"/>
        <v>0</v>
      </c>
      <c r="U18" s="39"/>
      <c r="V18" s="44" t="s">
        <v>12</v>
      </c>
      <c r="W18" s="49">
        <f t="shared" si="7"/>
        <v>5915503.2017205255</v>
      </c>
      <c r="X18" s="49">
        <f t="shared" si="8"/>
        <v>122804947.10157952</v>
      </c>
      <c r="Y18" s="49">
        <f t="shared" si="9"/>
        <v>67312456.02450183</v>
      </c>
      <c r="Z18" s="50">
        <f t="shared" si="10"/>
        <v>196032906.32780188</v>
      </c>
      <c r="AA18" s="56">
        <f t="shared" si="11"/>
        <v>4.5624241048985827E-3</v>
      </c>
    </row>
    <row r="19" spans="1:27">
      <c r="A19" s="44" t="s">
        <v>13</v>
      </c>
      <c r="B19" s="49">
        <f>IF('Datos Mun'!B17="AMM",$B$5*'Datos Mun'!Z17,0)</f>
        <v>0</v>
      </c>
      <c r="C19" s="49">
        <f>IF('Datos Mun'!B17="AMM",$C$5*'Datos Mun'!AC17,0)</f>
        <v>0</v>
      </c>
      <c r="D19" s="49">
        <f>IF('Datos Mun'!B17="AMM",$D$5*'Datos Mun'!AD17,0)</f>
        <v>0</v>
      </c>
      <c r="E19" s="50">
        <f t="shared" si="1"/>
        <v>0</v>
      </c>
      <c r="F19" s="56">
        <f t="shared" si="2"/>
        <v>0</v>
      </c>
      <c r="G19" s="39"/>
      <c r="H19" s="44" t="s">
        <v>13</v>
      </c>
      <c r="I19" s="49">
        <f>IF('Datos Mun'!B17="AMM",0,$B$5*'Datos Mun'!Z17)</f>
        <v>49970361.394529209</v>
      </c>
      <c r="J19" s="49">
        <f>IF('Datos Mun'!B17="AMM",0,$J$5*'Datos Mun'!AC17)</f>
        <v>111997073.79670195</v>
      </c>
      <c r="K19" s="49">
        <f>IF('Datos Mun'!B17="AMM",0,$K$5*'Datos Mun'!AD17)</f>
        <v>146614453.87790468</v>
      </c>
      <c r="L19" s="50">
        <f t="shared" si="3"/>
        <v>308581889.06913584</v>
      </c>
      <c r="M19" s="56">
        <f t="shared" si="4"/>
        <v>4.584953345098379E-2</v>
      </c>
      <c r="O19" s="44" t="s">
        <v>13</v>
      </c>
      <c r="P19" s="49">
        <f>IF('Datos Mun'!D17="Zona de Crec",'Datos Mun'!Z17*'Art 14 F I'!$P$5,0)</f>
        <v>49970361.394529209</v>
      </c>
      <c r="Q19" s="49">
        <f>IF('Datos Mun'!D17="Zona de Crec",$Q$5*'Datos Mun'!AC17,0)</f>
        <v>111997073.79670195</v>
      </c>
      <c r="R19" s="49">
        <f>IF('Datos Mun'!D17="Zona de Crec",$R$5*'Datos Mun'!AD17,0)</f>
        <v>146614453.87790468</v>
      </c>
      <c r="S19" s="50">
        <f t="shared" si="5"/>
        <v>308581889.06913584</v>
      </c>
      <c r="T19" s="56">
        <f t="shared" si="6"/>
        <v>2.1218633946880932E-2</v>
      </c>
      <c r="U19" s="39"/>
      <c r="V19" s="44" t="s">
        <v>13</v>
      </c>
      <c r="W19" s="49">
        <f t="shared" si="7"/>
        <v>49970361.394529209</v>
      </c>
      <c r="X19" s="49">
        <f t="shared" si="8"/>
        <v>111997073.79670195</v>
      </c>
      <c r="Y19" s="49">
        <f t="shared" si="9"/>
        <v>146614453.87790468</v>
      </c>
      <c r="Z19" s="50">
        <f t="shared" si="10"/>
        <v>308581889.06913584</v>
      </c>
      <c r="AA19" s="56">
        <f t="shared" si="11"/>
        <v>7.1818628586260806E-3</v>
      </c>
    </row>
    <row r="20" spans="1:27">
      <c r="A20" s="44" t="s">
        <v>14</v>
      </c>
      <c r="B20" s="49">
        <f>IF('Datos Mun'!B18="AMM",$B$5*'Datos Mun'!Z18,0)</f>
        <v>0</v>
      </c>
      <c r="C20" s="49">
        <f>IF('Datos Mun'!B18="AMM",$C$5*'Datos Mun'!AC18,0)</f>
        <v>0</v>
      </c>
      <c r="D20" s="49">
        <f>IF('Datos Mun'!B18="AMM",$D$5*'Datos Mun'!AD18,0)</f>
        <v>0</v>
      </c>
      <c r="E20" s="50">
        <f t="shared" si="1"/>
        <v>0</v>
      </c>
      <c r="F20" s="56">
        <f t="shared" si="2"/>
        <v>0</v>
      </c>
      <c r="G20" s="39"/>
      <c r="H20" s="44" t="s">
        <v>14</v>
      </c>
      <c r="I20" s="49">
        <f>IF('Datos Mun'!B18="AMM",0,$B$5*'Datos Mun'!Z18)</f>
        <v>994429.93544761918</v>
      </c>
      <c r="J20" s="49">
        <f>IF('Datos Mun'!B18="AMM",0,$J$5*'Datos Mun'!AC18)</f>
        <v>183884267.58566219</v>
      </c>
      <c r="K20" s="49">
        <f>IF('Datos Mun'!B18="AMM",0,$K$5*'Datos Mun'!AD18)</f>
        <v>258705461.3248094</v>
      </c>
      <c r="L20" s="50">
        <f t="shared" si="3"/>
        <v>443584158.84591925</v>
      </c>
      <c r="M20" s="56">
        <f t="shared" si="4"/>
        <v>6.5908361604383889E-2</v>
      </c>
      <c r="O20" s="44" t="s">
        <v>14</v>
      </c>
      <c r="P20" s="49">
        <f>IF('Datos Mun'!D18="Zona de Crec",'Datos Mun'!Z18*'Art 14 F I'!$P$5,0)</f>
        <v>0</v>
      </c>
      <c r="Q20" s="49">
        <f>IF('Datos Mun'!D18="Zona de Crec",$Q$5*'Datos Mun'!AC18,0)</f>
        <v>0</v>
      </c>
      <c r="R20" s="49">
        <f>IF('Datos Mun'!D18="Zona de Crec",$R$5*'Datos Mun'!AD18,0)</f>
        <v>0</v>
      </c>
      <c r="S20" s="50">
        <f t="shared" si="5"/>
        <v>0</v>
      </c>
      <c r="T20" s="56">
        <f t="shared" si="6"/>
        <v>0</v>
      </c>
      <c r="U20" s="39"/>
      <c r="V20" s="44" t="s">
        <v>14</v>
      </c>
      <c r="W20" s="49">
        <f t="shared" si="7"/>
        <v>994429.93544761918</v>
      </c>
      <c r="X20" s="49">
        <f t="shared" si="8"/>
        <v>183884267.58566219</v>
      </c>
      <c r="Y20" s="49">
        <f t="shared" si="9"/>
        <v>258705461.3248094</v>
      </c>
      <c r="Z20" s="50">
        <f t="shared" si="10"/>
        <v>443584158.84591925</v>
      </c>
      <c r="AA20" s="56">
        <f t="shared" si="11"/>
        <v>1.0323874173887922E-2</v>
      </c>
    </row>
    <row r="21" spans="1:27">
      <c r="A21" s="44" t="s">
        <v>15</v>
      </c>
      <c r="B21" s="49">
        <f>IF('Datos Mun'!B19="AMM",$B$5*'Datos Mun'!Z19,0)</f>
        <v>0</v>
      </c>
      <c r="C21" s="49">
        <f>IF('Datos Mun'!B19="AMM",$C$5*'Datos Mun'!AC19,0)</f>
        <v>0</v>
      </c>
      <c r="D21" s="49">
        <f>IF('Datos Mun'!B19="AMM",$D$5*'Datos Mun'!AD19,0)</f>
        <v>0</v>
      </c>
      <c r="E21" s="50">
        <f t="shared" si="1"/>
        <v>0</v>
      </c>
      <c r="F21" s="56">
        <f t="shared" si="2"/>
        <v>0</v>
      </c>
      <c r="G21" s="39"/>
      <c r="H21" s="44" t="s">
        <v>15</v>
      </c>
      <c r="I21" s="49">
        <f>IF('Datos Mun'!B19="AMM",0,$B$5*'Datos Mun'!Z19)</f>
        <v>978506.65374153282</v>
      </c>
      <c r="J21" s="49">
        <f>IF('Datos Mun'!B19="AMM",0,$J$5*'Datos Mun'!AC19)</f>
        <v>20246714.891589213</v>
      </c>
      <c r="K21" s="49">
        <f>IF('Datos Mun'!B19="AMM",0,$K$5*'Datos Mun'!AD19)</f>
        <v>43057229.132403597</v>
      </c>
      <c r="L21" s="50">
        <f t="shared" si="3"/>
        <v>64282450.677734345</v>
      </c>
      <c r="M21" s="56">
        <f t="shared" si="4"/>
        <v>9.5511774250616101E-3</v>
      </c>
      <c r="O21" s="44" t="s">
        <v>15</v>
      </c>
      <c r="P21" s="49">
        <f>IF('Datos Mun'!D19="Zona de Crec",'Datos Mun'!Z19*'Art 14 F I'!$P$5,0)</f>
        <v>0</v>
      </c>
      <c r="Q21" s="49">
        <f>IF('Datos Mun'!D19="Zona de Crec",$Q$5*'Datos Mun'!AC19,0)</f>
        <v>0</v>
      </c>
      <c r="R21" s="49">
        <f>IF('Datos Mun'!D19="Zona de Crec",$R$5*'Datos Mun'!AD19,0)</f>
        <v>0</v>
      </c>
      <c r="S21" s="50">
        <f t="shared" si="5"/>
        <v>0</v>
      </c>
      <c r="T21" s="56">
        <f t="shared" si="6"/>
        <v>0</v>
      </c>
      <c r="U21" s="39"/>
      <c r="V21" s="44" t="s">
        <v>15</v>
      </c>
      <c r="W21" s="49">
        <f t="shared" si="7"/>
        <v>978506.65374153282</v>
      </c>
      <c r="X21" s="49">
        <f t="shared" si="8"/>
        <v>20246714.891589213</v>
      </c>
      <c r="Y21" s="49">
        <f t="shared" si="9"/>
        <v>43057229.132403597</v>
      </c>
      <c r="Z21" s="50">
        <f t="shared" si="10"/>
        <v>64282450.677734345</v>
      </c>
      <c r="AA21" s="56">
        <f t="shared" si="11"/>
        <v>1.4960947526004983E-3</v>
      </c>
    </row>
    <row r="22" spans="1:27">
      <c r="A22" s="44" t="s">
        <v>16</v>
      </c>
      <c r="B22" s="49">
        <f>IF('Datos Mun'!B20="AMM",$B$5*'Datos Mun'!Z20,0)</f>
        <v>0</v>
      </c>
      <c r="C22" s="49">
        <f>IF('Datos Mun'!B20="AMM",$C$5*'Datos Mun'!AC20,0)</f>
        <v>0</v>
      </c>
      <c r="D22" s="49">
        <f>IF('Datos Mun'!B20="AMM",$D$5*'Datos Mun'!AD20,0)</f>
        <v>0</v>
      </c>
      <c r="E22" s="50">
        <f t="shared" si="1"/>
        <v>0</v>
      </c>
      <c r="F22" s="56">
        <f t="shared" si="2"/>
        <v>0</v>
      </c>
      <c r="G22" s="39"/>
      <c r="H22" s="44" t="s">
        <v>16</v>
      </c>
      <c r="I22" s="49">
        <f>IF('Datos Mun'!B20="AMM",0,$B$5*'Datos Mun'!Z20)</f>
        <v>2290538.9055974069</v>
      </c>
      <c r="J22" s="49">
        <f>IF('Datos Mun'!B20="AMM",0,$J$5*'Datos Mun'!AC20)</f>
        <v>20577318.381356724</v>
      </c>
      <c r="K22" s="49">
        <f>IF('Datos Mun'!B20="AMM",0,$K$5*'Datos Mun'!AD20)</f>
        <v>20237308.046244521</v>
      </c>
      <c r="L22" s="50">
        <f t="shared" si="3"/>
        <v>43105165.333198652</v>
      </c>
      <c r="M22" s="56">
        <f t="shared" si="4"/>
        <v>6.4046264212605465E-3</v>
      </c>
      <c r="O22" s="44" t="s">
        <v>16</v>
      </c>
      <c r="P22" s="49">
        <f>IF('Datos Mun'!D20="Zona de Crec",'Datos Mun'!Z20*'Art 14 F I'!$P$5,0)</f>
        <v>0</v>
      </c>
      <c r="Q22" s="49">
        <f>IF('Datos Mun'!D20="Zona de Crec",$Q$5*'Datos Mun'!AC20,0)</f>
        <v>0</v>
      </c>
      <c r="R22" s="49">
        <f>IF('Datos Mun'!D20="Zona de Crec",$R$5*'Datos Mun'!AD20,0)</f>
        <v>0</v>
      </c>
      <c r="S22" s="50">
        <f t="shared" si="5"/>
        <v>0</v>
      </c>
      <c r="T22" s="56">
        <f t="shared" si="6"/>
        <v>0</v>
      </c>
      <c r="U22" s="39"/>
      <c r="V22" s="44" t="s">
        <v>16</v>
      </c>
      <c r="W22" s="49">
        <f t="shared" si="7"/>
        <v>2290538.9055974069</v>
      </c>
      <c r="X22" s="49">
        <f t="shared" si="8"/>
        <v>20577318.381356724</v>
      </c>
      <c r="Y22" s="49">
        <f t="shared" si="9"/>
        <v>20237308.046244521</v>
      </c>
      <c r="Z22" s="50">
        <f t="shared" si="10"/>
        <v>43105165.333198652</v>
      </c>
      <c r="AA22" s="56">
        <f t="shared" si="11"/>
        <v>1.0032195565828476E-3</v>
      </c>
    </row>
    <row r="23" spans="1:27">
      <c r="A23" s="44" t="s">
        <v>17</v>
      </c>
      <c r="B23" s="49">
        <f>IF('Datos Mun'!B21="AMM",$B$5*'Datos Mun'!Z21,0)</f>
        <v>0</v>
      </c>
      <c r="C23" s="49">
        <f>IF('Datos Mun'!B21="AMM",$C$5*'Datos Mun'!AC21,0)</f>
        <v>0</v>
      </c>
      <c r="D23" s="49">
        <f>IF('Datos Mun'!B21="AMM",$D$5*'Datos Mun'!AD21,0)</f>
        <v>0</v>
      </c>
      <c r="E23" s="50">
        <f t="shared" si="1"/>
        <v>0</v>
      </c>
      <c r="F23" s="56">
        <f t="shared" si="2"/>
        <v>0</v>
      </c>
      <c r="G23" s="39"/>
      <c r="H23" s="44" t="s">
        <v>17</v>
      </c>
      <c r="I23" s="49">
        <f>IF('Datos Mun'!B21="AMM",0,$B$5*'Datos Mun'!Z21)</f>
        <v>1941307.0894226294</v>
      </c>
      <c r="J23" s="49">
        <f>IF('Datos Mun'!B21="AMM",0,$J$5*'Datos Mun'!AC21)</f>
        <v>242080183.550908</v>
      </c>
      <c r="K23" s="49">
        <f>IF('Datos Mun'!B21="AMM",0,$K$5*'Datos Mun'!AD21)</f>
        <v>170349299.76172063</v>
      </c>
      <c r="L23" s="50">
        <f t="shared" si="3"/>
        <v>414370790.40205127</v>
      </c>
      <c r="M23" s="56">
        <f t="shared" si="4"/>
        <v>6.1567798009665109E-2</v>
      </c>
      <c r="O23" s="44" t="s">
        <v>17</v>
      </c>
      <c r="P23" s="49">
        <f>IF('Datos Mun'!D21="Zona de Crec",'Datos Mun'!Z21*'Art 14 F I'!$P$5,0)</f>
        <v>0</v>
      </c>
      <c r="Q23" s="49">
        <f>IF('Datos Mun'!D21="Zona de Crec",$Q$5*'Datos Mun'!AC21,0)</f>
        <v>0</v>
      </c>
      <c r="R23" s="49">
        <f>IF('Datos Mun'!D21="Zona de Crec",$R$5*'Datos Mun'!AD21,0)</f>
        <v>0</v>
      </c>
      <c r="S23" s="50">
        <f t="shared" si="5"/>
        <v>0</v>
      </c>
      <c r="T23" s="56">
        <f t="shared" si="6"/>
        <v>0</v>
      </c>
      <c r="U23" s="39"/>
      <c r="V23" s="44" t="s">
        <v>17</v>
      </c>
      <c r="W23" s="49">
        <f t="shared" si="7"/>
        <v>1941307.0894226294</v>
      </c>
      <c r="X23" s="49">
        <f t="shared" si="8"/>
        <v>242080183.550908</v>
      </c>
      <c r="Y23" s="49">
        <f t="shared" si="9"/>
        <v>170349299.76172063</v>
      </c>
      <c r="Z23" s="50">
        <f t="shared" si="10"/>
        <v>414370790.40205127</v>
      </c>
      <c r="AA23" s="56">
        <f t="shared" si="11"/>
        <v>9.6439690555568565E-3</v>
      </c>
    </row>
    <row r="24" spans="1:27">
      <c r="A24" s="44" t="s">
        <v>18</v>
      </c>
      <c r="B24" s="49">
        <f>IF('Datos Mun'!B22="AMM",$B$5*'Datos Mun'!Z22,0)</f>
        <v>289919826.87808836</v>
      </c>
      <c r="C24" s="49">
        <f>IF('Datos Mun'!B22="AMM",$C$5*'Datos Mun'!AC22,0)</f>
        <v>652886342.2830838</v>
      </c>
      <c r="D24" s="49">
        <f>IF('Datos Mun'!B22="AMM",$D$5*'Datos Mun'!AD22,0)</f>
        <v>723959647.39245498</v>
      </c>
      <c r="E24" s="50">
        <f t="shared" si="1"/>
        <v>1666765816.553627</v>
      </c>
      <c r="F24" s="56">
        <f t="shared" si="2"/>
        <v>4.5996858375640506E-2</v>
      </c>
      <c r="G24" s="39"/>
      <c r="H24" s="44" t="s">
        <v>18</v>
      </c>
      <c r="I24" s="49">
        <f>IF('Datos Mun'!B22="AMM",0,$B$5*'Datos Mun'!Z22)</f>
        <v>0</v>
      </c>
      <c r="J24" s="49">
        <f>IF('Datos Mun'!B22="AMM",0,$J$5*'Datos Mun'!AC22)</f>
        <v>0</v>
      </c>
      <c r="K24" s="49">
        <f>IF('Datos Mun'!B22="AMM",0,$K$5*'Datos Mun'!AD22)</f>
        <v>0</v>
      </c>
      <c r="L24" s="50">
        <f t="shared" si="3"/>
        <v>0</v>
      </c>
      <c r="M24" s="56">
        <f t="shared" si="4"/>
        <v>0</v>
      </c>
      <c r="O24" s="44" t="s">
        <v>18</v>
      </c>
      <c r="P24" s="49">
        <f>IF('Datos Mun'!D22="Zona de Crec",'Datos Mun'!Z22*'Art 14 F I'!$P$5,0)</f>
        <v>289919826.87808836</v>
      </c>
      <c r="Q24" s="49">
        <f>IF('Datos Mun'!D22="Zona de Crec",$Q$5*'Datos Mun'!AC22,0)</f>
        <v>652886342.2830838</v>
      </c>
      <c r="R24" s="49">
        <f>IF('Datos Mun'!D22="Zona de Crec",$R$5*'Datos Mun'!AD22,0)</f>
        <v>723959647.39245498</v>
      </c>
      <c r="S24" s="50">
        <f t="shared" si="5"/>
        <v>1666765816.553627</v>
      </c>
      <c r="T24" s="56">
        <f t="shared" si="6"/>
        <v>0.11460975186622785</v>
      </c>
      <c r="U24" s="39"/>
      <c r="V24" s="44" t="s">
        <v>18</v>
      </c>
      <c r="W24" s="49">
        <f t="shared" si="7"/>
        <v>289919826.87808836</v>
      </c>
      <c r="X24" s="49">
        <f t="shared" si="8"/>
        <v>652886342.2830838</v>
      </c>
      <c r="Y24" s="49">
        <f t="shared" si="9"/>
        <v>723959647.39245498</v>
      </c>
      <c r="Z24" s="50">
        <f t="shared" si="10"/>
        <v>1666765816.553627</v>
      </c>
      <c r="AA24" s="56">
        <f t="shared" si="11"/>
        <v>3.8791918566718459E-2</v>
      </c>
    </row>
    <row r="25" spans="1:27">
      <c r="A25" s="44" t="s">
        <v>19</v>
      </c>
      <c r="B25" s="49">
        <f>IF('Datos Mun'!B23="AMM",$B$5*'Datos Mun'!Z23,0)</f>
        <v>0</v>
      </c>
      <c r="C25" s="49">
        <f>IF('Datos Mun'!B23="AMM",$C$5*'Datos Mun'!AC23,0)</f>
        <v>0</v>
      </c>
      <c r="D25" s="49">
        <f>IF('Datos Mun'!B23="AMM",$D$5*'Datos Mun'!AD23,0)</f>
        <v>0</v>
      </c>
      <c r="E25" s="50">
        <f t="shared" si="1"/>
        <v>0</v>
      </c>
      <c r="F25" s="56">
        <f t="shared" si="2"/>
        <v>0</v>
      </c>
      <c r="G25" s="39"/>
      <c r="H25" s="44" t="s">
        <v>19</v>
      </c>
      <c r="I25" s="49">
        <f>IF('Datos Mun'!B23="AMM",0,$B$5*'Datos Mun'!Z23)</f>
        <v>2100765.4790846473</v>
      </c>
      <c r="J25" s="49">
        <f>IF('Datos Mun'!B23="AMM",0,$J$5*'Datos Mun'!AC23)</f>
        <v>56122197.299898513</v>
      </c>
      <c r="K25" s="49">
        <f>IF('Datos Mun'!B23="AMM",0,$K$5*'Datos Mun'!AD23)</f>
        <v>60051967.543941014</v>
      </c>
      <c r="L25" s="50">
        <f t="shared" si="3"/>
        <v>118274930.32292417</v>
      </c>
      <c r="M25" s="56">
        <f t="shared" si="4"/>
        <v>1.7573456402811549E-2</v>
      </c>
      <c r="O25" s="44" t="s">
        <v>19</v>
      </c>
      <c r="P25" s="49">
        <f>IF('Datos Mun'!D23="Zona de Crec",'Datos Mun'!Z23*'Art 14 F I'!$P$5,0)</f>
        <v>0</v>
      </c>
      <c r="Q25" s="49">
        <f>IF('Datos Mun'!D23="Zona de Crec",$Q$5*'Datos Mun'!AC23,0)</f>
        <v>0</v>
      </c>
      <c r="R25" s="49">
        <f>IF('Datos Mun'!D23="Zona de Crec",$R$5*'Datos Mun'!AD23,0)</f>
        <v>0</v>
      </c>
      <c r="S25" s="50">
        <f t="shared" si="5"/>
        <v>0</v>
      </c>
      <c r="T25" s="56">
        <f t="shared" si="6"/>
        <v>0</v>
      </c>
      <c r="U25" s="39"/>
      <c r="V25" s="44" t="s">
        <v>19</v>
      </c>
      <c r="W25" s="49">
        <f t="shared" si="7"/>
        <v>2100765.4790846473</v>
      </c>
      <c r="X25" s="49">
        <f t="shared" si="8"/>
        <v>56122197.299898513</v>
      </c>
      <c r="Y25" s="49">
        <f t="shared" si="9"/>
        <v>60051967.543941014</v>
      </c>
      <c r="Z25" s="50">
        <f t="shared" si="10"/>
        <v>118274930.32292417</v>
      </c>
      <c r="AA25" s="56">
        <f t="shared" si="11"/>
        <v>2.7527031212207214E-3</v>
      </c>
    </row>
    <row r="26" spans="1:27">
      <c r="A26" s="44" t="s">
        <v>20</v>
      </c>
      <c r="B26" s="49">
        <f>IF('Datos Mun'!B24="AMM",$B$5*'Datos Mun'!Z24,0)</f>
        <v>526233018.94652891</v>
      </c>
      <c r="C26" s="49">
        <f>IF('Datos Mun'!B24="AMM",$C$5*'Datos Mun'!AC24,0)</f>
        <v>763322696.27716088</v>
      </c>
      <c r="D26" s="49">
        <f>IF('Datos Mun'!B24="AMM",$D$5*'Datos Mun'!AD24,0)</f>
        <v>1017528128.5554911</v>
      </c>
      <c r="E26" s="50">
        <f t="shared" si="1"/>
        <v>2307083843.779181</v>
      </c>
      <c r="F26" s="56">
        <f t="shared" si="2"/>
        <v>6.3667377725840843E-2</v>
      </c>
      <c r="G26" s="39"/>
      <c r="H26" s="44" t="s">
        <v>20</v>
      </c>
      <c r="I26" s="49">
        <f>IF('Datos Mun'!B24="AMM",0,$B$5*'Datos Mun'!Z24)</f>
        <v>0</v>
      </c>
      <c r="J26" s="49">
        <f>IF('Datos Mun'!B24="AMM",0,$J$5*'Datos Mun'!AC24)</f>
        <v>0</v>
      </c>
      <c r="K26" s="49">
        <f>IF('Datos Mun'!B24="AMM",0,$K$5*'Datos Mun'!AD24)</f>
        <v>0</v>
      </c>
      <c r="L26" s="50">
        <f t="shared" si="3"/>
        <v>0</v>
      </c>
      <c r="M26" s="56">
        <f t="shared" si="4"/>
        <v>0</v>
      </c>
      <c r="O26" s="44" t="s">
        <v>20</v>
      </c>
      <c r="P26" s="49">
        <f>IF('Datos Mun'!D24="Zona de Crec",'Datos Mun'!Z24*'Art 14 F I'!$P$5,0)</f>
        <v>526233018.94652891</v>
      </c>
      <c r="Q26" s="49">
        <f>IF('Datos Mun'!D24="Zona de Crec",$Q$5*'Datos Mun'!AC24,0)</f>
        <v>763322696.27716088</v>
      </c>
      <c r="R26" s="49">
        <f>IF('Datos Mun'!D24="Zona de Crec",$R$5*'Datos Mun'!AD24,0)</f>
        <v>1017528128.5554911</v>
      </c>
      <c r="S26" s="50">
        <f t="shared" si="5"/>
        <v>2307083843.779181</v>
      </c>
      <c r="T26" s="56">
        <f t="shared" si="6"/>
        <v>0.15863914668999199</v>
      </c>
      <c r="U26" s="39"/>
      <c r="V26" s="44" t="s">
        <v>20</v>
      </c>
      <c r="W26" s="49">
        <f t="shared" si="7"/>
        <v>526233018.94652891</v>
      </c>
      <c r="X26" s="49">
        <f t="shared" si="8"/>
        <v>763322696.27716088</v>
      </c>
      <c r="Y26" s="49">
        <f t="shared" si="9"/>
        <v>1017528128.5554911</v>
      </c>
      <c r="Z26" s="50">
        <f t="shared" si="10"/>
        <v>2307083843.779181</v>
      </c>
      <c r="AA26" s="56">
        <f t="shared" si="11"/>
        <v>5.3694530872684429E-2</v>
      </c>
    </row>
    <row r="27" spans="1:27">
      <c r="A27" s="44" t="s">
        <v>21</v>
      </c>
      <c r="B27" s="49">
        <f>IF('Datos Mun'!B25="AMM",$B$5*'Datos Mun'!Z25,0)</f>
        <v>0</v>
      </c>
      <c r="C27" s="49">
        <f>IF('Datos Mun'!B25="AMM",$C$5*'Datos Mun'!AC25,0)</f>
        <v>0</v>
      </c>
      <c r="D27" s="49">
        <f>IF('Datos Mun'!B25="AMM",$D$5*'Datos Mun'!AD25,0)</f>
        <v>0</v>
      </c>
      <c r="E27" s="50">
        <f t="shared" si="1"/>
        <v>0</v>
      </c>
      <c r="F27" s="56">
        <f t="shared" si="2"/>
        <v>0</v>
      </c>
      <c r="G27" s="39"/>
      <c r="H27" s="44" t="s">
        <v>21</v>
      </c>
      <c r="I27" s="49">
        <f>IF('Datos Mun'!B25="AMM",0,$B$5*'Datos Mun'!Z25)</f>
        <v>16031057.617496694</v>
      </c>
      <c r="J27" s="49">
        <f>IF('Datos Mun'!B25="AMM",0,$J$5*'Datos Mun'!AC25)</f>
        <v>84524181.698117912</v>
      </c>
      <c r="K27" s="49">
        <f>IF('Datos Mun'!B25="AMM",0,$K$5*'Datos Mun'!AD25)</f>
        <v>87974914.976843312</v>
      </c>
      <c r="L27" s="50">
        <f t="shared" si="3"/>
        <v>188530154.29245794</v>
      </c>
      <c r="M27" s="56">
        <f t="shared" si="4"/>
        <v>2.8012076929811478E-2</v>
      </c>
      <c r="O27" s="44" t="s">
        <v>21</v>
      </c>
      <c r="P27" s="49">
        <f>IF('Datos Mun'!D25="Zona de Crec",'Datos Mun'!Z25*'Art 14 F I'!$P$5,0)</f>
        <v>0</v>
      </c>
      <c r="Q27" s="49">
        <f>IF('Datos Mun'!D25="Zona de Crec",$Q$5*'Datos Mun'!AC25,0)</f>
        <v>0</v>
      </c>
      <c r="R27" s="49">
        <f>IF('Datos Mun'!D25="Zona de Crec",$R$5*'Datos Mun'!AD25,0)</f>
        <v>0</v>
      </c>
      <c r="S27" s="50">
        <f t="shared" si="5"/>
        <v>0</v>
      </c>
      <c r="T27" s="56">
        <f t="shared" si="6"/>
        <v>0</v>
      </c>
      <c r="U27" s="39"/>
      <c r="V27" s="44" t="s">
        <v>21</v>
      </c>
      <c r="W27" s="49">
        <f t="shared" si="7"/>
        <v>16031057.617496694</v>
      </c>
      <c r="X27" s="49">
        <f t="shared" si="8"/>
        <v>84524181.698117912</v>
      </c>
      <c r="Y27" s="49">
        <f t="shared" si="9"/>
        <v>87974914.976843312</v>
      </c>
      <c r="Z27" s="50">
        <f t="shared" si="10"/>
        <v>188530154.29245794</v>
      </c>
      <c r="AA27" s="56">
        <f t="shared" si="11"/>
        <v>4.3878068052810876E-3</v>
      </c>
    </row>
    <row r="28" spans="1:27">
      <c r="A28" s="44" t="s">
        <v>22</v>
      </c>
      <c r="B28" s="49">
        <f>IF('Datos Mun'!B26="AMM",$B$5*'Datos Mun'!Z26,0)</f>
        <v>0</v>
      </c>
      <c r="C28" s="49">
        <f>IF('Datos Mun'!B26="AMM",$C$5*'Datos Mun'!AC26,0)</f>
        <v>0</v>
      </c>
      <c r="D28" s="49">
        <f>IF('Datos Mun'!B26="AMM",$D$5*'Datos Mun'!AD26,0)</f>
        <v>0</v>
      </c>
      <c r="E28" s="50">
        <f t="shared" si="1"/>
        <v>0</v>
      </c>
      <c r="F28" s="56">
        <f t="shared" si="2"/>
        <v>0</v>
      </c>
      <c r="G28" s="39"/>
      <c r="H28" s="44" t="s">
        <v>22</v>
      </c>
      <c r="I28" s="49">
        <f>IF('Datos Mun'!B26="AMM",0,$B$5*'Datos Mun'!Z26)</f>
        <v>786080.61657925416</v>
      </c>
      <c r="J28" s="49">
        <f>IF('Datos Mun'!B26="AMM",0,$J$5*'Datos Mun'!AC26)</f>
        <v>12595753.46799496</v>
      </c>
      <c r="K28" s="49">
        <f>IF('Datos Mun'!B26="AMM",0,$K$5*'Datos Mun'!AD26)</f>
        <v>24130287.399855468</v>
      </c>
      <c r="L28" s="50">
        <f t="shared" si="3"/>
        <v>37512121.484429687</v>
      </c>
      <c r="M28" s="56">
        <f t="shared" si="4"/>
        <v>5.5736040569522565E-3</v>
      </c>
      <c r="O28" s="44" t="s">
        <v>22</v>
      </c>
      <c r="P28" s="49">
        <f>IF('Datos Mun'!D26="Zona de Crec",'Datos Mun'!Z26*'Art 14 F I'!$P$5,0)</f>
        <v>0</v>
      </c>
      <c r="Q28" s="49">
        <f>IF('Datos Mun'!D26="Zona de Crec",$Q$5*'Datos Mun'!AC26,0)</f>
        <v>0</v>
      </c>
      <c r="R28" s="49">
        <f>IF('Datos Mun'!D26="Zona de Crec",$R$5*'Datos Mun'!AD26,0)</f>
        <v>0</v>
      </c>
      <c r="S28" s="50">
        <f t="shared" si="5"/>
        <v>0</v>
      </c>
      <c r="T28" s="56">
        <f t="shared" si="6"/>
        <v>0</v>
      </c>
      <c r="U28" s="39"/>
      <c r="V28" s="44" t="s">
        <v>22</v>
      </c>
      <c r="W28" s="49">
        <f t="shared" si="7"/>
        <v>786080.61657925416</v>
      </c>
      <c r="X28" s="49">
        <f t="shared" si="8"/>
        <v>12595753.46799496</v>
      </c>
      <c r="Y28" s="49">
        <f t="shared" si="9"/>
        <v>24130287.399855468</v>
      </c>
      <c r="Z28" s="50">
        <f t="shared" si="10"/>
        <v>37512121.484429687</v>
      </c>
      <c r="AA28" s="56">
        <f t="shared" si="11"/>
        <v>8.7304835954561189E-4</v>
      </c>
    </row>
    <row r="29" spans="1:27">
      <c r="A29" s="44" t="s">
        <v>23</v>
      </c>
      <c r="B29" s="49">
        <f>IF('Datos Mun'!B27="AMM",$B$5*'Datos Mun'!Z27,0)</f>
        <v>0</v>
      </c>
      <c r="C29" s="49">
        <f>IF('Datos Mun'!B27="AMM",$C$5*'Datos Mun'!AC27,0)</f>
        <v>0</v>
      </c>
      <c r="D29" s="49">
        <f>IF('Datos Mun'!B27="AMM",$D$5*'Datos Mun'!AD27,0)</f>
        <v>0</v>
      </c>
      <c r="E29" s="50">
        <f t="shared" si="1"/>
        <v>0</v>
      </c>
      <c r="F29" s="56">
        <f t="shared" si="2"/>
        <v>0</v>
      </c>
      <c r="G29" s="39"/>
      <c r="H29" s="44" t="s">
        <v>23</v>
      </c>
      <c r="I29" s="49">
        <f>IF('Datos Mun'!B27="AMM",0,$B$5*'Datos Mun'!Z27)</f>
        <v>179366.70139786517</v>
      </c>
      <c r="J29" s="49">
        <f>IF('Datos Mun'!B27="AMM",0,$J$5*'Datos Mun'!AC27)</f>
        <v>42732944.461820565</v>
      </c>
      <c r="K29" s="49">
        <f>IF('Datos Mun'!B27="AMM",0,$K$5*'Datos Mun'!AD27)</f>
        <v>64623999.686574988</v>
      </c>
      <c r="L29" s="50">
        <f t="shared" si="3"/>
        <v>107536310.84979342</v>
      </c>
      <c r="M29" s="56">
        <f t="shared" si="4"/>
        <v>1.5977897135752997E-2</v>
      </c>
      <c r="O29" s="44" t="s">
        <v>23</v>
      </c>
      <c r="P29" s="49">
        <f>IF('Datos Mun'!D27="Zona de Crec",'Datos Mun'!Z27*'Art 14 F I'!$P$5,0)</f>
        <v>0</v>
      </c>
      <c r="Q29" s="49">
        <f>IF('Datos Mun'!D27="Zona de Crec",$Q$5*'Datos Mun'!AC27,0)</f>
        <v>0</v>
      </c>
      <c r="R29" s="49">
        <f>IF('Datos Mun'!D27="Zona de Crec",$R$5*'Datos Mun'!AD27,0)</f>
        <v>0</v>
      </c>
      <c r="S29" s="50">
        <f t="shared" si="5"/>
        <v>0</v>
      </c>
      <c r="T29" s="56">
        <f t="shared" si="6"/>
        <v>0</v>
      </c>
      <c r="U29" s="39"/>
      <c r="V29" s="44" t="s">
        <v>23</v>
      </c>
      <c r="W29" s="49">
        <f t="shared" si="7"/>
        <v>179366.70139786517</v>
      </c>
      <c r="X29" s="49">
        <f t="shared" si="8"/>
        <v>42732944.461820565</v>
      </c>
      <c r="Y29" s="49">
        <f t="shared" si="9"/>
        <v>64623999.686574988</v>
      </c>
      <c r="Z29" s="50">
        <f t="shared" si="10"/>
        <v>107536310.84979342</v>
      </c>
      <c r="AA29" s="56">
        <f t="shared" si="11"/>
        <v>2.5027749981554126E-3</v>
      </c>
    </row>
    <row r="30" spans="1:27">
      <c r="A30" s="44" t="s">
        <v>24</v>
      </c>
      <c r="B30" s="49">
        <f>IF('Datos Mun'!B28="AMM",$B$5*'Datos Mun'!Z28,0)</f>
        <v>0</v>
      </c>
      <c r="C30" s="49">
        <f>IF('Datos Mun'!B28="AMM",$C$5*'Datos Mun'!AC28,0)</f>
        <v>0</v>
      </c>
      <c r="D30" s="49">
        <f>IF('Datos Mun'!B28="AMM",$D$5*'Datos Mun'!AD28,0)</f>
        <v>0</v>
      </c>
      <c r="E30" s="50">
        <f t="shared" si="1"/>
        <v>0</v>
      </c>
      <c r="F30" s="56">
        <f t="shared" si="2"/>
        <v>0</v>
      </c>
      <c r="G30" s="39"/>
      <c r="H30" s="44" t="s">
        <v>24</v>
      </c>
      <c r="I30" s="49">
        <f>IF('Datos Mun'!B28="AMM",0,$B$5*'Datos Mun'!Z28)</f>
        <v>18975972.453389205</v>
      </c>
      <c r="J30" s="49">
        <f>IF('Datos Mun'!B28="AMM",0,$J$5*'Datos Mun'!AC28)</f>
        <v>165870700.09125212</v>
      </c>
      <c r="K30" s="49">
        <f>IF('Datos Mun'!B28="AMM",0,$K$5*'Datos Mun'!AD28)</f>
        <v>204277798.80427939</v>
      </c>
      <c r="L30" s="50">
        <f t="shared" si="3"/>
        <v>389124471.3489207</v>
      </c>
      <c r="M30" s="56">
        <f t="shared" si="4"/>
        <v>5.7816664223322316E-2</v>
      </c>
      <c r="O30" s="44" t="s">
        <v>24</v>
      </c>
      <c r="P30" s="49">
        <f>IF('Datos Mun'!D28="Zona de Crec",'Datos Mun'!Z28*'Art 14 F I'!$P$5,0)</f>
        <v>18975972.453389205</v>
      </c>
      <c r="Q30" s="49">
        <f>IF('Datos Mun'!D28="Zona de Crec",$Q$5*'Datos Mun'!AC28,0)</f>
        <v>165870700.09125212</v>
      </c>
      <c r="R30" s="49">
        <f>IF('Datos Mun'!D28="Zona de Crec",$R$5*'Datos Mun'!AD28,0)</f>
        <v>204277798.80427939</v>
      </c>
      <c r="S30" s="50">
        <f t="shared" si="5"/>
        <v>389124471.3489207</v>
      </c>
      <c r="T30" s="56">
        <f t="shared" si="6"/>
        <v>2.6756883698629656E-2</v>
      </c>
      <c r="U30" s="39"/>
      <c r="V30" s="44" t="s">
        <v>24</v>
      </c>
      <c r="W30" s="49">
        <f t="shared" si="7"/>
        <v>18975972.453389205</v>
      </c>
      <c r="X30" s="49">
        <f t="shared" si="8"/>
        <v>165870700.09125212</v>
      </c>
      <c r="Y30" s="49">
        <f t="shared" si="9"/>
        <v>204277798.80427939</v>
      </c>
      <c r="Z30" s="50">
        <f t="shared" si="10"/>
        <v>389124471.3489207</v>
      </c>
      <c r="AA30" s="56">
        <f t="shared" si="11"/>
        <v>9.0563921187779128E-3</v>
      </c>
    </row>
    <row r="31" spans="1:27">
      <c r="A31" s="44" t="s">
        <v>25</v>
      </c>
      <c r="B31" s="49">
        <f>IF('Datos Mun'!B29="AMM",$B$5*'Datos Mun'!Z29,0)</f>
        <v>1153463389.9226623</v>
      </c>
      <c r="C31" s="49">
        <f>IF('Datos Mun'!B29="AMM",$C$5*'Datos Mun'!AC29,0)</f>
        <v>1018142531.4330516</v>
      </c>
      <c r="D31" s="49">
        <f>IF('Datos Mun'!B29="AMM",$D$5*'Datos Mun'!AD29,0)</f>
        <v>817423276.38111353</v>
      </c>
      <c r="E31" s="50">
        <f t="shared" si="1"/>
        <v>2989029197.7368274</v>
      </c>
      <c r="F31" s="56">
        <f t="shared" si="2"/>
        <v>8.2486664487297343E-2</v>
      </c>
      <c r="G31" s="39"/>
      <c r="H31" s="44" t="s">
        <v>25</v>
      </c>
      <c r="I31" s="49">
        <f>IF('Datos Mun'!B29="AMM",0,$B$5*'Datos Mun'!Z29)</f>
        <v>0</v>
      </c>
      <c r="J31" s="49">
        <f>IF('Datos Mun'!B29="AMM",0,$J$5*'Datos Mun'!AC29)</f>
        <v>0</v>
      </c>
      <c r="K31" s="49">
        <f>IF('Datos Mun'!B29="AMM",0,$K$5*'Datos Mun'!AD29)</f>
        <v>0</v>
      </c>
      <c r="L31" s="50">
        <f t="shared" si="3"/>
        <v>0</v>
      </c>
      <c r="M31" s="56">
        <f t="shared" si="4"/>
        <v>0</v>
      </c>
      <c r="O31" s="44" t="s">
        <v>25</v>
      </c>
      <c r="P31" s="49">
        <f>IF('Datos Mun'!D29="Zona de Crec",'Datos Mun'!Z29*'Art 14 F I'!$P$5,0)</f>
        <v>0</v>
      </c>
      <c r="Q31" s="49">
        <f>IF('Datos Mun'!D29="Zona de Crec",$Q$5*'Datos Mun'!AC29,0)</f>
        <v>0</v>
      </c>
      <c r="R31" s="49">
        <f>IF('Datos Mun'!D29="Zona de Crec",$R$5*'Datos Mun'!AD29,0)</f>
        <v>0</v>
      </c>
      <c r="S31" s="50">
        <f t="shared" si="5"/>
        <v>0</v>
      </c>
      <c r="T31" s="56">
        <f t="shared" si="6"/>
        <v>0</v>
      </c>
      <c r="U31" s="39"/>
      <c r="V31" s="44" t="s">
        <v>25</v>
      </c>
      <c r="W31" s="49">
        <f t="shared" si="7"/>
        <v>1153463389.9226623</v>
      </c>
      <c r="X31" s="49">
        <f t="shared" si="8"/>
        <v>1018142531.4330516</v>
      </c>
      <c r="Y31" s="49">
        <f t="shared" si="9"/>
        <v>817423276.38111353</v>
      </c>
      <c r="Z31" s="50">
        <f t="shared" si="10"/>
        <v>2989029197.7368274</v>
      </c>
      <c r="AA31" s="56">
        <f t="shared" si="11"/>
        <v>6.9565967864580441E-2</v>
      </c>
    </row>
    <row r="32" spans="1:27">
      <c r="A32" s="44" t="s">
        <v>26</v>
      </c>
      <c r="B32" s="49">
        <f>IF('Datos Mun'!B30="AMM",$B$5*'Datos Mun'!Z30,0)</f>
        <v>0</v>
      </c>
      <c r="C32" s="49">
        <f>IF('Datos Mun'!B30="AMM",$C$5*'Datos Mun'!AC30,0)</f>
        <v>0</v>
      </c>
      <c r="D32" s="49">
        <f>IF('Datos Mun'!B30="AMM",$D$5*'Datos Mun'!AD30,0)</f>
        <v>0</v>
      </c>
      <c r="E32" s="50">
        <f t="shared" si="1"/>
        <v>0</v>
      </c>
      <c r="F32" s="56">
        <f t="shared" si="2"/>
        <v>0</v>
      </c>
      <c r="G32" s="39"/>
      <c r="H32" s="44" t="s">
        <v>26</v>
      </c>
      <c r="I32" s="49">
        <f>IF('Datos Mun'!B30="AMM",0,$B$5*'Datos Mun'!Z30)</f>
        <v>1099385.2485722834</v>
      </c>
      <c r="J32" s="49">
        <f>IF('Datos Mun'!B30="AMM",0,$J$5*'Datos Mun'!AC30)</f>
        <v>15564045.989424033</v>
      </c>
      <c r="K32" s="49">
        <f>IF('Datos Mun'!B30="AMM",0,$K$5*'Datos Mun'!AD30)</f>
        <v>22613631.144538525</v>
      </c>
      <c r="L32" s="50">
        <f t="shared" si="3"/>
        <v>39277062.382534847</v>
      </c>
      <c r="M32" s="56">
        <f t="shared" si="4"/>
        <v>5.835841471438211E-3</v>
      </c>
      <c r="O32" s="44" t="s">
        <v>26</v>
      </c>
      <c r="P32" s="49">
        <f>IF('Datos Mun'!D30="Zona de Crec",'Datos Mun'!Z30*'Art 14 F I'!$P$5,0)</f>
        <v>0</v>
      </c>
      <c r="Q32" s="49">
        <f>IF('Datos Mun'!D30="Zona de Crec",$Q$5*'Datos Mun'!AC30,0)</f>
        <v>0</v>
      </c>
      <c r="R32" s="49">
        <f>IF('Datos Mun'!D30="Zona de Crec",$R$5*'Datos Mun'!AD30,0)</f>
        <v>0</v>
      </c>
      <c r="S32" s="50">
        <f t="shared" si="5"/>
        <v>0</v>
      </c>
      <c r="T32" s="56">
        <f t="shared" si="6"/>
        <v>0</v>
      </c>
      <c r="U32" s="39"/>
      <c r="V32" s="44" t="s">
        <v>26</v>
      </c>
      <c r="W32" s="49">
        <f t="shared" si="7"/>
        <v>1099385.2485722834</v>
      </c>
      <c r="X32" s="49">
        <f t="shared" si="8"/>
        <v>15564045.989424033</v>
      </c>
      <c r="Y32" s="49">
        <f t="shared" si="9"/>
        <v>22613631.144538525</v>
      </c>
      <c r="Z32" s="50">
        <f t="shared" si="10"/>
        <v>39277062.382534847</v>
      </c>
      <c r="AA32" s="56">
        <f t="shared" si="11"/>
        <v>9.1412518204484709E-4</v>
      </c>
    </row>
    <row r="33" spans="1:27">
      <c r="A33" s="44" t="s">
        <v>27</v>
      </c>
      <c r="B33" s="49">
        <f>IF('Datos Mun'!B31="AMM",$B$5*'Datos Mun'!Z31,0)</f>
        <v>0</v>
      </c>
      <c r="C33" s="49">
        <f>IF('Datos Mun'!B31="AMM",$C$5*'Datos Mun'!AC31,0)</f>
        <v>0</v>
      </c>
      <c r="D33" s="49">
        <f>IF('Datos Mun'!B31="AMM",$D$5*'Datos Mun'!AD31,0)</f>
        <v>0</v>
      </c>
      <c r="E33" s="50">
        <f t="shared" si="1"/>
        <v>0</v>
      </c>
      <c r="F33" s="56">
        <f t="shared" si="2"/>
        <v>0</v>
      </c>
      <c r="G33" s="39"/>
      <c r="H33" s="44" t="s">
        <v>27</v>
      </c>
      <c r="I33" s="49">
        <f>IF('Datos Mun'!B31="AMM",0,$B$5*'Datos Mun'!Z31)</f>
        <v>1494319.2723431913</v>
      </c>
      <c r="J33" s="49">
        <f>IF('Datos Mun'!B31="AMM",0,$J$5*'Datos Mun'!AC31)</f>
        <v>29675478.740036752</v>
      </c>
      <c r="K33" s="49">
        <f>IF('Datos Mun'!B31="AMM",0,$K$5*'Datos Mun'!AD31)</f>
        <v>43318172.489087336</v>
      </c>
      <c r="L33" s="50">
        <f t="shared" si="3"/>
        <v>74487970.501467288</v>
      </c>
      <c r="M33" s="56">
        <f t="shared" si="4"/>
        <v>1.1067527992343566E-2</v>
      </c>
      <c r="O33" s="44" t="s">
        <v>27</v>
      </c>
      <c r="P33" s="49">
        <f>IF('Datos Mun'!D31="Zona de Crec",'Datos Mun'!Z31*'Art 14 F I'!$P$5,0)</f>
        <v>0</v>
      </c>
      <c r="Q33" s="49">
        <f>IF('Datos Mun'!D31="Zona de Crec",$Q$5*'Datos Mun'!AC31,0)</f>
        <v>0</v>
      </c>
      <c r="R33" s="49">
        <f>IF('Datos Mun'!D31="Zona de Crec",$R$5*'Datos Mun'!AD31,0)</f>
        <v>0</v>
      </c>
      <c r="S33" s="50">
        <f t="shared" si="5"/>
        <v>0</v>
      </c>
      <c r="T33" s="56">
        <f t="shared" si="6"/>
        <v>0</v>
      </c>
      <c r="U33" s="39"/>
      <c r="V33" s="44" t="s">
        <v>27</v>
      </c>
      <c r="W33" s="49">
        <f t="shared" si="7"/>
        <v>1494319.2723431913</v>
      </c>
      <c r="X33" s="49">
        <f t="shared" si="8"/>
        <v>29675478.740036752</v>
      </c>
      <c r="Y33" s="49">
        <f t="shared" si="9"/>
        <v>43318172.489087336</v>
      </c>
      <c r="Z33" s="50">
        <f t="shared" si="10"/>
        <v>74487970.501467288</v>
      </c>
      <c r="AA33" s="56">
        <f t="shared" si="11"/>
        <v>1.733615638859052E-3</v>
      </c>
    </row>
    <row r="34" spans="1:27">
      <c r="A34" s="44" t="s">
        <v>28</v>
      </c>
      <c r="B34" s="49">
        <f>IF('Datos Mun'!B32="AMM",$B$5*'Datos Mun'!Z32,0)</f>
        <v>0</v>
      </c>
      <c r="C34" s="49">
        <f>IF('Datos Mun'!B32="AMM",$C$5*'Datos Mun'!AC32,0)</f>
        <v>0</v>
      </c>
      <c r="D34" s="49">
        <f>IF('Datos Mun'!B32="AMM",$D$5*'Datos Mun'!AD32,0)</f>
        <v>0</v>
      </c>
      <c r="E34" s="50">
        <f t="shared" si="1"/>
        <v>0</v>
      </c>
      <c r="F34" s="56">
        <f t="shared" si="2"/>
        <v>0</v>
      </c>
      <c r="G34" s="39"/>
      <c r="H34" s="44" t="s">
        <v>28</v>
      </c>
      <c r="I34" s="49">
        <f>IF('Datos Mun'!B32="AMM",0,$B$5*'Datos Mun'!Z32)</f>
        <v>2123868.2928787549</v>
      </c>
      <c r="J34" s="49">
        <f>IF('Datos Mun'!B32="AMM",0,$J$5*'Datos Mun'!AC32)</f>
        <v>13318479.705453919</v>
      </c>
      <c r="K34" s="49">
        <f>IF('Datos Mun'!B32="AMM",0,$K$5*'Datos Mun'!AD32)</f>
        <v>40038127.726268955</v>
      </c>
      <c r="L34" s="50">
        <f t="shared" si="3"/>
        <v>55480475.724601626</v>
      </c>
      <c r="M34" s="56">
        <f t="shared" si="4"/>
        <v>8.2433675394400878E-3</v>
      </c>
      <c r="O34" s="44" t="s">
        <v>28</v>
      </c>
      <c r="P34" s="49">
        <f>IF('Datos Mun'!D32="Zona de Crec",'Datos Mun'!Z32*'Art 14 F I'!$P$5,0)</f>
        <v>0</v>
      </c>
      <c r="Q34" s="49">
        <f>IF('Datos Mun'!D32="Zona de Crec",$Q$5*'Datos Mun'!AC32,0)</f>
        <v>0</v>
      </c>
      <c r="R34" s="49">
        <f>IF('Datos Mun'!D32="Zona de Crec",$R$5*'Datos Mun'!AD32,0)</f>
        <v>0</v>
      </c>
      <c r="S34" s="50">
        <f t="shared" si="5"/>
        <v>0</v>
      </c>
      <c r="T34" s="56">
        <f t="shared" si="6"/>
        <v>0</v>
      </c>
      <c r="U34" s="39"/>
      <c r="V34" s="44" t="s">
        <v>28</v>
      </c>
      <c r="W34" s="49">
        <f t="shared" si="7"/>
        <v>2123868.2928787549</v>
      </c>
      <c r="X34" s="49">
        <f t="shared" si="8"/>
        <v>13318479.705453919</v>
      </c>
      <c r="Y34" s="49">
        <f t="shared" si="9"/>
        <v>40038127.726268955</v>
      </c>
      <c r="Z34" s="50">
        <f t="shared" si="10"/>
        <v>55480475.724601626</v>
      </c>
      <c r="AA34" s="56">
        <f t="shared" si="11"/>
        <v>1.291239642052199E-3</v>
      </c>
    </row>
    <row r="35" spans="1:27">
      <c r="A35" s="44" t="s">
        <v>29</v>
      </c>
      <c r="B35" s="49">
        <f>IF('Datos Mun'!B33="AMM",$B$5*'Datos Mun'!Z33,0)</f>
        <v>0</v>
      </c>
      <c r="C35" s="49">
        <f>IF('Datos Mun'!B33="AMM",$C$5*'Datos Mun'!AC33,0)</f>
        <v>0</v>
      </c>
      <c r="D35" s="49">
        <f>IF('Datos Mun'!B33="AMM",$D$5*'Datos Mun'!AD33,0)</f>
        <v>0</v>
      </c>
      <c r="E35" s="50">
        <f t="shared" si="1"/>
        <v>0</v>
      </c>
      <c r="F35" s="56">
        <f t="shared" si="2"/>
        <v>0</v>
      </c>
      <c r="G35" s="39"/>
      <c r="H35" s="44" t="s">
        <v>29</v>
      </c>
      <c r="I35" s="49">
        <f>IF('Datos Mun'!B33="AMM",0,$B$5*'Datos Mun'!Z33)</f>
        <v>2824944.4649398546</v>
      </c>
      <c r="J35" s="49">
        <f>IF('Datos Mun'!B33="AMM",0,$J$5*'Datos Mun'!AC33)</f>
        <v>14299822.292396124</v>
      </c>
      <c r="K35" s="49">
        <f>IF('Datos Mun'!B33="AMM",0,$K$5*'Datos Mun'!AD33)</f>
        <v>48918114.730322771</v>
      </c>
      <c r="L35" s="50">
        <f t="shared" si="3"/>
        <v>66042881.487658754</v>
      </c>
      <c r="M35" s="56">
        <f t="shared" si="4"/>
        <v>9.8127447242678453E-3</v>
      </c>
      <c r="O35" s="44" t="s">
        <v>29</v>
      </c>
      <c r="P35" s="49">
        <f>IF('Datos Mun'!D33="Zona de Crec",'Datos Mun'!Z33*'Art 14 F I'!$P$5,0)</f>
        <v>0</v>
      </c>
      <c r="Q35" s="49">
        <f>IF('Datos Mun'!D33="Zona de Crec",$Q$5*'Datos Mun'!AC33,0)</f>
        <v>0</v>
      </c>
      <c r="R35" s="49">
        <f>IF('Datos Mun'!D33="Zona de Crec",$R$5*'Datos Mun'!AD33,0)</f>
        <v>0</v>
      </c>
      <c r="S35" s="50">
        <f t="shared" si="5"/>
        <v>0</v>
      </c>
      <c r="T35" s="56">
        <f t="shared" si="6"/>
        <v>0</v>
      </c>
      <c r="U35" s="39"/>
      <c r="V35" s="44" t="s">
        <v>29</v>
      </c>
      <c r="W35" s="49">
        <f t="shared" si="7"/>
        <v>2824944.4649398546</v>
      </c>
      <c r="X35" s="49">
        <f t="shared" si="8"/>
        <v>14299822.292396124</v>
      </c>
      <c r="Y35" s="49">
        <f t="shared" si="9"/>
        <v>48918114.730322771</v>
      </c>
      <c r="Z35" s="50">
        <f t="shared" si="10"/>
        <v>66042881.487658754</v>
      </c>
      <c r="AA35" s="56">
        <f t="shared" si="11"/>
        <v>1.537066608360136E-3</v>
      </c>
    </row>
    <row r="36" spans="1:27">
      <c r="A36" s="44" t="s">
        <v>30</v>
      </c>
      <c r="B36" s="49">
        <f>IF('Datos Mun'!B34="AMM",$B$5*'Datos Mun'!Z34,0)</f>
        <v>0</v>
      </c>
      <c r="C36" s="49">
        <f>IF('Datos Mun'!B34="AMM",$C$5*'Datos Mun'!AC34,0)</f>
        <v>0</v>
      </c>
      <c r="D36" s="49">
        <f>IF('Datos Mun'!B34="AMM",$D$5*'Datos Mun'!AD34,0)</f>
        <v>0</v>
      </c>
      <c r="E36" s="50">
        <f t="shared" si="1"/>
        <v>0</v>
      </c>
      <c r="F36" s="56">
        <f t="shared" si="2"/>
        <v>0</v>
      </c>
      <c r="G36" s="39"/>
      <c r="H36" s="44" t="s">
        <v>30</v>
      </c>
      <c r="I36" s="49">
        <f>IF('Datos Mun'!B34="AMM",0,$B$5*'Datos Mun'!Z34)</f>
        <v>299422.03988427878</v>
      </c>
      <c r="J36" s="49">
        <f>IF('Datos Mun'!B34="AMM",0,$J$5*'Datos Mun'!AC34)</f>
        <v>19282407.154044226</v>
      </c>
      <c r="K36" s="49">
        <f>IF('Datos Mun'!B34="AMM",0,$K$5*'Datos Mun'!AD34)</f>
        <v>48926383.48816362</v>
      </c>
      <c r="L36" s="50">
        <f t="shared" si="3"/>
        <v>68508212.68209213</v>
      </c>
      <c r="M36" s="56">
        <f t="shared" si="4"/>
        <v>1.0179047119421055E-2</v>
      </c>
      <c r="O36" s="44" t="s">
        <v>30</v>
      </c>
      <c r="P36" s="49">
        <f>IF('Datos Mun'!D34="Zona de Crec",'Datos Mun'!Z34*'Art 14 F I'!$P$5,0)</f>
        <v>0</v>
      </c>
      <c r="Q36" s="49">
        <f>IF('Datos Mun'!D34="Zona de Crec",$Q$5*'Datos Mun'!AC34,0)</f>
        <v>0</v>
      </c>
      <c r="R36" s="49">
        <f>IF('Datos Mun'!D34="Zona de Crec",$R$5*'Datos Mun'!AD34,0)</f>
        <v>0</v>
      </c>
      <c r="S36" s="50">
        <f t="shared" si="5"/>
        <v>0</v>
      </c>
      <c r="T36" s="56">
        <f t="shared" si="6"/>
        <v>0</v>
      </c>
      <c r="U36" s="39"/>
      <c r="V36" s="44" t="s">
        <v>30</v>
      </c>
      <c r="W36" s="49">
        <f t="shared" si="7"/>
        <v>299422.03988427878</v>
      </c>
      <c r="X36" s="49">
        <f t="shared" si="8"/>
        <v>19282407.154044226</v>
      </c>
      <c r="Y36" s="49">
        <f t="shared" si="9"/>
        <v>48926383.48816362</v>
      </c>
      <c r="Z36" s="50">
        <f t="shared" si="10"/>
        <v>68508212.68209213</v>
      </c>
      <c r="AA36" s="56">
        <f t="shared" si="11"/>
        <v>1.5944441511346781E-3</v>
      </c>
    </row>
    <row r="37" spans="1:27">
      <c r="A37" s="44" t="s">
        <v>31</v>
      </c>
      <c r="B37" s="49">
        <f>IF('Datos Mun'!B35="AMM",$B$5*'Datos Mun'!Z35,0)</f>
        <v>358724667.46641082</v>
      </c>
      <c r="C37" s="49">
        <f>IF('Datos Mun'!B35="AMM",$C$5*'Datos Mun'!AC35,0)</f>
        <v>750486227.14591575</v>
      </c>
      <c r="D37" s="49">
        <f>IF('Datos Mun'!B35="AMM",$D$5*'Datos Mun'!AD35,0)</f>
        <v>994759682.56262589</v>
      </c>
      <c r="E37" s="50">
        <f t="shared" si="1"/>
        <v>2103970577.1749525</v>
      </c>
      <c r="F37" s="56">
        <f t="shared" si="2"/>
        <v>5.8062167884469093E-2</v>
      </c>
      <c r="G37" s="39"/>
      <c r="H37" s="44" t="s">
        <v>31</v>
      </c>
      <c r="I37" s="49">
        <f>IF('Datos Mun'!B35="AMM",0,$B$5*'Datos Mun'!Z35)</f>
        <v>0</v>
      </c>
      <c r="J37" s="49">
        <f>IF('Datos Mun'!B35="AMM",0,$J$5*'Datos Mun'!AC35)</f>
        <v>0</v>
      </c>
      <c r="K37" s="49">
        <f>IF('Datos Mun'!B35="AMM",0,$K$5*'Datos Mun'!AD35)</f>
        <v>0</v>
      </c>
      <c r="L37" s="50">
        <f t="shared" si="3"/>
        <v>0</v>
      </c>
      <c r="M37" s="56">
        <f t="shared" si="4"/>
        <v>0</v>
      </c>
      <c r="O37" s="44" t="s">
        <v>31</v>
      </c>
      <c r="P37" s="49">
        <f>IF('Datos Mun'!D35="Zona de Crec",'Datos Mun'!Z35*'Art 14 F I'!$P$5,0)</f>
        <v>358724667.46641082</v>
      </c>
      <c r="Q37" s="49">
        <f>IF('Datos Mun'!D35="Zona de Crec",$Q$5*'Datos Mun'!AC35,0)</f>
        <v>750486227.14591575</v>
      </c>
      <c r="R37" s="49">
        <f>IF('Datos Mun'!D35="Zona de Crec",$R$5*'Datos Mun'!AD35,0)</f>
        <v>994759682.56262589</v>
      </c>
      <c r="S37" s="50">
        <f t="shared" si="5"/>
        <v>2103970577.1749525</v>
      </c>
      <c r="T37" s="56">
        <f t="shared" si="6"/>
        <v>0.14467272089996522</v>
      </c>
      <c r="U37" s="39"/>
      <c r="V37" s="44" t="s">
        <v>31</v>
      </c>
      <c r="W37" s="49">
        <f t="shared" si="7"/>
        <v>358724667.46641082</v>
      </c>
      <c r="X37" s="49">
        <f t="shared" si="8"/>
        <v>750486227.14591575</v>
      </c>
      <c r="Y37" s="49">
        <f t="shared" si="9"/>
        <v>994759682.56262589</v>
      </c>
      <c r="Z37" s="50">
        <f t="shared" si="10"/>
        <v>2103970577.1749525</v>
      </c>
      <c r="AA37" s="56">
        <f t="shared" si="11"/>
        <v>4.8967320115372914E-2</v>
      </c>
    </row>
    <row r="38" spans="1:27">
      <c r="A38" s="44" t="s">
        <v>32</v>
      </c>
      <c r="B38" s="49">
        <f>IF('Datos Mun'!B36="AMM",$B$5*'Datos Mun'!Z36,0)</f>
        <v>0</v>
      </c>
      <c r="C38" s="49">
        <f>IF('Datos Mun'!B36="AMM",$C$5*'Datos Mun'!AC36,0)</f>
        <v>0</v>
      </c>
      <c r="D38" s="49">
        <f>IF('Datos Mun'!B36="AMM",$D$5*'Datos Mun'!AD36,0)</f>
        <v>0</v>
      </c>
      <c r="E38" s="50">
        <f t="shared" si="1"/>
        <v>0</v>
      </c>
      <c r="F38" s="56">
        <f t="shared" si="2"/>
        <v>0</v>
      </c>
      <c r="G38" s="39"/>
      <c r="H38" s="44" t="s">
        <v>32</v>
      </c>
      <c r="I38" s="49">
        <f>IF('Datos Mun'!B36="AMM",0,$B$5*'Datos Mun'!Z36)</f>
        <v>5050447.5339951832</v>
      </c>
      <c r="J38" s="49">
        <f>IF('Datos Mun'!B36="AMM",0,$J$5*'Datos Mun'!AC36)</f>
        <v>94538805.154058233</v>
      </c>
      <c r="K38" s="49">
        <f>IF('Datos Mun'!B36="AMM",0,$K$5*'Datos Mun'!AD36)</f>
        <v>64291670.806592897</v>
      </c>
      <c r="L38" s="50">
        <f t="shared" si="3"/>
        <v>163880923.49464631</v>
      </c>
      <c r="M38" s="56">
        <f t="shared" si="4"/>
        <v>2.4349659360800874E-2</v>
      </c>
      <c r="O38" s="44" t="s">
        <v>32</v>
      </c>
      <c r="P38" s="49">
        <f>IF('Datos Mun'!D36="Zona de Crec",'Datos Mun'!Z36*'Art 14 F I'!$P$5,0)</f>
        <v>0</v>
      </c>
      <c r="Q38" s="49">
        <f>IF('Datos Mun'!D36="Zona de Crec",$Q$5*'Datos Mun'!AC36,0)</f>
        <v>0</v>
      </c>
      <c r="R38" s="49">
        <f>IF('Datos Mun'!D36="Zona de Crec",$R$5*'Datos Mun'!AD36,0)</f>
        <v>0</v>
      </c>
      <c r="S38" s="50">
        <f t="shared" si="5"/>
        <v>0</v>
      </c>
      <c r="T38" s="56">
        <f t="shared" si="6"/>
        <v>0</v>
      </c>
      <c r="U38" s="39"/>
      <c r="V38" s="44" t="s">
        <v>32</v>
      </c>
      <c r="W38" s="49">
        <f t="shared" si="7"/>
        <v>5050447.5339951832</v>
      </c>
      <c r="X38" s="49">
        <f t="shared" si="8"/>
        <v>94538805.154058233</v>
      </c>
      <c r="Y38" s="49">
        <f t="shared" si="9"/>
        <v>64291670.806592897</v>
      </c>
      <c r="Z38" s="50">
        <f t="shared" si="10"/>
        <v>163880923.49464631</v>
      </c>
      <c r="AA38" s="56">
        <f t="shared" si="11"/>
        <v>3.8141263611872235E-3</v>
      </c>
    </row>
    <row r="39" spans="1:27">
      <c r="A39" s="44" t="s">
        <v>33</v>
      </c>
      <c r="B39" s="49">
        <f>IF('Datos Mun'!B37="AMM",$B$5*'Datos Mun'!Z37,0)</f>
        <v>0</v>
      </c>
      <c r="C39" s="49">
        <f>IF('Datos Mun'!B37="AMM",$C$5*'Datos Mun'!AC37,0)</f>
        <v>0</v>
      </c>
      <c r="D39" s="49">
        <f>IF('Datos Mun'!B37="AMM",$D$5*'Datos Mun'!AD37,0)</f>
        <v>0</v>
      </c>
      <c r="E39" s="50">
        <f t="shared" si="1"/>
        <v>0</v>
      </c>
      <c r="F39" s="56">
        <f t="shared" si="2"/>
        <v>0</v>
      </c>
      <c r="G39" s="39"/>
      <c r="H39" s="44" t="s">
        <v>33</v>
      </c>
      <c r="I39" s="49">
        <f>IF('Datos Mun'!B37="AMM",0,$B$5*'Datos Mun'!Z37)</f>
        <v>36150068.95513124</v>
      </c>
      <c r="J39" s="49">
        <f>IF('Datos Mun'!B37="AMM",0,$J$5*'Datos Mun'!AC37)</f>
        <v>196658348.93779859</v>
      </c>
      <c r="K39" s="49">
        <f>IF('Datos Mun'!B37="AMM",0,$K$5*'Datos Mun'!AD37)</f>
        <v>217762581.99324307</v>
      </c>
      <c r="L39" s="50">
        <f t="shared" si="3"/>
        <v>450570999.88617289</v>
      </c>
      <c r="M39" s="56">
        <f t="shared" si="4"/>
        <v>6.6946476326405199E-2</v>
      </c>
      <c r="O39" s="44" t="s">
        <v>33</v>
      </c>
      <c r="P39" s="49">
        <f>IF('Datos Mun'!D37="Zona de Crec",'Datos Mun'!Z37*'Art 14 F I'!$P$5,0)</f>
        <v>0</v>
      </c>
      <c r="Q39" s="49">
        <f>IF('Datos Mun'!D37="Zona de Crec",$Q$5*'Datos Mun'!AC37,0)</f>
        <v>0</v>
      </c>
      <c r="R39" s="49">
        <f>IF('Datos Mun'!D37="Zona de Crec",$R$5*'Datos Mun'!AD37,0)</f>
        <v>0</v>
      </c>
      <c r="S39" s="50">
        <f t="shared" si="5"/>
        <v>0</v>
      </c>
      <c r="T39" s="56">
        <f t="shared" si="6"/>
        <v>0</v>
      </c>
      <c r="U39" s="39"/>
      <c r="V39" s="44" t="s">
        <v>33</v>
      </c>
      <c r="W39" s="49">
        <f t="shared" si="7"/>
        <v>36150068.95513124</v>
      </c>
      <c r="X39" s="49">
        <f t="shared" si="8"/>
        <v>196658348.93779859</v>
      </c>
      <c r="Y39" s="49">
        <f t="shared" si="9"/>
        <v>217762581.99324307</v>
      </c>
      <c r="Z39" s="50">
        <f t="shared" si="10"/>
        <v>450570999.88617289</v>
      </c>
      <c r="AA39" s="56">
        <f t="shared" si="11"/>
        <v>1.0486484281426929E-2</v>
      </c>
    </row>
    <row r="40" spans="1:27">
      <c r="A40" s="44" t="s">
        <v>34</v>
      </c>
      <c r="B40" s="49">
        <f>IF('Datos Mun'!B38="AMM",$B$5*'Datos Mun'!Z38,0)</f>
        <v>0</v>
      </c>
      <c r="C40" s="49">
        <f>IF('Datos Mun'!B38="AMM",$C$5*'Datos Mun'!AC38,0)</f>
        <v>0</v>
      </c>
      <c r="D40" s="49">
        <f>IF('Datos Mun'!B38="AMM",$D$5*'Datos Mun'!AD38,0)</f>
        <v>0</v>
      </c>
      <c r="E40" s="50">
        <f t="shared" si="1"/>
        <v>0</v>
      </c>
      <c r="F40" s="56">
        <f t="shared" si="2"/>
        <v>0</v>
      </c>
      <c r="G40" s="39"/>
      <c r="H40" s="44" t="s">
        <v>34</v>
      </c>
      <c r="I40" s="49">
        <f>IF('Datos Mun'!B38="AMM",0,$B$5*'Datos Mun'!Z38)</f>
        <v>5575411.8554208139</v>
      </c>
      <c r="J40" s="49">
        <f>IF('Datos Mun'!B38="AMM",0,$J$5*'Datos Mun'!AC38)</f>
        <v>14732916.931142012</v>
      </c>
      <c r="K40" s="49">
        <f>IF('Datos Mun'!B38="AMM",0,$K$5*'Datos Mun'!AD38)</f>
        <v>63604221.776787452</v>
      </c>
      <c r="L40" s="50">
        <f t="shared" si="3"/>
        <v>83912550.563350275</v>
      </c>
      <c r="M40" s="56">
        <f t="shared" si="4"/>
        <v>1.2467845425464105E-2</v>
      </c>
      <c r="O40" s="44" t="s">
        <v>34</v>
      </c>
      <c r="P40" s="49">
        <f>IF('Datos Mun'!D38="Zona de Crec",'Datos Mun'!Z38*'Art 14 F I'!$P$5,0)</f>
        <v>0</v>
      </c>
      <c r="Q40" s="49">
        <f>IF('Datos Mun'!D38="Zona de Crec",$Q$5*'Datos Mun'!AC38,0)</f>
        <v>0</v>
      </c>
      <c r="R40" s="49">
        <f>IF('Datos Mun'!D38="Zona de Crec",$R$5*'Datos Mun'!AD38,0)</f>
        <v>0</v>
      </c>
      <c r="S40" s="50">
        <f t="shared" si="5"/>
        <v>0</v>
      </c>
      <c r="T40" s="56">
        <f t="shared" si="6"/>
        <v>0</v>
      </c>
      <c r="U40" s="39"/>
      <c r="V40" s="44" t="s">
        <v>34</v>
      </c>
      <c r="W40" s="49">
        <f t="shared" si="7"/>
        <v>5575411.8554208139</v>
      </c>
      <c r="X40" s="49">
        <f t="shared" si="8"/>
        <v>14732916.931142012</v>
      </c>
      <c r="Y40" s="49">
        <f t="shared" si="9"/>
        <v>63604221.776787452</v>
      </c>
      <c r="Z40" s="50">
        <f t="shared" si="10"/>
        <v>83912550.563350275</v>
      </c>
      <c r="AA40" s="56">
        <f t="shared" si="11"/>
        <v>1.9529611153831802E-3</v>
      </c>
    </row>
    <row r="41" spans="1:27">
      <c r="A41" s="44" t="s">
        <v>35</v>
      </c>
      <c r="B41" s="49">
        <f>IF('Datos Mun'!B39="AMM",$B$5*'Datos Mun'!Z39,0)</f>
        <v>0</v>
      </c>
      <c r="C41" s="49">
        <f>IF('Datos Mun'!B39="AMM",$C$5*'Datos Mun'!AC39,0)</f>
        <v>0</v>
      </c>
      <c r="D41" s="49">
        <f>IF('Datos Mun'!B39="AMM",$D$5*'Datos Mun'!AD39,0)</f>
        <v>0</v>
      </c>
      <c r="E41" s="50">
        <f t="shared" si="1"/>
        <v>0</v>
      </c>
      <c r="F41" s="56">
        <f t="shared" si="2"/>
        <v>0</v>
      </c>
      <c r="G41" s="39"/>
      <c r="H41" s="44" t="s">
        <v>35</v>
      </c>
      <c r="I41" s="49">
        <f>IF('Datos Mun'!B39="AMM",0,$B$5*'Datos Mun'!Z39)</f>
        <v>1617830.2690339617</v>
      </c>
      <c r="J41" s="49">
        <f>IF('Datos Mun'!B39="AMM",0,$J$5*'Datos Mun'!AC39)</f>
        <v>7562146.5311147124</v>
      </c>
      <c r="K41" s="49">
        <f>IF('Datos Mun'!B39="AMM",0,$K$5*'Datos Mun'!AD39)</f>
        <v>6294032.4209931362</v>
      </c>
      <c r="L41" s="50">
        <f t="shared" si="3"/>
        <v>15474009.22114181</v>
      </c>
      <c r="M41" s="56">
        <f t="shared" si="4"/>
        <v>2.2991501722468854E-3</v>
      </c>
      <c r="O41" s="44" t="s">
        <v>35</v>
      </c>
      <c r="P41" s="49">
        <f>IF('Datos Mun'!D39="Zona de Crec",'Datos Mun'!Z39*'Art 14 F I'!$P$5,0)</f>
        <v>0</v>
      </c>
      <c r="Q41" s="49">
        <f>IF('Datos Mun'!D39="Zona de Crec",$Q$5*'Datos Mun'!AC39,0)</f>
        <v>0</v>
      </c>
      <c r="R41" s="49">
        <f>IF('Datos Mun'!D39="Zona de Crec",$R$5*'Datos Mun'!AD39,0)</f>
        <v>0</v>
      </c>
      <c r="S41" s="50">
        <f t="shared" si="5"/>
        <v>0</v>
      </c>
      <c r="T41" s="56">
        <f t="shared" si="6"/>
        <v>0</v>
      </c>
      <c r="U41" s="39"/>
      <c r="V41" s="44" t="s">
        <v>35</v>
      </c>
      <c r="W41" s="49">
        <f t="shared" si="7"/>
        <v>1617830.2690339617</v>
      </c>
      <c r="X41" s="49">
        <f t="shared" si="8"/>
        <v>7562146.5311147124</v>
      </c>
      <c r="Y41" s="49">
        <f t="shared" si="9"/>
        <v>6294032.4209931362</v>
      </c>
      <c r="Z41" s="50">
        <f t="shared" si="10"/>
        <v>15474009.22114181</v>
      </c>
      <c r="AA41" s="56">
        <f t="shared" si="11"/>
        <v>3.6013847875063519E-4</v>
      </c>
    </row>
    <row r="42" spans="1:27">
      <c r="A42" s="44" t="s">
        <v>36</v>
      </c>
      <c r="B42" s="49">
        <f>IF('Datos Mun'!B40="AMM",$B$5*'Datos Mun'!Z40,0)</f>
        <v>0</v>
      </c>
      <c r="C42" s="49">
        <f>IF('Datos Mun'!B40="AMM",$C$5*'Datos Mun'!AC40,0)</f>
        <v>0</v>
      </c>
      <c r="D42" s="49">
        <f>IF('Datos Mun'!B40="AMM",$D$5*'Datos Mun'!AD40,0)</f>
        <v>0</v>
      </c>
      <c r="E42" s="50">
        <f t="shared" si="1"/>
        <v>0</v>
      </c>
      <c r="F42" s="56">
        <f t="shared" si="2"/>
        <v>0</v>
      </c>
      <c r="G42" s="39"/>
      <c r="H42" s="44" t="s">
        <v>36</v>
      </c>
      <c r="I42" s="49">
        <f>IF('Datos Mun'!B40="AMM",0,$B$5*'Datos Mun'!Z40)</f>
        <v>75846.53131910511</v>
      </c>
      <c r="J42" s="49">
        <f>IF('Datos Mun'!B40="AMM",0,$J$5*'Datos Mun'!AC40)</f>
        <v>37140061.901113518</v>
      </c>
      <c r="K42" s="49">
        <f>IF('Datos Mun'!B40="AMM",0,$K$5*'Datos Mun'!AD40)</f>
        <v>81146960.245264649</v>
      </c>
      <c r="L42" s="50">
        <f t="shared" si="3"/>
        <v>118362868.67769727</v>
      </c>
      <c r="M42" s="56">
        <f t="shared" si="4"/>
        <v>1.7586522407919487E-2</v>
      </c>
      <c r="O42" s="44" t="s">
        <v>36</v>
      </c>
      <c r="P42" s="49">
        <f>IF('Datos Mun'!D40="Zona de Crec",'Datos Mun'!Z40*'Art 14 F I'!$P$5,0)</f>
        <v>0</v>
      </c>
      <c r="Q42" s="49">
        <f>IF('Datos Mun'!D40="Zona de Crec",$Q$5*'Datos Mun'!AC40,0)</f>
        <v>0</v>
      </c>
      <c r="R42" s="49">
        <f>IF('Datos Mun'!D40="Zona de Crec",$R$5*'Datos Mun'!AD40,0)</f>
        <v>0</v>
      </c>
      <c r="S42" s="50">
        <f t="shared" si="5"/>
        <v>0</v>
      </c>
      <c r="T42" s="56">
        <f t="shared" si="6"/>
        <v>0</v>
      </c>
      <c r="U42" s="39"/>
      <c r="V42" s="44" t="s">
        <v>36</v>
      </c>
      <c r="W42" s="49">
        <f t="shared" si="7"/>
        <v>75846.53131910511</v>
      </c>
      <c r="X42" s="49">
        <f t="shared" si="8"/>
        <v>37140061.901113518</v>
      </c>
      <c r="Y42" s="49">
        <f t="shared" si="9"/>
        <v>81146960.245264649</v>
      </c>
      <c r="Z42" s="50">
        <f t="shared" si="10"/>
        <v>118362868.67769727</v>
      </c>
      <c r="AA42" s="56">
        <f t="shared" si="11"/>
        <v>2.7547497779636006E-3</v>
      </c>
    </row>
    <row r="43" spans="1:27">
      <c r="A43" s="44" t="s">
        <v>37</v>
      </c>
      <c r="B43" s="49">
        <f>IF('Datos Mun'!B41="AMM",$B$5*'Datos Mun'!Z41,0)</f>
        <v>0</v>
      </c>
      <c r="C43" s="49">
        <f>IF('Datos Mun'!B41="AMM",$C$5*'Datos Mun'!AC41,0)</f>
        <v>0</v>
      </c>
      <c r="D43" s="49">
        <f>IF('Datos Mun'!B41="AMM",$D$5*'Datos Mun'!AD41,0)</f>
        <v>0</v>
      </c>
      <c r="E43" s="50">
        <f t="shared" si="1"/>
        <v>0</v>
      </c>
      <c r="F43" s="56">
        <f t="shared" si="2"/>
        <v>0</v>
      </c>
      <c r="G43" s="39"/>
      <c r="H43" s="44" t="s">
        <v>37</v>
      </c>
      <c r="I43" s="49">
        <f>IF('Datos Mun'!B41="AMM",0,$B$5*'Datos Mun'!Z41)</f>
        <v>3609358.7626619688</v>
      </c>
      <c r="J43" s="49">
        <f>IF('Datos Mun'!B41="AMM",0,$J$5*'Datos Mun'!AC41)</f>
        <v>106488450.46472771</v>
      </c>
      <c r="K43" s="49">
        <f>IF('Datos Mun'!B41="AMM",0,$K$5*'Datos Mun'!AD41)</f>
        <v>46056068.399944916</v>
      </c>
      <c r="L43" s="50">
        <f t="shared" si="3"/>
        <v>156153877.62733459</v>
      </c>
      <c r="M43" s="56">
        <f t="shared" si="4"/>
        <v>2.3201563958833781E-2</v>
      </c>
      <c r="O43" s="44" t="s">
        <v>37</v>
      </c>
      <c r="P43" s="49">
        <f>IF('Datos Mun'!D41="Zona de Crec",'Datos Mun'!Z41*'Art 14 F I'!$P$5,0)</f>
        <v>0</v>
      </c>
      <c r="Q43" s="49">
        <f>IF('Datos Mun'!D41="Zona de Crec",$Q$5*'Datos Mun'!AC41,0)</f>
        <v>0</v>
      </c>
      <c r="R43" s="49">
        <f>IF('Datos Mun'!D41="Zona de Crec",$R$5*'Datos Mun'!AD41,0)</f>
        <v>0</v>
      </c>
      <c r="S43" s="50">
        <f t="shared" si="5"/>
        <v>0</v>
      </c>
      <c r="T43" s="56">
        <f t="shared" si="6"/>
        <v>0</v>
      </c>
      <c r="U43" s="39"/>
      <c r="V43" s="44" t="s">
        <v>37</v>
      </c>
      <c r="W43" s="49">
        <f t="shared" si="7"/>
        <v>3609358.7626619688</v>
      </c>
      <c r="X43" s="49">
        <f t="shared" si="8"/>
        <v>106488450.46472771</v>
      </c>
      <c r="Y43" s="49">
        <f t="shared" si="9"/>
        <v>46056068.399944916</v>
      </c>
      <c r="Z43" s="50">
        <f t="shared" si="10"/>
        <v>156153877.62733459</v>
      </c>
      <c r="AA43" s="56">
        <f t="shared" si="11"/>
        <v>3.6342888992780026E-3</v>
      </c>
    </row>
    <row r="44" spans="1:27">
      <c r="A44" s="44" t="s">
        <v>38</v>
      </c>
      <c r="B44" s="49">
        <f>IF('Datos Mun'!B42="AMM",$B$5*'Datos Mun'!Z42,0)</f>
        <v>0</v>
      </c>
      <c r="C44" s="49">
        <f>IF('Datos Mun'!B42="AMM",$C$5*'Datos Mun'!AC42,0)</f>
        <v>0</v>
      </c>
      <c r="D44" s="49">
        <f>IF('Datos Mun'!B42="AMM",$D$5*'Datos Mun'!AD42,0)</f>
        <v>0</v>
      </c>
      <c r="E44" s="50">
        <f t="shared" si="1"/>
        <v>0</v>
      </c>
      <c r="F44" s="56">
        <f t="shared" si="2"/>
        <v>0</v>
      </c>
      <c r="G44" s="39"/>
      <c r="H44" s="44" t="s">
        <v>38</v>
      </c>
      <c r="I44" s="49">
        <f>IF('Datos Mun'!B42="AMM",0,$B$5*'Datos Mun'!Z42)</f>
        <v>68145989.081570864</v>
      </c>
      <c r="J44" s="49">
        <f>IF('Datos Mun'!B42="AMM",0,$J$5*'Datos Mun'!AC42)</f>
        <v>153370724.85031024</v>
      </c>
      <c r="K44" s="49">
        <f>IF('Datos Mun'!B42="AMM",0,$K$5*'Datos Mun'!AD42)</f>
        <v>117312918.81396794</v>
      </c>
      <c r="L44" s="50">
        <f t="shared" si="3"/>
        <v>338829632.74584901</v>
      </c>
      <c r="M44" s="56">
        <f t="shared" si="4"/>
        <v>5.034378598053367E-2</v>
      </c>
      <c r="O44" s="44" t="s">
        <v>38</v>
      </c>
      <c r="P44" s="49">
        <f>IF('Datos Mun'!D42="Zona de Crec",'Datos Mun'!Z42*'Art 14 F I'!$P$5,0)</f>
        <v>0</v>
      </c>
      <c r="Q44" s="49">
        <f>IF('Datos Mun'!D42="Zona de Crec",$Q$5*'Datos Mun'!AC42,0)</f>
        <v>0</v>
      </c>
      <c r="R44" s="49">
        <f>IF('Datos Mun'!D42="Zona de Crec",$R$5*'Datos Mun'!AD42,0)</f>
        <v>0</v>
      </c>
      <c r="S44" s="50">
        <f t="shared" si="5"/>
        <v>0</v>
      </c>
      <c r="T44" s="56">
        <f t="shared" si="6"/>
        <v>0</v>
      </c>
      <c r="U44" s="39"/>
      <c r="V44" s="44" t="s">
        <v>38</v>
      </c>
      <c r="W44" s="49">
        <f t="shared" si="7"/>
        <v>68145989.081570864</v>
      </c>
      <c r="X44" s="49">
        <f t="shared" si="8"/>
        <v>153370724.85031024</v>
      </c>
      <c r="Y44" s="49">
        <f t="shared" si="9"/>
        <v>117312918.81396794</v>
      </c>
      <c r="Z44" s="50">
        <f t="shared" si="10"/>
        <v>338829632.74584901</v>
      </c>
      <c r="AA44" s="56">
        <f t="shared" si="11"/>
        <v>7.8858417846879338E-3</v>
      </c>
    </row>
    <row r="45" spans="1:27">
      <c r="A45" s="44" t="s">
        <v>39</v>
      </c>
      <c r="B45" s="49">
        <f>IF('Datos Mun'!B43="AMM",$B$5*'Datos Mun'!Z43,0)</f>
        <v>8071806342.4544926</v>
      </c>
      <c r="C45" s="49">
        <f>IF('Datos Mun'!B43="AMM",$C$5*'Datos Mun'!AC43,0)</f>
        <v>1812305857.0112901</v>
      </c>
      <c r="D45" s="49">
        <f>IF('Datos Mun'!B43="AMM",$D$5*'Datos Mun'!AD43,0)</f>
        <v>1824891524.9874167</v>
      </c>
      <c r="E45" s="50">
        <f t="shared" si="1"/>
        <v>11709003724.453199</v>
      </c>
      <c r="F45" s="56">
        <f t="shared" si="2"/>
        <v>0.32312720880437656</v>
      </c>
      <c r="G45" s="39"/>
      <c r="H45" s="44" t="s">
        <v>39</v>
      </c>
      <c r="I45" s="49">
        <f>IF('Datos Mun'!B43="AMM",0,$B$5*'Datos Mun'!Z43)</f>
        <v>0</v>
      </c>
      <c r="J45" s="49">
        <f>IF('Datos Mun'!B43="AMM",0,$J$5*'Datos Mun'!AC43)</f>
        <v>0</v>
      </c>
      <c r="K45" s="49">
        <f>IF('Datos Mun'!B43="AMM",0,$K$5*'Datos Mun'!AD43)</f>
        <v>0</v>
      </c>
      <c r="L45" s="50">
        <f t="shared" si="3"/>
        <v>0</v>
      </c>
      <c r="M45" s="56">
        <f t="shared" si="4"/>
        <v>0</v>
      </c>
      <c r="O45" s="44" t="s">
        <v>39</v>
      </c>
      <c r="P45" s="49">
        <f>IF('Datos Mun'!D43="Zona de Crec",'Datos Mun'!Z43*'Art 14 F I'!$P$5,0)</f>
        <v>0</v>
      </c>
      <c r="Q45" s="49">
        <f>IF('Datos Mun'!D43="Zona de Crec",$Q$5*'Datos Mun'!AC43,0)</f>
        <v>0</v>
      </c>
      <c r="R45" s="49">
        <f>IF('Datos Mun'!D43="Zona de Crec",$R$5*'Datos Mun'!AD43,0)</f>
        <v>0</v>
      </c>
      <c r="S45" s="50">
        <f t="shared" si="5"/>
        <v>0</v>
      </c>
      <c r="T45" s="56">
        <f t="shared" si="6"/>
        <v>0</v>
      </c>
      <c r="U45" s="39"/>
      <c r="V45" s="44" t="s">
        <v>39</v>
      </c>
      <c r="W45" s="49">
        <f t="shared" si="7"/>
        <v>8071806342.4544926</v>
      </c>
      <c r="X45" s="49">
        <f t="shared" si="8"/>
        <v>1812305857.0112901</v>
      </c>
      <c r="Y45" s="49">
        <f t="shared" si="9"/>
        <v>1824891524.9874167</v>
      </c>
      <c r="Z45" s="50">
        <f t="shared" si="10"/>
        <v>11709003724.453199</v>
      </c>
      <c r="AA45" s="56">
        <f t="shared" si="11"/>
        <v>0.27251261962857609</v>
      </c>
    </row>
    <row r="46" spans="1:27">
      <c r="A46" s="44" t="s">
        <v>40</v>
      </c>
      <c r="B46" s="49">
        <f>IF('Datos Mun'!B44="AMM",$B$5*'Datos Mun'!Z44,0)</f>
        <v>0</v>
      </c>
      <c r="C46" s="49">
        <f>IF('Datos Mun'!B44="AMM",$C$5*'Datos Mun'!AC44,0)</f>
        <v>0</v>
      </c>
      <c r="D46" s="49">
        <f>IF('Datos Mun'!B44="AMM",$D$5*'Datos Mun'!AD44,0)</f>
        <v>0</v>
      </c>
      <c r="E46" s="50">
        <f t="shared" si="1"/>
        <v>0</v>
      </c>
      <c r="F46" s="56">
        <f t="shared" si="2"/>
        <v>0</v>
      </c>
      <c r="G46" s="39"/>
      <c r="H46" s="44" t="s">
        <v>40</v>
      </c>
      <c r="I46" s="49">
        <f>IF('Datos Mun'!B44="AMM",0,$B$5*'Datos Mun'!Z44)</f>
        <v>2030241.9208838614</v>
      </c>
      <c r="J46" s="49">
        <f>IF('Datos Mun'!B44="AMM",0,$J$5*'Datos Mun'!AC44)</f>
        <v>30844182.746332187</v>
      </c>
      <c r="K46" s="49">
        <f>IF('Datos Mun'!B44="AMM",0,$K$5*'Datos Mun'!AD44)</f>
        <v>45699197.78982836</v>
      </c>
      <c r="L46" s="50">
        <f t="shared" si="3"/>
        <v>78573622.457044408</v>
      </c>
      <c r="M46" s="56">
        <f t="shared" si="4"/>
        <v>1.1674579937522181E-2</v>
      </c>
      <c r="O46" s="44" t="s">
        <v>40</v>
      </c>
      <c r="P46" s="49">
        <f>IF('Datos Mun'!D44="Zona de Crec",'Datos Mun'!Z44*'Art 14 F I'!$P$5,0)</f>
        <v>0</v>
      </c>
      <c r="Q46" s="49">
        <f>IF('Datos Mun'!D44="Zona de Crec",$Q$5*'Datos Mun'!AC44,0)</f>
        <v>0</v>
      </c>
      <c r="R46" s="49">
        <f>IF('Datos Mun'!D44="Zona de Crec",$R$5*'Datos Mun'!AD44,0)</f>
        <v>0</v>
      </c>
      <c r="S46" s="50">
        <f t="shared" si="5"/>
        <v>0</v>
      </c>
      <c r="T46" s="56">
        <f t="shared" si="6"/>
        <v>0</v>
      </c>
      <c r="U46" s="39"/>
      <c r="V46" s="44" t="s">
        <v>40</v>
      </c>
      <c r="W46" s="49">
        <f t="shared" si="7"/>
        <v>2030241.9208838614</v>
      </c>
      <c r="X46" s="49">
        <f t="shared" si="8"/>
        <v>30844182.746332187</v>
      </c>
      <c r="Y46" s="49">
        <f t="shared" si="9"/>
        <v>45699197.78982836</v>
      </c>
      <c r="Z46" s="50">
        <f t="shared" si="10"/>
        <v>78573622.457044408</v>
      </c>
      <c r="AA46" s="56">
        <f t="shared" si="11"/>
        <v>1.8287041488216646E-3</v>
      </c>
    </row>
    <row r="47" spans="1:27">
      <c r="A47" s="44" t="s">
        <v>41</v>
      </c>
      <c r="B47" s="49">
        <f>IF('Datos Mun'!B45="AMM",$B$5*'Datos Mun'!Z45,0)</f>
        <v>0</v>
      </c>
      <c r="C47" s="49">
        <f>IF('Datos Mun'!B45="AMM",$C$5*'Datos Mun'!AC45,0)</f>
        <v>0</v>
      </c>
      <c r="D47" s="49">
        <f>IF('Datos Mun'!B45="AMM",$D$5*'Datos Mun'!AD45,0)</f>
        <v>0</v>
      </c>
      <c r="E47" s="50">
        <f t="shared" si="1"/>
        <v>0</v>
      </c>
      <c r="F47" s="56">
        <f t="shared" si="2"/>
        <v>0</v>
      </c>
      <c r="G47" s="39"/>
      <c r="H47" s="44" t="s">
        <v>41</v>
      </c>
      <c r="I47" s="49">
        <f>IF('Datos Mun'!B45="AMM",0,$B$5*'Datos Mun'!Z45)</f>
        <v>49190760.537456907</v>
      </c>
      <c r="J47" s="49">
        <f>IF('Datos Mun'!B45="AMM",0,$J$5*'Datos Mun'!AC45)</f>
        <v>241124043.09493265</v>
      </c>
      <c r="K47" s="49">
        <f>IF('Datos Mun'!B45="AMM",0,$K$5*'Datos Mun'!AD45)</f>
        <v>278630252.12170404</v>
      </c>
      <c r="L47" s="50">
        <f t="shared" si="3"/>
        <v>568945055.75409365</v>
      </c>
      <c r="M47" s="56">
        <f t="shared" si="4"/>
        <v>8.4534660942868156E-2</v>
      </c>
      <c r="O47" s="44" t="s">
        <v>41</v>
      </c>
      <c r="P47" s="49">
        <f>IF('Datos Mun'!D45="Zona de Crec",'Datos Mun'!Z45*'Art 14 F I'!$P$5,0)</f>
        <v>49190760.537456907</v>
      </c>
      <c r="Q47" s="49">
        <f>IF('Datos Mun'!D45="Zona de Crec",$Q$5*'Datos Mun'!AC45,0)</f>
        <v>241124043.09493265</v>
      </c>
      <c r="R47" s="49">
        <f>IF('Datos Mun'!D45="Zona de Crec",$R$5*'Datos Mun'!AD45,0)</f>
        <v>278630252.12170404</v>
      </c>
      <c r="S47" s="50">
        <f t="shared" si="5"/>
        <v>568945055.75409365</v>
      </c>
      <c r="T47" s="56">
        <f t="shared" si="6"/>
        <v>3.91216636541789E-2</v>
      </c>
      <c r="U47" s="39"/>
      <c r="V47" s="44" t="s">
        <v>41</v>
      </c>
      <c r="W47" s="49">
        <f t="shared" si="7"/>
        <v>49190760.537456907</v>
      </c>
      <c r="X47" s="49">
        <f t="shared" si="8"/>
        <v>241124043.09493265</v>
      </c>
      <c r="Y47" s="49">
        <f t="shared" si="9"/>
        <v>278630252.12170404</v>
      </c>
      <c r="Z47" s="50">
        <f t="shared" si="10"/>
        <v>568945055.75409365</v>
      </c>
      <c r="AA47" s="56">
        <f t="shared" si="11"/>
        <v>1.3241494427444536E-2</v>
      </c>
    </row>
    <row r="48" spans="1:27">
      <c r="A48" s="44" t="s">
        <v>42</v>
      </c>
      <c r="B48" s="49">
        <f>IF('Datos Mun'!B46="AMM",$B$5*'Datos Mun'!Z46,0)</f>
        <v>0</v>
      </c>
      <c r="C48" s="49">
        <f>IF('Datos Mun'!B46="AMM",$C$5*'Datos Mun'!AC46,0)</f>
        <v>0</v>
      </c>
      <c r="D48" s="49">
        <f>IF('Datos Mun'!B46="AMM",$D$5*'Datos Mun'!AD46,0)</f>
        <v>0</v>
      </c>
      <c r="E48" s="50">
        <f t="shared" si="1"/>
        <v>0</v>
      </c>
      <c r="F48" s="56">
        <f t="shared" si="2"/>
        <v>0</v>
      </c>
      <c r="G48" s="39"/>
      <c r="H48" s="44" t="s">
        <v>42</v>
      </c>
      <c r="I48" s="49">
        <f>IF('Datos Mun'!B46="AMM",0,$B$5*'Datos Mun'!Z46)</f>
        <v>2198664.0069269207</v>
      </c>
      <c r="J48" s="49">
        <f>IF('Datos Mun'!B46="AMM",0,$J$5*'Datos Mun'!AC46)</f>
        <v>42184816.232576482</v>
      </c>
      <c r="K48" s="49">
        <f>IF('Datos Mun'!B46="AMM",0,$K$5*'Datos Mun'!AD46)</f>
        <v>42658061.232222192</v>
      </c>
      <c r="L48" s="50">
        <f t="shared" si="3"/>
        <v>87041541.471725598</v>
      </c>
      <c r="M48" s="56">
        <f t="shared" si="4"/>
        <v>1.2932755319412017E-2</v>
      </c>
      <c r="O48" s="44" t="s">
        <v>42</v>
      </c>
      <c r="P48" s="49">
        <f>IF('Datos Mun'!D46="Zona de Crec",'Datos Mun'!Z46*'Art 14 F I'!$P$5,0)</f>
        <v>0</v>
      </c>
      <c r="Q48" s="49">
        <f>IF('Datos Mun'!D46="Zona de Crec",$Q$5*'Datos Mun'!AC46,0)</f>
        <v>0</v>
      </c>
      <c r="R48" s="49">
        <f>IF('Datos Mun'!D46="Zona de Crec",$R$5*'Datos Mun'!AD46,0)</f>
        <v>0</v>
      </c>
      <c r="S48" s="50">
        <f t="shared" si="5"/>
        <v>0</v>
      </c>
      <c r="T48" s="56">
        <f t="shared" si="6"/>
        <v>0</v>
      </c>
      <c r="U48" s="39"/>
      <c r="V48" s="44" t="s">
        <v>42</v>
      </c>
      <c r="W48" s="49">
        <f t="shared" si="7"/>
        <v>2198664.0069269207</v>
      </c>
      <c r="X48" s="49">
        <f t="shared" si="8"/>
        <v>42184816.232576482</v>
      </c>
      <c r="Y48" s="49">
        <f t="shared" si="9"/>
        <v>42658061.232222192</v>
      </c>
      <c r="Z48" s="50">
        <f t="shared" si="10"/>
        <v>87041541.471725598</v>
      </c>
      <c r="AA48" s="56">
        <f t="shared" si="11"/>
        <v>2.0257845194320313E-3</v>
      </c>
    </row>
    <row r="49" spans="1:27">
      <c r="A49" s="44" t="s">
        <v>43</v>
      </c>
      <c r="B49" s="49">
        <f>IF('Datos Mun'!B47="AMM",$B$5*'Datos Mun'!Z47,0)</f>
        <v>0</v>
      </c>
      <c r="C49" s="49">
        <f>IF('Datos Mun'!B47="AMM",$C$5*'Datos Mun'!AC47,0)</f>
        <v>0</v>
      </c>
      <c r="D49" s="49">
        <f>IF('Datos Mun'!B47="AMM",$D$5*'Datos Mun'!AD47,0)</f>
        <v>0</v>
      </c>
      <c r="E49" s="50">
        <f t="shared" si="1"/>
        <v>0</v>
      </c>
      <c r="F49" s="56">
        <f t="shared" si="2"/>
        <v>0</v>
      </c>
      <c r="G49" s="39"/>
      <c r="H49" s="44" t="s">
        <v>43</v>
      </c>
      <c r="I49" s="49">
        <f>IF('Datos Mun'!B47="AMM",0,$B$5*'Datos Mun'!Z47)</f>
        <v>710216.73528841871</v>
      </c>
      <c r="J49" s="49">
        <f>IF('Datos Mun'!B47="AMM",0,$J$5*'Datos Mun'!AC47)</f>
        <v>20907693.039205704</v>
      </c>
      <c r="K49" s="49">
        <f>IF('Datos Mun'!B47="AMM",0,$K$5*'Datos Mun'!AD47)</f>
        <v>58453872.688932694</v>
      </c>
      <c r="L49" s="50">
        <f t="shared" si="3"/>
        <v>80071782.463426813</v>
      </c>
      <c r="M49" s="56">
        <f t="shared" si="4"/>
        <v>1.1897178669854677E-2</v>
      </c>
      <c r="O49" s="44" t="s">
        <v>43</v>
      </c>
      <c r="P49" s="49">
        <f>IF('Datos Mun'!D47="Zona de Crec",'Datos Mun'!Z47*'Art 14 F I'!$P$5,0)</f>
        <v>0</v>
      </c>
      <c r="Q49" s="49">
        <f>IF('Datos Mun'!D47="Zona de Crec",$Q$5*'Datos Mun'!AC47,0)</f>
        <v>0</v>
      </c>
      <c r="R49" s="49">
        <f>IF('Datos Mun'!D47="Zona de Crec",$R$5*'Datos Mun'!AD47,0)</f>
        <v>0</v>
      </c>
      <c r="S49" s="50">
        <f t="shared" si="5"/>
        <v>0</v>
      </c>
      <c r="T49" s="56">
        <f t="shared" si="6"/>
        <v>0</v>
      </c>
      <c r="U49" s="39"/>
      <c r="V49" s="44" t="s">
        <v>43</v>
      </c>
      <c r="W49" s="49">
        <f t="shared" si="7"/>
        <v>710216.73528841871</v>
      </c>
      <c r="X49" s="49">
        <f t="shared" si="8"/>
        <v>20907693.039205704</v>
      </c>
      <c r="Y49" s="49">
        <f t="shared" si="9"/>
        <v>58453872.688932694</v>
      </c>
      <c r="Z49" s="50">
        <f t="shared" si="10"/>
        <v>80071782.463426813</v>
      </c>
      <c r="AA49" s="56">
        <f t="shared" si="11"/>
        <v>1.8635719751175434E-3</v>
      </c>
    </row>
    <row r="50" spans="1:27">
      <c r="A50" s="44" t="s">
        <v>44</v>
      </c>
      <c r="B50" s="49">
        <f>IF('Datos Mun'!B48="AMM",$B$5*'Datos Mun'!Z48,0)</f>
        <v>0</v>
      </c>
      <c r="C50" s="49">
        <f>IF('Datos Mun'!B48="AMM",$C$5*'Datos Mun'!AC48,0)</f>
        <v>0</v>
      </c>
      <c r="D50" s="49">
        <f>IF('Datos Mun'!B48="AMM",$D$5*'Datos Mun'!AD48,0)</f>
        <v>0</v>
      </c>
      <c r="E50" s="50">
        <f t="shared" si="1"/>
        <v>0</v>
      </c>
      <c r="F50" s="56">
        <f t="shared" si="2"/>
        <v>0</v>
      </c>
      <c r="G50" s="39"/>
      <c r="H50" s="44" t="s">
        <v>44</v>
      </c>
      <c r="I50" s="49">
        <f>IF('Datos Mun'!B48="AMM",0,$B$5*'Datos Mun'!Z48)</f>
        <v>43904076.948331319</v>
      </c>
      <c r="J50" s="49">
        <f>IF('Datos Mun'!B48="AMM",0,$J$5*'Datos Mun'!AC48)</f>
        <v>93500424.006257176</v>
      </c>
      <c r="K50" s="49">
        <f>IF('Datos Mun'!B48="AMM",0,$K$5*'Datos Mun'!AD48)</f>
        <v>82183886.537994474</v>
      </c>
      <c r="L50" s="50">
        <f t="shared" si="3"/>
        <v>219588387.49258298</v>
      </c>
      <c r="M50" s="56">
        <f t="shared" si="4"/>
        <v>3.2626753138882678E-2</v>
      </c>
      <c r="O50" s="44" t="s">
        <v>44</v>
      </c>
      <c r="P50" s="49">
        <f>IF('Datos Mun'!D48="Zona de Crec",'Datos Mun'!Z48*'Art 14 F I'!$P$5,0)</f>
        <v>0</v>
      </c>
      <c r="Q50" s="49">
        <f>IF('Datos Mun'!D48="Zona de Crec",$Q$5*'Datos Mun'!AC48,0)</f>
        <v>0</v>
      </c>
      <c r="R50" s="49">
        <f>IF('Datos Mun'!D48="Zona de Crec",$R$5*'Datos Mun'!AD48,0)</f>
        <v>0</v>
      </c>
      <c r="S50" s="50">
        <f t="shared" si="5"/>
        <v>0</v>
      </c>
      <c r="T50" s="56">
        <f t="shared" si="6"/>
        <v>0</v>
      </c>
      <c r="U50" s="39"/>
      <c r="V50" s="44" t="s">
        <v>44</v>
      </c>
      <c r="W50" s="49">
        <f t="shared" si="7"/>
        <v>43904076.948331319</v>
      </c>
      <c r="X50" s="49">
        <f t="shared" si="8"/>
        <v>93500424.006257176</v>
      </c>
      <c r="Y50" s="49">
        <f t="shared" si="9"/>
        <v>82183886.537994474</v>
      </c>
      <c r="Z50" s="50">
        <f t="shared" si="10"/>
        <v>219588387.49258298</v>
      </c>
      <c r="AA50" s="56">
        <f t="shared" si="11"/>
        <v>5.1106488753306081E-3</v>
      </c>
    </row>
    <row r="51" spans="1:27">
      <c r="A51" s="44" t="s">
        <v>45</v>
      </c>
      <c r="B51" s="49">
        <f>IF('Datos Mun'!B49="AMM",$B$5*'Datos Mun'!Z49,0)</f>
        <v>41018503.939088114</v>
      </c>
      <c r="C51" s="49">
        <f>IF('Datos Mun'!B49="AMM",$C$5*'Datos Mun'!AC49,0)</f>
        <v>178831704.09528551</v>
      </c>
      <c r="D51" s="49">
        <f>IF('Datos Mun'!B49="AMM",$D$5*'Datos Mun'!AD49,0)</f>
        <v>205852482.45481029</v>
      </c>
      <c r="E51" s="50">
        <f t="shared" si="1"/>
        <v>425702690.4891839</v>
      </c>
      <c r="F51" s="56">
        <f t="shared" si="2"/>
        <v>1.1747892937382012E-2</v>
      </c>
      <c r="G51" s="39"/>
      <c r="H51" s="44" t="s">
        <v>45</v>
      </c>
      <c r="I51" s="49">
        <f>IF('Datos Mun'!B49="AMM",0,$B$5*'Datos Mun'!Z49)</f>
        <v>0</v>
      </c>
      <c r="J51" s="49">
        <f>IF('Datos Mun'!B49="AMM",0,$J$5*'Datos Mun'!AC49)</f>
        <v>0</v>
      </c>
      <c r="K51" s="49">
        <f>IF('Datos Mun'!B49="AMM",0,$K$5*'Datos Mun'!AD49)</f>
        <v>0</v>
      </c>
      <c r="L51" s="50">
        <f t="shared" si="3"/>
        <v>0</v>
      </c>
      <c r="M51" s="56">
        <f t="shared" si="4"/>
        <v>0</v>
      </c>
      <c r="O51" s="44" t="s">
        <v>45</v>
      </c>
      <c r="P51" s="49">
        <f>IF('Datos Mun'!D49="Zona de Crec",'Datos Mun'!Z49*'Art 14 F I'!$P$5,0)</f>
        <v>41018503.939088114</v>
      </c>
      <c r="Q51" s="49">
        <f>IF('Datos Mun'!D49="Zona de Crec",$Q$5*'Datos Mun'!AC49,0)</f>
        <v>178831704.09528551</v>
      </c>
      <c r="R51" s="49">
        <f>IF('Datos Mun'!D49="Zona de Crec",$R$5*'Datos Mun'!AD49,0)</f>
        <v>205852482.45481029</v>
      </c>
      <c r="S51" s="50">
        <f t="shared" si="5"/>
        <v>425702690.4891839</v>
      </c>
      <c r="T51" s="56">
        <f t="shared" si="6"/>
        <v>2.9272066442203273E-2</v>
      </c>
      <c r="U51" s="39"/>
      <c r="V51" s="44" t="s">
        <v>45</v>
      </c>
      <c r="W51" s="49">
        <f t="shared" si="7"/>
        <v>41018503.939088114</v>
      </c>
      <c r="X51" s="49">
        <f t="shared" si="8"/>
        <v>178831704.09528551</v>
      </c>
      <c r="Y51" s="49">
        <f t="shared" si="9"/>
        <v>205852482.45481029</v>
      </c>
      <c r="Z51" s="50">
        <f t="shared" si="10"/>
        <v>425702690.4891839</v>
      </c>
      <c r="AA51" s="56">
        <f t="shared" si="11"/>
        <v>9.9077050531519908E-3</v>
      </c>
    </row>
    <row r="52" spans="1:27">
      <c r="A52" s="44" t="s">
        <v>46</v>
      </c>
      <c r="B52" s="49">
        <f>IF('Datos Mun'!B50="AMM",$B$5*'Datos Mun'!Z50,0)</f>
        <v>1975669983.1784995</v>
      </c>
      <c r="C52" s="49">
        <f>IF('Datos Mun'!B50="AMM",$C$5*'Datos Mun'!AC50,0)</f>
        <v>652144832.8711406</v>
      </c>
      <c r="D52" s="49">
        <f>IF('Datos Mun'!B50="AMM",$D$5*'Datos Mun'!AD50,0)</f>
        <v>336489457.12430531</v>
      </c>
      <c r="E52" s="50">
        <f t="shared" si="1"/>
        <v>2964304273.1739454</v>
      </c>
      <c r="F52" s="56">
        <f t="shared" si="2"/>
        <v>8.1804343766430379E-2</v>
      </c>
      <c r="G52" s="39"/>
      <c r="H52" s="44" t="s">
        <v>46</v>
      </c>
      <c r="I52" s="49">
        <f>IF('Datos Mun'!B50="AMM",0,$B$5*'Datos Mun'!Z50)</f>
        <v>0</v>
      </c>
      <c r="J52" s="49">
        <f>IF('Datos Mun'!B50="AMM",0,$J$5*'Datos Mun'!AC50)</f>
        <v>0</v>
      </c>
      <c r="K52" s="49">
        <f>IF('Datos Mun'!B50="AMM",0,$K$5*'Datos Mun'!AD50)</f>
        <v>0</v>
      </c>
      <c r="L52" s="50">
        <f t="shared" si="3"/>
        <v>0</v>
      </c>
      <c r="M52" s="56">
        <f t="shared" si="4"/>
        <v>0</v>
      </c>
      <c r="O52" s="44" t="s">
        <v>46</v>
      </c>
      <c r="P52" s="49">
        <f>IF('Datos Mun'!D50="Zona de Crec",'Datos Mun'!Z50*'Art 14 F I'!$P$5,0)</f>
        <v>0</v>
      </c>
      <c r="Q52" s="49">
        <f>IF('Datos Mun'!D50="Zona de Crec",$Q$5*'Datos Mun'!AC50,0)</f>
        <v>0</v>
      </c>
      <c r="R52" s="49">
        <f>IF('Datos Mun'!D50="Zona de Crec",$R$5*'Datos Mun'!AD50,0)</f>
        <v>0</v>
      </c>
      <c r="S52" s="50">
        <f t="shared" si="5"/>
        <v>0</v>
      </c>
      <c r="T52" s="56">
        <f t="shared" si="6"/>
        <v>0</v>
      </c>
      <c r="U52" s="39"/>
      <c r="V52" s="44" t="s">
        <v>46</v>
      </c>
      <c r="W52" s="49">
        <f t="shared" si="7"/>
        <v>1975669983.1784995</v>
      </c>
      <c r="X52" s="49">
        <f t="shared" si="8"/>
        <v>652144832.8711406</v>
      </c>
      <c r="Y52" s="49">
        <f t="shared" si="9"/>
        <v>336489457.12430531</v>
      </c>
      <c r="Z52" s="50">
        <f t="shared" si="10"/>
        <v>2964304273.1739454</v>
      </c>
      <c r="AA52" s="56">
        <f t="shared" si="11"/>
        <v>6.8990525741466371E-2</v>
      </c>
    </row>
    <row r="53" spans="1:27">
      <c r="A53" s="44" t="s">
        <v>47</v>
      </c>
      <c r="B53" s="49">
        <f>IF('Datos Mun'!B51="AMM",$B$5*'Datos Mun'!Z51,0)</f>
        <v>5429123630.689785</v>
      </c>
      <c r="C53" s="49">
        <f>IF('Datos Mun'!B51="AMM",$C$5*'Datos Mun'!AC51,0)</f>
        <v>210400245.58032507</v>
      </c>
      <c r="D53" s="49">
        <f>IF('Datos Mun'!B51="AMM",$D$5*'Datos Mun'!AD51,0)</f>
        <v>69798221.091431469</v>
      </c>
      <c r="E53" s="50">
        <f t="shared" si="1"/>
        <v>5709322097.3615417</v>
      </c>
      <c r="F53" s="56">
        <f t="shared" si="2"/>
        <v>0.1575571548954936</v>
      </c>
      <c r="G53" s="39"/>
      <c r="H53" s="44" t="s">
        <v>47</v>
      </c>
      <c r="I53" s="49">
        <f>IF('Datos Mun'!B51="AMM",0,$B$5*'Datos Mun'!Z51)</f>
        <v>0</v>
      </c>
      <c r="J53" s="49">
        <f>IF('Datos Mun'!B51="AMM",0,$J$5*'Datos Mun'!AC51)</f>
        <v>0</v>
      </c>
      <c r="K53" s="49">
        <f>IF('Datos Mun'!B51="AMM",0,$K$5*'Datos Mun'!AD51)</f>
        <v>0</v>
      </c>
      <c r="L53" s="50">
        <f t="shared" si="3"/>
        <v>0</v>
      </c>
      <c r="M53" s="56">
        <f t="shared" si="4"/>
        <v>0</v>
      </c>
      <c r="O53" s="44" t="s">
        <v>47</v>
      </c>
      <c r="P53" s="49">
        <f>IF('Datos Mun'!D51="Zona de Crec",'Datos Mun'!Z51*'Art 14 F I'!$P$5,0)</f>
        <v>0</v>
      </c>
      <c r="Q53" s="49">
        <f>IF('Datos Mun'!D51="Zona de Crec",$Q$5*'Datos Mun'!AC51,0)</f>
        <v>0</v>
      </c>
      <c r="R53" s="49">
        <f>IF('Datos Mun'!D51="Zona de Crec",$R$5*'Datos Mun'!AD51,0)</f>
        <v>0</v>
      </c>
      <c r="S53" s="50">
        <f t="shared" si="5"/>
        <v>0</v>
      </c>
      <c r="T53" s="56">
        <f t="shared" si="6"/>
        <v>0</v>
      </c>
      <c r="U53" s="39"/>
      <c r="V53" s="44" t="s">
        <v>47</v>
      </c>
      <c r="W53" s="49">
        <f t="shared" si="7"/>
        <v>5429123630.689785</v>
      </c>
      <c r="X53" s="49">
        <f t="shared" si="8"/>
        <v>210400245.58032507</v>
      </c>
      <c r="Y53" s="49">
        <f t="shared" si="9"/>
        <v>69798221.091431469</v>
      </c>
      <c r="Z53" s="50">
        <f t="shared" si="10"/>
        <v>5709322097.3615417</v>
      </c>
      <c r="AA53" s="56">
        <f t="shared" si="11"/>
        <v>0.13287742985391932</v>
      </c>
    </row>
    <row r="54" spans="1:27">
      <c r="A54" s="44" t="s">
        <v>48</v>
      </c>
      <c r="B54" s="49">
        <f>IF('Datos Mun'!B52="AMM",$B$5*'Datos Mun'!Z52,0)</f>
        <v>617484361.1139394</v>
      </c>
      <c r="C54" s="49">
        <f>IF('Datos Mun'!B52="AMM",$C$5*'Datos Mun'!AC52,0)</f>
        <v>506513778.87041491</v>
      </c>
      <c r="D54" s="49">
        <f>IF('Datos Mun'!B52="AMM",$D$5*'Datos Mun'!AD52,0)</f>
        <v>403189172.33995295</v>
      </c>
      <c r="E54" s="50">
        <f t="shared" si="1"/>
        <v>1527187312.3243072</v>
      </c>
      <c r="F54" s="56">
        <f t="shared" si="2"/>
        <v>4.2144983908599443E-2</v>
      </c>
      <c r="G54" s="39"/>
      <c r="H54" s="44" t="s">
        <v>48</v>
      </c>
      <c r="I54" s="49">
        <f>IF('Datos Mun'!B52="AMM",0,$B$5*'Datos Mun'!Z52)</f>
        <v>0</v>
      </c>
      <c r="J54" s="49">
        <f>IF('Datos Mun'!B52="AMM",0,$J$5*'Datos Mun'!AC52)</f>
        <v>0</v>
      </c>
      <c r="K54" s="49">
        <f>IF('Datos Mun'!B52="AMM",0,$K$5*'Datos Mun'!AD52)</f>
        <v>0</v>
      </c>
      <c r="L54" s="50">
        <f t="shared" si="3"/>
        <v>0</v>
      </c>
      <c r="M54" s="56">
        <f t="shared" si="4"/>
        <v>0</v>
      </c>
      <c r="O54" s="44" t="s">
        <v>48</v>
      </c>
      <c r="P54" s="49">
        <f>IF('Datos Mun'!D52="Zona de Crec",'Datos Mun'!Z52*'Art 14 F I'!$P$5,0)</f>
        <v>617484361.1139394</v>
      </c>
      <c r="Q54" s="49">
        <f>IF('Datos Mun'!D52="Zona de Crec",$Q$5*'Datos Mun'!AC52,0)</f>
        <v>506513778.87041491</v>
      </c>
      <c r="R54" s="49">
        <f>IF('Datos Mun'!D52="Zona de Crec",$R$5*'Datos Mun'!AD52,0)</f>
        <v>403189172.33995295</v>
      </c>
      <c r="S54" s="50">
        <f t="shared" si="5"/>
        <v>1527187312.3243072</v>
      </c>
      <c r="T54" s="56">
        <f t="shared" si="6"/>
        <v>0.1050120881892401</v>
      </c>
      <c r="U54" s="39"/>
      <c r="V54" s="44" t="s">
        <v>48</v>
      </c>
      <c r="W54" s="49">
        <f t="shared" si="7"/>
        <v>617484361.1139394</v>
      </c>
      <c r="X54" s="49">
        <f t="shared" si="8"/>
        <v>506513778.87041491</v>
      </c>
      <c r="Y54" s="49">
        <f t="shared" si="9"/>
        <v>403189172.33995295</v>
      </c>
      <c r="Z54" s="50">
        <f t="shared" si="10"/>
        <v>1527187312.3243072</v>
      </c>
      <c r="AA54" s="56">
        <f t="shared" si="11"/>
        <v>3.5543401038968969E-2</v>
      </c>
    </row>
    <row r="55" spans="1:27">
      <c r="A55" s="44" t="s">
        <v>49</v>
      </c>
      <c r="B55" s="49">
        <f>IF('Datos Mun'!B53="AMM",$B$5*'Datos Mun'!Z53,0)</f>
        <v>559929197.38902617</v>
      </c>
      <c r="C55" s="49">
        <f>IF('Datos Mun'!B53="AMM",$C$5*'Datos Mun'!AC53,0)</f>
        <v>92410839.363900736</v>
      </c>
      <c r="D55" s="49">
        <f>IF('Datos Mun'!B53="AMM",$D$5*'Datos Mun'!AD53,0)</f>
        <v>79049040.254684269</v>
      </c>
      <c r="E55" s="50">
        <f t="shared" si="1"/>
        <v>731389077.00761127</v>
      </c>
      <c r="F55" s="56">
        <f t="shared" si="2"/>
        <v>2.0183759145103113E-2</v>
      </c>
      <c r="G55" s="39"/>
      <c r="H55" s="44" t="s">
        <v>49</v>
      </c>
      <c r="I55" s="49">
        <f>IF('Datos Mun'!B53="AMM",0,$B$5*'Datos Mun'!Z53)</f>
        <v>0</v>
      </c>
      <c r="J55" s="49">
        <f>IF('Datos Mun'!B53="AMM",0,$J$5*'Datos Mun'!AC53)</f>
        <v>0</v>
      </c>
      <c r="K55" s="49">
        <f>IF('Datos Mun'!B53="AMM",0,$K$5*'Datos Mun'!AD53)</f>
        <v>0</v>
      </c>
      <c r="L55" s="50">
        <f t="shared" si="3"/>
        <v>0</v>
      </c>
      <c r="M55" s="56">
        <f t="shared" si="4"/>
        <v>0</v>
      </c>
      <c r="O55" s="44" t="s">
        <v>49</v>
      </c>
      <c r="P55" s="49">
        <f>IF('Datos Mun'!D53="Zona de Crec",'Datos Mun'!Z53*'Art 14 F I'!$P$5,0)</f>
        <v>559929197.38902617</v>
      </c>
      <c r="Q55" s="49">
        <f>IF('Datos Mun'!D53="Zona de Crec",$Q$5*'Datos Mun'!AC53,0)</f>
        <v>92410839.363900736</v>
      </c>
      <c r="R55" s="49">
        <f>IF('Datos Mun'!D53="Zona de Crec",$R$5*'Datos Mun'!AD53,0)</f>
        <v>79049040.254684269</v>
      </c>
      <c r="S55" s="50">
        <f t="shared" si="5"/>
        <v>731389077.00761127</v>
      </c>
      <c r="T55" s="56">
        <f t="shared" si="6"/>
        <v>5.0291600536202109E-2</v>
      </c>
      <c r="U55" s="39"/>
      <c r="V55" s="44" t="s">
        <v>49</v>
      </c>
      <c r="W55" s="49">
        <f t="shared" si="7"/>
        <v>559929197.38902617</v>
      </c>
      <c r="X55" s="49">
        <f t="shared" si="8"/>
        <v>92410839.363900736</v>
      </c>
      <c r="Y55" s="49">
        <f t="shared" si="9"/>
        <v>79049040.254684269</v>
      </c>
      <c r="Z55" s="50">
        <f t="shared" si="10"/>
        <v>731389077.00761127</v>
      </c>
      <c r="AA55" s="56">
        <f t="shared" si="11"/>
        <v>1.7022178661265926E-2</v>
      </c>
    </row>
    <row r="56" spans="1:27">
      <c r="A56" s="44" t="s">
        <v>50</v>
      </c>
      <c r="B56" s="49">
        <f>IF('Datos Mun'!B54="AMM",$B$5*'Datos Mun'!Z54,0)</f>
        <v>0</v>
      </c>
      <c r="C56" s="49">
        <f>IF('Datos Mun'!B54="AMM",$C$5*'Datos Mun'!AC54,0)</f>
        <v>0</v>
      </c>
      <c r="D56" s="49">
        <f>IF('Datos Mun'!B54="AMM",$D$5*'Datos Mun'!AD54,0)</f>
        <v>0</v>
      </c>
      <c r="E56" s="50">
        <f t="shared" si="1"/>
        <v>0</v>
      </c>
      <c r="F56" s="56">
        <f t="shared" si="2"/>
        <v>0</v>
      </c>
      <c r="G56" s="39"/>
      <c r="H56" s="44" t="s">
        <v>50</v>
      </c>
      <c r="I56" s="49">
        <f>IF('Datos Mun'!B54="AMM",0,$B$5*'Datos Mun'!Z54)</f>
        <v>6328765.3758002091</v>
      </c>
      <c r="J56" s="49">
        <f>IF('Datos Mun'!B54="AMM",0,$J$5*'Datos Mun'!AC54)</f>
        <v>46774342.424281605</v>
      </c>
      <c r="K56" s="49">
        <f>IF('Datos Mun'!B54="AMM",0,$K$5*'Datos Mun'!AD54)</f>
        <v>70721426.822184712</v>
      </c>
      <c r="L56" s="50">
        <f t="shared" si="3"/>
        <v>123824534.62226653</v>
      </c>
      <c r="M56" s="56">
        <f t="shared" si="4"/>
        <v>1.8398024457437118E-2</v>
      </c>
      <c r="O56" s="44" t="s">
        <v>50</v>
      </c>
      <c r="P56" s="49">
        <f>IF('Datos Mun'!D54="Zona de Crec",'Datos Mun'!Z54*'Art 14 F I'!$P$5,0)</f>
        <v>0</v>
      </c>
      <c r="Q56" s="49">
        <f>IF('Datos Mun'!D54="Zona de Crec",$Q$5*'Datos Mun'!AC54,0)</f>
        <v>0</v>
      </c>
      <c r="R56" s="49">
        <f>IF('Datos Mun'!D54="Zona de Crec",$R$5*'Datos Mun'!AD54,0)</f>
        <v>0</v>
      </c>
      <c r="S56" s="50">
        <f t="shared" si="5"/>
        <v>0</v>
      </c>
      <c r="T56" s="56">
        <f t="shared" si="6"/>
        <v>0</v>
      </c>
      <c r="U56" s="39"/>
      <c r="V56" s="44" t="s">
        <v>50</v>
      </c>
      <c r="W56" s="49">
        <f t="shared" si="7"/>
        <v>6328765.3758002091</v>
      </c>
      <c r="X56" s="49">
        <f t="shared" si="8"/>
        <v>46774342.424281605</v>
      </c>
      <c r="Y56" s="49">
        <f t="shared" si="9"/>
        <v>70721426.822184712</v>
      </c>
      <c r="Z56" s="50">
        <f t="shared" si="10"/>
        <v>123824534.62226653</v>
      </c>
      <c r="AA56" s="56">
        <f t="shared" si="11"/>
        <v>2.8818633163240348E-3</v>
      </c>
    </row>
    <row r="57" spans="1:27">
      <c r="A57" s="44" t="s">
        <v>51</v>
      </c>
      <c r="B57" s="49">
        <f>IF('Datos Mun'!B55="AMM",$B$5*'Datos Mun'!Z55,0)</f>
        <v>0</v>
      </c>
      <c r="C57" s="49">
        <f>IF('Datos Mun'!B55="AMM",$C$5*'Datos Mun'!AC55,0)</f>
        <v>0</v>
      </c>
      <c r="D57" s="49">
        <f>IF('Datos Mun'!B55="AMM",$D$5*'Datos Mun'!AD55,0)</f>
        <v>0</v>
      </c>
      <c r="E57" s="50">
        <f t="shared" si="1"/>
        <v>0</v>
      </c>
      <c r="F57" s="56">
        <f t="shared" si="2"/>
        <v>0</v>
      </c>
      <c r="G57" s="39"/>
      <c r="H57" s="44" t="s">
        <v>51</v>
      </c>
      <c r="I57" s="49">
        <f>IF('Datos Mun'!B55="AMM",0,$B$5*'Datos Mun'!Z55)</f>
        <v>2079187.656592557</v>
      </c>
      <c r="J57" s="49">
        <f>IF('Datos Mun'!B55="AMM",0,$J$5*'Datos Mun'!AC55)</f>
        <v>27722984.764615469</v>
      </c>
      <c r="K57" s="49">
        <f>IF('Datos Mun'!B55="AMM",0,$K$5*'Datos Mun'!AD55)</f>
        <v>73923058.695283398</v>
      </c>
      <c r="L57" s="50">
        <f t="shared" si="3"/>
        <v>103725231.11649142</v>
      </c>
      <c r="M57" s="56">
        <f t="shared" si="4"/>
        <v>1.5411641519639221E-2</v>
      </c>
      <c r="O57" s="44" t="s">
        <v>51</v>
      </c>
      <c r="P57" s="49">
        <f>IF('Datos Mun'!D55="Zona de Crec",'Datos Mun'!Z55*'Art 14 F I'!$P$5,0)</f>
        <v>0</v>
      </c>
      <c r="Q57" s="49">
        <f>IF('Datos Mun'!D55="Zona de Crec",$Q$5*'Datos Mun'!AC55,0)</f>
        <v>0</v>
      </c>
      <c r="R57" s="49">
        <f>IF('Datos Mun'!D55="Zona de Crec",$R$5*'Datos Mun'!AD55,0)</f>
        <v>0</v>
      </c>
      <c r="S57" s="50">
        <f t="shared" si="5"/>
        <v>0</v>
      </c>
      <c r="T57" s="56">
        <f t="shared" si="6"/>
        <v>0</v>
      </c>
      <c r="U57" s="39"/>
      <c r="V57" s="44" t="s">
        <v>51</v>
      </c>
      <c r="W57" s="49">
        <f t="shared" si="7"/>
        <v>2079187.656592557</v>
      </c>
      <c r="X57" s="49">
        <f t="shared" si="8"/>
        <v>27722984.764615469</v>
      </c>
      <c r="Y57" s="49">
        <f t="shared" si="9"/>
        <v>73923058.695283398</v>
      </c>
      <c r="Z57" s="50">
        <f t="shared" si="10"/>
        <v>103725231.11649142</v>
      </c>
      <c r="AA57" s="56">
        <f t="shared" si="11"/>
        <v>2.4140768180048208E-3</v>
      </c>
    </row>
    <row r="58" spans="1:27" ht="13.5" thickBot="1">
      <c r="A58" s="45" t="s">
        <v>52</v>
      </c>
      <c r="B58" s="51">
        <f>SUM(B7:B57)</f>
        <v>20910711000.2071</v>
      </c>
      <c r="C58" s="51">
        <f>SUM(C7:C57)</f>
        <v>7901022165.9313126</v>
      </c>
      <c r="D58" s="51">
        <f>SUM(D7:D57)</f>
        <v>7424781139.7240448</v>
      </c>
      <c r="E58" s="52">
        <f>SUM(E7:E57)</f>
        <v>36236514305.862465</v>
      </c>
      <c r="F58" s="59">
        <f>SUM(F7:F57)</f>
        <v>0.99999999999999967</v>
      </c>
      <c r="G58" s="40"/>
      <c r="H58" s="45" t="s">
        <v>52</v>
      </c>
      <c r="I58" s="51">
        <f>SUM(I7:I57)</f>
        <v>572704594.29290199</v>
      </c>
      <c r="J58" s="51">
        <f>SUM(J7:J57)</f>
        <v>2840685631.3186865</v>
      </c>
      <c r="K58" s="51">
        <f>SUM(K7:K57)</f>
        <v>3316926657.5259557</v>
      </c>
      <c r="L58" s="52">
        <f>SUM(L7:L57)</f>
        <v>6730316883.1375456</v>
      </c>
      <c r="M58" s="54">
        <f>SUM(M7:M57)</f>
        <v>0.99999999999999989</v>
      </c>
      <c r="O58" s="45" t="s">
        <v>52</v>
      </c>
      <c r="P58" s="51">
        <f>SUM(P7:P57)</f>
        <v>4411522079.9671707</v>
      </c>
      <c r="Q58" s="51">
        <f>SUM(Q7:Q57)</f>
        <v>4894553242.5912666</v>
      </c>
      <c r="R58" s="51">
        <f>SUM(R7:R57)</f>
        <v>5236891479.2462749</v>
      </c>
      <c r="S58" s="52">
        <f>SUM(S7:S57)</f>
        <v>14542966801.80471</v>
      </c>
      <c r="T58" s="59">
        <f>SUM(T7:T57)</f>
        <v>1.0000000000000002</v>
      </c>
      <c r="U58" s="40"/>
      <c r="V58" s="45" t="s">
        <v>52</v>
      </c>
      <c r="W58" s="51">
        <f>SUM(W7:W57)</f>
        <v>21483415594.500004</v>
      </c>
      <c r="X58" s="51">
        <f>SUM(X7:X57)</f>
        <v>10741707797.250002</v>
      </c>
      <c r="Y58" s="51">
        <f>SUM(Y7:Y57)</f>
        <v>10741707797.250002</v>
      </c>
      <c r="Z58" s="52">
        <f>SUM(Z7:Z57)</f>
        <v>42966831189.000008</v>
      </c>
      <c r="AA58" s="59">
        <f>SUM(AA7:AA57)</f>
        <v>0.99999999999999978</v>
      </c>
    </row>
    <row r="59" spans="1:27" ht="13.5" thickTop="1"/>
    <row r="61" spans="1:27">
      <c r="E61" s="58"/>
      <c r="F61" s="58"/>
      <c r="S61" s="58"/>
      <c r="T61" s="58"/>
      <c r="Z61" s="58"/>
      <c r="AA61" s="58"/>
    </row>
    <row r="62" spans="1:27">
      <c r="E62" s="58"/>
      <c r="F62" s="58"/>
      <c r="L62" s="22">
        <f>L58+E58</f>
        <v>42966831189.000008</v>
      </c>
      <c r="S62" s="58"/>
      <c r="T62" s="58"/>
      <c r="Z62" s="58"/>
      <c r="AA62" s="58"/>
    </row>
    <row r="63" spans="1:27">
      <c r="E63" s="58"/>
      <c r="F63" s="58"/>
      <c r="S63" s="58"/>
      <c r="T63" s="58"/>
      <c r="Z63" s="58"/>
      <c r="AA63" s="58"/>
    </row>
    <row r="64" spans="1:27">
      <c r="E64" s="58"/>
      <c r="F64" s="58"/>
      <c r="S64" s="58"/>
      <c r="T64" s="58"/>
      <c r="Z64" s="58"/>
      <c r="AA64" s="58"/>
    </row>
    <row r="65" spans="5:27">
      <c r="E65" s="58"/>
      <c r="F65" s="58"/>
      <c r="S65" s="58"/>
      <c r="T65" s="58"/>
      <c r="Z65" s="58"/>
      <c r="AA65" s="58"/>
    </row>
    <row r="66" spans="5:27">
      <c r="E66" s="58"/>
      <c r="F66" s="58"/>
      <c r="S66" s="58"/>
      <c r="T66" s="58"/>
      <c r="Z66" s="58"/>
      <c r="AA66" s="58"/>
    </row>
    <row r="67" spans="5:27">
      <c r="E67" s="58"/>
      <c r="F67" s="58"/>
      <c r="S67" s="58"/>
      <c r="T67" s="58"/>
      <c r="Z67" s="58"/>
      <c r="AA67" s="58"/>
    </row>
    <row r="68" spans="5:27">
      <c r="E68" s="58"/>
      <c r="F68" s="58"/>
      <c r="S68" s="58"/>
      <c r="T68" s="58"/>
      <c r="Z68" s="58"/>
      <c r="AA68" s="58"/>
    </row>
    <row r="69" spans="5:27">
      <c r="E69" s="58"/>
      <c r="F69" s="58"/>
      <c r="S69" s="58"/>
      <c r="T69" s="58"/>
      <c r="Z69" s="58"/>
      <c r="AA69" s="58"/>
    </row>
    <row r="70" spans="5:27">
      <c r="E70" s="58"/>
      <c r="F70" s="58"/>
      <c r="S70" s="58"/>
      <c r="T70" s="58"/>
      <c r="Z70" s="58"/>
      <c r="AA70" s="58"/>
    </row>
    <row r="71" spans="5:27">
      <c r="E71" s="58"/>
      <c r="F71" s="58"/>
      <c r="S71" s="58"/>
      <c r="T71" s="58"/>
      <c r="Z71" s="58"/>
      <c r="AA71" s="58"/>
    </row>
    <row r="72" spans="5:27">
      <c r="E72" s="58"/>
      <c r="F72" s="58"/>
      <c r="S72" s="58"/>
      <c r="T72" s="58"/>
      <c r="Z72" s="58"/>
      <c r="AA72" s="58"/>
    </row>
    <row r="73" spans="5:27">
      <c r="E73" s="58"/>
      <c r="F73" s="58"/>
      <c r="S73" s="58"/>
      <c r="T73" s="58"/>
      <c r="Z73" s="58"/>
      <c r="AA73" s="58"/>
    </row>
    <row r="74" spans="5:27">
      <c r="E74" s="58"/>
      <c r="F74" s="58"/>
      <c r="S74" s="58"/>
      <c r="T74" s="58"/>
      <c r="Z74" s="58"/>
      <c r="AA74" s="58"/>
    </row>
    <row r="75" spans="5:27">
      <c r="E75" s="58"/>
      <c r="F75" s="58"/>
      <c r="S75" s="58"/>
      <c r="T75" s="58"/>
      <c r="Z75" s="58"/>
      <c r="AA75" s="58"/>
    </row>
    <row r="76" spans="5:27">
      <c r="E76" s="58"/>
      <c r="F76" s="58"/>
      <c r="S76" s="58"/>
      <c r="T76" s="58"/>
      <c r="Z76" s="58"/>
      <c r="AA76" s="58"/>
    </row>
    <row r="77" spans="5:27">
      <c r="E77" s="58"/>
      <c r="F77" s="58"/>
      <c r="S77" s="58"/>
      <c r="T77" s="58"/>
      <c r="Z77" s="58"/>
      <c r="AA77" s="58"/>
    </row>
    <row r="78" spans="5:27">
      <c r="E78" s="58"/>
      <c r="F78" s="58"/>
      <c r="S78" s="58"/>
      <c r="T78" s="58"/>
      <c r="Z78" s="58"/>
      <c r="AA78" s="58"/>
    </row>
    <row r="79" spans="5:27">
      <c r="E79" s="58"/>
      <c r="F79" s="58"/>
      <c r="S79" s="58"/>
      <c r="T79" s="58"/>
      <c r="Z79" s="58"/>
      <c r="AA79" s="58"/>
    </row>
    <row r="80" spans="5:27">
      <c r="E80" s="58"/>
      <c r="F80" s="58"/>
      <c r="S80" s="58"/>
      <c r="T80" s="58"/>
      <c r="Z80" s="58"/>
      <c r="AA80" s="58"/>
    </row>
    <row r="81" spans="5:27">
      <c r="E81" s="58"/>
      <c r="F81" s="58"/>
      <c r="S81" s="58"/>
      <c r="T81" s="58"/>
      <c r="Z81" s="58"/>
      <c r="AA81" s="58"/>
    </row>
    <row r="82" spans="5:27">
      <c r="E82" s="58"/>
      <c r="F82" s="58"/>
      <c r="S82" s="58"/>
      <c r="T82" s="58"/>
      <c r="Z82" s="58"/>
      <c r="AA82" s="58"/>
    </row>
    <row r="83" spans="5:27">
      <c r="E83" s="58"/>
      <c r="F83" s="58"/>
      <c r="S83" s="58"/>
      <c r="T83" s="58"/>
      <c r="Z83" s="58"/>
      <c r="AA83" s="58"/>
    </row>
    <row r="84" spans="5:27">
      <c r="E84" s="58"/>
      <c r="F84" s="58"/>
      <c r="S84" s="58"/>
      <c r="T84" s="58"/>
      <c r="Z84" s="58"/>
      <c r="AA84" s="58"/>
    </row>
    <row r="85" spans="5:27">
      <c r="E85" s="58"/>
      <c r="F85" s="58"/>
      <c r="S85" s="58"/>
      <c r="T85" s="58"/>
      <c r="Z85" s="58"/>
      <c r="AA85" s="58"/>
    </row>
    <row r="86" spans="5:27">
      <c r="E86" s="58"/>
      <c r="F86" s="58"/>
      <c r="S86" s="58"/>
      <c r="T86" s="58"/>
      <c r="Z86" s="58"/>
      <c r="AA86" s="58"/>
    </row>
    <row r="87" spans="5:27">
      <c r="E87" s="58"/>
      <c r="F87" s="58"/>
      <c r="S87" s="58"/>
      <c r="T87" s="58"/>
      <c r="Z87" s="58"/>
      <c r="AA87" s="58"/>
    </row>
    <row r="88" spans="5:27">
      <c r="E88" s="58"/>
      <c r="F88" s="58"/>
      <c r="S88" s="58"/>
      <c r="T88" s="58"/>
      <c r="Z88" s="58"/>
      <c r="AA88" s="58"/>
    </row>
    <row r="89" spans="5:27">
      <c r="E89" s="58"/>
      <c r="F89" s="58"/>
      <c r="S89" s="58"/>
      <c r="T89" s="58"/>
      <c r="Z89" s="58"/>
      <c r="AA89" s="58"/>
    </row>
    <row r="90" spans="5:27">
      <c r="E90" s="58"/>
      <c r="F90" s="58"/>
      <c r="S90" s="58"/>
      <c r="T90" s="58"/>
      <c r="Z90" s="58"/>
      <c r="AA90" s="58"/>
    </row>
    <row r="91" spans="5:27">
      <c r="E91" s="58"/>
      <c r="F91" s="58"/>
      <c r="S91" s="58"/>
      <c r="T91" s="58"/>
      <c r="Z91" s="58"/>
      <c r="AA91" s="58"/>
    </row>
    <row r="92" spans="5:27">
      <c r="E92" s="58"/>
      <c r="F92" s="58"/>
      <c r="S92" s="58"/>
      <c r="T92" s="58"/>
      <c r="Z92" s="58"/>
      <c r="AA92" s="58"/>
    </row>
    <row r="93" spans="5:27">
      <c r="E93" s="58"/>
      <c r="F93" s="58"/>
      <c r="S93" s="58"/>
      <c r="T93" s="58"/>
      <c r="Z93" s="58"/>
      <c r="AA93" s="58"/>
    </row>
    <row r="94" spans="5:27">
      <c r="E94" s="58"/>
      <c r="F94" s="58"/>
      <c r="S94" s="58"/>
      <c r="T94" s="58"/>
      <c r="Z94" s="58"/>
      <c r="AA94" s="58"/>
    </row>
    <row r="95" spans="5:27">
      <c r="E95" s="58"/>
      <c r="F95" s="58"/>
      <c r="S95" s="58"/>
      <c r="T95" s="58"/>
      <c r="Z95" s="58"/>
      <c r="AA95" s="58"/>
    </row>
    <row r="96" spans="5:27">
      <c r="E96" s="58"/>
      <c r="F96" s="58"/>
      <c r="S96" s="58"/>
      <c r="T96" s="58"/>
      <c r="Z96" s="58"/>
      <c r="AA96" s="58"/>
    </row>
    <row r="97" spans="5:27">
      <c r="E97" s="58"/>
      <c r="F97" s="58"/>
      <c r="S97" s="58"/>
      <c r="T97" s="58"/>
      <c r="Z97" s="58"/>
      <c r="AA97" s="58"/>
    </row>
    <row r="98" spans="5:27">
      <c r="E98" s="58"/>
      <c r="F98" s="58"/>
      <c r="S98" s="58"/>
      <c r="T98" s="58"/>
      <c r="Z98" s="58"/>
      <c r="AA98" s="58"/>
    </row>
    <row r="99" spans="5:27">
      <c r="E99" s="58"/>
      <c r="F99" s="58"/>
      <c r="S99" s="58"/>
      <c r="T99" s="58"/>
      <c r="Z99" s="58"/>
      <c r="AA99" s="58"/>
    </row>
    <row r="100" spans="5:27">
      <c r="E100" s="58"/>
      <c r="F100" s="58"/>
      <c r="S100" s="58"/>
      <c r="T100" s="58"/>
      <c r="Z100" s="58"/>
      <c r="AA100" s="58"/>
    </row>
    <row r="101" spans="5:27">
      <c r="E101" s="58"/>
      <c r="F101" s="58"/>
      <c r="S101" s="58"/>
      <c r="T101" s="58"/>
      <c r="Z101" s="58"/>
      <c r="AA101" s="58"/>
    </row>
    <row r="102" spans="5:27">
      <c r="E102" s="58"/>
      <c r="F102" s="58"/>
      <c r="S102" s="58"/>
      <c r="T102" s="58"/>
      <c r="Z102" s="58"/>
      <c r="AA102" s="58"/>
    </row>
    <row r="103" spans="5:27">
      <c r="E103" s="58"/>
      <c r="F103" s="58"/>
      <c r="S103" s="58"/>
      <c r="T103" s="58"/>
      <c r="Z103" s="58"/>
      <c r="AA103" s="58"/>
    </row>
    <row r="104" spans="5:27">
      <c r="E104" s="58"/>
      <c r="F104" s="58"/>
      <c r="S104" s="58"/>
      <c r="T104" s="58"/>
      <c r="Z104" s="58"/>
      <c r="AA104" s="58"/>
    </row>
    <row r="105" spans="5:27">
      <c r="E105" s="58"/>
      <c r="F105" s="58"/>
      <c r="S105" s="58"/>
      <c r="T105" s="58"/>
      <c r="Z105" s="58"/>
      <c r="AA105" s="58"/>
    </row>
    <row r="106" spans="5:27">
      <c r="E106" s="58"/>
      <c r="F106" s="58"/>
      <c r="S106" s="58"/>
      <c r="T106" s="58"/>
      <c r="Z106" s="58"/>
      <c r="AA106" s="58"/>
    </row>
    <row r="107" spans="5:27">
      <c r="E107" s="58"/>
      <c r="F107" s="58"/>
      <c r="S107" s="58"/>
      <c r="T107" s="58"/>
      <c r="Z107" s="58"/>
      <c r="AA107" s="58"/>
    </row>
    <row r="108" spans="5:27">
      <c r="E108" s="58"/>
      <c r="F108" s="58"/>
      <c r="S108" s="58"/>
      <c r="T108" s="58"/>
      <c r="Z108" s="58"/>
      <c r="AA108" s="58"/>
    </row>
    <row r="109" spans="5:27">
      <c r="E109" s="58"/>
      <c r="F109" s="58"/>
      <c r="S109" s="58"/>
      <c r="T109" s="58"/>
      <c r="Z109" s="58"/>
      <c r="AA109" s="58"/>
    </row>
    <row r="110" spans="5:27">
      <c r="E110" s="58"/>
      <c r="F110" s="58"/>
      <c r="S110" s="58"/>
      <c r="T110" s="58"/>
      <c r="Z110" s="58"/>
      <c r="AA110" s="58"/>
    </row>
    <row r="111" spans="5:27">
      <c r="E111" s="58"/>
      <c r="F111" s="58"/>
      <c r="S111" s="58"/>
      <c r="T111" s="58"/>
      <c r="Z111" s="58"/>
      <c r="AA111" s="58"/>
    </row>
  </sheetData>
  <mergeCells count="8">
    <mergeCell ref="V1:AA1"/>
    <mergeCell ref="V2:AA2"/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283"/>
  <sheetViews>
    <sheetView topLeftCell="B1" zoomScaleNormal="100" workbookViewId="0">
      <selection activeCell="F59" sqref="F59"/>
    </sheetView>
  </sheetViews>
  <sheetFormatPr baseColWidth="10" defaultColWidth="11.42578125" defaultRowHeight="12.75"/>
  <cols>
    <col min="1" max="1" width="27.28515625" style="13" hidden="1" customWidth="1"/>
    <col min="2" max="2" width="28.28515625" style="9" customWidth="1"/>
    <col min="3" max="3" width="18.42578125" style="9" customWidth="1"/>
    <col min="4" max="4" width="15.140625" style="9" customWidth="1"/>
    <col min="5" max="5" width="19.7109375" style="9" customWidth="1"/>
    <col min="6" max="6" width="20.7109375" style="9" customWidth="1"/>
    <col min="7" max="7" width="15.140625" style="9" customWidth="1"/>
    <col min="8" max="9" width="11.42578125" style="13"/>
    <col min="10" max="10" width="28.140625" style="13" bestFit="1" customWidth="1"/>
    <col min="11" max="15" width="20.7109375" style="13" customWidth="1"/>
    <col min="16" max="16384" width="11.42578125" style="13"/>
  </cols>
  <sheetData>
    <row r="1" spans="1:15">
      <c r="B1" s="358" t="s">
        <v>84</v>
      </c>
      <c r="C1" s="358"/>
      <c r="D1" s="358"/>
      <c r="E1" s="358"/>
      <c r="F1" s="358"/>
      <c r="G1" s="358"/>
      <c r="J1" s="358" t="s">
        <v>84</v>
      </c>
      <c r="K1" s="358"/>
      <c r="L1" s="358"/>
      <c r="M1" s="358"/>
      <c r="N1" s="358"/>
      <c r="O1" s="358"/>
    </row>
    <row r="2" spans="1:15">
      <c r="B2" s="358" t="s">
        <v>85</v>
      </c>
      <c r="C2" s="358"/>
      <c r="D2" s="358"/>
      <c r="E2" s="358"/>
      <c r="F2" s="358"/>
      <c r="G2" s="358"/>
      <c r="J2" s="358" t="s">
        <v>85</v>
      </c>
      <c r="K2" s="358"/>
      <c r="L2" s="358"/>
      <c r="M2" s="358"/>
      <c r="N2" s="358"/>
      <c r="O2" s="358"/>
    </row>
    <row r="3" spans="1:15">
      <c r="B3" s="358" t="s">
        <v>165</v>
      </c>
      <c r="C3" s="358"/>
      <c r="D3" s="358"/>
      <c r="E3" s="358"/>
      <c r="F3" s="358"/>
      <c r="G3" s="358"/>
      <c r="J3" s="358" t="s">
        <v>165</v>
      </c>
      <c r="K3" s="358"/>
      <c r="L3" s="358"/>
      <c r="M3" s="358"/>
      <c r="N3" s="358"/>
      <c r="O3" s="358"/>
    </row>
    <row r="4" spans="1:15" ht="13.5" thickBot="1">
      <c r="B4" s="358" t="s">
        <v>236</v>
      </c>
      <c r="C4" s="358"/>
      <c r="D4" s="358"/>
      <c r="E4" s="358"/>
      <c r="F4" s="358"/>
      <c r="G4" s="358"/>
      <c r="J4" s="358" t="s">
        <v>175</v>
      </c>
      <c r="K4" s="358"/>
      <c r="L4" s="358"/>
      <c r="M4" s="358"/>
      <c r="N4" s="358"/>
      <c r="O4" s="358"/>
    </row>
    <row r="5" spans="1:15" ht="39.75" thickTop="1" thickBot="1">
      <c r="B5" s="63" t="s">
        <v>0</v>
      </c>
      <c r="C5" s="60" t="s">
        <v>136</v>
      </c>
      <c r="D5" s="60" t="s">
        <v>144</v>
      </c>
      <c r="E5" s="60" t="s">
        <v>149</v>
      </c>
      <c r="F5" s="60" t="s">
        <v>164</v>
      </c>
      <c r="G5" s="61" t="s">
        <v>53</v>
      </c>
      <c r="J5" s="257"/>
      <c r="K5" s="252" t="s">
        <v>166</v>
      </c>
      <c r="L5" s="252" t="s">
        <v>167</v>
      </c>
      <c r="M5" s="252" t="s">
        <v>168</v>
      </c>
      <c r="N5" s="254" t="s">
        <v>169</v>
      </c>
      <c r="O5" s="253" t="s">
        <v>53</v>
      </c>
    </row>
    <row r="6" spans="1:15">
      <c r="A6" s="13" t="s">
        <v>1</v>
      </c>
      <c r="B6" s="64" t="s">
        <v>1</v>
      </c>
      <c r="C6" s="9">
        <f>VLOOKUP(B6,Seguridad!$A$14:$F$67,6,FALSE)</f>
        <v>404306.60746106855</v>
      </c>
      <c r="D6" s="9">
        <f>VLOOKUP(B6,Desarrollo!$A$13:$D$69,4,FALSE)</f>
        <v>302886.8</v>
      </c>
      <c r="E6" s="9">
        <f>IFERROR(VLOOKUP(B6,Ultracrecimiento!$A$6:$E$17,5,FALSE),0)</f>
        <v>0</v>
      </c>
      <c r="F6" s="9">
        <f>VLOOKUP(B6,Descentralizados!$I$6:$L$56,4,FALSE)</f>
        <v>145369.52354865437</v>
      </c>
      <c r="G6" s="62">
        <f t="shared" ref="G6:G37" si="0">SUM(C6:F6)</f>
        <v>852562.93100972299</v>
      </c>
      <c r="J6" s="257" t="s">
        <v>6</v>
      </c>
      <c r="K6" s="250">
        <f t="shared" ref="K6:K17" si="1">VLOOKUP(J6,$B$6:$F$56,3,FALSE)</f>
        <v>2817765.24</v>
      </c>
      <c r="L6" s="250">
        <f t="shared" ref="L6:L17" si="2">VLOOKUP(J6,$B$6:$F$56,4,FALSE)</f>
        <v>2948219.998126958</v>
      </c>
      <c r="M6" s="250">
        <f t="shared" ref="M6:M17" si="3">VLOOKUP(J6,$B$6:$F$56,5,FALSE)</f>
        <v>2470225.1126588453</v>
      </c>
      <c r="N6" s="251">
        <f t="shared" ref="N6:N17" si="4">VLOOKUP(J6,$B$6:$F$56,2,FALSE)</f>
        <v>4579918.2065816186</v>
      </c>
      <c r="O6" s="255">
        <f>SUM(K6:N6)</f>
        <v>12816128.557367422</v>
      </c>
    </row>
    <row r="7" spans="1:15">
      <c r="A7" s="13" t="s">
        <v>2</v>
      </c>
      <c r="B7" s="64" t="s">
        <v>2</v>
      </c>
      <c r="C7" s="9">
        <f>VLOOKUP(B7,Seguridad!$A$14:$F$67,6,FALSE)</f>
        <v>414043.36</v>
      </c>
      <c r="D7" s="9">
        <f>VLOOKUP(B7,Desarrollo!$A$13:$D$69,4,FALSE)</f>
        <v>338783.35</v>
      </c>
      <c r="E7" s="9">
        <f>IFERROR(VLOOKUP(B7,Ultracrecimiento!$A$6:$E$17,5,FALSE),0)</f>
        <v>0</v>
      </c>
      <c r="F7" s="9">
        <f>VLOOKUP(B7,Descentralizados!$I$6:$L$56,4,FALSE)</f>
        <v>241719.38991096185</v>
      </c>
      <c r="G7" s="62">
        <f t="shared" si="0"/>
        <v>994546.09991096181</v>
      </c>
      <c r="J7" s="258" t="s">
        <v>9</v>
      </c>
      <c r="K7" s="249">
        <f t="shared" si="1"/>
        <v>1092402.25</v>
      </c>
      <c r="L7" s="249">
        <f t="shared" si="2"/>
        <v>1044655.390179436</v>
      </c>
      <c r="M7" s="249">
        <f t="shared" si="3"/>
        <v>506731.01118072955</v>
      </c>
      <c r="N7" s="211">
        <f t="shared" si="4"/>
        <v>1124716.339314736</v>
      </c>
      <c r="O7" s="208">
        <f t="shared" ref="O7:O57" si="5">SUM(K7:N7)</f>
        <v>3768504.9906749013</v>
      </c>
    </row>
    <row r="8" spans="1:15">
      <c r="A8" s="13" t="s">
        <v>194</v>
      </c>
      <c r="B8" s="64" t="s">
        <v>3</v>
      </c>
      <c r="C8" s="9">
        <f>VLOOKUP(B8,Seguridad!$A$14:$F$67,6,FALSE)</f>
        <v>366910.8</v>
      </c>
      <c r="D8" s="9">
        <f>VLOOKUP(B8,Desarrollo!$A$13:$D$69,4,FALSE)</f>
        <v>360231.63</v>
      </c>
      <c r="E8" s="9">
        <f>IFERROR(VLOOKUP(B8,Ultracrecimiento!$A$6:$E$17,5,FALSE),0)</f>
        <v>0</v>
      </c>
      <c r="F8" s="9">
        <f>VLOOKUP(B8,Descentralizados!$I$6:$L$56,4,FALSE)</f>
        <v>184149.08754386404</v>
      </c>
      <c r="G8" s="62">
        <f t="shared" si="0"/>
        <v>911291.51754386397</v>
      </c>
      <c r="J8" s="258" t="s">
        <v>18</v>
      </c>
      <c r="K8" s="249">
        <f t="shared" si="1"/>
        <v>1733294.26</v>
      </c>
      <c r="L8" s="249">
        <f t="shared" si="2"/>
        <v>1878354.14557717</v>
      </c>
      <c r="M8" s="249">
        <f t="shared" si="3"/>
        <v>1160655.4835818042</v>
      </c>
      <c r="N8" s="211">
        <f t="shared" si="4"/>
        <v>2902803.6235222626</v>
      </c>
      <c r="O8" s="208">
        <f t="shared" si="5"/>
        <v>7675107.5126812365</v>
      </c>
    </row>
    <row r="9" spans="1:15">
      <c r="A9" s="13" t="s">
        <v>4</v>
      </c>
      <c r="B9" s="64" t="s">
        <v>4</v>
      </c>
      <c r="C9" s="9">
        <f>VLOOKUP(B9,Seguridad!$A$14:$F$67,6,FALSE)</f>
        <v>1175490.6499999999</v>
      </c>
      <c r="D9" s="9">
        <f>VLOOKUP(B9,Desarrollo!$A$13:$D$69,4,FALSE)</f>
        <v>740918.81</v>
      </c>
      <c r="E9" s="9">
        <f>IFERROR(VLOOKUP(B9,Ultracrecimiento!$A$6:$E$17,5,FALSE),0)</f>
        <v>0</v>
      </c>
      <c r="F9" s="9">
        <f>VLOOKUP(B9,Descentralizados!$I$6:$L$56,4,FALSE)</f>
        <v>807765.45195063751</v>
      </c>
      <c r="G9" s="62">
        <f t="shared" si="0"/>
        <v>2724174.9119506376</v>
      </c>
      <c r="J9" s="258" t="s">
        <v>20</v>
      </c>
      <c r="K9" s="249">
        <f t="shared" si="1"/>
        <v>2102538.5699999998</v>
      </c>
      <c r="L9" s="249">
        <f t="shared" si="2"/>
        <v>2235562.8875007676</v>
      </c>
      <c r="M9" s="249">
        <f t="shared" si="3"/>
        <v>1606542.1355364947</v>
      </c>
      <c r="N9" s="211">
        <f t="shared" si="4"/>
        <v>3446241.0428351904</v>
      </c>
      <c r="O9" s="208">
        <f t="shared" si="5"/>
        <v>9390884.6358724516</v>
      </c>
    </row>
    <row r="10" spans="1:15">
      <c r="A10" s="13" t="s">
        <v>195</v>
      </c>
      <c r="B10" s="64" t="s">
        <v>5</v>
      </c>
      <c r="C10" s="9">
        <f>VLOOKUP(B10,Seguridad!$A$14:$F$67,6,FALSE)</f>
        <v>763611.79</v>
      </c>
      <c r="D10" s="9">
        <f>VLOOKUP(B10,Desarrollo!$A$13:$D$69,4,FALSE)</f>
        <v>590903.82999999996</v>
      </c>
      <c r="E10" s="9">
        <f>IFERROR(VLOOKUP(B10,Ultracrecimiento!$A$6:$E$17,5,FALSE),0)</f>
        <v>0</v>
      </c>
      <c r="F10" s="9">
        <f>VLOOKUP(B10,Descentralizados!$I$6:$L$56,4,FALSE)</f>
        <v>557160.95668172243</v>
      </c>
      <c r="G10" s="62">
        <f t="shared" si="0"/>
        <v>1911676.5766817224</v>
      </c>
      <c r="J10" s="258" t="s">
        <v>25</v>
      </c>
      <c r="K10" s="249">
        <f t="shared" si="1"/>
        <v>2495787.6</v>
      </c>
      <c r="L10" s="249">
        <f t="shared" si="2"/>
        <v>0</v>
      </c>
      <c r="M10" s="249">
        <f t="shared" si="3"/>
        <v>2081416.0540637353</v>
      </c>
      <c r="N10" s="211">
        <f t="shared" si="4"/>
        <v>4493746.296017536</v>
      </c>
      <c r="O10" s="208">
        <f t="shared" si="5"/>
        <v>9070949.9500812702</v>
      </c>
    </row>
    <row r="11" spans="1:15">
      <c r="A11" s="13" t="s">
        <v>6</v>
      </c>
      <c r="B11" s="64" t="s">
        <v>6</v>
      </c>
      <c r="C11" s="9">
        <f>VLOOKUP(B11,Seguridad!$A$14:$F$67,6,FALSE)</f>
        <v>4579918.2065816186</v>
      </c>
      <c r="D11" s="9">
        <f>VLOOKUP(B11,Desarrollo!$A$13:$D$69,4,FALSE)</f>
        <v>2817765.24</v>
      </c>
      <c r="E11" s="9">
        <f>IFERROR(VLOOKUP(B11,Ultracrecimiento!$A$6:$E$17,5,FALSE),0)</f>
        <v>2948219.998126958</v>
      </c>
      <c r="F11" s="9">
        <f>VLOOKUP(B11,Descentralizados!$I$6:$L$56,4,FALSE)</f>
        <v>2470225.1126588453</v>
      </c>
      <c r="G11" s="62">
        <f t="shared" si="0"/>
        <v>12816128.557367422</v>
      </c>
      <c r="J11" s="258" t="s">
        <v>31</v>
      </c>
      <c r="K11" s="249">
        <f t="shared" si="1"/>
        <v>1985411.75</v>
      </c>
      <c r="L11" s="249">
        <f t="shared" si="2"/>
        <v>2150333.3837526804</v>
      </c>
      <c r="M11" s="249">
        <f t="shared" si="3"/>
        <v>1465103.8336880321</v>
      </c>
      <c r="N11" s="211">
        <f t="shared" si="4"/>
        <v>3383557.6246709409</v>
      </c>
      <c r="O11" s="208">
        <f t="shared" si="5"/>
        <v>8984406.5921116527</v>
      </c>
    </row>
    <row r="12" spans="1:15">
      <c r="A12" s="13" t="s">
        <v>7</v>
      </c>
      <c r="B12" s="64" t="s">
        <v>7</v>
      </c>
      <c r="C12" s="9">
        <f>VLOOKUP(B12,Seguridad!$A$14:$F$67,6,FALSE)</f>
        <v>691111.18</v>
      </c>
      <c r="D12" s="9">
        <f>VLOOKUP(B12,Desarrollo!$A$13:$D$69,4,FALSE)</f>
        <v>558327.57999999996</v>
      </c>
      <c r="E12" s="9">
        <f>IFERROR(VLOOKUP(B12,Ultracrecimiento!$A$6:$E$17,5,FALSE),0)</f>
        <v>0</v>
      </c>
      <c r="F12" s="9">
        <f>VLOOKUP(B12,Descentralizados!$I$6:$L$56,4,FALSE)</f>
        <v>685389.59118695778</v>
      </c>
      <c r="G12" s="62">
        <f t="shared" si="0"/>
        <v>1934828.3511869577</v>
      </c>
      <c r="J12" s="258" t="s">
        <v>39</v>
      </c>
      <c r="K12" s="249">
        <f t="shared" si="1"/>
        <v>7524227.9100000001</v>
      </c>
      <c r="L12" s="249">
        <f t="shared" si="2"/>
        <v>0</v>
      </c>
      <c r="M12" s="249">
        <f t="shared" si="3"/>
        <v>8153586.57172768</v>
      </c>
      <c r="N12" s="211">
        <f t="shared" si="4"/>
        <v>7727220.9351112684</v>
      </c>
      <c r="O12" s="208">
        <f t="shared" si="5"/>
        <v>23405035.416838948</v>
      </c>
    </row>
    <row r="13" spans="1:15">
      <c r="A13" s="13" t="s">
        <v>8</v>
      </c>
      <c r="B13" s="64" t="s">
        <v>8</v>
      </c>
      <c r="C13" s="9">
        <f>VLOOKUP(B13,Seguridad!$A$14:$F$67,6,FALSE)</f>
        <v>420701.58</v>
      </c>
      <c r="D13" s="9">
        <f>VLOOKUP(B13,Desarrollo!$A$13:$D$69,4,FALSE)</f>
        <v>342452.61</v>
      </c>
      <c r="E13" s="9">
        <f>IFERROR(VLOOKUP(B13,Ultracrecimiento!$A$6:$E$17,5,FALSE),0)</f>
        <v>0</v>
      </c>
      <c r="F13" s="9">
        <f>VLOOKUP(B13,Descentralizados!$I$6:$L$56,4,FALSE)</f>
        <v>247851.58996842895</v>
      </c>
      <c r="G13" s="62">
        <f t="shared" si="0"/>
        <v>1011005.7799684289</v>
      </c>
      <c r="J13" s="258" t="s">
        <v>45</v>
      </c>
      <c r="K13" s="249">
        <f t="shared" si="1"/>
        <v>1017625.67</v>
      </c>
      <c r="L13" s="249">
        <f t="shared" si="2"/>
        <v>941586.575871045</v>
      </c>
      <c r="M13" s="249">
        <f t="shared" si="3"/>
        <v>296438.86212727695</v>
      </c>
      <c r="N13" s="211">
        <f t="shared" si="4"/>
        <v>894611.91542200954</v>
      </c>
      <c r="O13" s="208">
        <f t="shared" si="5"/>
        <v>3150263.023420332</v>
      </c>
    </row>
    <row r="14" spans="1:15">
      <c r="A14" s="13" t="s">
        <v>196</v>
      </c>
      <c r="B14" s="64" t="s">
        <v>9</v>
      </c>
      <c r="C14" s="9">
        <f>VLOOKUP(B14,Seguridad!$A$14:$F$67,6,FALSE)</f>
        <v>1124716.339314736</v>
      </c>
      <c r="D14" s="9">
        <f>VLOOKUP(B14,Desarrollo!$A$13:$D$69,4,FALSE)</f>
        <v>1092402.25</v>
      </c>
      <c r="E14" s="9">
        <f>IFERROR(VLOOKUP(B14,Ultracrecimiento!$A$6:$E$17,5,FALSE),0)</f>
        <v>1044655.390179436</v>
      </c>
      <c r="F14" s="9">
        <f>VLOOKUP(B14,Descentralizados!$I$6:$L$56,4,FALSE)</f>
        <v>506731.01118072955</v>
      </c>
      <c r="G14" s="62">
        <f t="shared" si="0"/>
        <v>3768504.9906749018</v>
      </c>
      <c r="J14" s="258" t="s">
        <v>46</v>
      </c>
      <c r="K14" s="249">
        <f t="shared" si="1"/>
        <v>2481529.7799999998</v>
      </c>
      <c r="L14" s="249">
        <f t="shared" si="2"/>
        <v>0</v>
      </c>
      <c r="M14" s="249">
        <f t="shared" si="3"/>
        <v>2064198.8067515767</v>
      </c>
      <c r="N14" s="211">
        <f t="shared" si="4"/>
        <v>2999797.965313259</v>
      </c>
      <c r="O14" s="208">
        <f t="shared" si="5"/>
        <v>7545526.552064836</v>
      </c>
    </row>
    <row r="15" spans="1:15">
      <c r="A15" s="13" t="s">
        <v>197</v>
      </c>
      <c r="B15" s="64" t="s">
        <v>10</v>
      </c>
      <c r="C15" s="9">
        <f>VLOOKUP(B15,Seguridad!$A$14:$F$67,6,FALSE)</f>
        <v>2826657.39</v>
      </c>
      <c r="D15" s="9">
        <f>VLOOKUP(B15,Desarrollo!$A$13:$D$69,4,FALSE)</f>
        <v>873013.73</v>
      </c>
      <c r="E15" s="9">
        <f>IFERROR(VLOOKUP(B15,Ultracrecimiento!$A$6:$E$17,5,FALSE),0)</f>
        <v>966063.56066418521</v>
      </c>
      <c r="F15" s="9">
        <f>VLOOKUP(B15,Descentralizados!$I$6:$L$56,4,FALSE)</f>
        <v>1028433.9405610957</v>
      </c>
      <c r="G15" s="62">
        <f t="shared" si="0"/>
        <v>5694168.6212252807</v>
      </c>
      <c r="J15" s="258" t="s">
        <v>47</v>
      </c>
      <c r="K15" s="249">
        <f t="shared" si="1"/>
        <v>4064465.4</v>
      </c>
      <c r="L15" s="249">
        <f t="shared" si="2"/>
        <v>0</v>
      </c>
      <c r="M15" s="249">
        <f t="shared" si="3"/>
        <v>3975697.0859524687</v>
      </c>
      <c r="N15" s="211">
        <f t="shared" si="4"/>
        <v>1188318.3380134874</v>
      </c>
      <c r="O15" s="208">
        <f t="shared" si="5"/>
        <v>9228480.8239659555</v>
      </c>
    </row>
    <row r="16" spans="1:15">
      <c r="A16" s="13" t="s">
        <v>191</v>
      </c>
      <c r="B16" s="64" t="s">
        <v>191</v>
      </c>
      <c r="C16" s="9">
        <f>VLOOKUP(B16,Seguridad!$A$14:$F$67,6,FALSE)</f>
        <v>508499.38</v>
      </c>
      <c r="D16" s="9">
        <f>VLOOKUP(B16,Desarrollo!$A$13:$D$69,4,FALSE)</f>
        <v>493071.94</v>
      </c>
      <c r="E16" s="9">
        <f>IFERROR(VLOOKUP(B16,Ultracrecimiento!$A$6:$E$17,5,FALSE),0)</f>
        <v>0</v>
      </c>
      <c r="F16" s="9">
        <f>VLOOKUP(B16,Descentralizados!$I$6:$L$56,4,FALSE)</f>
        <v>393729.87933883414</v>
      </c>
      <c r="G16" s="62">
        <f t="shared" si="0"/>
        <v>1395301.1993388343</v>
      </c>
      <c r="J16" s="258" t="s">
        <v>48</v>
      </c>
      <c r="K16" s="249">
        <f t="shared" si="1"/>
        <v>1652805.24</v>
      </c>
      <c r="L16" s="249">
        <f t="shared" si="2"/>
        <v>1680323.3956626388</v>
      </c>
      <c r="M16" s="249">
        <f t="shared" si="3"/>
        <v>1063459.7319561327</v>
      </c>
      <c r="N16" s="211">
        <f t="shared" si="4"/>
        <v>2314892.6748100347</v>
      </c>
      <c r="O16" s="208">
        <f t="shared" si="5"/>
        <v>6711481.0424288064</v>
      </c>
    </row>
    <row r="17" spans="1:15" ht="13.5" thickBot="1">
      <c r="A17" s="13" t="s">
        <v>12</v>
      </c>
      <c r="B17" s="64" t="s">
        <v>12</v>
      </c>
      <c r="C17" s="9">
        <f>VLOOKUP(B17,Seguridad!$A$14:$F$67,6,FALSE)</f>
        <v>570308.66</v>
      </c>
      <c r="D17" s="9">
        <f>VLOOKUP(B17,Desarrollo!$A$13:$D$69,4,FALSE)</f>
        <v>550687.80000000005</v>
      </c>
      <c r="E17" s="9">
        <f>IFERROR(VLOOKUP(B17,Ultracrecimiento!$A$6:$E$17,5,FALSE),0)</f>
        <v>0</v>
      </c>
      <c r="F17" s="9">
        <f>VLOOKUP(B17,Descentralizados!$I$6:$L$56,4,FALSE)</f>
        <v>489978.88450725784</v>
      </c>
      <c r="G17" s="62">
        <f t="shared" si="0"/>
        <v>1610975.3445072579</v>
      </c>
      <c r="J17" s="258" t="s">
        <v>49</v>
      </c>
      <c r="K17" s="249">
        <f t="shared" si="1"/>
        <v>1193902.0800000001</v>
      </c>
      <c r="L17" s="249">
        <f t="shared" si="2"/>
        <v>979505.74694776279</v>
      </c>
      <c r="M17" s="249">
        <f t="shared" si="3"/>
        <v>509304.14724725432</v>
      </c>
      <c r="N17" s="211">
        <f t="shared" si="4"/>
        <v>635973.27506669238</v>
      </c>
      <c r="O17" s="208">
        <f t="shared" si="5"/>
        <v>3318685.2492617094</v>
      </c>
    </row>
    <row r="18" spans="1:15" ht="13.5" thickBot="1">
      <c r="A18" s="13" t="s">
        <v>198</v>
      </c>
      <c r="B18" s="64" t="s">
        <v>13</v>
      </c>
      <c r="C18" s="9">
        <f>VLOOKUP(B18,Seguridad!$A$14:$F$67,6,FALSE)</f>
        <v>1973951.92</v>
      </c>
      <c r="D18" s="9">
        <f>VLOOKUP(B18,Desarrollo!$A$13:$D$69,4,FALSE)</f>
        <v>719085.34</v>
      </c>
      <c r="E18" s="9">
        <f>IFERROR(VLOOKUP(B18,Ultracrecimiento!$A$6:$E$17,5,FALSE),0)</f>
        <v>871856.34781870723</v>
      </c>
      <c r="F18" s="9">
        <f>VLOOKUP(B18,Descentralizados!$I$6:$L$56,4,FALSE)</f>
        <v>771291.98672597646</v>
      </c>
      <c r="G18" s="62">
        <f t="shared" si="0"/>
        <v>4336185.5945446836</v>
      </c>
      <c r="J18" s="259" t="s">
        <v>129</v>
      </c>
      <c r="K18" s="260">
        <f>SUM(K6:K17)</f>
        <v>30161755.75</v>
      </c>
      <c r="L18" s="260">
        <f>SUM(L6:L17)</f>
        <v>13858541.52361846</v>
      </c>
      <c r="M18" s="260">
        <f>SUM(M6:M17)</f>
        <v>25353358.836472027</v>
      </c>
      <c r="N18" s="261">
        <f>SUM(N6:N17)</f>
        <v>35691798.236679047</v>
      </c>
      <c r="O18" s="256">
        <f>SUM(O6:O17)</f>
        <v>105065454.34676953</v>
      </c>
    </row>
    <row r="19" spans="1:15">
      <c r="A19" s="13" t="s">
        <v>14</v>
      </c>
      <c r="B19" s="64" t="s">
        <v>14</v>
      </c>
      <c r="C19" s="9">
        <f>VLOOKUP(B19,Seguridad!$A$14:$F$67,6,FALSE)</f>
        <v>1194558.46</v>
      </c>
      <c r="D19" s="9">
        <f>VLOOKUP(B19,Desarrollo!$A$13:$D$69,4,FALSE)</f>
        <v>921077.84</v>
      </c>
      <c r="E19" s="9">
        <f>IFERROR(VLOOKUP(B19,Ultracrecimiento!$A$6:$E$17,5,FALSE),0)</f>
        <v>0</v>
      </c>
      <c r="F19" s="9">
        <f>VLOOKUP(B19,Descentralizados!$I$6:$L$56,4,FALSE)</f>
        <v>1585969.7013374334</v>
      </c>
      <c r="G19" s="62">
        <f t="shared" si="0"/>
        <v>3701606.0013374332</v>
      </c>
      <c r="J19" s="258" t="s">
        <v>1</v>
      </c>
      <c r="K19" s="249">
        <f t="shared" ref="K19:K57" si="6">VLOOKUP(J19,$B$6:$F$56,3,FALSE)</f>
        <v>302886.8</v>
      </c>
      <c r="L19" s="249">
        <f t="shared" ref="L19:L57" si="7">VLOOKUP(J19,$B$6:$F$56,4,FALSE)</f>
        <v>0</v>
      </c>
      <c r="M19" s="249">
        <f t="shared" ref="M19:M57" si="8">VLOOKUP(J19,$B$6:$F$56,5,FALSE)</f>
        <v>145369.52354865437</v>
      </c>
      <c r="N19" s="211">
        <f t="shared" ref="N19:N57" si="9">VLOOKUP(J19,$B$6:$F$56,2,FALSE)</f>
        <v>404306.60746106855</v>
      </c>
      <c r="O19" s="208">
        <f t="shared" si="5"/>
        <v>852562.93100972287</v>
      </c>
    </row>
    <row r="20" spans="1:15">
      <c r="A20" s="13" t="s">
        <v>15</v>
      </c>
      <c r="B20" s="64" t="s">
        <v>15</v>
      </c>
      <c r="C20" s="9">
        <f>VLOOKUP(B20,Seguridad!$A$14:$F$67,6,FALSE)</f>
        <v>365789.17</v>
      </c>
      <c r="D20" s="9">
        <f>VLOOKUP(B20,Desarrollo!$A$13:$D$69,4,FALSE)</f>
        <v>353560.72</v>
      </c>
      <c r="E20" s="9">
        <f>IFERROR(VLOOKUP(B20,Ultracrecimiento!$A$6:$E$17,5,FALSE),0)</f>
        <v>0</v>
      </c>
      <c r="F20" s="9">
        <f>VLOOKUP(B20,Descentralizados!$I$6:$L$56,4,FALSE)</f>
        <v>218983.81735002479</v>
      </c>
      <c r="G20" s="62">
        <f t="shared" si="0"/>
        <v>938333.70735002472</v>
      </c>
      <c r="J20" s="258" t="s">
        <v>2</v>
      </c>
      <c r="K20" s="249">
        <f t="shared" si="6"/>
        <v>338783.35</v>
      </c>
      <c r="L20" s="249">
        <f t="shared" si="7"/>
        <v>0</v>
      </c>
      <c r="M20" s="249">
        <f t="shared" si="8"/>
        <v>241719.38991096185</v>
      </c>
      <c r="N20" s="211">
        <f t="shared" si="9"/>
        <v>414043.36</v>
      </c>
      <c r="O20" s="208">
        <f t="shared" si="5"/>
        <v>994546.09991096181</v>
      </c>
    </row>
    <row r="21" spans="1:15">
      <c r="A21" s="13" t="s">
        <v>199</v>
      </c>
      <c r="B21" s="64" t="s">
        <v>16</v>
      </c>
      <c r="C21" s="9">
        <f>VLOOKUP(B21,Seguridad!$A$14:$F$67,6,FALSE)</f>
        <v>411036.42</v>
      </c>
      <c r="D21" s="9">
        <f>VLOOKUP(B21,Desarrollo!$A$13:$D$69,4,FALSE)</f>
        <v>321874.93</v>
      </c>
      <c r="E21" s="9">
        <f>IFERROR(VLOOKUP(B21,Ultracrecimiento!$A$6:$E$17,5,FALSE),0)</f>
        <v>0</v>
      </c>
      <c r="F21" s="9">
        <f>VLOOKUP(B21,Descentralizados!$I$6:$L$56,4,FALSE)</f>
        <v>109860.46261583385</v>
      </c>
      <c r="G21" s="62">
        <f t="shared" si="0"/>
        <v>842771.81261583383</v>
      </c>
      <c r="J21" s="258" t="s">
        <v>3</v>
      </c>
      <c r="K21" s="249">
        <f t="shared" si="6"/>
        <v>360231.63</v>
      </c>
      <c r="L21" s="249">
        <f t="shared" si="7"/>
        <v>0</v>
      </c>
      <c r="M21" s="249">
        <f t="shared" si="8"/>
        <v>184149.08754386404</v>
      </c>
      <c r="N21" s="211">
        <f t="shared" si="9"/>
        <v>366910.8</v>
      </c>
      <c r="O21" s="208">
        <f t="shared" si="5"/>
        <v>911291.51754386397</v>
      </c>
    </row>
    <row r="22" spans="1:15">
      <c r="A22" s="13" t="s">
        <v>17</v>
      </c>
      <c r="B22" s="64" t="s">
        <v>17</v>
      </c>
      <c r="C22" s="9">
        <f>VLOOKUP(B22,Seguridad!$A$14:$F$67,6,FALSE)</f>
        <v>1309466.43</v>
      </c>
      <c r="D22" s="9">
        <f>VLOOKUP(B22,Desarrollo!$A$13:$D$69,4,FALSE)</f>
        <v>877368.34</v>
      </c>
      <c r="E22" s="9">
        <f>IFERROR(VLOOKUP(B22,Ultracrecimiento!$A$6:$E$17,5,FALSE),0)</f>
        <v>0</v>
      </c>
      <c r="F22" s="9">
        <f>VLOOKUP(B22,Descentralizados!$I$6:$L$56,4,FALSE)</f>
        <v>1147558.9651947303</v>
      </c>
      <c r="G22" s="62">
        <f t="shared" si="0"/>
        <v>3334393.7351947306</v>
      </c>
      <c r="J22" s="258" t="s">
        <v>4</v>
      </c>
      <c r="K22" s="249">
        <f t="shared" si="6"/>
        <v>740918.81</v>
      </c>
      <c r="L22" s="249">
        <f t="shared" si="7"/>
        <v>0</v>
      </c>
      <c r="M22" s="249">
        <f t="shared" si="8"/>
        <v>807765.45195063751</v>
      </c>
      <c r="N22" s="211">
        <f t="shared" si="9"/>
        <v>1175490.6499999999</v>
      </c>
      <c r="O22" s="208">
        <f t="shared" si="5"/>
        <v>2724174.9119506376</v>
      </c>
    </row>
    <row r="23" spans="1:15">
      <c r="A23" s="13" t="s">
        <v>200</v>
      </c>
      <c r="B23" s="64" t="s">
        <v>18</v>
      </c>
      <c r="C23" s="9">
        <f>VLOOKUP(B23,Seguridad!$A$14:$F$67,6,FALSE)</f>
        <v>2902803.6235222626</v>
      </c>
      <c r="D23" s="9">
        <f>VLOOKUP(B23,Desarrollo!$A$13:$D$69,4,FALSE)</f>
        <v>1733294.26</v>
      </c>
      <c r="E23" s="9">
        <f>IFERROR(VLOOKUP(B23,Ultracrecimiento!$A$6:$E$17,5,FALSE),0)</f>
        <v>1878354.14557717</v>
      </c>
      <c r="F23" s="9">
        <f>VLOOKUP(B23,Descentralizados!$I$6:$L$56,4,FALSE)</f>
        <v>1160655.4835818042</v>
      </c>
      <c r="G23" s="62">
        <f t="shared" si="0"/>
        <v>7675107.5126812365</v>
      </c>
      <c r="J23" s="258" t="s">
        <v>5</v>
      </c>
      <c r="K23" s="249">
        <f t="shared" si="6"/>
        <v>590903.82999999996</v>
      </c>
      <c r="L23" s="249">
        <f t="shared" si="7"/>
        <v>0</v>
      </c>
      <c r="M23" s="249">
        <f t="shared" si="8"/>
        <v>557160.95668172243</v>
      </c>
      <c r="N23" s="211">
        <f t="shared" si="9"/>
        <v>763611.79</v>
      </c>
      <c r="O23" s="208">
        <f t="shared" si="5"/>
        <v>1911676.5766817224</v>
      </c>
    </row>
    <row r="24" spans="1:15">
      <c r="A24" s="13" t="s">
        <v>19</v>
      </c>
      <c r="B24" s="64" t="s">
        <v>19</v>
      </c>
      <c r="C24" s="9">
        <f>VLOOKUP(B24,Seguridad!$A$14:$F$67,6,FALSE)</f>
        <v>464731.74</v>
      </c>
      <c r="D24" s="9">
        <f>VLOOKUP(B24,Desarrollo!$A$13:$D$69,4,FALSE)</f>
        <v>434345.11</v>
      </c>
      <c r="E24" s="9">
        <f>IFERROR(VLOOKUP(B24,Ultracrecimiento!$A$6:$E$17,5,FALSE),0)</f>
        <v>0</v>
      </c>
      <c r="F24" s="9">
        <f>VLOOKUP(B24,Descentralizados!$I$6:$L$56,4,FALSE)</f>
        <v>295624.95149612083</v>
      </c>
      <c r="G24" s="62">
        <f t="shared" si="0"/>
        <v>1194701.8014961209</v>
      </c>
      <c r="J24" s="258" t="s">
        <v>7</v>
      </c>
      <c r="K24" s="249">
        <f t="shared" si="6"/>
        <v>558327.57999999996</v>
      </c>
      <c r="L24" s="249">
        <f t="shared" si="7"/>
        <v>0</v>
      </c>
      <c r="M24" s="249">
        <f t="shared" si="8"/>
        <v>685389.59118695778</v>
      </c>
      <c r="N24" s="211">
        <f t="shared" si="9"/>
        <v>691111.18</v>
      </c>
      <c r="O24" s="208">
        <f t="shared" si="5"/>
        <v>1934828.3511869577</v>
      </c>
    </row>
    <row r="25" spans="1:15">
      <c r="A25" s="13" t="s">
        <v>20</v>
      </c>
      <c r="B25" s="64" t="s">
        <v>20</v>
      </c>
      <c r="C25" s="9">
        <f>VLOOKUP(B25,Seguridad!$A$14:$F$67,6,FALSE)</f>
        <v>3446241.0428351904</v>
      </c>
      <c r="D25" s="9">
        <f>VLOOKUP(B25,Desarrollo!$A$13:$D$69,4,FALSE)</f>
        <v>2102538.5699999998</v>
      </c>
      <c r="E25" s="9">
        <f>IFERROR(VLOOKUP(B25,Ultracrecimiento!$A$6:$E$17,5,FALSE),0)</f>
        <v>2235562.8875007676</v>
      </c>
      <c r="F25" s="9">
        <f>VLOOKUP(B25,Descentralizados!$I$6:$L$56,4,FALSE)</f>
        <v>1606542.1355364947</v>
      </c>
      <c r="G25" s="62">
        <f t="shared" si="0"/>
        <v>9390884.6358724535</v>
      </c>
      <c r="J25" s="258" t="s">
        <v>8</v>
      </c>
      <c r="K25" s="249">
        <f t="shared" si="6"/>
        <v>342452.61</v>
      </c>
      <c r="L25" s="249">
        <f t="shared" si="7"/>
        <v>0</v>
      </c>
      <c r="M25" s="249">
        <f t="shared" si="8"/>
        <v>247851.58996842895</v>
      </c>
      <c r="N25" s="211">
        <f t="shared" si="9"/>
        <v>420701.58</v>
      </c>
      <c r="O25" s="208">
        <f t="shared" si="5"/>
        <v>1011005.7799684289</v>
      </c>
    </row>
    <row r="26" spans="1:15">
      <c r="A26" s="13" t="s">
        <v>202</v>
      </c>
      <c r="B26" s="64" t="s">
        <v>21</v>
      </c>
      <c r="C26" s="9">
        <f>VLOOKUP(B26,Seguridad!$A$14:$F$67,6,FALSE)</f>
        <v>670038.76</v>
      </c>
      <c r="D26" s="9">
        <f>VLOOKUP(B26,Desarrollo!$A$13:$D$69,4,FALSE)</f>
        <v>539462.06999999995</v>
      </c>
      <c r="E26" s="9">
        <f>IFERROR(VLOOKUP(B26,Ultracrecimiento!$A$6:$E$17,5,FALSE),0)</f>
        <v>0</v>
      </c>
      <c r="F26" s="9">
        <f>VLOOKUP(B26,Descentralizados!$I$6:$L$56,4,FALSE)</f>
        <v>471225.96112374612</v>
      </c>
      <c r="G26" s="62">
        <f t="shared" si="0"/>
        <v>1680726.7911237462</v>
      </c>
      <c r="J26" s="258" t="s">
        <v>10</v>
      </c>
      <c r="K26" s="249">
        <f t="shared" si="6"/>
        <v>873013.73</v>
      </c>
      <c r="L26" s="249">
        <f t="shared" si="7"/>
        <v>966063.56066418521</v>
      </c>
      <c r="M26" s="249">
        <f t="shared" si="8"/>
        <v>1028433.9405610957</v>
      </c>
      <c r="N26" s="211">
        <f t="shared" si="9"/>
        <v>2826657.39</v>
      </c>
      <c r="O26" s="208">
        <f t="shared" si="5"/>
        <v>5694168.6212252807</v>
      </c>
    </row>
    <row r="27" spans="1:15">
      <c r="A27" s="13" t="s">
        <v>22</v>
      </c>
      <c r="B27" s="64" t="s">
        <v>22</v>
      </c>
      <c r="C27" s="9">
        <f>VLOOKUP(B27,Seguridad!$A$14:$F$67,6,FALSE)</f>
        <v>376480.5</v>
      </c>
      <c r="D27" s="9">
        <f>VLOOKUP(B27,Desarrollo!$A$13:$D$69,4,FALSE)</f>
        <v>313506.53999999998</v>
      </c>
      <c r="E27" s="9">
        <f>IFERROR(VLOOKUP(B27,Ultracrecimiento!$A$6:$E$17,5,FALSE),0)</f>
        <v>0</v>
      </c>
      <c r="F27" s="9">
        <f>VLOOKUP(B27,Descentralizados!$I$6:$L$56,4,FALSE)</f>
        <v>214938.9402726251</v>
      </c>
      <c r="G27" s="62">
        <f t="shared" si="0"/>
        <v>904925.98027262511</v>
      </c>
      <c r="J27" s="258" t="s">
        <v>191</v>
      </c>
      <c r="K27" s="249">
        <f t="shared" si="6"/>
        <v>493071.94</v>
      </c>
      <c r="L27" s="249">
        <f t="shared" si="7"/>
        <v>0</v>
      </c>
      <c r="M27" s="249">
        <f t="shared" si="8"/>
        <v>393729.87933883414</v>
      </c>
      <c r="N27" s="211">
        <f t="shared" si="9"/>
        <v>508499.38</v>
      </c>
      <c r="O27" s="208">
        <f t="shared" si="5"/>
        <v>1395301.1993388343</v>
      </c>
    </row>
    <row r="28" spans="1:15">
      <c r="A28" s="13" t="s">
        <v>23</v>
      </c>
      <c r="B28" s="64" t="s">
        <v>23</v>
      </c>
      <c r="C28" s="9">
        <f>VLOOKUP(B28,Seguridad!$A$14:$F$67,6,FALSE)</f>
        <v>483250.65</v>
      </c>
      <c r="D28" s="9">
        <f>VLOOKUP(B28,Desarrollo!$A$13:$D$69,4,FALSE)</f>
        <v>418277.82</v>
      </c>
      <c r="E28" s="9">
        <f>IFERROR(VLOOKUP(B28,Ultracrecimiento!$A$6:$E$17,5,FALSE),0)</f>
        <v>0</v>
      </c>
      <c r="F28" s="9">
        <f>VLOOKUP(B28,Descentralizados!$I$6:$L$56,4,FALSE)</f>
        <v>340332.44893929962</v>
      </c>
      <c r="G28" s="62">
        <f t="shared" si="0"/>
        <v>1241860.9189392996</v>
      </c>
      <c r="J28" s="258" t="s">
        <v>12</v>
      </c>
      <c r="K28" s="249">
        <f t="shared" si="6"/>
        <v>550687.80000000005</v>
      </c>
      <c r="L28" s="249">
        <f t="shared" si="7"/>
        <v>0</v>
      </c>
      <c r="M28" s="249">
        <f t="shared" si="8"/>
        <v>489978.88450725784</v>
      </c>
      <c r="N28" s="211">
        <f t="shared" si="9"/>
        <v>570308.66</v>
      </c>
      <c r="O28" s="208">
        <f t="shared" si="5"/>
        <v>1610975.3445072579</v>
      </c>
    </row>
    <row r="29" spans="1:15">
      <c r="A29" s="13" t="s">
        <v>24</v>
      </c>
      <c r="B29" s="64" t="s">
        <v>24</v>
      </c>
      <c r="C29" s="9">
        <f>VLOOKUP(B29,Seguridad!$A$14:$F$67,6,FALSE)</f>
        <v>2771076.77</v>
      </c>
      <c r="D29" s="9">
        <f>VLOOKUP(B29,Desarrollo!$A$13:$D$69,4,FALSE)</f>
        <v>839594.41</v>
      </c>
      <c r="E29" s="9">
        <f>IFERROR(VLOOKUP(B29,Ultracrecimiento!$A$6:$E$17,5,FALSE),0)</f>
        <v>954599.06012261333</v>
      </c>
      <c r="F29" s="9">
        <f>VLOOKUP(B29,Descentralizados!$I$6:$L$56,4,FALSE)</f>
        <v>972605.96691454691</v>
      </c>
      <c r="G29" s="62">
        <f t="shared" si="0"/>
        <v>5537876.2070371602</v>
      </c>
      <c r="J29" s="258" t="s">
        <v>13</v>
      </c>
      <c r="K29" s="249">
        <f t="shared" si="6"/>
        <v>719085.34</v>
      </c>
      <c r="L29" s="249">
        <f t="shared" si="7"/>
        <v>871856.34781870723</v>
      </c>
      <c r="M29" s="249">
        <f t="shared" si="8"/>
        <v>771291.98672597646</v>
      </c>
      <c r="N29" s="211">
        <f t="shared" si="9"/>
        <v>1973951.92</v>
      </c>
      <c r="O29" s="208">
        <f t="shared" si="5"/>
        <v>4336185.5945446836</v>
      </c>
    </row>
    <row r="30" spans="1:15">
      <c r="A30" s="13" t="s">
        <v>25</v>
      </c>
      <c r="B30" s="64" t="s">
        <v>25</v>
      </c>
      <c r="C30" s="9">
        <f>VLOOKUP(B30,Seguridad!$A$14:$F$67,6,FALSE)</f>
        <v>4493746.296017536</v>
      </c>
      <c r="D30" s="9">
        <f>VLOOKUP(B30,Desarrollo!$A$13:$D$69,4,FALSE)</f>
        <v>2495787.6</v>
      </c>
      <c r="E30" s="9">
        <f>IFERROR(VLOOKUP(B30,Ultracrecimiento!$A$6:$E$17,5,FALSE),0)</f>
        <v>0</v>
      </c>
      <c r="F30" s="9">
        <f>VLOOKUP(B30,Descentralizados!$I$6:$L$56,4,FALSE)</f>
        <v>2081416.0540637353</v>
      </c>
      <c r="G30" s="62">
        <f t="shared" si="0"/>
        <v>9070949.9500812721</v>
      </c>
      <c r="J30" s="258" t="s">
        <v>14</v>
      </c>
      <c r="K30" s="249">
        <f t="shared" si="6"/>
        <v>921077.84</v>
      </c>
      <c r="L30" s="249">
        <f t="shared" si="7"/>
        <v>0</v>
      </c>
      <c r="M30" s="249">
        <f t="shared" si="8"/>
        <v>1585969.7013374334</v>
      </c>
      <c r="N30" s="211">
        <f t="shared" si="9"/>
        <v>1194558.46</v>
      </c>
      <c r="O30" s="208">
        <f t="shared" si="5"/>
        <v>3701606.0013374332</v>
      </c>
    </row>
    <row r="31" spans="1:15">
      <c r="A31" s="13" t="s">
        <v>203</v>
      </c>
      <c r="B31" s="64" t="s">
        <v>26</v>
      </c>
      <c r="C31" s="9">
        <f>VLOOKUP(B31,Seguridad!$A$14:$F$67,6,FALSE)</f>
        <v>380084.05</v>
      </c>
      <c r="D31" s="9">
        <f>VLOOKUP(B31,Desarrollo!$A$13:$D$69,4,FALSE)</f>
        <v>316147.27</v>
      </c>
      <c r="E31" s="9">
        <f>IFERROR(VLOOKUP(B31,Ultracrecimiento!$A$6:$E$17,5,FALSE),0)</f>
        <v>0</v>
      </c>
      <c r="F31" s="9">
        <f>VLOOKUP(B31,Descentralizados!$I$6:$L$56,4,FALSE)</f>
        <v>201348.380720783</v>
      </c>
      <c r="G31" s="62">
        <f t="shared" si="0"/>
        <v>897579.70072078309</v>
      </c>
      <c r="J31" s="258" t="s">
        <v>15</v>
      </c>
      <c r="K31" s="249">
        <f t="shared" si="6"/>
        <v>353560.72</v>
      </c>
      <c r="L31" s="249">
        <f t="shared" si="7"/>
        <v>0</v>
      </c>
      <c r="M31" s="249">
        <f t="shared" si="8"/>
        <v>218983.81735002479</v>
      </c>
      <c r="N31" s="211">
        <f t="shared" si="9"/>
        <v>365789.17</v>
      </c>
      <c r="O31" s="208">
        <f t="shared" si="5"/>
        <v>938333.70735002472</v>
      </c>
    </row>
    <row r="32" spans="1:15">
      <c r="A32" s="13" t="s">
        <v>27</v>
      </c>
      <c r="B32" s="64" t="s">
        <v>27</v>
      </c>
      <c r="C32" s="9">
        <f>VLOOKUP(B32,Seguridad!$A$14:$F$67,6,FALSE)</f>
        <v>717219.04</v>
      </c>
      <c r="D32" s="9">
        <f>VLOOKUP(B32,Desarrollo!$A$13:$D$69,4,FALSE)</f>
        <v>368830.38</v>
      </c>
      <c r="E32" s="9">
        <f>IFERROR(VLOOKUP(B32,Ultracrecimiento!$A$6:$E$17,5,FALSE),0)</f>
        <v>0</v>
      </c>
      <c r="F32" s="9">
        <f>VLOOKUP(B32,Descentralizados!$I$6:$L$56,4,FALSE)</f>
        <v>210306.25401232424</v>
      </c>
      <c r="G32" s="62">
        <f t="shared" si="0"/>
        <v>1296355.6740123241</v>
      </c>
      <c r="J32" s="258" t="s">
        <v>16</v>
      </c>
      <c r="K32" s="249">
        <f t="shared" si="6"/>
        <v>321874.93</v>
      </c>
      <c r="L32" s="249">
        <f t="shared" si="7"/>
        <v>0</v>
      </c>
      <c r="M32" s="249">
        <f t="shared" si="8"/>
        <v>109860.46261583385</v>
      </c>
      <c r="N32" s="211">
        <f t="shared" si="9"/>
        <v>411036.42</v>
      </c>
      <c r="O32" s="208">
        <f t="shared" si="5"/>
        <v>842771.81261583383</v>
      </c>
    </row>
    <row r="33" spans="1:15">
      <c r="A33" s="13" t="s">
        <v>28</v>
      </c>
      <c r="B33" s="64" t="s">
        <v>28</v>
      </c>
      <c r="C33" s="9">
        <f>VLOOKUP(B33,Seguridad!$A$14:$F$67,6,FALSE)</f>
        <v>366409.65</v>
      </c>
      <c r="D33" s="9">
        <f>VLOOKUP(B33,Desarrollo!$A$13:$D$69,4,FALSE)</f>
        <v>340391.07</v>
      </c>
      <c r="E33" s="9">
        <f>IFERROR(VLOOKUP(B33,Ultracrecimiento!$A$6:$E$17,5,FALSE),0)</f>
        <v>0</v>
      </c>
      <c r="F33" s="9">
        <f>VLOOKUP(B33,Descentralizados!$I$6:$L$56,4,FALSE)</f>
        <v>184361.89706776637</v>
      </c>
      <c r="G33" s="62">
        <f t="shared" si="0"/>
        <v>891162.61706776638</v>
      </c>
      <c r="J33" s="258" t="s">
        <v>17</v>
      </c>
      <c r="K33" s="249">
        <f t="shared" si="6"/>
        <v>877368.34</v>
      </c>
      <c r="L33" s="249">
        <f t="shared" si="7"/>
        <v>0</v>
      </c>
      <c r="M33" s="249">
        <f t="shared" si="8"/>
        <v>1147558.9651947303</v>
      </c>
      <c r="N33" s="211">
        <f t="shared" si="9"/>
        <v>1309466.43</v>
      </c>
      <c r="O33" s="208">
        <f t="shared" si="5"/>
        <v>3334393.7351947306</v>
      </c>
    </row>
    <row r="34" spans="1:15">
      <c r="A34" s="13" t="s">
        <v>29</v>
      </c>
      <c r="B34" s="64" t="s">
        <v>29</v>
      </c>
      <c r="C34" s="9">
        <f>VLOOKUP(B34,Seguridad!$A$14:$F$67,6,FALSE)</f>
        <v>501005.9</v>
      </c>
      <c r="D34" s="9">
        <f>VLOOKUP(B34,Desarrollo!$A$13:$D$69,4,FALSE)</f>
        <v>356194.7</v>
      </c>
      <c r="E34" s="9">
        <f>IFERROR(VLOOKUP(B34,Ultracrecimiento!$A$6:$E$17,5,FALSE),0)</f>
        <v>0</v>
      </c>
      <c r="F34" s="9">
        <f>VLOOKUP(B34,Descentralizados!$I$6:$L$56,4,FALSE)</f>
        <v>165072.37487392567</v>
      </c>
      <c r="G34" s="62">
        <f t="shared" si="0"/>
        <v>1022272.9748739258</v>
      </c>
      <c r="J34" s="258" t="s">
        <v>19</v>
      </c>
      <c r="K34" s="249">
        <f t="shared" si="6"/>
        <v>434345.11</v>
      </c>
      <c r="L34" s="249">
        <f t="shared" si="7"/>
        <v>0</v>
      </c>
      <c r="M34" s="249">
        <f t="shared" si="8"/>
        <v>295624.95149612083</v>
      </c>
      <c r="N34" s="211">
        <f t="shared" si="9"/>
        <v>464731.74</v>
      </c>
      <c r="O34" s="208">
        <f t="shared" si="5"/>
        <v>1194701.8014961209</v>
      </c>
    </row>
    <row r="35" spans="1:15">
      <c r="A35" s="13" t="s">
        <v>30</v>
      </c>
      <c r="B35" s="64" t="s">
        <v>30</v>
      </c>
      <c r="C35" s="9">
        <f>VLOOKUP(B35,Seguridad!$A$14:$F$67,6,FALSE)</f>
        <v>412038.73</v>
      </c>
      <c r="D35" s="9">
        <f>VLOOKUP(B35,Desarrollo!$A$13:$D$69,4,FALSE)</f>
        <v>359883.37</v>
      </c>
      <c r="E35" s="9">
        <f>IFERROR(VLOOKUP(B35,Ultracrecimiento!$A$6:$E$17,5,FALSE),0)</f>
        <v>0</v>
      </c>
      <c r="F35" s="9">
        <f>VLOOKUP(B35,Descentralizados!$I$6:$L$56,4,FALSE)</f>
        <v>200994.39261957086</v>
      </c>
      <c r="G35" s="62">
        <f t="shared" si="0"/>
        <v>972916.49261957081</v>
      </c>
      <c r="J35" s="258" t="s">
        <v>21</v>
      </c>
      <c r="K35" s="249">
        <f t="shared" si="6"/>
        <v>539462.06999999995</v>
      </c>
      <c r="L35" s="249">
        <f t="shared" si="7"/>
        <v>0</v>
      </c>
      <c r="M35" s="249">
        <f t="shared" si="8"/>
        <v>471225.96112374612</v>
      </c>
      <c r="N35" s="211">
        <f t="shared" si="9"/>
        <v>670038.76</v>
      </c>
      <c r="O35" s="208">
        <f t="shared" si="5"/>
        <v>1680726.791123746</v>
      </c>
    </row>
    <row r="36" spans="1:15">
      <c r="A36" s="13" t="s">
        <v>204</v>
      </c>
      <c r="B36" s="64" t="s">
        <v>31</v>
      </c>
      <c r="C36" s="9">
        <f>VLOOKUP(B36,Seguridad!$A$14:$F$67,6,FALSE)</f>
        <v>3383557.6246709409</v>
      </c>
      <c r="D36" s="9">
        <f>VLOOKUP(B36,Desarrollo!$A$13:$D$69,4,FALSE)</f>
        <v>1985411.75</v>
      </c>
      <c r="E36" s="9">
        <f>IFERROR(VLOOKUP(B36,Ultracrecimiento!$A$6:$E$17,5,FALSE),0)</f>
        <v>2150333.3837526804</v>
      </c>
      <c r="F36" s="9">
        <f>VLOOKUP(B36,Descentralizados!$I$6:$L$56,4,FALSE)</f>
        <v>1465103.8336880321</v>
      </c>
      <c r="G36" s="62">
        <f t="shared" si="0"/>
        <v>8984406.5921116546</v>
      </c>
      <c r="J36" s="258" t="s">
        <v>22</v>
      </c>
      <c r="K36" s="249">
        <f t="shared" si="6"/>
        <v>313506.53999999998</v>
      </c>
      <c r="L36" s="249">
        <f t="shared" si="7"/>
        <v>0</v>
      </c>
      <c r="M36" s="249">
        <f t="shared" si="8"/>
        <v>214938.9402726251</v>
      </c>
      <c r="N36" s="211">
        <f t="shared" si="9"/>
        <v>376480.5</v>
      </c>
      <c r="O36" s="208">
        <f t="shared" si="5"/>
        <v>904925.98027262511</v>
      </c>
    </row>
    <row r="37" spans="1:15">
      <c r="A37" s="13" t="s">
        <v>32</v>
      </c>
      <c r="B37" s="64" t="s">
        <v>32</v>
      </c>
      <c r="C37" s="9">
        <f>VLOOKUP(B37,Seguridad!$A$14:$F$67,6,FALSE)</f>
        <v>461032.72</v>
      </c>
      <c r="D37" s="9">
        <f>VLOOKUP(B37,Desarrollo!$A$13:$D$69,4,FALSE)</f>
        <v>502581.5</v>
      </c>
      <c r="E37" s="9">
        <f>IFERROR(VLOOKUP(B37,Ultracrecimiento!$A$6:$E$17,5,FALSE),0)</f>
        <v>0</v>
      </c>
      <c r="F37" s="9">
        <f>VLOOKUP(B37,Descentralizados!$I$6:$L$56,4,FALSE)</f>
        <v>409615.8833234518</v>
      </c>
      <c r="G37" s="62">
        <f t="shared" si="0"/>
        <v>1373230.1033234517</v>
      </c>
      <c r="J37" s="258" t="s">
        <v>23</v>
      </c>
      <c r="K37" s="249">
        <f t="shared" si="6"/>
        <v>418277.82</v>
      </c>
      <c r="L37" s="249">
        <f t="shared" si="7"/>
        <v>0</v>
      </c>
      <c r="M37" s="249">
        <f t="shared" si="8"/>
        <v>340332.44893929962</v>
      </c>
      <c r="N37" s="211">
        <f t="shared" si="9"/>
        <v>483250.65</v>
      </c>
      <c r="O37" s="208">
        <f t="shared" si="5"/>
        <v>1241860.9189392996</v>
      </c>
    </row>
    <row r="38" spans="1:15">
      <c r="A38" s="13" t="s">
        <v>33</v>
      </c>
      <c r="B38" s="64" t="s">
        <v>33</v>
      </c>
      <c r="C38" s="9">
        <f>VLOOKUP(B38,Seguridad!$A$14:$F$67,6,FALSE)</f>
        <v>2353852.2400000002</v>
      </c>
      <c r="D38" s="9">
        <f>VLOOKUP(B38,Desarrollo!$A$13:$D$69,4,FALSE)</f>
        <v>931531.66</v>
      </c>
      <c r="E38" s="9">
        <f>IFERROR(VLOOKUP(B38,Ultracrecimiento!$A$6:$E$17,5,FALSE),0)</f>
        <v>0</v>
      </c>
      <c r="F38" s="9">
        <f>VLOOKUP(B38,Descentralizados!$I$6:$L$56,4,FALSE)</f>
        <v>1180575.9289833552</v>
      </c>
      <c r="G38" s="62">
        <f t="shared" ref="G38:G56" si="10">SUM(C38:F38)</f>
        <v>4465959.8289833553</v>
      </c>
      <c r="J38" s="258" t="s">
        <v>24</v>
      </c>
      <c r="K38" s="249">
        <f t="shared" si="6"/>
        <v>839594.41</v>
      </c>
      <c r="L38" s="249">
        <f t="shared" si="7"/>
        <v>954599.06012261333</v>
      </c>
      <c r="M38" s="249">
        <f t="shared" si="8"/>
        <v>972605.96691454691</v>
      </c>
      <c r="N38" s="211">
        <f t="shared" si="9"/>
        <v>2771076.77</v>
      </c>
      <c r="O38" s="208">
        <f t="shared" si="5"/>
        <v>5537876.2070371602</v>
      </c>
    </row>
    <row r="39" spans="1:15">
      <c r="A39" s="13" t="s">
        <v>205</v>
      </c>
      <c r="B39" s="64" t="s">
        <v>34</v>
      </c>
      <c r="C39" s="9">
        <f>VLOOKUP(B39,Seguridad!$A$14:$F$67,6,FALSE)</f>
        <v>455496.14</v>
      </c>
      <c r="D39" s="9">
        <f>VLOOKUP(B39,Desarrollo!$A$13:$D$69,4,FALSE)</f>
        <v>382931.58</v>
      </c>
      <c r="E39" s="9">
        <f>IFERROR(VLOOKUP(B39,Ultracrecimiento!$A$6:$E$17,5,FALSE),0)</f>
        <v>0</v>
      </c>
      <c r="F39" s="9">
        <f>VLOOKUP(B39,Descentralizados!$I$6:$L$56,4,FALSE)</f>
        <v>264613.6535775896</v>
      </c>
      <c r="G39" s="62">
        <f t="shared" si="10"/>
        <v>1103041.3735775896</v>
      </c>
      <c r="J39" s="258" t="s">
        <v>26</v>
      </c>
      <c r="K39" s="249">
        <f t="shared" si="6"/>
        <v>316147.27</v>
      </c>
      <c r="L39" s="249">
        <f t="shared" si="7"/>
        <v>0</v>
      </c>
      <c r="M39" s="249">
        <f t="shared" si="8"/>
        <v>201348.380720783</v>
      </c>
      <c r="N39" s="211">
        <f t="shared" si="9"/>
        <v>380084.05</v>
      </c>
      <c r="O39" s="208">
        <f t="shared" si="5"/>
        <v>897579.70072078309</v>
      </c>
    </row>
    <row r="40" spans="1:15">
      <c r="A40" s="13" t="s">
        <v>35</v>
      </c>
      <c r="B40" s="64" t="s">
        <v>35</v>
      </c>
      <c r="C40" s="9">
        <f>VLOOKUP(B40,Seguridad!$A$14:$F$67,6,FALSE)</f>
        <v>368724.51</v>
      </c>
      <c r="D40" s="9">
        <f>VLOOKUP(B40,Desarrollo!$A$13:$D$69,4,FALSE)</f>
        <v>280532.77</v>
      </c>
      <c r="E40" s="9">
        <f>IFERROR(VLOOKUP(B40,Ultracrecimiento!$A$6:$E$17,5,FALSE),0)</f>
        <v>0</v>
      </c>
      <c r="F40" s="9">
        <f>VLOOKUP(B40,Descentralizados!$I$6:$L$56,4,FALSE)</f>
        <v>258289.40993765972</v>
      </c>
      <c r="G40" s="62">
        <f t="shared" si="10"/>
        <v>907546.68993765977</v>
      </c>
      <c r="J40" s="258" t="s">
        <v>27</v>
      </c>
      <c r="K40" s="249">
        <f t="shared" si="6"/>
        <v>368830.38</v>
      </c>
      <c r="L40" s="249">
        <f t="shared" si="7"/>
        <v>0</v>
      </c>
      <c r="M40" s="249">
        <f t="shared" si="8"/>
        <v>210306.25401232424</v>
      </c>
      <c r="N40" s="211">
        <f t="shared" si="9"/>
        <v>717219.04</v>
      </c>
      <c r="O40" s="208">
        <f t="shared" si="5"/>
        <v>1296355.6740123243</v>
      </c>
    </row>
    <row r="41" spans="1:15">
      <c r="A41" s="13" t="s">
        <v>36</v>
      </c>
      <c r="B41" s="64" t="s">
        <v>36</v>
      </c>
      <c r="C41" s="9">
        <f>VLOOKUP(B41,Seguridad!$A$14:$F$67,6,FALSE)</f>
        <v>515945.13</v>
      </c>
      <c r="D41" s="9">
        <f>VLOOKUP(B41,Desarrollo!$A$13:$D$69,4,FALSE)</f>
        <v>434476.68</v>
      </c>
      <c r="E41" s="9">
        <f>IFERROR(VLOOKUP(B41,Ultracrecimiento!$A$6:$E$17,5,FALSE),0)</f>
        <v>0</v>
      </c>
      <c r="F41" s="9">
        <f>VLOOKUP(B41,Descentralizados!$I$6:$L$56,4,FALSE)</f>
        <v>334120.64596245222</v>
      </c>
      <c r="G41" s="62">
        <f t="shared" si="10"/>
        <v>1284542.4559624523</v>
      </c>
      <c r="J41" s="258" t="s">
        <v>28</v>
      </c>
      <c r="K41" s="249">
        <f t="shared" si="6"/>
        <v>340391.07</v>
      </c>
      <c r="L41" s="249">
        <f t="shared" si="7"/>
        <v>0</v>
      </c>
      <c r="M41" s="249">
        <f t="shared" si="8"/>
        <v>184361.89706776637</v>
      </c>
      <c r="N41" s="211">
        <f t="shared" si="9"/>
        <v>366409.65</v>
      </c>
      <c r="O41" s="208">
        <f t="shared" si="5"/>
        <v>891162.61706776638</v>
      </c>
    </row>
    <row r="42" spans="1:15">
      <c r="A42" s="13" t="s">
        <v>37</v>
      </c>
      <c r="B42" s="64" t="s">
        <v>37</v>
      </c>
      <c r="C42" s="9">
        <f>VLOOKUP(B42,Seguridad!$A$14:$F$67,6,FALSE)</f>
        <v>477666.34</v>
      </c>
      <c r="D42" s="9">
        <f>VLOOKUP(B42,Desarrollo!$A$13:$D$69,4,FALSE)</f>
        <v>491020.18</v>
      </c>
      <c r="E42" s="9">
        <f>IFERROR(VLOOKUP(B42,Ultracrecimiento!$A$6:$E$17,5,FALSE),0)</f>
        <v>0</v>
      </c>
      <c r="F42" s="9">
        <f>VLOOKUP(B42,Descentralizados!$I$6:$L$56,4,FALSE)</f>
        <v>390302.34364521637</v>
      </c>
      <c r="G42" s="62">
        <f t="shared" si="10"/>
        <v>1358988.8636452165</v>
      </c>
      <c r="J42" s="258" t="s">
        <v>29</v>
      </c>
      <c r="K42" s="249">
        <f t="shared" si="6"/>
        <v>356194.7</v>
      </c>
      <c r="L42" s="249">
        <f t="shared" si="7"/>
        <v>0</v>
      </c>
      <c r="M42" s="249">
        <f t="shared" si="8"/>
        <v>165072.37487392567</v>
      </c>
      <c r="N42" s="211">
        <f t="shared" si="9"/>
        <v>501005.9</v>
      </c>
      <c r="O42" s="208">
        <f t="shared" si="5"/>
        <v>1022272.9748739257</v>
      </c>
    </row>
    <row r="43" spans="1:15">
      <c r="A43" s="13" t="s">
        <v>38</v>
      </c>
      <c r="B43" s="64" t="s">
        <v>38</v>
      </c>
      <c r="C43" s="9">
        <f>VLOOKUP(B43,Seguridad!$A$14:$F$67,6,FALSE)</f>
        <v>1942474.53</v>
      </c>
      <c r="D43" s="9">
        <f>VLOOKUP(B43,Desarrollo!$A$13:$D$69,4,FALSE)</f>
        <v>764342.48</v>
      </c>
      <c r="E43" s="9">
        <f>IFERROR(VLOOKUP(B43,Ultracrecimiento!$A$6:$E$17,5,FALSE),0)</f>
        <v>0</v>
      </c>
      <c r="F43" s="9">
        <f>VLOOKUP(B43,Descentralizados!$I$6:$L$56,4,FALSE)</f>
        <v>1492133.0807035097</v>
      </c>
      <c r="G43" s="62">
        <f t="shared" si="10"/>
        <v>4198950.0907035097</v>
      </c>
      <c r="J43" s="258" t="s">
        <v>30</v>
      </c>
      <c r="K43" s="249">
        <f t="shared" si="6"/>
        <v>359883.37</v>
      </c>
      <c r="L43" s="249">
        <f t="shared" si="7"/>
        <v>0</v>
      </c>
      <c r="M43" s="249">
        <f t="shared" si="8"/>
        <v>200994.39261957086</v>
      </c>
      <c r="N43" s="211">
        <f t="shared" si="9"/>
        <v>412038.73</v>
      </c>
      <c r="O43" s="208">
        <f t="shared" si="5"/>
        <v>972916.49261957081</v>
      </c>
    </row>
    <row r="44" spans="1:15">
      <c r="A44" s="13" t="s">
        <v>39</v>
      </c>
      <c r="B44" s="64" t="s">
        <v>39</v>
      </c>
      <c r="C44" s="9">
        <f>VLOOKUP(B44,Seguridad!$A$14:$F$67,6,FALSE)</f>
        <v>7727220.9351112684</v>
      </c>
      <c r="D44" s="9">
        <f>VLOOKUP(B44,Desarrollo!$A$13:$D$69,4,FALSE)</f>
        <v>7524227.9100000001</v>
      </c>
      <c r="E44" s="9">
        <f>IFERROR(VLOOKUP(B44,Ultracrecimiento!$A$6:$E$17,5,FALSE),0)</f>
        <v>0</v>
      </c>
      <c r="F44" s="9">
        <f>VLOOKUP(B44,Descentralizados!$I$6:$L$56,4,FALSE)</f>
        <v>8153586.57172768</v>
      </c>
      <c r="G44" s="62">
        <f t="shared" si="10"/>
        <v>23405035.416838951</v>
      </c>
      <c r="J44" s="258" t="s">
        <v>32</v>
      </c>
      <c r="K44" s="249">
        <f t="shared" si="6"/>
        <v>502581.5</v>
      </c>
      <c r="L44" s="249">
        <f t="shared" si="7"/>
        <v>0</v>
      </c>
      <c r="M44" s="249">
        <f t="shared" si="8"/>
        <v>409615.8833234518</v>
      </c>
      <c r="N44" s="211">
        <f t="shared" si="9"/>
        <v>461032.72</v>
      </c>
      <c r="O44" s="208">
        <f t="shared" si="5"/>
        <v>1373230.1033234517</v>
      </c>
    </row>
    <row r="45" spans="1:15">
      <c r="A45" s="13" t="s">
        <v>206</v>
      </c>
      <c r="B45" s="64" t="s">
        <v>40</v>
      </c>
      <c r="C45" s="9">
        <f>VLOOKUP(B45,Seguridad!$A$14:$F$67,6,FALSE)</f>
        <v>354954.65</v>
      </c>
      <c r="D45" s="9">
        <f>VLOOKUP(B45,Desarrollo!$A$13:$D$69,4,FALSE)</f>
        <v>374943.39</v>
      </c>
      <c r="E45" s="9">
        <f>IFERROR(VLOOKUP(B45,Ultracrecimiento!$A$6:$E$17,5,FALSE),0)</f>
        <v>0</v>
      </c>
      <c r="F45" s="9">
        <f>VLOOKUP(B45,Descentralizados!$I$6:$L$56,4,FALSE)</f>
        <v>296299.24811091315</v>
      </c>
      <c r="G45" s="62">
        <f t="shared" si="10"/>
        <v>1026197.2881109132</v>
      </c>
      <c r="J45" s="258" t="s">
        <v>33</v>
      </c>
      <c r="K45" s="249">
        <f t="shared" si="6"/>
        <v>931531.66</v>
      </c>
      <c r="L45" s="249">
        <f t="shared" si="7"/>
        <v>0</v>
      </c>
      <c r="M45" s="249">
        <f t="shared" si="8"/>
        <v>1180575.9289833552</v>
      </c>
      <c r="N45" s="211">
        <f t="shared" si="9"/>
        <v>2353852.2400000002</v>
      </c>
      <c r="O45" s="208">
        <f t="shared" si="5"/>
        <v>4465959.8289833553</v>
      </c>
    </row>
    <row r="46" spans="1:15">
      <c r="A46" s="13" t="s">
        <v>207</v>
      </c>
      <c r="B46" s="64" t="s">
        <v>41</v>
      </c>
      <c r="C46" s="9">
        <f>VLOOKUP(B46,Seguridad!$A$14:$F$67,6,FALSE)</f>
        <v>3856318.75</v>
      </c>
      <c r="D46" s="9">
        <f>VLOOKUP(B46,Desarrollo!$A$13:$D$69,4,FALSE)</f>
        <v>1108644.76</v>
      </c>
      <c r="E46" s="9">
        <f>IFERROR(VLOOKUP(B46,Ultracrecimiento!$A$6:$E$17,5,FALSE),0)</f>
        <v>1091148.7740864409</v>
      </c>
      <c r="F46" s="9">
        <f>VLOOKUP(B46,Descentralizados!$I$6:$L$56,4,FALSE)</f>
        <v>1422062.5964610022</v>
      </c>
      <c r="G46" s="62">
        <f t="shared" si="10"/>
        <v>7478174.8805474434</v>
      </c>
      <c r="J46" s="258" t="s">
        <v>34</v>
      </c>
      <c r="K46" s="249">
        <f t="shared" si="6"/>
        <v>382931.58</v>
      </c>
      <c r="L46" s="249">
        <f t="shared" si="7"/>
        <v>0</v>
      </c>
      <c r="M46" s="249">
        <f t="shared" si="8"/>
        <v>264613.6535775896</v>
      </c>
      <c r="N46" s="211">
        <f t="shared" si="9"/>
        <v>455496.14</v>
      </c>
      <c r="O46" s="208">
        <f t="shared" si="5"/>
        <v>1103041.3735775896</v>
      </c>
    </row>
    <row r="47" spans="1:15">
      <c r="A47" s="13" t="s">
        <v>208</v>
      </c>
      <c r="B47" s="64" t="s">
        <v>42</v>
      </c>
      <c r="C47" s="9">
        <f>VLOOKUP(B47,Seguridad!$A$14:$F$67,6,FALSE)</f>
        <v>461939.58</v>
      </c>
      <c r="D47" s="9">
        <f>VLOOKUP(B47,Desarrollo!$A$13:$D$69,4,FALSE)</f>
        <v>387613.22</v>
      </c>
      <c r="E47" s="9">
        <f>IFERROR(VLOOKUP(B47,Ultracrecimiento!$A$6:$E$17,5,FALSE),0)</f>
        <v>0</v>
      </c>
      <c r="F47" s="9">
        <f>VLOOKUP(B47,Descentralizados!$I$6:$L$56,4,FALSE)</f>
        <v>217557.95083093049</v>
      </c>
      <c r="G47" s="62">
        <f t="shared" si="10"/>
        <v>1067110.7508309307</v>
      </c>
      <c r="J47" s="258" t="s">
        <v>35</v>
      </c>
      <c r="K47" s="249">
        <f t="shared" si="6"/>
        <v>280532.77</v>
      </c>
      <c r="L47" s="249">
        <f t="shared" si="7"/>
        <v>0</v>
      </c>
      <c r="M47" s="249">
        <f t="shared" si="8"/>
        <v>258289.40993765972</v>
      </c>
      <c r="N47" s="211">
        <f t="shared" si="9"/>
        <v>368724.51</v>
      </c>
      <c r="O47" s="208">
        <f t="shared" si="5"/>
        <v>907546.68993765977</v>
      </c>
    </row>
    <row r="48" spans="1:15">
      <c r="A48" s="13" t="s">
        <v>43</v>
      </c>
      <c r="B48" s="64" t="s">
        <v>43</v>
      </c>
      <c r="C48" s="9">
        <f>VLOOKUP(B48,Seguridad!$A$14:$F$67,6,FALSE)</f>
        <v>390059.45</v>
      </c>
      <c r="D48" s="9">
        <f>VLOOKUP(B48,Desarrollo!$A$13:$D$69,4,FALSE)</f>
        <v>377184.96</v>
      </c>
      <c r="E48" s="9">
        <f>IFERROR(VLOOKUP(B48,Ultracrecimiento!$A$6:$E$17,5,FALSE),0)</f>
        <v>0</v>
      </c>
      <c r="F48" s="9">
        <f>VLOOKUP(B48,Descentralizados!$I$6:$L$56,4,FALSE)</f>
        <v>215238.04648679294</v>
      </c>
      <c r="G48" s="62">
        <f t="shared" si="10"/>
        <v>982482.456486793</v>
      </c>
      <c r="J48" s="258" t="s">
        <v>36</v>
      </c>
      <c r="K48" s="249">
        <f t="shared" si="6"/>
        <v>434476.68</v>
      </c>
      <c r="L48" s="249">
        <f t="shared" si="7"/>
        <v>0</v>
      </c>
      <c r="M48" s="249">
        <f t="shared" si="8"/>
        <v>334120.64596245222</v>
      </c>
      <c r="N48" s="211">
        <f t="shared" si="9"/>
        <v>515945.13</v>
      </c>
      <c r="O48" s="208">
        <f t="shared" si="5"/>
        <v>1284542.4559624521</v>
      </c>
    </row>
    <row r="49" spans="1:15">
      <c r="A49" s="13" t="s">
        <v>44</v>
      </c>
      <c r="B49" s="64" t="s">
        <v>44</v>
      </c>
      <c r="C49" s="9">
        <f>VLOOKUP(B49,Seguridad!$A$14:$F$67,6,FALSE)</f>
        <v>1161649.19</v>
      </c>
      <c r="D49" s="9">
        <f>VLOOKUP(B49,Desarrollo!$A$13:$D$69,4,FALSE)</f>
        <v>585931.88</v>
      </c>
      <c r="E49" s="9">
        <f>IFERROR(VLOOKUP(B49,Ultracrecimiento!$A$6:$E$17,5,FALSE),0)</f>
        <v>0</v>
      </c>
      <c r="F49" s="9">
        <f>VLOOKUP(B49,Descentralizados!$I$6:$L$56,4,FALSE)</f>
        <v>548855.16503258666</v>
      </c>
      <c r="G49" s="62">
        <f t="shared" si="10"/>
        <v>2296436.2350325864</v>
      </c>
      <c r="J49" s="258" t="s">
        <v>37</v>
      </c>
      <c r="K49" s="249">
        <f t="shared" si="6"/>
        <v>491020.18</v>
      </c>
      <c r="L49" s="249">
        <f t="shared" si="7"/>
        <v>0</v>
      </c>
      <c r="M49" s="249">
        <f t="shared" si="8"/>
        <v>390302.34364521637</v>
      </c>
      <c r="N49" s="211">
        <f t="shared" si="9"/>
        <v>477666.34</v>
      </c>
      <c r="O49" s="208">
        <f t="shared" si="5"/>
        <v>1358988.8636452165</v>
      </c>
    </row>
    <row r="50" spans="1:15">
      <c r="A50" s="13" t="s">
        <v>45</v>
      </c>
      <c r="B50" s="64" t="s">
        <v>45</v>
      </c>
      <c r="C50" s="9">
        <f>VLOOKUP(B50,Seguridad!$A$14:$F$67,6,FALSE)</f>
        <v>894611.91542200954</v>
      </c>
      <c r="D50" s="9">
        <f>VLOOKUP(B50,Desarrollo!$A$13:$D$69,4,FALSE)</f>
        <v>1017625.67</v>
      </c>
      <c r="E50" s="9">
        <f>IFERROR(VLOOKUP(B50,Ultracrecimiento!$A$6:$E$17,5,FALSE),0)</f>
        <v>941586.575871045</v>
      </c>
      <c r="F50" s="9">
        <f>VLOOKUP(B50,Descentralizados!$I$6:$L$56,4,FALSE)</f>
        <v>296438.86212727695</v>
      </c>
      <c r="G50" s="62">
        <f t="shared" si="10"/>
        <v>3150263.023420332</v>
      </c>
      <c r="J50" s="258" t="s">
        <v>38</v>
      </c>
      <c r="K50" s="249">
        <f t="shared" si="6"/>
        <v>764342.48</v>
      </c>
      <c r="L50" s="249">
        <f t="shared" si="7"/>
        <v>0</v>
      </c>
      <c r="M50" s="249">
        <f t="shared" si="8"/>
        <v>1492133.0807035097</v>
      </c>
      <c r="N50" s="211">
        <f t="shared" si="9"/>
        <v>1942474.53</v>
      </c>
      <c r="O50" s="208">
        <f t="shared" si="5"/>
        <v>4198950.0907035097</v>
      </c>
    </row>
    <row r="51" spans="1:15">
      <c r="A51" s="13" t="s">
        <v>209</v>
      </c>
      <c r="B51" s="64" t="s">
        <v>46</v>
      </c>
      <c r="C51" s="9">
        <f>VLOOKUP(B51,Seguridad!$A$14:$F$67,6,FALSE)</f>
        <v>2999797.965313259</v>
      </c>
      <c r="D51" s="9">
        <f>VLOOKUP(B51,Desarrollo!$A$13:$D$69,4,FALSE)</f>
        <v>2481529.7799999998</v>
      </c>
      <c r="E51" s="9">
        <f>IFERROR(VLOOKUP(B51,Ultracrecimiento!$A$6:$E$17,5,FALSE),0)</f>
        <v>0</v>
      </c>
      <c r="F51" s="9">
        <f>VLOOKUP(B51,Descentralizados!$I$6:$L$56,4,FALSE)</f>
        <v>2064198.8067515767</v>
      </c>
      <c r="G51" s="62">
        <f t="shared" si="10"/>
        <v>7545526.552064836</v>
      </c>
      <c r="J51" s="258" t="s">
        <v>40</v>
      </c>
      <c r="K51" s="249">
        <f t="shared" si="6"/>
        <v>374943.39</v>
      </c>
      <c r="L51" s="249">
        <f t="shared" si="7"/>
        <v>0</v>
      </c>
      <c r="M51" s="249">
        <f t="shared" si="8"/>
        <v>296299.24811091315</v>
      </c>
      <c r="N51" s="211">
        <f t="shared" si="9"/>
        <v>354954.65</v>
      </c>
      <c r="O51" s="208">
        <f t="shared" si="5"/>
        <v>1026197.2881109131</v>
      </c>
    </row>
    <row r="52" spans="1:15">
      <c r="A52" s="13" t="s">
        <v>201</v>
      </c>
      <c r="B52" s="64" t="s">
        <v>47</v>
      </c>
      <c r="C52" s="9">
        <f>VLOOKUP(B52,Seguridad!$A$14:$F$67,6,FALSE)</f>
        <v>1188318.3380134874</v>
      </c>
      <c r="D52" s="9">
        <f>VLOOKUP(B52,Desarrollo!$A$13:$D$69,4,FALSE)</f>
        <v>4064465.4</v>
      </c>
      <c r="E52" s="9">
        <f>IFERROR(VLOOKUP(B52,Ultracrecimiento!$A$6:$E$17,5,FALSE),0)</f>
        <v>0</v>
      </c>
      <c r="F52" s="9">
        <f>VLOOKUP(B52,Descentralizados!$I$6:$L$56,4,FALSE)</f>
        <v>3975697.0859524687</v>
      </c>
      <c r="G52" s="62">
        <f t="shared" si="10"/>
        <v>9228480.8239659555</v>
      </c>
      <c r="J52" s="258" t="s">
        <v>41</v>
      </c>
      <c r="K52" s="249">
        <f t="shared" si="6"/>
        <v>1108644.76</v>
      </c>
      <c r="L52" s="249">
        <f t="shared" si="7"/>
        <v>1091148.7740864409</v>
      </c>
      <c r="M52" s="249">
        <f t="shared" si="8"/>
        <v>1422062.5964610022</v>
      </c>
      <c r="N52" s="211">
        <f t="shared" si="9"/>
        <v>3856318.75</v>
      </c>
      <c r="O52" s="208">
        <f t="shared" si="5"/>
        <v>7478174.8805474434</v>
      </c>
    </row>
    <row r="53" spans="1:15">
      <c r="A53" s="13" t="s">
        <v>48</v>
      </c>
      <c r="B53" s="64" t="s">
        <v>48</v>
      </c>
      <c r="C53" s="9">
        <f>VLOOKUP(B53,Seguridad!$A$14:$F$67,6,FALSE)</f>
        <v>2314892.6748100347</v>
      </c>
      <c r="D53" s="9">
        <f>VLOOKUP(B53,Desarrollo!$A$13:$D$69,4,FALSE)</f>
        <v>1652805.24</v>
      </c>
      <c r="E53" s="9">
        <f>IFERROR(VLOOKUP(B53,Ultracrecimiento!$A$6:$E$17,5,FALSE),0)</f>
        <v>1680323.3956626388</v>
      </c>
      <c r="F53" s="9">
        <f>VLOOKUP(B53,Descentralizados!$I$6:$L$56,4,FALSE)</f>
        <v>1063459.7319561327</v>
      </c>
      <c r="G53" s="62">
        <f t="shared" si="10"/>
        <v>6711481.0424288055</v>
      </c>
      <c r="J53" s="258" t="s">
        <v>42</v>
      </c>
      <c r="K53" s="249">
        <f t="shared" si="6"/>
        <v>387613.22</v>
      </c>
      <c r="L53" s="249">
        <f t="shared" si="7"/>
        <v>0</v>
      </c>
      <c r="M53" s="249">
        <f t="shared" si="8"/>
        <v>217557.95083093049</v>
      </c>
      <c r="N53" s="211">
        <f t="shared" si="9"/>
        <v>461939.58</v>
      </c>
      <c r="O53" s="208">
        <f t="shared" si="5"/>
        <v>1067110.7508309304</v>
      </c>
    </row>
    <row r="54" spans="1:15">
      <c r="A54" s="13" t="s">
        <v>49</v>
      </c>
      <c r="B54" s="64" t="s">
        <v>49</v>
      </c>
      <c r="C54" s="9">
        <f>VLOOKUP(B54,Seguridad!$A$14:$F$67,6,FALSE)</f>
        <v>635973.27506669238</v>
      </c>
      <c r="D54" s="9">
        <f>VLOOKUP(B54,Desarrollo!$A$13:$D$69,4,FALSE)</f>
        <v>1193902.0800000001</v>
      </c>
      <c r="E54" s="9">
        <f>IFERROR(VLOOKUP(B54,Ultracrecimiento!$A$6:$E$17,5,FALSE),0)</f>
        <v>979505.74694776279</v>
      </c>
      <c r="F54" s="9">
        <f>VLOOKUP(B54,Descentralizados!$I$6:$L$56,4,FALSE)</f>
        <v>509304.14724725432</v>
      </c>
      <c r="G54" s="62">
        <f t="shared" si="10"/>
        <v>3318685.2492617094</v>
      </c>
      <c r="J54" s="258" t="s">
        <v>43</v>
      </c>
      <c r="K54" s="249">
        <f t="shared" si="6"/>
        <v>377184.96</v>
      </c>
      <c r="L54" s="249">
        <f t="shared" si="7"/>
        <v>0</v>
      </c>
      <c r="M54" s="249">
        <f t="shared" si="8"/>
        <v>215238.04648679294</v>
      </c>
      <c r="N54" s="211">
        <f t="shared" si="9"/>
        <v>390059.45</v>
      </c>
      <c r="O54" s="208">
        <f t="shared" si="5"/>
        <v>982482.456486793</v>
      </c>
    </row>
    <row r="55" spans="1:15">
      <c r="A55" s="13" t="s">
        <v>50</v>
      </c>
      <c r="B55" s="64" t="s">
        <v>50</v>
      </c>
      <c r="C55" s="9">
        <f>VLOOKUP(B55,Seguridad!$A$14:$F$67,6,FALSE)</f>
        <v>370371.17</v>
      </c>
      <c r="D55" s="9">
        <f>VLOOKUP(B55,Desarrollo!$A$13:$D$69,4,FALSE)</f>
        <v>442648.51</v>
      </c>
      <c r="E55" s="9">
        <f>IFERROR(VLOOKUP(B55,Ultracrecimiento!$A$6:$E$17,5,FALSE),0)</f>
        <v>0</v>
      </c>
      <c r="F55" s="9">
        <f>VLOOKUP(B55,Descentralizados!$I$6:$L$56,4,FALSE)</f>
        <v>309496.03556555492</v>
      </c>
      <c r="G55" s="62">
        <f t="shared" si="10"/>
        <v>1122515.7155655548</v>
      </c>
      <c r="J55" s="258" t="s">
        <v>44</v>
      </c>
      <c r="K55" s="249">
        <f t="shared" si="6"/>
        <v>585931.88</v>
      </c>
      <c r="L55" s="249">
        <f t="shared" si="7"/>
        <v>0</v>
      </c>
      <c r="M55" s="249">
        <f t="shared" si="8"/>
        <v>548855.16503258666</v>
      </c>
      <c r="N55" s="211">
        <f t="shared" si="9"/>
        <v>1161649.19</v>
      </c>
      <c r="O55" s="208">
        <f t="shared" si="5"/>
        <v>2296436.2350325864</v>
      </c>
    </row>
    <row r="56" spans="1:15">
      <c r="A56" s="13" t="s">
        <v>51</v>
      </c>
      <c r="B56" s="64" t="s">
        <v>51</v>
      </c>
      <c r="C56" s="9">
        <f>VLOOKUP(B56,Seguridad!$A$14:$F$67,6,FALSE)</f>
        <v>418601.49</v>
      </c>
      <c r="D56" s="9">
        <f>VLOOKUP(B56,Desarrollo!$A$13:$D$69,4,FALSE)</f>
        <v>412575.62</v>
      </c>
      <c r="E56" s="9">
        <f>IFERROR(VLOOKUP(B56,Ultracrecimiento!$A$6:$E$17,5,FALSE),0)</f>
        <v>0</v>
      </c>
      <c r="F56" s="9">
        <f>VLOOKUP(B56,Descentralizados!$I$6:$L$56,4,FALSE)</f>
        <v>295638.69155837776</v>
      </c>
      <c r="G56" s="62">
        <f t="shared" si="10"/>
        <v>1126815.8015583777</v>
      </c>
      <c r="J56" s="258" t="s">
        <v>50</v>
      </c>
      <c r="K56" s="249">
        <f t="shared" si="6"/>
        <v>442648.51</v>
      </c>
      <c r="L56" s="249">
        <f t="shared" si="7"/>
        <v>0</v>
      </c>
      <c r="M56" s="249">
        <f t="shared" si="8"/>
        <v>309496.03556555492</v>
      </c>
      <c r="N56" s="211">
        <f t="shared" si="9"/>
        <v>370371.17</v>
      </c>
      <c r="O56" s="208">
        <f t="shared" si="5"/>
        <v>1122515.7155655548</v>
      </c>
    </row>
    <row r="57" spans="1:15" ht="13.5" thickBot="1">
      <c r="B57" s="65" t="s">
        <v>52</v>
      </c>
      <c r="C57" s="12">
        <f>SUM(C6:C56)</f>
        <v>69819663.714140087</v>
      </c>
      <c r="D57" s="12">
        <f>SUM(D6:D56)</f>
        <v>50269592.93</v>
      </c>
      <c r="E57" s="12">
        <f>SUM(E6:E56)</f>
        <v>17742209.266310409</v>
      </c>
      <c r="F57" s="12">
        <f>SUM(F6:F56)</f>
        <v>44860182.313114546</v>
      </c>
      <c r="G57" s="20">
        <f t="shared" ref="G57" si="11">SUM(G6:G56)</f>
        <v>182691648.22356501</v>
      </c>
      <c r="J57" s="258" t="s">
        <v>51</v>
      </c>
      <c r="K57" s="249">
        <f t="shared" si="6"/>
        <v>412575.62</v>
      </c>
      <c r="L57" s="249">
        <f t="shared" si="7"/>
        <v>0</v>
      </c>
      <c r="M57" s="249">
        <f t="shared" si="8"/>
        <v>295638.69155837776</v>
      </c>
      <c r="N57" s="211">
        <f t="shared" si="9"/>
        <v>418601.49</v>
      </c>
      <c r="O57" s="208">
        <f t="shared" si="5"/>
        <v>1126815.8015583777</v>
      </c>
    </row>
    <row r="58" spans="1:15" ht="14.25" thickTop="1" thickBot="1">
      <c r="C58" s="9">
        <f>'Part. 2022 Mes'!B20+'Part. 2022 Mes'!C20</f>
        <v>69819663.727798387</v>
      </c>
      <c r="D58" s="9">
        <f>'Part. 2022 Mes'!B31</f>
        <v>50269592.921212792</v>
      </c>
      <c r="E58" s="9">
        <f>'Part. 2022 Mes'!B36</f>
        <v>17742209.266310401</v>
      </c>
      <c r="F58" s="9">
        <f>Descentralizados!E57</f>
        <v>44860182.313114546</v>
      </c>
      <c r="J58" s="259" t="s">
        <v>129</v>
      </c>
      <c r="K58" s="260">
        <f>SUM(K19:K57)</f>
        <v>20107837.18</v>
      </c>
      <c r="L58" s="260">
        <f>SUM(L19:L57)</f>
        <v>3883667.7426919467</v>
      </c>
      <c r="M58" s="260">
        <f>SUM(M19:M57)</f>
        <v>19506823.476642512</v>
      </c>
      <c r="N58" s="261">
        <f>SUM(N19:N57)</f>
        <v>34127865.47746107</v>
      </c>
      <c r="O58" s="256">
        <f>SUM(O19:O57)</f>
        <v>77626193.87679553</v>
      </c>
    </row>
    <row r="59" spans="1:15" ht="13.5" thickBot="1">
      <c r="A59" s="295">
        <v>1</v>
      </c>
      <c r="B59" s="295">
        <v>2</v>
      </c>
      <c r="C59" s="295">
        <v>3</v>
      </c>
      <c r="D59" s="295">
        <v>5</v>
      </c>
      <c r="E59" s="295">
        <v>6</v>
      </c>
      <c r="F59" s="295">
        <v>7</v>
      </c>
      <c r="J59" s="259" t="s">
        <v>52</v>
      </c>
      <c r="K59" s="260">
        <f>K58+K18</f>
        <v>50269592.93</v>
      </c>
      <c r="L59" s="260">
        <f>L58+L18</f>
        <v>17742209.266310405</v>
      </c>
      <c r="M59" s="260">
        <f>M58+M18</f>
        <v>44860182.313114539</v>
      </c>
      <c r="N59" s="261">
        <f>N58+N18</f>
        <v>69819663.714140117</v>
      </c>
      <c r="O59" s="256">
        <f>O58+O18</f>
        <v>182691648.22356504</v>
      </c>
    </row>
    <row r="60" spans="1:15" ht="48" customHeight="1">
      <c r="B60" s="296"/>
      <c r="C60" s="297" t="s">
        <v>136</v>
      </c>
      <c r="D60" s="297" t="s">
        <v>144</v>
      </c>
      <c r="E60" s="297" t="s">
        <v>149</v>
      </c>
      <c r="F60" s="297" t="s">
        <v>164</v>
      </c>
    </row>
    <row r="79" spans="2:8">
      <c r="B79" s="341" t="s">
        <v>0</v>
      </c>
      <c r="C79" s="342" t="s">
        <v>239</v>
      </c>
      <c r="D79" s="341" t="s">
        <v>237</v>
      </c>
      <c r="E79" s="341" t="s">
        <v>240</v>
      </c>
      <c r="F79" s="341" t="s">
        <v>238</v>
      </c>
      <c r="H79" s="9"/>
    </row>
    <row r="80" spans="2:8">
      <c r="B80" s="9" t="s">
        <v>1</v>
      </c>
      <c r="C80" s="340">
        <v>44562</v>
      </c>
      <c r="D80" s="9" t="s">
        <v>136</v>
      </c>
      <c r="E80" s="9" t="str">
        <f t="shared" ref="E80:E143" si="12">"01 ENERO"</f>
        <v>01 ENERO</v>
      </c>
      <c r="F80" s="9">
        <f t="shared" ref="F80:F111" si="13">C6</f>
        <v>404306.60746106855</v>
      </c>
      <c r="H80" s="9"/>
    </row>
    <row r="81" spans="2:8">
      <c r="B81" s="9" t="s">
        <v>2</v>
      </c>
      <c r="C81" s="340">
        <v>44562</v>
      </c>
      <c r="D81" s="9" t="s">
        <v>136</v>
      </c>
      <c r="E81" s="9" t="str">
        <f t="shared" si="12"/>
        <v>01 ENERO</v>
      </c>
      <c r="F81" s="9">
        <f t="shared" si="13"/>
        <v>414043.36</v>
      </c>
      <c r="H81" s="9"/>
    </row>
    <row r="82" spans="2:8">
      <c r="B82" s="9" t="s">
        <v>3</v>
      </c>
      <c r="C82" s="340">
        <v>44562</v>
      </c>
      <c r="D82" s="9" t="s">
        <v>136</v>
      </c>
      <c r="E82" s="9" t="str">
        <f t="shared" si="12"/>
        <v>01 ENERO</v>
      </c>
      <c r="F82" s="9">
        <f t="shared" si="13"/>
        <v>366910.8</v>
      </c>
      <c r="H82" s="9"/>
    </row>
    <row r="83" spans="2:8">
      <c r="B83" s="9" t="s">
        <v>4</v>
      </c>
      <c r="C83" s="340">
        <v>44562</v>
      </c>
      <c r="D83" s="9" t="s">
        <v>136</v>
      </c>
      <c r="E83" s="9" t="str">
        <f t="shared" si="12"/>
        <v>01 ENERO</v>
      </c>
      <c r="F83" s="9">
        <f t="shared" si="13"/>
        <v>1175490.6499999999</v>
      </c>
      <c r="H83" s="9"/>
    </row>
    <row r="84" spans="2:8">
      <c r="B84" s="9" t="s">
        <v>5</v>
      </c>
      <c r="C84" s="340">
        <v>44562</v>
      </c>
      <c r="D84" s="9" t="s">
        <v>136</v>
      </c>
      <c r="E84" s="9" t="str">
        <f t="shared" si="12"/>
        <v>01 ENERO</v>
      </c>
      <c r="F84" s="9">
        <f t="shared" si="13"/>
        <v>763611.79</v>
      </c>
      <c r="H84" s="9"/>
    </row>
    <row r="85" spans="2:8">
      <c r="B85" s="9" t="s">
        <v>6</v>
      </c>
      <c r="C85" s="340">
        <v>44562</v>
      </c>
      <c r="D85" s="9" t="s">
        <v>136</v>
      </c>
      <c r="E85" s="9" t="str">
        <f t="shared" si="12"/>
        <v>01 ENERO</v>
      </c>
      <c r="F85" s="9">
        <f t="shared" si="13"/>
        <v>4579918.2065816186</v>
      </c>
      <c r="H85" s="9"/>
    </row>
    <row r="86" spans="2:8">
      <c r="B86" s="9" t="s">
        <v>7</v>
      </c>
      <c r="C86" s="340">
        <v>44562</v>
      </c>
      <c r="D86" s="9" t="s">
        <v>136</v>
      </c>
      <c r="E86" s="9" t="str">
        <f t="shared" si="12"/>
        <v>01 ENERO</v>
      </c>
      <c r="F86" s="9">
        <f t="shared" si="13"/>
        <v>691111.18</v>
      </c>
      <c r="H86" s="9"/>
    </row>
    <row r="87" spans="2:8">
      <c r="B87" s="9" t="s">
        <v>8</v>
      </c>
      <c r="C87" s="340">
        <v>44562</v>
      </c>
      <c r="D87" s="9" t="s">
        <v>136</v>
      </c>
      <c r="E87" s="9" t="str">
        <f t="shared" si="12"/>
        <v>01 ENERO</v>
      </c>
      <c r="F87" s="9">
        <f t="shared" si="13"/>
        <v>420701.58</v>
      </c>
      <c r="H87" s="9"/>
    </row>
    <row r="88" spans="2:8">
      <c r="B88" s="9" t="s">
        <v>9</v>
      </c>
      <c r="C88" s="340">
        <v>44562</v>
      </c>
      <c r="D88" s="9" t="s">
        <v>136</v>
      </c>
      <c r="E88" s="9" t="str">
        <f t="shared" si="12"/>
        <v>01 ENERO</v>
      </c>
      <c r="F88" s="9">
        <f t="shared" si="13"/>
        <v>1124716.339314736</v>
      </c>
      <c r="H88" s="9"/>
    </row>
    <row r="89" spans="2:8">
      <c r="B89" s="9" t="s">
        <v>10</v>
      </c>
      <c r="C89" s="340">
        <v>44562</v>
      </c>
      <c r="D89" s="9" t="s">
        <v>136</v>
      </c>
      <c r="E89" s="9" t="str">
        <f t="shared" si="12"/>
        <v>01 ENERO</v>
      </c>
      <c r="F89" s="9">
        <f t="shared" si="13"/>
        <v>2826657.39</v>
      </c>
      <c r="H89" s="9"/>
    </row>
    <row r="90" spans="2:8">
      <c r="B90" s="9" t="s">
        <v>191</v>
      </c>
      <c r="C90" s="340">
        <v>44562</v>
      </c>
      <c r="D90" s="9" t="s">
        <v>136</v>
      </c>
      <c r="E90" s="9" t="str">
        <f t="shared" si="12"/>
        <v>01 ENERO</v>
      </c>
      <c r="F90" s="9">
        <f t="shared" si="13"/>
        <v>508499.38</v>
      </c>
      <c r="H90" s="9"/>
    </row>
    <row r="91" spans="2:8">
      <c r="B91" s="9" t="s">
        <v>12</v>
      </c>
      <c r="C91" s="340">
        <v>44562</v>
      </c>
      <c r="D91" s="9" t="s">
        <v>136</v>
      </c>
      <c r="E91" s="9" t="str">
        <f t="shared" si="12"/>
        <v>01 ENERO</v>
      </c>
      <c r="F91" s="9">
        <f t="shared" si="13"/>
        <v>570308.66</v>
      </c>
      <c r="H91" s="9"/>
    </row>
    <row r="92" spans="2:8">
      <c r="B92" s="9" t="s">
        <v>13</v>
      </c>
      <c r="C92" s="340">
        <v>44562</v>
      </c>
      <c r="D92" s="9" t="s">
        <v>136</v>
      </c>
      <c r="E92" s="9" t="str">
        <f t="shared" si="12"/>
        <v>01 ENERO</v>
      </c>
      <c r="F92" s="9">
        <f t="shared" si="13"/>
        <v>1973951.92</v>
      </c>
      <c r="H92" s="9"/>
    </row>
    <row r="93" spans="2:8">
      <c r="B93" s="9" t="s">
        <v>14</v>
      </c>
      <c r="C93" s="340">
        <v>44562</v>
      </c>
      <c r="D93" s="9" t="s">
        <v>136</v>
      </c>
      <c r="E93" s="9" t="str">
        <f t="shared" si="12"/>
        <v>01 ENERO</v>
      </c>
      <c r="F93" s="9">
        <f t="shared" si="13"/>
        <v>1194558.46</v>
      </c>
      <c r="H93" s="9"/>
    </row>
    <row r="94" spans="2:8">
      <c r="B94" s="9" t="s">
        <v>15</v>
      </c>
      <c r="C94" s="340">
        <v>44562</v>
      </c>
      <c r="D94" s="9" t="s">
        <v>136</v>
      </c>
      <c r="E94" s="9" t="str">
        <f t="shared" si="12"/>
        <v>01 ENERO</v>
      </c>
      <c r="F94" s="9">
        <f t="shared" si="13"/>
        <v>365789.17</v>
      </c>
      <c r="H94" s="9"/>
    </row>
    <row r="95" spans="2:8">
      <c r="B95" s="9" t="s">
        <v>16</v>
      </c>
      <c r="C95" s="340">
        <v>44562</v>
      </c>
      <c r="D95" s="9" t="s">
        <v>136</v>
      </c>
      <c r="E95" s="9" t="str">
        <f t="shared" si="12"/>
        <v>01 ENERO</v>
      </c>
      <c r="F95" s="9">
        <f t="shared" si="13"/>
        <v>411036.42</v>
      </c>
      <c r="H95" s="9"/>
    </row>
    <row r="96" spans="2:8">
      <c r="B96" s="9" t="s">
        <v>17</v>
      </c>
      <c r="C96" s="340">
        <v>44562</v>
      </c>
      <c r="D96" s="9" t="s">
        <v>136</v>
      </c>
      <c r="E96" s="9" t="str">
        <f t="shared" si="12"/>
        <v>01 ENERO</v>
      </c>
      <c r="F96" s="9">
        <f t="shared" si="13"/>
        <v>1309466.43</v>
      </c>
      <c r="H96" s="9"/>
    </row>
    <row r="97" spans="2:8">
      <c r="B97" s="9" t="s">
        <v>18</v>
      </c>
      <c r="C97" s="340">
        <v>44562</v>
      </c>
      <c r="D97" s="9" t="s">
        <v>136</v>
      </c>
      <c r="E97" s="9" t="str">
        <f t="shared" si="12"/>
        <v>01 ENERO</v>
      </c>
      <c r="F97" s="9">
        <f t="shared" si="13"/>
        <v>2902803.6235222626</v>
      </c>
      <c r="H97" s="9"/>
    </row>
    <row r="98" spans="2:8">
      <c r="B98" s="9" t="s">
        <v>19</v>
      </c>
      <c r="C98" s="340">
        <v>44562</v>
      </c>
      <c r="D98" s="9" t="s">
        <v>136</v>
      </c>
      <c r="E98" s="9" t="str">
        <f t="shared" si="12"/>
        <v>01 ENERO</v>
      </c>
      <c r="F98" s="9">
        <f t="shared" si="13"/>
        <v>464731.74</v>
      </c>
      <c r="H98" s="9"/>
    </row>
    <row r="99" spans="2:8">
      <c r="B99" s="9" t="s">
        <v>20</v>
      </c>
      <c r="C99" s="340">
        <v>44562</v>
      </c>
      <c r="D99" s="9" t="s">
        <v>136</v>
      </c>
      <c r="E99" s="9" t="str">
        <f t="shared" si="12"/>
        <v>01 ENERO</v>
      </c>
      <c r="F99" s="9">
        <f t="shared" si="13"/>
        <v>3446241.0428351904</v>
      </c>
      <c r="H99" s="9"/>
    </row>
    <row r="100" spans="2:8">
      <c r="B100" s="9" t="s">
        <v>21</v>
      </c>
      <c r="C100" s="340">
        <v>44562</v>
      </c>
      <c r="D100" s="9" t="s">
        <v>136</v>
      </c>
      <c r="E100" s="9" t="str">
        <f t="shared" si="12"/>
        <v>01 ENERO</v>
      </c>
      <c r="F100" s="9">
        <f t="shared" si="13"/>
        <v>670038.76</v>
      </c>
      <c r="H100" s="9"/>
    </row>
    <row r="101" spans="2:8">
      <c r="B101" s="9" t="s">
        <v>22</v>
      </c>
      <c r="C101" s="340">
        <v>44562</v>
      </c>
      <c r="D101" s="9" t="s">
        <v>136</v>
      </c>
      <c r="E101" s="9" t="str">
        <f t="shared" si="12"/>
        <v>01 ENERO</v>
      </c>
      <c r="F101" s="9">
        <f t="shared" si="13"/>
        <v>376480.5</v>
      </c>
      <c r="H101" s="9"/>
    </row>
    <row r="102" spans="2:8">
      <c r="B102" s="9" t="s">
        <v>23</v>
      </c>
      <c r="C102" s="340">
        <v>44562</v>
      </c>
      <c r="D102" s="9" t="s">
        <v>136</v>
      </c>
      <c r="E102" s="9" t="str">
        <f t="shared" si="12"/>
        <v>01 ENERO</v>
      </c>
      <c r="F102" s="9">
        <f t="shared" si="13"/>
        <v>483250.65</v>
      </c>
      <c r="H102" s="9"/>
    </row>
    <row r="103" spans="2:8">
      <c r="B103" s="9" t="s">
        <v>24</v>
      </c>
      <c r="C103" s="340">
        <v>44562</v>
      </c>
      <c r="D103" s="9" t="s">
        <v>136</v>
      </c>
      <c r="E103" s="9" t="str">
        <f t="shared" si="12"/>
        <v>01 ENERO</v>
      </c>
      <c r="F103" s="9">
        <f t="shared" si="13"/>
        <v>2771076.77</v>
      </c>
      <c r="H103" s="9"/>
    </row>
    <row r="104" spans="2:8">
      <c r="B104" s="9" t="s">
        <v>25</v>
      </c>
      <c r="C104" s="340">
        <v>44562</v>
      </c>
      <c r="D104" s="9" t="s">
        <v>136</v>
      </c>
      <c r="E104" s="9" t="str">
        <f t="shared" si="12"/>
        <v>01 ENERO</v>
      </c>
      <c r="F104" s="9">
        <f t="shared" si="13"/>
        <v>4493746.296017536</v>
      </c>
      <c r="H104" s="9"/>
    </row>
    <row r="105" spans="2:8">
      <c r="B105" s="9" t="s">
        <v>26</v>
      </c>
      <c r="C105" s="340">
        <v>44562</v>
      </c>
      <c r="D105" s="9" t="s">
        <v>136</v>
      </c>
      <c r="E105" s="9" t="str">
        <f t="shared" si="12"/>
        <v>01 ENERO</v>
      </c>
      <c r="F105" s="9">
        <f t="shared" si="13"/>
        <v>380084.05</v>
      </c>
      <c r="H105" s="9"/>
    </row>
    <row r="106" spans="2:8">
      <c r="B106" s="9" t="s">
        <v>27</v>
      </c>
      <c r="C106" s="340">
        <v>44562</v>
      </c>
      <c r="D106" s="9" t="s">
        <v>136</v>
      </c>
      <c r="E106" s="9" t="str">
        <f t="shared" si="12"/>
        <v>01 ENERO</v>
      </c>
      <c r="F106" s="9">
        <f t="shared" si="13"/>
        <v>717219.04</v>
      </c>
      <c r="H106" s="9"/>
    </row>
    <row r="107" spans="2:8">
      <c r="B107" s="9" t="s">
        <v>28</v>
      </c>
      <c r="C107" s="340">
        <v>44562</v>
      </c>
      <c r="D107" s="9" t="s">
        <v>136</v>
      </c>
      <c r="E107" s="9" t="str">
        <f t="shared" si="12"/>
        <v>01 ENERO</v>
      </c>
      <c r="F107" s="9">
        <f t="shared" si="13"/>
        <v>366409.65</v>
      </c>
      <c r="H107" s="9"/>
    </row>
    <row r="108" spans="2:8">
      <c r="B108" s="9" t="s">
        <v>29</v>
      </c>
      <c r="C108" s="340">
        <v>44562</v>
      </c>
      <c r="D108" s="9" t="s">
        <v>136</v>
      </c>
      <c r="E108" s="9" t="str">
        <f t="shared" si="12"/>
        <v>01 ENERO</v>
      </c>
      <c r="F108" s="9">
        <f t="shared" si="13"/>
        <v>501005.9</v>
      </c>
      <c r="H108" s="9"/>
    </row>
    <row r="109" spans="2:8">
      <c r="B109" s="9" t="s">
        <v>30</v>
      </c>
      <c r="C109" s="340">
        <v>44562</v>
      </c>
      <c r="D109" s="9" t="s">
        <v>136</v>
      </c>
      <c r="E109" s="9" t="str">
        <f t="shared" si="12"/>
        <v>01 ENERO</v>
      </c>
      <c r="F109" s="9">
        <f t="shared" si="13"/>
        <v>412038.73</v>
      </c>
      <c r="H109" s="9"/>
    </row>
    <row r="110" spans="2:8">
      <c r="B110" s="9" t="s">
        <v>31</v>
      </c>
      <c r="C110" s="340">
        <v>44562</v>
      </c>
      <c r="D110" s="9" t="s">
        <v>136</v>
      </c>
      <c r="E110" s="9" t="str">
        <f t="shared" si="12"/>
        <v>01 ENERO</v>
      </c>
      <c r="F110" s="9">
        <f t="shared" si="13"/>
        <v>3383557.6246709409</v>
      </c>
      <c r="H110" s="9"/>
    </row>
    <row r="111" spans="2:8">
      <c r="B111" s="9" t="s">
        <v>32</v>
      </c>
      <c r="C111" s="340">
        <v>44562</v>
      </c>
      <c r="D111" s="9" t="s">
        <v>136</v>
      </c>
      <c r="E111" s="9" t="str">
        <f t="shared" si="12"/>
        <v>01 ENERO</v>
      </c>
      <c r="F111" s="9">
        <f t="shared" si="13"/>
        <v>461032.72</v>
      </c>
      <c r="H111" s="9"/>
    </row>
    <row r="112" spans="2:8">
      <c r="B112" s="9" t="s">
        <v>33</v>
      </c>
      <c r="C112" s="340">
        <v>44562</v>
      </c>
      <c r="D112" s="9" t="s">
        <v>136</v>
      </c>
      <c r="E112" s="9" t="str">
        <f t="shared" si="12"/>
        <v>01 ENERO</v>
      </c>
      <c r="F112" s="9">
        <f t="shared" ref="F112:F130" si="14">C38</f>
        <v>2353852.2400000002</v>
      </c>
      <c r="H112" s="9"/>
    </row>
    <row r="113" spans="2:8">
      <c r="B113" s="9" t="s">
        <v>34</v>
      </c>
      <c r="C113" s="340">
        <v>44562</v>
      </c>
      <c r="D113" s="9" t="s">
        <v>136</v>
      </c>
      <c r="E113" s="9" t="str">
        <f t="shared" si="12"/>
        <v>01 ENERO</v>
      </c>
      <c r="F113" s="9">
        <f t="shared" si="14"/>
        <v>455496.14</v>
      </c>
      <c r="H113" s="9"/>
    </row>
    <row r="114" spans="2:8">
      <c r="B114" s="9" t="s">
        <v>35</v>
      </c>
      <c r="C114" s="340">
        <v>44562</v>
      </c>
      <c r="D114" s="9" t="s">
        <v>136</v>
      </c>
      <c r="E114" s="9" t="str">
        <f t="shared" si="12"/>
        <v>01 ENERO</v>
      </c>
      <c r="F114" s="9">
        <f t="shared" si="14"/>
        <v>368724.51</v>
      </c>
      <c r="H114" s="9"/>
    </row>
    <row r="115" spans="2:8">
      <c r="B115" s="9" t="s">
        <v>36</v>
      </c>
      <c r="C115" s="340">
        <v>44562</v>
      </c>
      <c r="D115" s="9" t="s">
        <v>136</v>
      </c>
      <c r="E115" s="9" t="str">
        <f t="shared" si="12"/>
        <v>01 ENERO</v>
      </c>
      <c r="F115" s="9">
        <f t="shared" si="14"/>
        <v>515945.13</v>
      </c>
      <c r="H115" s="9"/>
    </row>
    <row r="116" spans="2:8">
      <c r="B116" s="9" t="s">
        <v>37</v>
      </c>
      <c r="C116" s="340">
        <v>44562</v>
      </c>
      <c r="D116" s="9" t="s">
        <v>136</v>
      </c>
      <c r="E116" s="9" t="str">
        <f t="shared" si="12"/>
        <v>01 ENERO</v>
      </c>
      <c r="F116" s="9">
        <f t="shared" si="14"/>
        <v>477666.34</v>
      </c>
      <c r="H116" s="9"/>
    </row>
    <row r="117" spans="2:8">
      <c r="B117" s="9" t="s">
        <v>38</v>
      </c>
      <c r="C117" s="340">
        <v>44562</v>
      </c>
      <c r="D117" s="9" t="s">
        <v>136</v>
      </c>
      <c r="E117" s="9" t="str">
        <f t="shared" si="12"/>
        <v>01 ENERO</v>
      </c>
      <c r="F117" s="9">
        <f t="shared" si="14"/>
        <v>1942474.53</v>
      </c>
      <c r="H117" s="9"/>
    </row>
    <row r="118" spans="2:8">
      <c r="B118" s="9" t="s">
        <v>39</v>
      </c>
      <c r="C118" s="340">
        <v>44562</v>
      </c>
      <c r="D118" s="9" t="s">
        <v>136</v>
      </c>
      <c r="E118" s="9" t="str">
        <f t="shared" si="12"/>
        <v>01 ENERO</v>
      </c>
      <c r="F118" s="9">
        <f t="shared" si="14"/>
        <v>7727220.9351112684</v>
      </c>
      <c r="H118" s="9"/>
    </row>
    <row r="119" spans="2:8">
      <c r="B119" s="9" t="s">
        <v>40</v>
      </c>
      <c r="C119" s="340">
        <v>44562</v>
      </c>
      <c r="D119" s="9" t="s">
        <v>136</v>
      </c>
      <c r="E119" s="9" t="str">
        <f t="shared" si="12"/>
        <v>01 ENERO</v>
      </c>
      <c r="F119" s="9">
        <f t="shared" si="14"/>
        <v>354954.65</v>
      </c>
      <c r="H119" s="9"/>
    </row>
    <row r="120" spans="2:8">
      <c r="B120" s="9" t="s">
        <v>41</v>
      </c>
      <c r="C120" s="340">
        <v>44562</v>
      </c>
      <c r="D120" s="9" t="s">
        <v>136</v>
      </c>
      <c r="E120" s="9" t="str">
        <f t="shared" si="12"/>
        <v>01 ENERO</v>
      </c>
      <c r="F120" s="9">
        <f t="shared" si="14"/>
        <v>3856318.75</v>
      </c>
      <c r="H120" s="9"/>
    </row>
    <row r="121" spans="2:8">
      <c r="B121" s="9" t="s">
        <v>42</v>
      </c>
      <c r="C121" s="340">
        <v>44562</v>
      </c>
      <c r="D121" s="9" t="s">
        <v>136</v>
      </c>
      <c r="E121" s="9" t="str">
        <f t="shared" si="12"/>
        <v>01 ENERO</v>
      </c>
      <c r="F121" s="9">
        <f t="shared" si="14"/>
        <v>461939.58</v>
      </c>
      <c r="H121" s="9"/>
    </row>
    <row r="122" spans="2:8">
      <c r="B122" s="9" t="s">
        <v>43</v>
      </c>
      <c r="C122" s="340">
        <v>44562</v>
      </c>
      <c r="D122" s="9" t="s">
        <v>136</v>
      </c>
      <c r="E122" s="9" t="str">
        <f t="shared" si="12"/>
        <v>01 ENERO</v>
      </c>
      <c r="F122" s="9">
        <f t="shared" si="14"/>
        <v>390059.45</v>
      </c>
      <c r="H122" s="9"/>
    </row>
    <row r="123" spans="2:8">
      <c r="B123" s="9" t="s">
        <v>44</v>
      </c>
      <c r="C123" s="340">
        <v>44562</v>
      </c>
      <c r="D123" s="9" t="s">
        <v>136</v>
      </c>
      <c r="E123" s="9" t="str">
        <f t="shared" si="12"/>
        <v>01 ENERO</v>
      </c>
      <c r="F123" s="9">
        <f t="shared" si="14"/>
        <v>1161649.19</v>
      </c>
      <c r="H123" s="9"/>
    </row>
    <row r="124" spans="2:8">
      <c r="B124" s="9" t="s">
        <v>45</v>
      </c>
      <c r="C124" s="340">
        <v>44562</v>
      </c>
      <c r="D124" s="9" t="s">
        <v>136</v>
      </c>
      <c r="E124" s="9" t="str">
        <f t="shared" si="12"/>
        <v>01 ENERO</v>
      </c>
      <c r="F124" s="9">
        <f t="shared" si="14"/>
        <v>894611.91542200954</v>
      </c>
      <c r="H124" s="9"/>
    </row>
    <row r="125" spans="2:8">
      <c r="B125" s="9" t="s">
        <v>46</v>
      </c>
      <c r="C125" s="340">
        <v>44562</v>
      </c>
      <c r="D125" s="9" t="s">
        <v>136</v>
      </c>
      <c r="E125" s="9" t="str">
        <f t="shared" si="12"/>
        <v>01 ENERO</v>
      </c>
      <c r="F125" s="9">
        <f t="shared" si="14"/>
        <v>2999797.965313259</v>
      </c>
      <c r="H125" s="9"/>
    </row>
    <row r="126" spans="2:8">
      <c r="B126" s="9" t="s">
        <v>47</v>
      </c>
      <c r="C126" s="340">
        <v>44562</v>
      </c>
      <c r="D126" s="9" t="s">
        <v>136</v>
      </c>
      <c r="E126" s="9" t="str">
        <f t="shared" si="12"/>
        <v>01 ENERO</v>
      </c>
      <c r="F126" s="9">
        <f t="shared" si="14"/>
        <v>1188318.3380134874</v>
      </c>
      <c r="H126" s="9"/>
    </row>
    <row r="127" spans="2:8">
      <c r="B127" s="9" t="s">
        <v>48</v>
      </c>
      <c r="C127" s="340">
        <v>44562</v>
      </c>
      <c r="D127" s="9" t="s">
        <v>136</v>
      </c>
      <c r="E127" s="9" t="str">
        <f t="shared" si="12"/>
        <v>01 ENERO</v>
      </c>
      <c r="F127" s="9">
        <f t="shared" si="14"/>
        <v>2314892.6748100347</v>
      </c>
      <c r="H127" s="9"/>
    </row>
    <row r="128" spans="2:8">
      <c r="B128" s="9" t="s">
        <v>49</v>
      </c>
      <c r="C128" s="340">
        <v>44562</v>
      </c>
      <c r="D128" s="9" t="s">
        <v>136</v>
      </c>
      <c r="E128" s="9" t="str">
        <f t="shared" si="12"/>
        <v>01 ENERO</v>
      </c>
      <c r="F128" s="9">
        <f t="shared" si="14"/>
        <v>635973.27506669238</v>
      </c>
      <c r="H128" s="9"/>
    </row>
    <row r="129" spans="2:8">
      <c r="B129" s="9" t="s">
        <v>50</v>
      </c>
      <c r="C129" s="340">
        <v>44562</v>
      </c>
      <c r="D129" s="9" t="s">
        <v>136</v>
      </c>
      <c r="E129" s="9" t="str">
        <f t="shared" si="12"/>
        <v>01 ENERO</v>
      </c>
      <c r="F129" s="9">
        <f t="shared" si="14"/>
        <v>370371.17</v>
      </c>
      <c r="H129" s="9"/>
    </row>
    <row r="130" spans="2:8">
      <c r="B130" s="9" t="s">
        <v>51</v>
      </c>
      <c r="C130" s="340">
        <v>44562</v>
      </c>
      <c r="D130" s="9" t="s">
        <v>136</v>
      </c>
      <c r="E130" s="9" t="str">
        <f t="shared" si="12"/>
        <v>01 ENERO</v>
      </c>
      <c r="F130" s="9">
        <f t="shared" si="14"/>
        <v>418601.49</v>
      </c>
      <c r="H130" s="9"/>
    </row>
    <row r="131" spans="2:8">
      <c r="B131" s="9" t="s">
        <v>1</v>
      </c>
      <c r="C131" s="340">
        <v>44562</v>
      </c>
      <c r="D131" s="9" t="s">
        <v>144</v>
      </c>
      <c r="E131" s="9" t="str">
        <f t="shared" si="12"/>
        <v>01 ENERO</v>
      </c>
      <c r="F131" s="9">
        <f>D6</f>
        <v>302886.8</v>
      </c>
      <c r="H131" s="9"/>
    </row>
    <row r="132" spans="2:8">
      <c r="B132" s="9" t="s">
        <v>2</v>
      </c>
      <c r="C132" s="340">
        <v>44562</v>
      </c>
      <c r="D132" s="9" t="s">
        <v>144</v>
      </c>
      <c r="E132" s="9" t="str">
        <f t="shared" si="12"/>
        <v>01 ENERO</v>
      </c>
      <c r="F132" s="9">
        <f t="shared" ref="F132:F181" si="15">D7</f>
        <v>338783.35</v>
      </c>
      <c r="H132" s="9"/>
    </row>
    <row r="133" spans="2:8">
      <c r="B133" s="9" t="s">
        <v>3</v>
      </c>
      <c r="C133" s="340">
        <v>44562</v>
      </c>
      <c r="D133" s="9" t="s">
        <v>144</v>
      </c>
      <c r="E133" s="9" t="str">
        <f t="shared" si="12"/>
        <v>01 ENERO</v>
      </c>
      <c r="F133" s="9">
        <f t="shared" si="15"/>
        <v>360231.63</v>
      </c>
      <c r="H133" s="9"/>
    </row>
    <row r="134" spans="2:8">
      <c r="B134" s="9" t="s">
        <v>4</v>
      </c>
      <c r="C134" s="340">
        <v>44562</v>
      </c>
      <c r="D134" s="9" t="s">
        <v>144</v>
      </c>
      <c r="E134" s="9" t="str">
        <f t="shared" si="12"/>
        <v>01 ENERO</v>
      </c>
      <c r="F134" s="9">
        <f t="shared" si="15"/>
        <v>740918.81</v>
      </c>
      <c r="H134" s="9"/>
    </row>
    <row r="135" spans="2:8">
      <c r="B135" s="9" t="s">
        <v>5</v>
      </c>
      <c r="C135" s="340">
        <v>44562</v>
      </c>
      <c r="D135" s="9" t="s">
        <v>144</v>
      </c>
      <c r="E135" s="9" t="str">
        <f t="shared" si="12"/>
        <v>01 ENERO</v>
      </c>
      <c r="F135" s="9">
        <f t="shared" si="15"/>
        <v>590903.82999999996</v>
      </c>
      <c r="H135" s="9"/>
    </row>
    <row r="136" spans="2:8">
      <c r="B136" s="9" t="s">
        <v>6</v>
      </c>
      <c r="C136" s="340">
        <v>44562</v>
      </c>
      <c r="D136" s="9" t="s">
        <v>144</v>
      </c>
      <c r="E136" s="9" t="str">
        <f t="shared" si="12"/>
        <v>01 ENERO</v>
      </c>
      <c r="F136" s="9">
        <f t="shared" si="15"/>
        <v>2817765.24</v>
      </c>
      <c r="H136" s="9"/>
    </row>
    <row r="137" spans="2:8">
      <c r="B137" s="9" t="s">
        <v>7</v>
      </c>
      <c r="C137" s="340">
        <v>44562</v>
      </c>
      <c r="D137" s="9" t="s">
        <v>144</v>
      </c>
      <c r="E137" s="9" t="str">
        <f t="shared" si="12"/>
        <v>01 ENERO</v>
      </c>
      <c r="F137" s="9">
        <f t="shared" si="15"/>
        <v>558327.57999999996</v>
      </c>
      <c r="H137" s="9"/>
    </row>
    <row r="138" spans="2:8">
      <c r="B138" s="9" t="s">
        <v>8</v>
      </c>
      <c r="C138" s="340">
        <v>44562</v>
      </c>
      <c r="D138" s="9" t="s">
        <v>144</v>
      </c>
      <c r="E138" s="9" t="str">
        <f t="shared" si="12"/>
        <v>01 ENERO</v>
      </c>
      <c r="F138" s="9">
        <f t="shared" si="15"/>
        <v>342452.61</v>
      </c>
      <c r="H138" s="9"/>
    </row>
    <row r="139" spans="2:8">
      <c r="B139" s="9" t="s">
        <v>9</v>
      </c>
      <c r="C139" s="340">
        <v>44562</v>
      </c>
      <c r="D139" s="9" t="s">
        <v>144</v>
      </c>
      <c r="E139" s="9" t="str">
        <f t="shared" si="12"/>
        <v>01 ENERO</v>
      </c>
      <c r="F139" s="9">
        <f t="shared" si="15"/>
        <v>1092402.25</v>
      </c>
      <c r="H139" s="9"/>
    </row>
    <row r="140" spans="2:8">
      <c r="B140" s="9" t="s">
        <v>10</v>
      </c>
      <c r="C140" s="340">
        <v>44562</v>
      </c>
      <c r="D140" s="9" t="s">
        <v>144</v>
      </c>
      <c r="E140" s="9" t="str">
        <f t="shared" si="12"/>
        <v>01 ENERO</v>
      </c>
      <c r="F140" s="9">
        <f t="shared" si="15"/>
        <v>873013.73</v>
      </c>
      <c r="H140" s="9"/>
    </row>
    <row r="141" spans="2:8">
      <c r="B141" s="9" t="s">
        <v>191</v>
      </c>
      <c r="C141" s="340">
        <v>44562</v>
      </c>
      <c r="D141" s="9" t="s">
        <v>144</v>
      </c>
      <c r="E141" s="9" t="str">
        <f t="shared" si="12"/>
        <v>01 ENERO</v>
      </c>
      <c r="F141" s="9">
        <f t="shared" si="15"/>
        <v>493071.94</v>
      </c>
      <c r="H141" s="9"/>
    </row>
    <row r="142" spans="2:8">
      <c r="B142" s="9" t="s">
        <v>12</v>
      </c>
      <c r="C142" s="340">
        <v>44562</v>
      </c>
      <c r="D142" s="9" t="s">
        <v>144</v>
      </c>
      <c r="E142" s="9" t="str">
        <f t="shared" si="12"/>
        <v>01 ENERO</v>
      </c>
      <c r="F142" s="9">
        <f t="shared" si="15"/>
        <v>550687.80000000005</v>
      </c>
      <c r="H142" s="9"/>
    </row>
    <row r="143" spans="2:8">
      <c r="B143" s="9" t="s">
        <v>13</v>
      </c>
      <c r="C143" s="340">
        <v>44562</v>
      </c>
      <c r="D143" s="9" t="s">
        <v>144</v>
      </c>
      <c r="E143" s="9" t="str">
        <f t="shared" si="12"/>
        <v>01 ENERO</v>
      </c>
      <c r="F143" s="9">
        <f t="shared" si="15"/>
        <v>719085.34</v>
      </c>
      <c r="H143" s="9"/>
    </row>
    <row r="144" spans="2:8">
      <c r="B144" s="9" t="s">
        <v>14</v>
      </c>
      <c r="C144" s="340">
        <v>44562</v>
      </c>
      <c r="D144" s="9" t="s">
        <v>144</v>
      </c>
      <c r="E144" s="9" t="str">
        <f t="shared" ref="E144:E207" si="16">"01 ENERO"</f>
        <v>01 ENERO</v>
      </c>
      <c r="F144" s="9">
        <f t="shared" si="15"/>
        <v>921077.84</v>
      </c>
      <c r="H144" s="9"/>
    </row>
    <row r="145" spans="2:8">
      <c r="B145" s="9" t="s">
        <v>15</v>
      </c>
      <c r="C145" s="340">
        <v>44562</v>
      </c>
      <c r="D145" s="9" t="s">
        <v>144</v>
      </c>
      <c r="E145" s="9" t="str">
        <f t="shared" si="16"/>
        <v>01 ENERO</v>
      </c>
      <c r="F145" s="9">
        <f t="shared" si="15"/>
        <v>353560.72</v>
      </c>
      <c r="H145" s="9"/>
    </row>
    <row r="146" spans="2:8">
      <c r="B146" s="9" t="s">
        <v>16</v>
      </c>
      <c r="C146" s="340">
        <v>44562</v>
      </c>
      <c r="D146" s="9" t="s">
        <v>144</v>
      </c>
      <c r="E146" s="9" t="str">
        <f t="shared" si="16"/>
        <v>01 ENERO</v>
      </c>
      <c r="F146" s="9">
        <f t="shared" si="15"/>
        <v>321874.93</v>
      </c>
      <c r="H146" s="9"/>
    </row>
    <row r="147" spans="2:8">
      <c r="B147" s="9" t="s">
        <v>17</v>
      </c>
      <c r="C147" s="340">
        <v>44562</v>
      </c>
      <c r="D147" s="9" t="s">
        <v>144</v>
      </c>
      <c r="E147" s="9" t="str">
        <f t="shared" si="16"/>
        <v>01 ENERO</v>
      </c>
      <c r="F147" s="9">
        <f t="shared" si="15"/>
        <v>877368.34</v>
      </c>
      <c r="H147" s="9"/>
    </row>
    <row r="148" spans="2:8">
      <c r="B148" s="9" t="s">
        <v>18</v>
      </c>
      <c r="C148" s="340">
        <v>44562</v>
      </c>
      <c r="D148" s="9" t="s">
        <v>144</v>
      </c>
      <c r="E148" s="9" t="str">
        <f t="shared" si="16"/>
        <v>01 ENERO</v>
      </c>
      <c r="F148" s="9">
        <f t="shared" si="15"/>
        <v>1733294.26</v>
      </c>
      <c r="H148" s="9"/>
    </row>
    <row r="149" spans="2:8">
      <c r="B149" s="9" t="s">
        <v>19</v>
      </c>
      <c r="C149" s="340">
        <v>44562</v>
      </c>
      <c r="D149" s="9" t="s">
        <v>144</v>
      </c>
      <c r="E149" s="9" t="str">
        <f t="shared" si="16"/>
        <v>01 ENERO</v>
      </c>
      <c r="F149" s="9">
        <f t="shared" si="15"/>
        <v>434345.11</v>
      </c>
      <c r="H149" s="9"/>
    </row>
    <row r="150" spans="2:8">
      <c r="B150" s="9" t="s">
        <v>20</v>
      </c>
      <c r="C150" s="340">
        <v>44562</v>
      </c>
      <c r="D150" s="9" t="s">
        <v>144</v>
      </c>
      <c r="E150" s="9" t="str">
        <f t="shared" si="16"/>
        <v>01 ENERO</v>
      </c>
      <c r="F150" s="9">
        <f t="shared" si="15"/>
        <v>2102538.5699999998</v>
      </c>
      <c r="H150" s="9"/>
    </row>
    <row r="151" spans="2:8">
      <c r="B151" s="9" t="s">
        <v>21</v>
      </c>
      <c r="C151" s="340">
        <v>44562</v>
      </c>
      <c r="D151" s="9" t="s">
        <v>144</v>
      </c>
      <c r="E151" s="9" t="str">
        <f t="shared" si="16"/>
        <v>01 ENERO</v>
      </c>
      <c r="F151" s="9">
        <f t="shared" si="15"/>
        <v>539462.06999999995</v>
      </c>
      <c r="H151" s="9"/>
    </row>
    <row r="152" spans="2:8">
      <c r="B152" s="9" t="s">
        <v>22</v>
      </c>
      <c r="C152" s="340">
        <v>44562</v>
      </c>
      <c r="D152" s="9" t="s">
        <v>144</v>
      </c>
      <c r="E152" s="9" t="str">
        <f t="shared" si="16"/>
        <v>01 ENERO</v>
      </c>
      <c r="F152" s="9">
        <f t="shared" si="15"/>
        <v>313506.53999999998</v>
      </c>
      <c r="H152" s="9"/>
    </row>
    <row r="153" spans="2:8">
      <c r="B153" s="9" t="s">
        <v>23</v>
      </c>
      <c r="C153" s="340">
        <v>44562</v>
      </c>
      <c r="D153" s="9" t="s">
        <v>144</v>
      </c>
      <c r="E153" s="9" t="str">
        <f t="shared" si="16"/>
        <v>01 ENERO</v>
      </c>
      <c r="F153" s="9">
        <f t="shared" si="15"/>
        <v>418277.82</v>
      </c>
      <c r="H153" s="9"/>
    </row>
    <row r="154" spans="2:8">
      <c r="B154" s="9" t="s">
        <v>24</v>
      </c>
      <c r="C154" s="340">
        <v>44562</v>
      </c>
      <c r="D154" s="9" t="s">
        <v>144</v>
      </c>
      <c r="E154" s="9" t="str">
        <f t="shared" si="16"/>
        <v>01 ENERO</v>
      </c>
      <c r="F154" s="9">
        <f t="shared" si="15"/>
        <v>839594.41</v>
      </c>
      <c r="H154" s="9"/>
    </row>
    <row r="155" spans="2:8">
      <c r="B155" s="9" t="s">
        <v>25</v>
      </c>
      <c r="C155" s="340">
        <v>44562</v>
      </c>
      <c r="D155" s="9" t="s">
        <v>144</v>
      </c>
      <c r="E155" s="9" t="str">
        <f t="shared" si="16"/>
        <v>01 ENERO</v>
      </c>
      <c r="F155" s="9">
        <f t="shared" si="15"/>
        <v>2495787.6</v>
      </c>
      <c r="H155" s="9"/>
    </row>
    <row r="156" spans="2:8">
      <c r="B156" s="9" t="s">
        <v>26</v>
      </c>
      <c r="C156" s="340">
        <v>44562</v>
      </c>
      <c r="D156" s="9" t="s">
        <v>144</v>
      </c>
      <c r="E156" s="9" t="str">
        <f t="shared" si="16"/>
        <v>01 ENERO</v>
      </c>
      <c r="F156" s="9">
        <f t="shared" si="15"/>
        <v>316147.27</v>
      </c>
      <c r="H156" s="9"/>
    </row>
    <row r="157" spans="2:8">
      <c r="B157" s="9" t="s">
        <v>27</v>
      </c>
      <c r="C157" s="340">
        <v>44562</v>
      </c>
      <c r="D157" s="9" t="s">
        <v>144</v>
      </c>
      <c r="E157" s="9" t="str">
        <f t="shared" si="16"/>
        <v>01 ENERO</v>
      </c>
      <c r="F157" s="9">
        <f t="shared" si="15"/>
        <v>368830.38</v>
      </c>
      <c r="H157" s="9"/>
    </row>
    <row r="158" spans="2:8">
      <c r="B158" s="9" t="s">
        <v>28</v>
      </c>
      <c r="C158" s="340">
        <v>44562</v>
      </c>
      <c r="D158" s="9" t="s">
        <v>144</v>
      </c>
      <c r="E158" s="9" t="str">
        <f t="shared" si="16"/>
        <v>01 ENERO</v>
      </c>
      <c r="F158" s="9">
        <f t="shared" si="15"/>
        <v>340391.07</v>
      </c>
      <c r="H158" s="9"/>
    </row>
    <row r="159" spans="2:8">
      <c r="B159" s="9" t="s">
        <v>29</v>
      </c>
      <c r="C159" s="340">
        <v>44562</v>
      </c>
      <c r="D159" s="9" t="s">
        <v>144</v>
      </c>
      <c r="E159" s="9" t="str">
        <f t="shared" si="16"/>
        <v>01 ENERO</v>
      </c>
      <c r="F159" s="9">
        <f t="shared" si="15"/>
        <v>356194.7</v>
      </c>
      <c r="H159" s="9"/>
    </row>
    <row r="160" spans="2:8">
      <c r="B160" s="9" t="s">
        <v>30</v>
      </c>
      <c r="C160" s="340">
        <v>44562</v>
      </c>
      <c r="D160" s="9" t="s">
        <v>144</v>
      </c>
      <c r="E160" s="9" t="str">
        <f t="shared" si="16"/>
        <v>01 ENERO</v>
      </c>
      <c r="F160" s="9">
        <f t="shared" si="15"/>
        <v>359883.37</v>
      </c>
      <c r="H160" s="9"/>
    </row>
    <row r="161" spans="2:8">
      <c r="B161" s="9" t="s">
        <v>31</v>
      </c>
      <c r="C161" s="340">
        <v>44562</v>
      </c>
      <c r="D161" s="9" t="s">
        <v>144</v>
      </c>
      <c r="E161" s="9" t="str">
        <f t="shared" si="16"/>
        <v>01 ENERO</v>
      </c>
      <c r="F161" s="9">
        <f t="shared" si="15"/>
        <v>1985411.75</v>
      </c>
      <c r="H161" s="9"/>
    </row>
    <row r="162" spans="2:8">
      <c r="B162" s="9" t="s">
        <v>32</v>
      </c>
      <c r="C162" s="340">
        <v>44562</v>
      </c>
      <c r="D162" s="9" t="s">
        <v>144</v>
      </c>
      <c r="E162" s="9" t="str">
        <f t="shared" si="16"/>
        <v>01 ENERO</v>
      </c>
      <c r="F162" s="9">
        <f t="shared" si="15"/>
        <v>502581.5</v>
      </c>
      <c r="H162" s="9"/>
    </row>
    <row r="163" spans="2:8">
      <c r="B163" s="9" t="s">
        <v>33</v>
      </c>
      <c r="C163" s="340">
        <v>44562</v>
      </c>
      <c r="D163" s="9" t="s">
        <v>144</v>
      </c>
      <c r="E163" s="9" t="str">
        <f t="shared" si="16"/>
        <v>01 ENERO</v>
      </c>
      <c r="F163" s="9">
        <f t="shared" si="15"/>
        <v>931531.66</v>
      </c>
      <c r="H163" s="9"/>
    </row>
    <row r="164" spans="2:8">
      <c r="B164" s="9" t="s">
        <v>34</v>
      </c>
      <c r="C164" s="340">
        <v>44562</v>
      </c>
      <c r="D164" s="9" t="s">
        <v>144</v>
      </c>
      <c r="E164" s="9" t="str">
        <f t="shared" si="16"/>
        <v>01 ENERO</v>
      </c>
      <c r="F164" s="9">
        <f t="shared" si="15"/>
        <v>382931.58</v>
      </c>
      <c r="H164" s="9"/>
    </row>
    <row r="165" spans="2:8">
      <c r="B165" s="9" t="s">
        <v>35</v>
      </c>
      <c r="C165" s="340">
        <v>44562</v>
      </c>
      <c r="D165" s="9" t="s">
        <v>144</v>
      </c>
      <c r="E165" s="9" t="str">
        <f t="shared" si="16"/>
        <v>01 ENERO</v>
      </c>
      <c r="F165" s="9">
        <f t="shared" si="15"/>
        <v>280532.77</v>
      </c>
      <c r="H165" s="9"/>
    </row>
    <row r="166" spans="2:8">
      <c r="B166" s="9" t="s">
        <v>36</v>
      </c>
      <c r="C166" s="340">
        <v>44562</v>
      </c>
      <c r="D166" s="9" t="s">
        <v>144</v>
      </c>
      <c r="E166" s="9" t="str">
        <f t="shared" si="16"/>
        <v>01 ENERO</v>
      </c>
      <c r="F166" s="9">
        <f t="shared" si="15"/>
        <v>434476.68</v>
      </c>
      <c r="H166" s="9"/>
    </row>
    <row r="167" spans="2:8">
      <c r="B167" s="9" t="s">
        <v>37</v>
      </c>
      <c r="C167" s="340">
        <v>44562</v>
      </c>
      <c r="D167" s="9" t="s">
        <v>144</v>
      </c>
      <c r="E167" s="9" t="str">
        <f t="shared" si="16"/>
        <v>01 ENERO</v>
      </c>
      <c r="F167" s="9">
        <f t="shared" si="15"/>
        <v>491020.18</v>
      </c>
      <c r="H167" s="9"/>
    </row>
    <row r="168" spans="2:8">
      <c r="B168" s="9" t="s">
        <v>38</v>
      </c>
      <c r="C168" s="340">
        <v>44562</v>
      </c>
      <c r="D168" s="9" t="s">
        <v>144</v>
      </c>
      <c r="E168" s="9" t="str">
        <f t="shared" si="16"/>
        <v>01 ENERO</v>
      </c>
      <c r="F168" s="9">
        <f t="shared" si="15"/>
        <v>764342.48</v>
      </c>
      <c r="H168" s="9"/>
    </row>
    <row r="169" spans="2:8">
      <c r="B169" s="9" t="s">
        <v>39</v>
      </c>
      <c r="C169" s="340">
        <v>44562</v>
      </c>
      <c r="D169" s="9" t="s">
        <v>144</v>
      </c>
      <c r="E169" s="9" t="str">
        <f t="shared" si="16"/>
        <v>01 ENERO</v>
      </c>
      <c r="F169" s="9">
        <f t="shared" si="15"/>
        <v>7524227.9100000001</v>
      </c>
      <c r="H169" s="9"/>
    </row>
    <row r="170" spans="2:8">
      <c r="B170" s="9" t="s">
        <v>40</v>
      </c>
      <c r="C170" s="340">
        <v>44562</v>
      </c>
      <c r="D170" s="9" t="s">
        <v>144</v>
      </c>
      <c r="E170" s="9" t="str">
        <f t="shared" si="16"/>
        <v>01 ENERO</v>
      </c>
      <c r="F170" s="9">
        <f t="shared" si="15"/>
        <v>374943.39</v>
      </c>
      <c r="H170" s="9"/>
    </row>
    <row r="171" spans="2:8">
      <c r="B171" s="9" t="s">
        <v>41</v>
      </c>
      <c r="C171" s="340">
        <v>44562</v>
      </c>
      <c r="D171" s="9" t="s">
        <v>144</v>
      </c>
      <c r="E171" s="9" t="str">
        <f t="shared" si="16"/>
        <v>01 ENERO</v>
      </c>
      <c r="F171" s="9">
        <f t="shared" si="15"/>
        <v>1108644.76</v>
      </c>
      <c r="H171" s="9"/>
    </row>
    <row r="172" spans="2:8">
      <c r="B172" s="9" t="s">
        <v>42</v>
      </c>
      <c r="C172" s="340">
        <v>44562</v>
      </c>
      <c r="D172" s="9" t="s">
        <v>144</v>
      </c>
      <c r="E172" s="9" t="str">
        <f t="shared" si="16"/>
        <v>01 ENERO</v>
      </c>
      <c r="F172" s="9">
        <f t="shared" si="15"/>
        <v>387613.22</v>
      </c>
      <c r="H172" s="9"/>
    </row>
    <row r="173" spans="2:8">
      <c r="B173" s="9" t="s">
        <v>43</v>
      </c>
      <c r="C173" s="340">
        <v>44562</v>
      </c>
      <c r="D173" s="9" t="s">
        <v>144</v>
      </c>
      <c r="E173" s="9" t="str">
        <f t="shared" si="16"/>
        <v>01 ENERO</v>
      </c>
      <c r="F173" s="9">
        <f t="shared" si="15"/>
        <v>377184.96</v>
      </c>
      <c r="H173" s="9"/>
    </row>
    <row r="174" spans="2:8">
      <c r="B174" s="9" t="s">
        <v>44</v>
      </c>
      <c r="C174" s="340">
        <v>44562</v>
      </c>
      <c r="D174" s="9" t="s">
        <v>144</v>
      </c>
      <c r="E174" s="9" t="str">
        <f t="shared" si="16"/>
        <v>01 ENERO</v>
      </c>
      <c r="F174" s="9">
        <f t="shared" si="15"/>
        <v>585931.88</v>
      </c>
      <c r="H174" s="9"/>
    </row>
    <row r="175" spans="2:8">
      <c r="B175" s="9" t="s">
        <v>45</v>
      </c>
      <c r="C175" s="340">
        <v>44562</v>
      </c>
      <c r="D175" s="9" t="s">
        <v>144</v>
      </c>
      <c r="E175" s="9" t="str">
        <f t="shared" si="16"/>
        <v>01 ENERO</v>
      </c>
      <c r="F175" s="9">
        <f t="shared" si="15"/>
        <v>1017625.67</v>
      </c>
      <c r="H175" s="9"/>
    </row>
    <row r="176" spans="2:8">
      <c r="B176" s="9" t="s">
        <v>46</v>
      </c>
      <c r="C176" s="340">
        <v>44562</v>
      </c>
      <c r="D176" s="9" t="s">
        <v>144</v>
      </c>
      <c r="E176" s="9" t="str">
        <f t="shared" si="16"/>
        <v>01 ENERO</v>
      </c>
      <c r="F176" s="9">
        <f t="shared" si="15"/>
        <v>2481529.7799999998</v>
      </c>
      <c r="H176" s="9"/>
    </row>
    <row r="177" spans="2:8">
      <c r="B177" s="9" t="s">
        <v>47</v>
      </c>
      <c r="C177" s="340">
        <v>44562</v>
      </c>
      <c r="D177" s="9" t="s">
        <v>144</v>
      </c>
      <c r="E177" s="9" t="str">
        <f t="shared" si="16"/>
        <v>01 ENERO</v>
      </c>
      <c r="F177" s="9">
        <f t="shared" si="15"/>
        <v>4064465.4</v>
      </c>
      <c r="H177" s="9"/>
    </row>
    <row r="178" spans="2:8">
      <c r="B178" s="9" t="s">
        <v>48</v>
      </c>
      <c r="C178" s="340">
        <v>44562</v>
      </c>
      <c r="D178" s="9" t="s">
        <v>144</v>
      </c>
      <c r="E178" s="9" t="str">
        <f t="shared" si="16"/>
        <v>01 ENERO</v>
      </c>
      <c r="F178" s="9">
        <f t="shared" si="15"/>
        <v>1652805.24</v>
      </c>
      <c r="H178" s="9"/>
    </row>
    <row r="179" spans="2:8">
      <c r="B179" s="9" t="s">
        <v>49</v>
      </c>
      <c r="C179" s="340">
        <v>44562</v>
      </c>
      <c r="D179" s="9" t="s">
        <v>144</v>
      </c>
      <c r="E179" s="9" t="str">
        <f t="shared" si="16"/>
        <v>01 ENERO</v>
      </c>
      <c r="F179" s="9">
        <f t="shared" si="15"/>
        <v>1193902.0800000001</v>
      </c>
      <c r="H179" s="9"/>
    </row>
    <row r="180" spans="2:8">
      <c r="B180" s="9" t="s">
        <v>50</v>
      </c>
      <c r="C180" s="340">
        <v>44562</v>
      </c>
      <c r="D180" s="9" t="s">
        <v>144</v>
      </c>
      <c r="E180" s="9" t="str">
        <f t="shared" si="16"/>
        <v>01 ENERO</v>
      </c>
      <c r="F180" s="9">
        <f t="shared" si="15"/>
        <v>442648.51</v>
      </c>
      <c r="H180" s="9"/>
    </row>
    <row r="181" spans="2:8">
      <c r="B181" s="9" t="s">
        <v>51</v>
      </c>
      <c r="C181" s="340">
        <v>44562</v>
      </c>
      <c r="D181" s="9" t="s">
        <v>144</v>
      </c>
      <c r="E181" s="9" t="str">
        <f t="shared" si="16"/>
        <v>01 ENERO</v>
      </c>
      <c r="F181" s="9">
        <f t="shared" si="15"/>
        <v>412575.62</v>
      </c>
      <c r="H181" s="9"/>
    </row>
    <row r="182" spans="2:8">
      <c r="B182" s="9" t="s">
        <v>1</v>
      </c>
      <c r="C182" s="340">
        <v>44562</v>
      </c>
      <c r="D182" s="9" t="s">
        <v>149</v>
      </c>
      <c r="E182" s="9" t="str">
        <f t="shared" si="16"/>
        <v>01 ENERO</v>
      </c>
      <c r="F182" s="9">
        <f>E6</f>
        <v>0</v>
      </c>
      <c r="H182" s="9"/>
    </row>
    <row r="183" spans="2:8">
      <c r="B183" s="9" t="s">
        <v>2</v>
      </c>
      <c r="C183" s="340">
        <v>44562</v>
      </c>
      <c r="D183" s="9" t="s">
        <v>149</v>
      </c>
      <c r="E183" s="9" t="str">
        <f t="shared" si="16"/>
        <v>01 ENERO</v>
      </c>
      <c r="F183" s="9">
        <f t="shared" ref="F183:F232" si="17">E7</f>
        <v>0</v>
      </c>
      <c r="H183" s="9"/>
    </row>
    <row r="184" spans="2:8">
      <c r="B184" s="9" t="s">
        <v>3</v>
      </c>
      <c r="C184" s="340">
        <v>44562</v>
      </c>
      <c r="D184" s="9" t="s">
        <v>149</v>
      </c>
      <c r="E184" s="9" t="str">
        <f t="shared" si="16"/>
        <v>01 ENERO</v>
      </c>
      <c r="F184" s="9">
        <f t="shared" si="17"/>
        <v>0</v>
      </c>
      <c r="H184" s="9"/>
    </row>
    <row r="185" spans="2:8">
      <c r="B185" s="9" t="s">
        <v>4</v>
      </c>
      <c r="C185" s="340">
        <v>44562</v>
      </c>
      <c r="D185" s="9" t="s">
        <v>149</v>
      </c>
      <c r="E185" s="9" t="str">
        <f t="shared" si="16"/>
        <v>01 ENERO</v>
      </c>
      <c r="F185" s="9">
        <f t="shared" si="17"/>
        <v>0</v>
      </c>
      <c r="H185" s="9"/>
    </row>
    <row r="186" spans="2:8">
      <c r="B186" s="9" t="s">
        <v>5</v>
      </c>
      <c r="C186" s="340">
        <v>44562</v>
      </c>
      <c r="D186" s="9" t="s">
        <v>149</v>
      </c>
      <c r="E186" s="9" t="str">
        <f t="shared" si="16"/>
        <v>01 ENERO</v>
      </c>
      <c r="F186" s="9">
        <f t="shared" si="17"/>
        <v>0</v>
      </c>
      <c r="H186" s="9"/>
    </row>
    <row r="187" spans="2:8">
      <c r="B187" s="9" t="s">
        <v>6</v>
      </c>
      <c r="C187" s="340">
        <v>44562</v>
      </c>
      <c r="D187" s="9" t="s">
        <v>149</v>
      </c>
      <c r="E187" s="9" t="str">
        <f t="shared" si="16"/>
        <v>01 ENERO</v>
      </c>
      <c r="F187" s="9">
        <f t="shared" si="17"/>
        <v>2948219.998126958</v>
      </c>
      <c r="H187" s="9"/>
    </row>
    <row r="188" spans="2:8">
      <c r="B188" s="9" t="s">
        <v>7</v>
      </c>
      <c r="C188" s="340">
        <v>44562</v>
      </c>
      <c r="D188" s="9" t="s">
        <v>149</v>
      </c>
      <c r="E188" s="9" t="str">
        <f t="shared" si="16"/>
        <v>01 ENERO</v>
      </c>
      <c r="F188" s="9">
        <f t="shared" si="17"/>
        <v>0</v>
      </c>
      <c r="H188" s="9"/>
    </row>
    <row r="189" spans="2:8">
      <c r="B189" s="9" t="s">
        <v>8</v>
      </c>
      <c r="C189" s="340">
        <v>44562</v>
      </c>
      <c r="D189" s="9" t="s">
        <v>149</v>
      </c>
      <c r="E189" s="9" t="str">
        <f t="shared" si="16"/>
        <v>01 ENERO</v>
      </c>
      <c r="F189" s="9">
        <f t="shared" si="17"/>
        <v>0</v>
      </c>
      <c r="H189" s="9"/>
    </row>
    <row r="190" spans="2:8">
      <c r="B190" s="9" t="s">
        <v>9</v>
      </c>
      <c r="C190" s="340">
        <v>44562</v>
      </c>
      <c r="D190" s="9" t="s">
        <v>149</v>
      </c>
      <c r="E190" s="9" t="str">
        <f t="shared" si="16"/>
        <v>01 ENERO</v>
      </c>
      <c r="F190" s="9">
        <f t="shared" si="17"/>
        <v>1044655.390179436</v>
      </c>
      <c r="H190" s="9"/>
    </row>
    <row r="191" spans="2:8">
      <c r="B191" s="9" t="s">
        <v>10</v>
      </c>
      <c r="C191" s="340">
        <v>44562</v>
      </c>
      <c r="D191" s="9" t="s">
        <v>149</v>
      </c>
      <c r="E191" s="9" t="str">
        <f t="shared" si="16"/>
        <v>01 ENERO</v>
      </c>
      <c r="F191" s="9">
        <f t="shared" si="17"/>
        <v>966063.56066418521</v>
      </c>
      <c r="H191" s="9"/>
    </row>
    <row r="192" spans="2:8">
      <c r="B192" s="9" t="s">
        <v>191</v>
      </c>
      <c r="C192" s="340">
        <v>44562</v>
      </c>
      <c r="D192" s="9" t="s">
        <v>149</v>
      </c>
      <c r="E192" s="9" t="str">
        <f t="shared" si="16"/>
        <v>01 ENERO</v>
      </c>
      <c r="F192" s="9">
        <f t="shared" si="17"/>
        <v>0</v>
      </c>
      <c r="H192" s="9"/>
    </row>
    <row r="193" spans="2:8">
      <c r="B193" s="9" t="s">
        <v>12</v>
      </c>
      <c r="C193" s="340">
        <v>44562</v>
      </c>
      <c r="D193" s="9" t="s">
        <v>149</v>
      </c>
      <c r="E193" s="9" t="str">
        <f t="shared" si="16"/>
        <v>01 ENERO</v>
      </c>
      <c r="F193" s="9">
        <f t="shared" si="17"/>
        <v>0</v>
      </c>
      <c r="H193" s="9"/>
    </row>
    <row r="194" spans="2:8">
      <c r="B194" s="9" t="s">
        <v>13</v>
      </c>
      <c r="C194" s="340">
        <v>44562</v>
      </c>
      <c r="D194" s="9" t="s">
        <v>149</v>
      </c>
      <c r="E194" s="9" t="str">
        <f t="shared" si="16"/>
        <v>01 ENERO</v>
      </c>
      <c r="F194" s="9">
        <f t="shared" si="17"/>
        <v>871856.34781870723</v>
      </c>
      <c r="H194" s="9"/>
    </row>
    <row r="195" spans="2:8">
      <c r="B195" s="9" t="s">
        <v>14</v>
      </c>
      <c r="C195" s="340">
        <v>44562</v>
      </c>
      <c r="D195" s="9" t="s">
        <v>149</v>
      </c>
      <c r="E195" s="9" t="str">
        <f t="shared" si="16"/>
        <v>01 ENERO</v>
      </c>
      <c r="F195" s="9">
        <f t="shared" si="17"/>
        <v>0</v>
      </c>
      <c r="H195" s="9"/>
    </row>
    <row r="196" spans="2:8">
      <c r="B196" s="9" t="s">
        <v>15</v>
      </c>
      <c r="C196" s="340">
        <v>44562</v>
      </c>
      <c r="D196" s="9" t="s">
        <v>149</v>
      </c>
      <c r="E196" s="9" t="str">
        <f t="shared" si="16"/>
        <v>01 ENERO</v>
      </c>
      <c r="F196" s="9">
        <f t="shared" si="17"/>
        <v>0</v>
      </c>
      <c r="H196" s="9"/>
    </row>
    <row r="197" spans="2:8">
      <c r="B197" s="9" t="s">
        <v>16</v>
      </c>
      <c r="C197" s="340">
        <v>44562</v>
      </c>
      <c r="D197" s="9" t="s">
        <v>149</v>
      </c>
      <c r="E197" s="9" t="str">
        <f t="shared" si="16"/>
        <v>01 ENERO</v>
      </c>
      <c r="F197" s="9">
        <f t="shared" si="17"/>
        <v>0</v>
      </c>
      <c r="H197" s="9"/>
    </row>
    <row r="198" spans="2:8">
      <c r="B198" s="9" t="s">
        <v>17</v>
      </c>
      <c r="C198" s="340">
        <v>44562</v>
      </c>
      <c r="D198" s="9" t="s">
        <v>149</v>
      </c>
      <c r="E198" s="9" t="str">
        <f t="shared" si="16"/>
        <v>01 ENERO</v>
      </c>
      <c r="F198" s="9">
        <f t="shared" si="17"/>
        <v>0</v>
      </c>
      <c r="H198" s="9"/>
    </row>
    <row r="199" spans="2:8">
      <c r="B199" s="9" t="s">
        <v>18</v>
      </c>
      <c r="C199" s="340">
        <v>44562</v>
      </c>
      <c r="D199" s="9" t="s">
        <v>149</v>
      </c>
      <c r="E199" s="9" t="str">
        <f t="shared" si="16"/>
        <v>01 ENERO</v>
      </c>
      <c r="F199" s="9">
        <f t="shared" si="17"/>
        <v>1878354.14557717</v>
      </c>
      <c r="H199" s="9"/>
    </row>
    <row r="200" spans="2:8">
      <c r="B200" s="9" t="s">
        <v>19</v>
      </c>
      <c r="C200" s="340">
        <v>44562</v>
      </c>
      <c r="D200" s="9" t="s">
        <v>149</v>
      </c>
      <c r="E200" s="9" t="str">
        <f t="shared" si="16"/>
        <v>01 ENERO</v>
      </c>
      <c r="F200" s="9">
        <f t="shared" si="17"/>
        <v>0</v>
      </c>
      <c r="H200" s="9"/>
    </row>
    <row r="201" spans="2:8">
      <c r="B201" s="9" t="s">
        <v>20</v>
      </c>
      <c r="C201" s="340">
        <v>44562</v>
      </c>
      <c r="D201" s="9" t="s">
        <v>149</v>
      </c>
      <c r="E201" s="9" t="str">
        <f t="shared" si="16"/>
        <v>01 ENERO</v>
      </c>
      <c r="F201" s="9">
        <f t="shared" si="17"/>
        <v>2235562.8875007676</v>
      </c>
      <c r="H201" s="9"/>
    </row>
    <row r="202" spans="2:8">
      <c r="B202" s="9" t="s">
        <v>21</v>
      </c>
      <c r="C202" s="340">
        <v>44562</v>
      </c>
      <c r="D202" s="9" t="s">
        <v>149</v>
      </c>
      <c r="E202" s="9" t="str">
        <f t="shared" si="16"/>
        <v>01 ENERO</v>
      </c>
      <c r="F202" s="9">
        <f t="shared" si="17"/>
        <v>0</v>
      </c>
      <c r="H202" s="9"/>
    </row>
    <row r="203" spans="2:8">
      <c r="B203" s="9" t="s">
        <v>22</v>
      </c>
      <c r="C203" s="340">
        <v>44562</v>
      </c>
      <c r="D203" s="9" t="s">
        <v>149</v>
      </c>
      <c r="E203" s="9" t="str">
        <f t="shared" si="16"/>
        <v>01 ENERO</v>
      </c>
      <c r="F203" s="9">
        <f t="shared" si="17"/>
        <v>0</v>
      </c>
      <c r="H203" s="9"/>
    </row>
    <row r="204" spans="2:8">
      <c r="B204" s="9" t="s">
        <v>23</v>
      </c>
      <c r="C204" s="340">
        <v>44562</v>
      </c>
      <c r="D204" s="9" t="s">
        <v>149</v>
      </c>
      <c r="E204" s="9" t="str">
        <f t="shared" si="16"/>
        <v>01 ENERO</v>
      </c>
      <c r="F204" s="9">
        <f t="shared" si="17"/>
        <v>0</v>
      </c>
      <c r="H204" s="9"/>
    </row>
    <row r="205" spans="2:8">
      <c r="B205" s="9" t="s">
        <v>24</v>
      </c>
      <c r="C205" s="340">
        <v>44562</v>
      </c>
      <c r="D205" s="9" t="s">
        <v>149</v>
      </c>
      <c r="E205" s="9" t="str">
        <f t="shared" si="16"/>
        <v>01 ENERO</v>
      </c>
      <c r="F205" s="9">
        <f t="shared" si="17"/>
        <v>954599.06012261333</v>
      </c>
      <c r="H205" s="9"/>
    </row>
    <row r="206" spans="2:8">
      <c r="B206" s="9" t="s">
        <v>25</v>
      </c>
      <c r="C206" s="340">
        <v>44562</v>
      </c>
      <c r="D206" s="9" t="s">
        <v>149</v>
      </c>
      <c r="E206" s="9" t="str">
        <f t="shared" si="16"/>
        <v>01 ENERO</v>
      </c>
      <c r="F206" s="9">
        <f t="shared" si="17"/>
        <v>0</v>
      </c>
      <c r="H206" s="9"/>
    </row>
    <row r="207" spans="2:8">
      <c r="B207" s="9" t="s">
        <v>26</v>
      </c>
      <c r="C207" s="340">
        <v>44562</v>
      </c>
      <c r="D207" s="9" t="s">
        <v>149</v>
      </c>
      <c r="E207" s="9" t="str">
        <f t="shared" si="16"/>
        <v>01 ENERO</v>
      </c>
      <c r="F207" s="9">
        <f t="shared" si="17"/>
        <v>0</v>
      </c>
      <c r="H207" s="9"/>
    </row>
    <row r="208" spans="2:8">
      <c r="B208" s="9" t="s">
        <v>27</v>
      </c>
      <c r="C208" s="340">
        <v>44562</v>
      </c>
      <c r="D208" s="9" t="s">
        <v>149</v>
      </c>
      <c r="E208" s="9" t="str">
        <f t="shared" ref="E208:E271" si="18">"01 ENERO"</f>
        <v>01 ENERO</v>
      </c>
      <c r="F208" s="9">
        <f t="shared" si="17"/>
        <v>0</v>
      </c>
      <c r="H208" s="9"/>
    </row>
    <row r="209" spans="2:8">
      <c r="B209" s="9" t="s">
        <v>28</v>
      </c>
      <c r="C209" s="340">
        <v>44562</v>
      </c>
      <c r="D209" s="9" t="s">
        <v>149</v>
      </c>
      <c r="E209" s="9" t="str">
        <f t="shared" si="18"/>
        <v>01 ENERO</v>
      </c>
      <c r="F209" s="9">
        <f t="shared" si="17"/>
        <v>0</v>
      </c>
      <c r="H209" s="9"/>
    </row>
    <row r="210" spans="2:8">
      <c r="B210" s="9" t="s">
        <v>29</v>
      </c>
      <c r="C210" s="340">
        <v>44562</v>
      </c>
      <c r="D210" s="9" t="s">
        <v>149</v>
      </c>
      <c r="E210" s="9" t="str">
        <f t="shared" si="18"/>
        <v>01 ENERO</v>
      </c>
      <c r="F210" s="9">
        <f t="shared" si="17"/>
        <v>0</v>
      </c>
      <c r="H210" s="9"/>
    </row>
    <row r="211" spans="2:8">
      <c r="B211" s="9" t="s">
        <v>30</v>
      </c>
      <c r="C211" s="340">
        <v>44562</v>
      </c>
      <c r="D211" s="9" t="s">
        <v>149</v>
      </c>
      <c r="E211" s="9" t="str">
        <f t="shared" si="18"/>
        <v>01 ENERO</v>
      </c>
      <c r="F211" s="9">
        <f t="shared" si="17"/>
        <v>0</v>
      </c>
      <c r="H211" s="9"/>
    </row>
    <row r="212" spans="2:8">
      <c r="B212" s="9" t="s">
        <v>31</v>
      </c>
      <c r="C212" s="340">
        <v>44562</v>
      </c>
      <c r="D212" s="9" t="s">
        <v>149</v>
      </c>
      <c r="E212" s="9" t="str">
        <f t="shared" si="18"/>
        <v>01 ENERO</v>
      </c>
      <c r="F212" s="9">
        <f t="shared" si="17"/>
        <v>2150333.3837526804</v>
      </c>
      <c r="H212" s="9"/>
    </row>
    <row r="213" spans="2:8">
      <c r="B213" s="9" t="s">
        <v>32</v>
      </c>
      <c r="C213" s="340">
        <v>44562</v>
      </c>
      <c r="D213" s="9" t="s">
        <v>149</v>
      </c>
      <c r="E213" s="9" t="str">
        <f t="shared" si="18"/>
        <v>01 ENERO</v>
      </c>
      <c r="F213" s="9">
        <f t="shared" si="17"/>
        <v>0</v>
      </c>
      <c r="H213" s="9"/>
    </row>
    <row r="214" spans="2:8">
      <c r="B214" s="9" t="s">
        <v>33</v>
      </c>
      <c r="C214" s="340">
        <v>44562</v>
      </c>
      <c r="D214" s="9" t="s">
        <v>149</v>
      </c>
      <c r="E214" s="9" t="str">
        <f t="shared" si="18"/>
        <v>01 ENERO</v>
      </c>
      <c r="F214" s="9">
        <f t="shared" si="17"/>
        <v>0</v>
      </c>
      <c r="H214" s="9"/>
    </row>
    <row r="215" spans="2:8">
      <c r="B215" s="9" t="s">
        <v>34</v>
      </c>
      <c r="C215" s="340">
        <v>44562</v>
      </c>
      <c r="D215" s="9" t="s">
        <v>149</v>
      </c>
      <c r="E215" s="9" t="str">
        <f t="shared" si="18"/>
        <v>01 ENERO</v>
      </c>
      <c r="F215" s="9">
        <f t="shared" si="17"/>
        <v>0</v>
      </c>
      <c r="H215" s="9"/>
    </row>
    <row r="216" spans="2:8">
      <c r="B216" s="9" t="s">
        <v>35</v>
      </c>
      <c r="C216" s="340">
        <v>44562</v>
      </c>
      <c r="D216" s="9" t="s">
        <v>149</v>
      </c>
      <c r="E216" s="9" t="str">
        <f t="shared" si="18"/>
        <v>01 ENERO</v>
      </c>
      <c r="F216" s="9">
        <f t="shared" si="17"/>
        <v>0</v>
      </c>
      <c r="H216" s="9"/>
    </row>
    <row r="217" spans="2:8">
      <c r="B217" s="9" t="s">
        <v>36</v>
      </c>
      <c r="C217" s="340">
        <v>44562</v>
      </c>
      <c r="D217" s="9" t="s">
        <v>149</v>
      </c>
      <c r="E217" s="9" t="str">
        <f t="shared" si="18"/>
        <v>01 ENERO</v>
      </c>
      <c r="F217" s="9">
        <f t="shared" si="17"/>
        <v>0</v>
      </c>
      <c r="H217" s="9"/>
    </row>
    <row r="218" spans="2:8">
      <c r="B218" s="9" t="s">
        <v>37</v>
      </c>
      <c r="C218" s="340">
        <v>44562</v>
      </c>
      <c r="D218" s="9" t="s">
        <v>149</v>
      </c>
      <c r="E218" s="9" t="str">
        <f t="shared" si="18"/>
        <v>01 ENERO</v>
      </c>
      <c r="F218" s="9">
        <f t="shared" si="17"/>
        <v>0</v>
      </c>
      <c r="H218" s="9"/>
    </row>
    <row r="219" spans="2:8">
      <c r="B219" s="9" t="s">
        <v>38</v>
      </c>
      <c r="C219" s="340">
        <v>44562</v>
      </c>
      <c r="D219" s="9" t="s">
        <v>149</v>
      </c>
      <c r="E219" s="9" t="str">
        <f t="shared" si="18"/>
        <v>01 ENERO</v>
      </c>
      <c r="F219" s="9">
        <f t="shared" si="17"/>
        <v>0</v>
      </c>
      <c r="H219" s="9"/>
    </row>
    <row r="220" spans="2:8">
      <c r="B220" s="9" t="s">
        <v>39</v>
      </c>
      <c r="C220" s="340">
        <v>44562</v>
      </c>
      <c r="D220" s="9" t="s">
        <v>149</v>
      </c>
      <c r="E220" s="9" t="str">
        <f t="shared" si="18"/>
        <v>01 ENERO</v>
      </c>
      <c r="F220" s="9">
        <f t="shared" si="17"/>
        <v>0</v>
      </c>
      <c r="H220" s="9"/>
    </row>
    <row r="221" spans="2:8">
      <c r="B221" s="9" t="s">
        <v>40</v>
      </c>
      <c r="C221" s="340">
        <v>44562</v>
      </c>
      <c r="D221" s="9" t="s">
        <v>149</v>
      </c>
      <c r="E221" s="9" t="str">
        <f t="shared" si="18"/>
        <v>01 ENERO</v>
      </c>
      <c r="F221" s="9">
        <f t="shared" si="17"/>
        <v>0</v>
      </c>
      <c r="H221" s="9"/>
    </row>
    <row r="222" spans="2:8">
      <c r="B222" s="9" t="s">
        <v>41</v>
      </c>
      <c r="C222" s="340">
        <v>44562</v>
      </c>
      <c r="D222" s="9" t="s">
        <v>149</v>
      </c>
      <c r="E222" s="9" t="str">
        <f t="shared" si="18"/>
        <v>01 ENERO</v>
      </c>
      <c r="F222" s="9">
        <f t="shared" si="17"/>
        <v>1091148.7740864409</v>
      </c>
      <c r="H222" s="9"/>
    </row>
    <row r="223" spans="2:8">
      <c r="B223" s="9" t="s">
        <v>42</v>
      </c>
      <c r="C223" s="340">
        <v>44562</v>
      </c>
      <c r="D223" s="9" t="s">
        <v>149</v>
      </c>
      <c r="E223" s="9" t="str">
        <f t="shared" si="18"/>
        <v>01 ENERO</v>
      </c>
      <c r="F223" s="9">
        <f t="shared" si="17"/>
        <v>0</v>
      </c>
      <c r="H223" s="9"/>
    </row>
    <row r="224" spans="2:8">
      <c r="B224" s="9" t="s">
        <v>43</v>
      </c>
      <c r="C224" s="340">
        <v>44562</v>
      </c>
      <c r="D224" s="9" t="s">
        <v>149</v>
      </c>
      <c r="E224" s="9" t="str">
        <f t="shared" si="18"/>
        <v>01 ENERO</v>
      </c>
      <c r="F224" s="9">
        <f t="shared" si="17"/>
        <v>0</v>
      </c>
      <c r="H224" s="9"/>
    </row>
    <row r="225" spans="2:8">
      <c r="B225" s="9" t="s">
        <v>44</v>
      </c>
      <c r="C225" s="340">
        <v>44562</v>
      </c>
      <c r="D225" s="9" t="s">
        <v>149</v>
      </c>
      <c r="E225" s="9" t="str">
        <f t="shared" si="18"/>
        <v>01 ENERO</v>
      </c>
      <c r="F225" s="9">
        <f t="shared" si="17"/>
        <v>0</v>
      </c>
      <c r="H225" s="9"/>
    </row>
    <row r="226" spans="2:8">
      <c r="B226" s="9" t="s">
        <v>45</v>
      </c>
      <c r="C226" s="340">
        <v>44562</v>
      </c>
      <c r="D226" s="9" t="s">
        <v>149</v>
      </c>
      <c r="E226" s="9" t="str">
        <f t="shared" si="18"/>
        <v>01 ENERO</v>
      </c>
      <c r="F226" s="9">
        <f t="shared" si="17"/>
        <v>941586.575871045</v>
      </c>
      <c r="H226" s="9"/>
    </row>
    <row r="227" spans="2:8">
      <c r="B227" s="9" t="s">
        <v>46</v>
      </c>
      <c r="C227" s="340">
        <v>44562</v>
      </c>
      <c r="D227" s="9" t="s">
        <v>149</v>
      </c>
      <c r="E227" s="9" t="str">
        <f t="shared" si="18"/>
        <v>01 ENERO</v>
      </c>
      <c r="F227" s="9">
        <f t="shared" si="17"/>
        <v>0</v>
      </c>
      <c r="H227" s="9"/>
    </row>
    <row r="228" spans="2:8">
      <c r="B228" s="9" t="s">
        <v>47</v>
      </c>
      <c r="C228" s="340">
        <v>44562</v>
      </c>
      <c r="D228" s="9" t="s">
        <v>149</v>
      </c>
      <c r="E228" s="9" t="str">
        <f t="shared" si="18"/>
        <v>01 ENERO</v>
      </c>
      <c r="F228" s="9">
        <f t="shared" si="17"/>
        <v>0</v>
      </c>
      <c r="H228" s="9"/>
    </row>
    <row r="229" spans="2:8">
      <c r="B229" s="9" t="s">
        <v>48</v>
      </c>
      <c r="C229" s="340">
        <v>44562</v>
      </c>
      <c r="D229" s="9" t="s">
        <v>149</v>
      </c>
      <c r="E229" s="9" t="str">
        <f t="shared" si="18"/>
        <v>01 ENERO</v>
      </c>
      <c r="F229" s="9">
        <f t="shared" si="17"/>
        <v>1680323.3956626388</v>
      </c>
      <c r="H229" s="9"/>
    </row>
    <row r="230" spans="2:8">
      <c r="B230" s="9" t="s">
        <v>49</v>
      </c>
      <c r="C230" s="340">
        <v>44562</v>
      </c>
      <c r="D230" s="9" t="s">
        <v>149</v>
      </c>
      <c r="E230" s="9" t="str">
        <f t="shared" si="18"/>
        <v>01 ENERO</v>
      </c>
      <c r="F230" s="9">
        <f t="shared" si="17"/>
        <v>979505.74694776279</v>
      </c>
      <c r="H230" s="9"/>
    </row>
    <row r="231" spans="2:8">
      <c r="B231" s="9" t="s">
        <v>50</v>
      </c>
      <c r="C231" s="340">
        <v>44562</v>
      </c>
      <c r="D231" s="9" t="s">
        <v>149</v>
      </c>
      <c r="E231" s="9" t="str">
        <f t="shared" si="18"/>
        <v>01 ENERO</v>
      </c>
      <c r="F231" s="9">
        <f t="shared" si="17"/>
        <v>0</v>
      </c>
      <c r="H231" s="9"/>
    </row>
    <row r="232" spans="2:8">
      <c r="B232" s="9" t="s">
        <v>51</v>
      </c>
      <c r="C232" s="340">
        <v>44562</v>
      </c>
      <c r="D232" s="9" t="s">
        <v>149</v>
      </c>
      <c r="E232" s="9" t="str">
        <f t="shared" si="18"/>
        <v>01 ENERO</v>
      </c>
      <c r="F232" s="9">
        <f t="shared" si="17"/>
        <v>0</v>
      </c>
      <c r="H232" s="9"/>
    </row>
    <row r="233" spans="2:8">
      <c r="B233" s="9" t="s">
        <v>1</v>
      </c>
      <c r="C233" s="340">
        <v>44562</v>
      </c>
      <c r="D233" s="9" t="s">
        <v>164</v>
      </c>
      <c r="E233" s="9" t="str">
        <f t="shared" si="18"/>
        <v>01 ENERO</v>
      </c>
      <c r="F233" s="9">
        <f>F6</f>
        <v>145369.52354865437</v>
      </c>
      <c r="H233" s="9"/>
    </row>
    <row r="234" spans="2:8">
      <c r="B234" s="9" t="s">
        <v>2</v>
      </c>
      <c r="C234" s="340">
        <v>44562</v>
      </c>
      <c r="D234" s="9" t="s">
        <v>164</v>
      </c>
      <c r="E234" s="9" t="str">
        <f t="shared" si="18"/>
        <v>01 ENERO</v>
      </c>
      <c r="F234" s="9">
        <f t="shared" ref="F234:F283" si="19">F7</f>
        <v>241719.38991096185</v>
      </c>
      <c r="H234" s="9"/>
    </row>
    <row r="235" spans="2:8">
      <c r="B235" s="9" t="s">
        <v>3</v>
      </c>
      <c r="C235" s="340">
        <v>44562</v>
      </c>
      <c r="D235" s="9" t="s">
        <v>164</v>
      </c>
      <c r="E235" s="9" t="str">
        <f t="shared" si="18"/>
        <v>01 ENERO</v>
      </c>
      <c r="F235" s="9">
        <f t="shared" si="19"/>
        <v>184149.08754386404</v>
      </c>
      <c r="H235" s="9"/>
    </row>
    <row r="236" spans="2:8">
      <c r="B236" s="9" t="s">
        <v>4</v>
      </c>
      <c r="C236" s="340">
        <v>44562</v>
      </c>
      <c r="D236" s="9" t="s">
        <v>164</v>
      </c>
      <c r="E236" s="9" t="str">
        <f t="shared" si="18"/>
        <v>01 ENERO</v>
      </c>
      <c r="F236" s="9">
        <f t="shared" si="19"/>
        <v>807765.45195063751</v>
      </c>
      <c r="H236" s="9"/>
    </row>
    <row r="237" spans="2:8">
      <c r="B237" s="9" t="s">
        <v>5</v>
      </c>
      <c r="C237" s="340">
        <v>44562</v>
      </c>
      <c r="D237" s="9" t="s">
        <v>164</v>
      </c>
      <c r="E237" s="9" t="str">
        <f t="shared" si="18"/>
        <v>01 ENERO</v>
      </c>
      <c r="F237" s="9">
        <f t="shared" si="19"/>
        <v>557160.95668172243</v>
      </c>
      <c r="H237" s="9"/>
    </row>
    <row r="238" spans="2:8">
      <c r="B238" s="9" t="s">
        <v>6</v>
      </c>
      <c r="C238" s="340">
        <v>44562</v>
      </c>
      <c r="D238" s="9" t="s">
        <v>164</v>
      </c>
      <c r="E238" s="9" t="str">
        <f t="shared" si="18"/>
        <v>01 ENERO</v>
      </c>
      <c r="F238" s="9">
        <f t="shared" si="19"/>
        <v>2470225.1126588453</v>
      </c>
      <c r="H238" s="9"/>
    </row>
    <row r="239" spans="2:8">
      <c r="B239" s="9" t="s">
        <v>7</v>
      </c>
      <c r="C239" s="340">
        <v>44562</v>
      </c>
      <c r="D239" s="9" t="s">
        <v>164</v>
      </c>
      <c r="E239" s="9" t="str">
        <f t="shared" si="18"/>
        <v>01 ENERO</v>
      </c>
      <c r="F239" s="9">
        <f t="shared" si="19"/>
        <v>685389.59118695778</v>
      </c>
      <c r="H239" s="9"/>
    </row>
    <row r="240" spans="2:8">
      <c r="B240" s="9" t="s">
        <v>8</v>
      </c>
      <c r="C240" s="340">
        <v>44562</v>
      </c>
      <c r="D240" s="9" t="s">
        <v>164</v>
      </c>
      <c r="E240" s="9" t="str">
        <f t="shared" si="18"/>
        <v>01 ENERO</v>
      </c>
      <c r="F240" s="9">
        <f t="shared" si="19"/>
        <v>247851.58996842895</v>
      </c>
      <c r="H240" s="9"/>
    </row>
    <row r="241" spans="2:8">
      <c r="B241" s="9" t="s">
        <v>9</v>
      </c>
      <c r="C241" s="340">
        <v>44562</v>
      </c>
      <c r="D241" s="9" t="s">
        <v>164</v>
      </c>
      <c r="E241" s="9" t="str">
        <f t="shared" si="18"/>
        <v>01 ENERO</v>
      </c>
      <c r="F241" s="9">
        <f t="shared" si="19"/>
        <v>506731.01118072955</v>
      </c>
      <c r="H241" s="9"/>
    </row>
    <row r="242" spans="2:8">
      <c r="B242" s="9" t="s">
        <v>10</v>
      </c>
      <c r="C242" s="340">
        <v>44562</v>
      </c>
      <c r="D242" s="9" t="s">
        <v>164</v>
      </c>
      <c r="E242" s="9" t="str">
        <f t="shared" si="18"/>
        <v>01 ENERO</v>
      </c>
      <c r="F242" s="9">
        <f t="shared" si="19"/>
        <v>1028433.9405610957</v>
      </c>
      <c r="H242" s="9"/>
    </row>
    <row r="243" spans="2:8">
      <c r="B243" s="9" t="s">
        <v>191</v>
      </c>
      <c r="C243" s="340">
        <v>44562</v>
      </c>
      <c r="D243" s="9" t="s">
        <v>164</v>
      </c>
      <c r="E243" s="9" t="str">
        <f t="shared" si="18"/>
        <v>01 ENERO</v>
      </c>
      <c r="F243" s="9">
        <f t="shared" si="19"/>
        <v>393729.87933883414</v>
      </c>
      <c r="H243" s="9"/>
    </row>
    <row r="244" spans="2:8">
      <c r="B244" s="9" t="s">
        <v>12</v>
      </c>
      <c r="C244" s="340">
        <v>44562</v>
      </c>
      <c r="D244" s="9" t="s">
        <v>164</v>
      </c>
      <c r="E244" s="9" t="str">
        <f t="shared" si="18"/>
        <v>01 ENERO</v>
      </c>
      <c r="F244" s="9">
        <f t="shared" si="19"/>
        <v>489978.88450725784</v>
      </c>
      <c r="H244" s="9"/>
    </row>
    <row r="245" spans="2:8">
      <c r="B245" s="9" t="s">
        <v>13</v>
      </c>
      <c r="C245" s="340">
        <v>44562</v>
      </c>
      <c r="D245" s="9" t="s">
        <v>164</v>
      </c>
      <c r="E245" s="9" t="str">
        <f t="shared" si="18"/>
        <v>01 ENERO</v>
      </c>
      <c r="F245" s="9">
        <f t="shared" si="19"/>
        <v>771291.98672597646</v>
      </c>
      <c r="H245" s="9"/>
    </row>
    <row r="246" spans="2:8">
      <c r="B246" s="9" t="s">
        <v>14</v>
      </c>
      <c r="C246" s="340">
        <v>44562</v>
      </c>
      <c r="D246" s="9" t="s">
        <v>164</v>
      </c>
      <c r="E246" s="9" t="str">
        <f t="shared" si="18"/>
        <v>01 ENERO</v>
      </c>
      <c r="F246" s="9">
        <f t="shared" si="19"/>
        <v>1585969.7013374334</v>
      </c>
      <c r="H246" s="9"/>
    </row>
    <row r="247" spans="2:8">
      <c r="B247" s="9" t="s">
        <v>15</v>
      </c>
      <c r="C247" s="340">
        <v>44562</v>
      </c>
      <c r="D247" s="9" t="s">
        <v>164</v>
      </c>
      <c r="E247" s="9" t="str">
        <f t="shared" si="18"/>
        <v>01 ENERO</v>
      </c>
      <c r="F247" s="9">
        <f t="shared" si="19"/>
        <v>218983.81735002479</v>
      </c>
      <c r="H247" s="9"/>
    </row>
    <row r="248" spans="2:8">
      <c r="B248" s="9" t="s">
        <v>16</v>
      </c>
      <c r="C248" s="340">
        <v>44562</v>
      </c>
      <c r="D248" s="9" t="s">
        <v>164</v>
      </c>
      <c r="E248" s="9" t="str">
        <f t="shared" si="18"/>
        <v>01 ENERO</v>
      </c>
      <c r="F248" s="9">
        <f t="shared" si="19"/>
        <v>109860.46261583385</v>
      </c>
      <c r="H248" s="9"/>
    </row>
    <row r="249" spans="2:8">
      <c r="B249" s="9" t="s">
        <v>17</v>
      </c>
      <c r="C249" s="340">
        <v>44562</v>
      </c>
      <c r="D249" s="9" t="s">
        <v>164</v>
      </c>
      <c r="E249" s="9" t="str">
        <f t="shared" si="18"/>
        <v>01 ENERO</v>
      </c>
      <c r="F249" s="9">
        <f t="shared" si="19"/>
        <v>1147558.9651947303</v>
      </c>
      <c r="H249" s="9"/>
    </row>
    <row r="250" spans="2:8">
      <c r="B250" s="9" t="s">
        <v>18</v>
      </c>
      <c r="C250" s="340">
        <v>44562</v>
      </c>
      <c r="D250" s="9" t="s">
        <v>164</v>
      </c>
      <c r="E250" s="9" t="str">
        <f t="shared" si="18"/>
        <v>01 ENERO</v>
      </c>
      <c r="F250" s="9">
        <f t="shared" si="19"/>
        <v>1160655.4835818042</v>
      </c>
      <c r="H250" s="9"/>
    </row>
    <row r="251" spans="2:8">
      <c r="B251" s="9" t="s">
        <v>19</v>
      </c>
      <c r="C251" s="340">
        <v>44562</v>
      </c>
      <c r="D251" s="9" t="s">
        <v>164</v>
      </c>
      <c r="E251" s="9" t="str">
        <f t="shared" si="18"/>
        <v>01 ENERO</v>
      </c>
      <c r="F251" s="9">
        <f t="shared" si="19"/>
        <v>295624.95149612083</v>
      </c>
      <c r="H251" s="9"/>
    </row>
    <row r="252" spans="2:8">
      <c r="B252" s="9" t="s">
        <v>20</v>
      </c>
      <c r="C252" s="340">
        <v>44562</v>
      </c>
      <c r="D252" s="9" t="s">
        <v>164</v>
      </c>
      <c r="E252" s="9" t="str">
        <f t="shared" si="18"/>
        <v>01 ENERO</v>
      </c>
      <c r="F252" s="9">
        <f t="shared" si="19"/>
        <v>1606542.1355364947</v>
      </c>
      <c r="H252" s="9"/>
    </row>
    <row r="253" spans="2:8">
      <c r="B253" s="9" t="s">
        <v>21</v>
      </c>
      <c r="C253" s="340">
        <v>44562</v>
      </c>
      <c r="D253" s="9" t="s">
        <v>164</v>
      </c>
      <c r="E253" s="9" t="str">
        <f t="shared" si="18"/>
        <v>01 ENERO</v>
      </c>
      <c r="F253" s="9">
        <f t="shared" si="19"/>
        <v>471225.96112374612</v>
      </c>
      <c r="H253" s="9"/>
    </row>
    <row r="254" spans="2:8">
      <c r="B254" s="9" t="s">
        <v>22</v>
      </c>
      <c r="C254" s="340">
        <v>44562</v>
      </c>
      <c r="D254" s="9" t="s">
        <v>164</v>
      </c>
      <c r="E254" s="9" t="str">
        <f t="shared" si="18"/>
        <v>01 ENERO</v>
      </c>
      <c r="F254" s="9">
        <f t="shared" si="19"/>
        <v>214938.9402726251</v>
      </c>
      <c r="H254" s="9"/>
    </row>
    <row r="255" spans="2:8">
      <c r="B255" s="9" t="s">
        <v>23</v>
      </c>
      <c r="C255" s="340">
        <v>44562</v>
      </c>
      <c r="D255" s="9" t="s">
        <v>164</v>
      </c>
      <c r="E255" s="9" t="str">
        <f t="shared" si="18"/>
        <v>01 ENERO</v>
      </c>
      <c r="F255" s="9">
        <f t="shared" si="19"/>
        <v>340332.44893929962</v>
      </c>
      <c r="H255" s="9"/>
    </row>
    <row r="256" spans="2:8">
      <c r="B256" s="9" t="s">
        <v>24</v>
      </c>
      <c r="C256" s="340">
        <v>44562</v>
      </c>
      <c r="D256" s="9" t="s">
        <v>164</v>
      </c>
      <c r="E256" s="9" t="str">
        <f t="shared" si="18"/>
        <v>01 ENERO</v>
      </c>
      <c r="F256" s="9">
        <f t="shared" si="19"/>
        <v>972605.96691454691</v>
      </c>
      <c r="H256" s="9"/>
    </row>
    <row r="257" spans="2:8">
      <c r="B257" s="9" t="s">
        <v>25</v>
      </c>
      <c r="C257" s="340">
        <v>44562</v>
      </c>
      <c r="D257" s="9" t="s">
        <v>164</v>
      </c>
      <c r="E257" s="9" t="str">
        <f t="shared" si="18"/>
        <v>01 ENERO</v>
      </c>
      <c r="F257" s="9">
        <f t="shared" si="19"/>
        <v>2081416.0540637353</v>
      </c>
      <c r="H257" s="9"/>
    </row>
    <row r="258" spans="2:8">
      <c r="B258" s="9" t="s">
        <v>26</v>
      </c>
      <c r="C258" s="340">
        <v>44562</v>
      </c>
      <c r="D258" s="9" t="s">
        <v>164</v>
      </c>
      <c r="E258" s="9" t="str">
        <f t="shared" si="18"/>
        <v>01 ENERO</v>
      </c>
      <c r="F258" s="9">
        <f t="shared" si="19"/>
        <v>201348.380720783</v>
      </c>
      <c r="H258" s="9"/>
    </row>
    <row r="259" spans="2:8">
      <c r="B259" s="9" t="s">
        <v>27</v>
      </c>
      <c r="C259" s="340">
        <v>44562</v>
      </c>
      <c r="D259" s="9" t="s">
        <v>164</v>
      </c>
      <c r="E259" s="9" t="str">
        <f t="shared" si="18"/>
        <v>01 ENERO</v>
      </c>
      <c r="F259" s="9">
        <f t="shared" si="19"/>
        <v>210306.25401232424</v>
      </c>
      <c r="H259" s="9"/>
    </row>
    <row r="260" spans="2:8">
      <c r="B260" s="9" t="s">
        <v>28</v>
      </c>
      <c r="C260" s="340">
        <v>44562</v>
      </c>
      <c r="D260" s="9" t="s">
        <v>164</v>
      </c>
      <c r="E260" s="9" t="str">
        <f t="shared" si="18"/>
        <v>01 ENERO</v>
      </c>
      <c r="F260" s="9">
        <f t="shared" si="19"/>
        <v>184361.89706776637</v>
      </c>
      <c r="H260" s="9"/>
    </row>
    <row r="261" spans="2:8">
      <c r="B261" s="9" t="s">
        <v>29</v>
      </c>
      <c r="C261" s="340">
        <v>44562</v>
      </c>
      <c r="D261" s="9" t="s">
        <v>164</v>
      </c>
      <c r="E261" s="9" t="str">
        <f t="shared" si="18"/>
        <v>01 ENERO</v>
      </c>
      <c r="F261" s="9">
        <f t="shared" si="19"/>
        <v>165072.37487392567</v>
      </c>
      <c r="H261" s="9"/>
    </row>
    <row r="262" spans="2:8">
      <c r="B262" s="9" t="s">
        <v>30</v>
      </c>
      <c r="C262" s="340">
        <v>44562</v>
      </c>
      <c r="D262" s="9" t="s">
        <v>164</v>
      </c>
      <c r="E262" s="9" t="str">
        <f t="shared" si="18"/>
        <v>01 ENERO</v>
      </c>
      <c r="F262" s="9">
        <f t="shared" si="19"/>
        <v>200994.39261957086</v>
      </c>
      <c r="H262" s="9"/>
    </row>
    <row r="263" spans="2:8">
      <c r="B263" s="9" t="s">
        <v>31</v>
      </c>
      <c r="C263" s="340">
        <v>44562</v>
      </c>
      <c r="D263" s="9" t="s">
        <v>164</v>
      </c>
      <c r="E263" s="9" t="str">
        <f t="shared" si="18"/>
        <v>01 ENERO</v>
      </c>
      <c r="F263" s="9">
        <f t="shared" si="19"/>
        <v>1465103.8336880321</v>
      </c>
      <c r="H263" s="9"/>
    </row>
    <row r="264" spans="2:8">
      <c r="B264" s="9" t="s">
        <v>32</v>
      </c>
      <c r="C264" s="340">
        <v>44562</v>
      </c>
      <c r="D264" s="9" t="s">
        <v>164</v>
      </c>
      <c r="E264" s="9" t="str">
        <f t="shared" si="18"/>
        <v>01 ENERO</v>
      </c>
      <c r="F264" s="9">
        <f t="shared" si="19"/>
        <v>409615.8833234518</v>
      </c>
      <c r="H264" s="9"/>
    </row>
    <row r="265" spans="2:8">
      <c r="B265" s="9" t="s">
        <v>33</v>
      </c>
      <c r="C265" s="340">
        <v>44562</v>
      </c>
      <c r="D265" s="9" t="s">
        <v>164</v>
      </c>
      <c r="E265" s="9" t="str">
        <f t="shared" si="18"/>
        <v>01 ENERO</v>
      </c>
      <c r="F265" s="9">
        <f t="shared" si="19"/>
        <v>1180575.9289833552</v>
      </c>
      <c r="H265" s="9"/>
    </row>
    <row r="266" spans="2:8">
      <c r="B266" s="9" t="s">
        <v>34</v>
      </c>
      <c r="C266" s="340">
        <v>44562</v>
      </c>
      <c r="D266" s="9" t="s">
        <v>164</v>
      </c>
      <c r="E266" s="9" t="str">
        <f t="shared" si="18"/>
        <v>01 ENERO</v>
      </c>
      <c r="F266" s="9">
        <f t="shared" si="19"/>
        <v>264613.6535775896</v>
      </c>
      <c r="H266" s="9"/>
    </row>
    <row r="267" spans="2:8">
      <c r="B267" s="9" t="s">
        <v>35</v>
      </c>
      <c r="C267" s="340">
        <v>44562</v>
      </c>
      <c r="D267" s="9" t="s">
        <v>164</v>
      </c>
      <c r="E267" s="9" t="str">
        <f t="shared" si="18"/>
        <v>01 ENERO</v>
      </c>
      <c r="F267" s="9">
        <f t="shared" si="19"/>
        <v>258289.40993765972</v>
      </c>
      <c r="H267" s="9"/>
    </row>
    <row r="268" spans="2:8">
      <c r="B268" s="9" t="s">
        <v>36</v>
      </c>
      <c r="C268" s="340">
        <v>44562</v>
      </c>
      <c r="D268" s="9" t="s">
        <v>164</v>
      </c>
      <c r="E268" s="9" t="str">
        <f t="shared" si="18"/>
        <v>01 ENERO</v>
      </c>
      <c r="F268" s="9">
        <f t="shared" si="19"/>
        <v>334120.64596245222</v>
      </c>
      <c r="H268" s="9"/>
    </row>
    <row r="269" spans="2:8">
      <c r="B269" s="9" t="s">
        <v>37</v>
      </c>
      <c r="C269" s="340">
        <v>44562</v>
      </c>
      <c r="D269" s="9" t="s">
        <v>164</v>
      </c>
      <c r="E269" s="9" t="str">
        <f t="shared" si="18"/>
        <v>01 ENERO</v>
      </c>
      <c r="F269" s="9">
        <f t="shared" si="19"/>
        <v>390302.34364521637</v>
      </c>
      <c r="H269" s="9"/>
    </row>
    <row r="270" spans="2:8">
      <c r="B270" s="9" t="s">
        <v>38</v>
      </c>
      <c r="C270" s="340">
        <v>44562</v>
      </c>
      <c r="D270" s="9" t="s">
        <v>164</v>
      </c>
      <c r="E270" s="9" t="str">
        <f t="shared" si="18"/>
        <v>01 ENERO</v>
      </c>
      <c r="F270" s="9">
        <f t="shared" si="19"/>
        <v>1492133.0807035097</v>
      </c>
      <c r="H270" s="9"/>
    </row>
    <row r="271" spans="2:8">
      <c r="B271" s="9" t="s">
        <v>39</v>
      </c>
      <c r="C271" s="340">
        <v>44562</v>
      </c>
      <c r="D271" s="9" t="s">
        <v>164</v>
      </c>
      <c r="E271" s="9" t="str">
        <f t="shared" si="18"/>
        <v>01 ENERO</v>
      </c>
      <c r="F271" s="9">
        <f t="shared" si="19"/>
        <v>8153586.57172768</v>
      </c>
      <c r="H271" s="9"/>
    </row>
    <row r="272" spans="2:8">
      <c r="B272" s="9" t="s">
        <v>40</v>
      </c>
      <c r="C272" s="340">
        <v>44562</v>
      </c>
      <c r="D272" s="9" t="s">
        <v>164</v>
      </c>
      <c r="E272" s="9" t="str">
        <f t="shared" ref="E272:E283" si="20">"01 ENERO"</f>
        <v>01 ENERO</v>
      </c>
      <c r="F272" s="9">
        <f t="shared" si="19"/>
        <v>296299.24811091315</v>
      </c>
      <c r="H272" s="9"/>
    </row>
    <row r="273" spans="2:8">
      <c r="B273" s="9" t="s">
        <v>41</v>
      </c>
      <c r="C273" s="340">
        <v>44562</v>
      </c>
      <c r="D273" s="9" t="s">
        <v>164</v>
      </c>
      <c r="E273" s="9" t="str">
        <f t="shared" si="20"/>
        <v>01 ENERO</v>
      </c>
      <c r="F273" s="9">
        <f t="shared" si="19"/>
        <v>1422062.5964610022</v>
      </c>
      <c r="H273" s="9"/>
    </row>
    <row r="274" spans="2:8">
      <c r="B274" s="9" t="s">
        <v>42</v>
      </c>
      <c r="C274" s="340">
        <v>44562</v>
      </c>
      <c r="D274" s="9" t="s">
        <v>164</v>
      </c>
      <c r="E274" s="9" t="str">
        <f t="shared" si="20"/>
        <v>01 ENERO</v>
      </c>
      <c r="F274" s="9">
        <f t="shared" si="19"/>
        <v>217557.95083093049</v>
      </c>
      <c r="H274" s="9"/>
    </row>
    <row r="275" spans="2:8">
      <c r="B275" s="9" t="s">
        <v>43</v>
      </c>
      <c r="C275" s="340">
        <v>44562</v>
      </c>
      <c r="D275" s="9" t="s">
        <v>164</v>
      </c>
      <c r="E275" s="9" t="str">
        <f t="shared" si="20"/>
        <v>01 ENERO</v>
      </c>
      <c r="F275" s="9">
        <f t="shared" si="19"/>
        <v>215238.04648679294</v>
      </c>
      <c r="H275" s="9"/>
    </row>
    <row r="276" spans="2:8">
      <c r="B276" s="9" t="s">
        <v>44</v>
      </c>
      <c r="C276" s="340">
        <v>44562</v>
      </c>
      <c r="D276" s="9" t="s">
        <v>164</v>
      </c>
      <c r="E276" s="9" t="str">
        <f t="shared" si="20"/>
        <v>01 ENERO</v>
      </c>
      <c r="F276" s="9">
        <f t="shared" si="19"/>
        <v>548855.16503258666</v>
      </c>
      <c r="H276" s="9"/>
    </row>
    <row r="277" spans="2:8">
      <c r="B277" s="9" t="s">
        <v>45</v>
      </c>
      <c r="C277" s="340">
        <v>44562</v>
      </c>
      <c r="D277" s="9" t="s">
        <v>164</v>
      </c>
      <c r="E277" s="9" t="str">
        <f t="shared" si="20"/>
        <v>01 ENERO</v>
      </c>
      <c r="F277" s="9">
        <f t="shared" si="19"/>
        <v>296438.86212727695</v>
      </c>
      <c r="H277" s="9"/>
    </row>
    <row r="278" spans="2:8">
      <c r="B278" s="9" t="s">
        <v>46</v>
      </c>
      <c r="C278" s="340">
        <v>44562</v>
      </c>
      <c r="D278" s="9" t="s">
        <v>164</v>
      </c>
      <c r="E278" s="9" t="str">
        <f t="shared" si="20"/>
        <v>01 ENERO</v>
      </c>
      <c r="F278" s="9">
        <f t="shared" si="19"/>
        <v>2064198.8067515767</v>
      </c>
      <c r="H278" s="9"/>
    </row>
    <row r="279" spans="2:8">
      <c r="B279" s="9" t="s">
        <v>47</v>
      </c>
      <c r="C279" s="340">
        <v>44562</v>
      </c>
      <c r="D279" s="9" t="s">
        <v>164</v>
      </c>
      <c r="E279" s="9" t="str">
        <f t="shared" si="20"/>
        <v>01 ENERO</v>
      </c>
      <c r="F279" s="9">
        <f t="shared" si="19"/>
        <v>3975697.0859524687</v>
      </c>
      <c r="H279" s="9"/>
    </row>
    <row r="280" spans="2:8">
      <c r="B280" s="9" t="s">
        <v>48</v>
      </c>
      <c r="C280" s="340">
        <v>44562</v>
      </c>
      <c r="D280" s="9" t="s">
        <v>164</v>
      </c>
      <c r="E280" s="9" t="str">
        <f t="shared" si="20"/>
        <v>01 ENERO</v>
      </c>
      <c r="F280" s="9">
        <f t="shared" si="19"/>
        <v>1063459.7319561327</v>
      </c>
      <c r="H280" s="9"/>
    </row>
    <row r="281" spans="2:8">
      <c r="B281" s="9" t="s">
        <v>49</v>
      </c>
      <c r="C281" s="340">
        <v>44562</v>
      </c>
      <c r="D281" s="9" t="s">
        <v>164</v>
      </c>
      <c r="E281" s="9" t="str">
        <f t="shared" si="20"/>
        <v>01 ENERO</v>
      </c>
      <c r="F281" s="9">
        <f t="shared" si="19"/>
        <v>509304.14724725432</v>
      </c>
      <c r="H281" s="9"/>
    </row>
    <row r="282" spans="2:8">
      <c r="B282" s="9" t="s">
        <v>50</v>
      </c>
      <c r="C282" s="340">
        <v>44562</v>
      </c>
      <c r="D282" s="9" t="s">
        <v>164</v>
      </c>
      <c r="E282" s="9" t="str">
        <f t="shared" si="20"/>
        <v>01 ENERO</v>
      </c>
      <c r="F282" s="9">
        <f t="shared" si="19"/>
        <v>309496.03556555492</v>
      </c>
      <c r="H282" s="9"/>
    </row>
    <row r="283" spans="2:8">
      <c r="B283" s="9" t="s">
        <v>51</v>
      </c>
      <c r="C283" s="340">
        <v>44562</v>
      </c>
      <c r="D283" s="9" t="s">
        <v>164</v>
      </c>
      <c r="E283" s="9" t="str">
        <f t="shared" si="20"/>
        <v>01 ENERO</v>
      </c>
      <c r="F283" s="9">
        <f t="shared" si="19"/>
        <v>295638.69155837776</v>
      </c>
      <c r="H283" s="9"/>
    </row>
  </sheetData>
  <mergeCells count="8">
    <mergeCell ref="B4:G4"/>
    <mergeCell ref="J4:O4"/>
    <mergeCell ref="B1:G1"/>
    <mergeCell ref="J1:O1"/>
    <mergeCell ref="B2:G2"/>
    <mergeCell ref="J2:O2"/>
    <mergeCell ref="B3:G3"/>
    <mergeCell ref="J3:O3"/>
  </mergeCells>
  <printOptions horizontalCentered="1" verticalCentered="1"/>
  <pageMargins left="0.23" right="0.26" top="0.38" bottom="0.32" header="0.24" footer="0.19"/>
  <pageSetup scale="79" fitToWidth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64"/>
  <sheetViews>
    <sheetView zoomScale="85" zoomScaleNormal="85" workbookViewId="0">
      <selection activeCell="C7" sqref="C7"/>
    </sheetView>
  </sheetViews>
  <sheetFormatPr baseColWidth="10" defaultColWidth="11.42578125" defaultRowHeight="12.75"/>
  <cols>
    <col min="1" max="1" width="29" style="13" customWidth="1"/>
    <col min="2" max="2" width="15.7109375" style="13" customWidth="1"/>
    <col min="3" max="3" width="16.28515625" style="13" customWidth="1"/>
    <col min="4" max="4" width="17.85546875" style="13" customWidth="1"/>
    <col min="5" max="5" width="14.85546875" style="13" bestFit="1" customWidth="1"/>
    <col min="6" max="6" width="4.7109375" style="13" customWidth="1"/>
    <col min="7" max="7" width="7.7109375" style="13" bestFit="1" customWidth="1"/>
    <col min="8" max="8" width="0.140625" style="13" customWidth="1"/>
    <col min="9" max="9" width="47.85546875" style="13" customWidth="1"/>
    <col min="10" max="10" width="19.85546875" style="13" customWidth="1"/>
    <col min="11" max="11" width="15.7109375" style="13" customWidth="1"/>
    <col min="12" max="12" width="15" style="13" bestFit="1" customWidth="1"/>
    <col min="13" max="13" width="11.42578125" style="13"/>
    <col min="14" max="14" width="13.28515625" style="13" bestFit="1" customWidth="1"/>
    <col min="15" max="16384" width="11.42578125" style="13"/>
  </cols>
  <sheetData>
    <row r="1" spans="1:14">
      <c r="A1" s="359" t="s">
        <v>84</v>
      </c>
      <c r="B1" s="359"/>
      <c r="C1" s="359"/>
      <c r="D1" s="359"/>
      <c r="E1" s="359"/>
      <c r="F1" s="281"/>
      <c r="G1" s="281"/>
      <c r="I1" s="359" t="s">
        <v>84</v>
      </c>
      <c r="J1" s="359"/>
      <c r="K1" s="359"/>
      <c r="L1" s="359"/>
    </row>
    <row r="2" spans="1:14">
      <c r="A2" s="359" t="s">
        <v>85</v>
      </c>
      <c r="B2" s="359"/>
      <c r="C2" s="359"/>
      <c r="D2" s="359"/>
      <c r="E2" s="359"/>
      <c r="F2" s="281"/>
      <c r="G2" s="281"/>
      <c r="I2" s="359" t="s">
        <v>85</v>
      </c>
      <c r="J2" s="359"/>
      <c r="K2" s="359"/>
      <c r="L2" s="359"/>
    </row>
    <row r="3" spans="1:14">
      <c r="A3" s="360" t="s">
        <v>186</v>
      </c>
      <c r="B3" s="360"/>
      <c r="C3" s="360"/>
      <c r="D3" s="360"/>
      <c r="E3" s="360"/>
      <c r="F3" s="282"/>
      <c r="G3" s="282"/>
      <c r="I3" s="360" t="s">
        <v>186</v>
      </c>
      <c r="J3" s="360"/>
      <c r="K3" s="360"/>
      <c r="L3" s="360"/>
    </row>
    <row r="4" spans="1:14" ht="13.5" thickBot="1"/>
    <row r="5" spans="1:14" ht="37.5" customHeight="1">
      <c r="A5" s="195" t="s">
        <v>0</v>
      </c>
      <c r="B5" s="229" t="s">
        <v>223</v>
      </c>
      <c r="C5" s="226" t="s">
        <v>157</v>
      </c>
      <c r="D5" s="226" t="s">
        <v>158</v>
      </c>
      <c r="E5" s="233"/>
      <c r="F5" s="42"/>
      <c r="G5" s="42"/>
      <c r="I5" s="195" t="s">
        <v>0</v>
      </c>
      <c r="J5" s="278" t="s">
        <v>190</v>
      </c>
      <c r="K5" s="279" t="s">
        <v>155</v>
      </c>
      <c r="L5" s="275" t="s">
        <v>189</v>
      </c>
    </row>
    <row r="6" spans="1:14">
      <c r="A6" s="227" t="s">
        <v>1</v>
      </c>
      <c r="B6" s="230">
        <f>'Datos Mun'!X5/12</f>
        <v>145369.52354865437</v>
      </c>
      <c r="C6" s="225">
        <f>IF('Datos Mun'!B5="AMM",Descentralizados!$B$62*'Datos Mun'!AK5,Descentralizados!$B$63*'Datos Mun'!AK5)</f>
        <v>76019.931760706648</v>
      </c>
      <c r="D6" s="225" t="str">
        <f>IF('Datos Mun'!C5="No AMM",IF(Descentralizados!C6-Descentralizados!B6&lt;0,"SI","NO"),0)</f>
        <v>SI</v>
      </c>
      <c r="E6" s="234">
        <f>IF(D6="SI",B6,C6)</f>
        <v>145369.52354865437</v>
      </c>
      <c r="F6" s="283" t="str">
        <f>IF(C6=E6,"SI","NO")</f>
        <v>NO</v>
      </c>
      <c r="G6" s="283" t="str">
        <f>IF(B6=E6,"IGUAL","DIF")</f>
        <v>IGUAL</v>
      </c>
      <c r="I6" s="272" t="s">
        <v>1</v>
      </c>
      <c r="J6" s="280">
        <f>IF(E6-C6=0,E6,C6)</f>
        <v>76019.931760706648</v>
      </c>
      <c r="K6" s="284">
        <f>IF(E6-C6=0,0,E6-C6)</f>
        <v>69349.59178794772</v>
      </c>
      <c r="L6" s="276">
        <f>SUM(J6:K6)</f>
        <v>145369.52354865437</v>
      </c>
      <c r="M6" s="328"/>
      <c r="N6" s="328"/>
    </row>
    <row r="7" spans="1:14">
      <c r="A7" s="227" t="s">
        <v>2</v>
      </c>
      <c r="B7" s="230">
        <f>'Datos Mun'!X6/12</f>
        <v>241719.38991096185</v>
      </c>
      <c r="C7" s="225">
        <f>IF('Datos Mun'!B6="AMM",Descentralizados!$B$62*'Datos Mun'!AK6,Descentralizados!$B$63*'Datos Mun'!AK6)</f>
        <v>135986.19389436024</v>
      </c>
      <c r="D7" s="225" t="str">
        <f>IF('Datos Mun'!C6="No AMM",IF(Descentralizados!C7-Descentralizados!B7&lt;0,"SI","NO"),0)</f>
        <v>SI</v>
      </c>
      <c r="E7" s="234">
        <f t="shared" ref="E7:E56" si="0">IF(D7="SI",B7,C7)</f>
        <v>241719.38991096185</v>
      </c>
      <c r="F7" s="283" t="str">
        <f t="shared" ref="F7:F56" si="1">IF(C7=E7,"SI","NO")</f>
        <v>NO</v>
      </c>
      <c r="G7" s="283" t="str">
        <f t="shared" ref="G7:G56" si="2">IF(B7=E7,"IGUAL","DIF")</f>
        <v>IGUAL</v>
      </c>
      <c r="I7" s="272" t="s">
        <v>2</v>
      </c>
      <c r="J7" s="280">
        <f t="shared" ref="J7:J56" si="3">IF(E7-C7=0,E7,C7)</f>
        <v>135986.19389436024</v>
      </c>
      <c r="K7" s="284">
        <f t="shared" ref="K7:K56" si="4">IF(E7-C7=0,0,E7-C7)</f>
        <v>105733.19601660161</v>
      </c>
      <c r="L7" s="276">
        <f t="shared" ref="L7:L55" si="5">SUM(J7:K7)</f>
        <v>241719.38991096185</v>
      </c>
      <c r="M7" s="328"/>
      <c r="N7" s="328"/>
    </row>
    <row r="8" spans="1:14">
      <c r="A8" s="227" t="s">
        <v>3</v>
      </c>
      <c r="B8" s="230">
        <f>'Datos Mun'!X7/12</f>
        <v>184149.08754386404</v>
      </c>
      <c r="C8" s="225">
        <f>IF('Datos Mun'!B7="AMM",Descentralizados!$B$62*'Datos Mun'!AK7,Descentralizados!$B$63*'Datos Mun'!AK7)</f>
        <v>171816.17484488516</v>
      </c>
      <c r="D8" s="225" t="str">
        <f>IF('Datos Mun'!C7="No AMM",IF(Descentralizados!C8-Descentralizados!B8&lt;0,"SI","NO"),0)</f>
        <v>SI</v>
      </c>
      <c r="E8" s="234">
        <f t="shared" si="0"/>
        <v>184149.08754386404</v>
      </c>
      <c r="F8" s="283" t="str">
        <f t="shared" si="1"/>
        <v>NO</v>
      </c>
      <c r="G8" s="283" t="str">
        <f t="shared" si="2"/>
        <v>IGUAL</v>
      </c>
      <c r="I8" s="272" t="s">
        <v>3</v>
      </c>
      <c r="J8" s="280">
        <f t="shared" si="3"/>
        <v>171816.17484488516</v>
      </c>
      <c r="K8" s="284">
        <f t="shared" si="4"/>
        <v>12332.912698978878</v>
      </c>
      <c r="L8" s="276">
        <f t="shared" si="5"/>
        <v>184149.08754386404</v>
      </c>
      <c r="M8" s="328"/>
      <c r="N8" s="328"/>
    </row>
    <row r="9" spans="1:14">
      <c r="A9" s="227" t="s">
        <v>4</v>
      </c>
      <c r="B9" s="230">
        <f>'Datos Mun'!X8/12</f>
        <v>709853.38313987956</v>
      </c>
      <c r="C9" s="225">
        <f>IF('Datos Mun'!B8="AMM",Descentralizados!$B$62*'Datos Mun'!AK8,Descentralizados!$B$63*'Datos Mun'!AK8)</f>
        <v>807765.45195063751</v>
      </c>
      <c r="D9" s="225" t="str">
        <f>IF('Datos Mun'!C8="No AMM",IF(Descentralizados!C9-Descentralizados!B9&lt;0,"SI","NO"),0)</f>
        <v>NO</v>
      </c>
      <c r="E9" s="234">
        <f t="shared" si="0"/>
        <v>807765.45195063751</v>
      </c>
      <c r="F9" s="283" t="str">
        <f t="shared" si="1"/>
        <v>SI</v>
      </c>
      <c r="G9" s="283" t="str">
        <f t="shared" si="2"/>
        <v>DIF</v>
      </c>
      <c r="I9" s="272" t="s">
        <v>4</v>
      </c>
      <c r="J9" s="280">
        <f t="shared" si="3"/>
        <v>807765.45195063751</v>
      </c>
      <c r="K9" s="284">
        <f t="shared" si="4"/>
        <v>0</v>
      </c>
      <c r="L9" s="276">
        <f t="shared" si="5"/>
        <v>807765.45195063751</v>
      </c>
      <c r="M9" s="328"/>
      <c r="N9" s="328"/>
    </row>
    <row r="10" spans="1:14">
      <c r="A10" s="227" t="s">
        <v>5</v>
      </c>
      <c r="B10" s="230">
        <f>'Datos Mun'!X9/12</f>
        <v>511469.03323250258</v>
      </c>
      <c r="C10" s="225">
        <f>IF('Datos Mun'!B9="AMM",Descentralizados!$B$62*'Datos Mun'!AK9,Descentralizados!$B$63*'Datos Mun'!AK9)</f>
        <v>557160.95668172243</v>
      </c>
      <c r="D10" s="225" t="str">
        <f>IF('Datos Mun'!C9="No AMM",IF(Descentralizados!C10-Descentralizados!B10&lt;0,"SI","NO"),0)</f>
        <v>NO</v>
      </c>
      <c r="E10" s="234">
        <f t="shared" si="0"/>
        <v>557160.95668172243</v>
      </c>
      <c r="F10" s="283" t="str">
        <f t="shared" si="1"/>
        <v>SI</v>
      </c>
      <c r="G10" s="283" t="str">
        <f t="shared" si="2"/>
        <v>DIF</v>
      </c>
      <c r="I10" s="272" t="s">
        <v>5</v>
      </c>
      <c r="J10" s="280">
        <f t="shared" si="3"/>
        <v>557160.95668172243</v>
      </c>
      <c r="K10" s="284">
        <f t="shared" si="4"/>
        <v>0</v>
      </c>
      <c r="L10" s="276">
        <f t="shared" si="5"/>
        <v>557160.95668172243</v>
      </c>
      <c r="M10" s="328"/>
      <c r="N10" s="328"/>
    </row>
    <row r="11" spans="1:14">
      <c r="A11" s="227" t="s">
        <v>6</v>
      </c>
      <c r="B11" s="230">
        <f>'Datos Mun'!X10/12</f>
        <v>1729440.8109277114</v>
      </c>
      <c r="C11" s="225">
        <f>IF('Datos Mun'!B10="AMM",Descentralizados!$B$62*'Datos Mun'!AK10,Descentralizados!$B$63*'Datos Mun'!AK10)</f>
        <v>2470225.1126588453</v>
      </c>
      <c r="D11" s="225">
        <f>IF('Datos Mun'!C10="No AMM",IF(Descentralizados!C11-Descentralizados!B11&lt;0,"SI","NO"),0)</f>
        <v>0</v>
      </c>
      <c r="E11" s="234">
        <f t="shared" si="0"/>
        <v>2470225.1126588453</v>
      </c>
      <c r="F11" s="283" t="str">
        <f t="shared" si="1"/>
        <v>SI</v>
      </c>
      <c r="G11" s="283" t="str">
        <f t="shared" si="2"/>
        <v>DIF</v>
      </c>
      <c r="I11" s="272" t="s">
        <v>6</v>
      </c>
      <c r="J11" s="280">
        <f t="shared" si="3"/>
        <v>2470225.1126588453</v>
      </c>
      <c r="K11" s="284">
        <f t="shared" si="4"/>
        <v>0</v>
      </c>
      <c r="L11" s="276">
        <f t="shared" si="5"/>
        <v>2470225.1126588453</v>
      </c>
      <c r="M11" s="328"/>
      <c r="N11" s="328"/>
    </row>
    <row r="12" spans="1:14">
      <c r="A12" s="227" t="s">
        <v>7</v>
      </c>
      <c r="B12" s="230">
        <f>'Datos Mun'!X11/12</f>
        <v>685389.59118695778</v>
      </c>
      <c r="C12" s="225">
        <f>IF('Datos Mun'!B11="AMM",Descentralizados!$B$62*'Datos Mun'!AK11,Descentralizados!$B$63*'Datos Mun'!AK11)</f>
        <v>502741.36587084207</v>
      </c>
      <c r="D12" s="225" t="str">
        <f>IF('Datos Mun'!C11="No AMM",IF(Descentralizados!C12-Descentralizados!B12&lt;0,"SI","NO"),0)</f>
        <v>SI</v>
      </c>
      <c r="E12" s="234">
        <f t="shared" si="0"/>
        <v>685389.59118695778</v>
      </c>
      <c r="F12" s="283" t="str">
        <f t="shared" si="1"/>
        <v>NO</v>
      </c>
      <c r="G12" s="283" t="str">
        <f t="shared" si="2"/>
        <v>IGUAL</v>
      </c>
      <c r="I12" s="272" t="s">
        <v>7</v>
      </c>
      <c r="J12" s="280">
        <f t="shared" si="3"/>
        <v>502741.36587084207</v>
      </c>
      <c r="K12" s="284">
        <f t="shared" si="4"/>
        <v>182648.22531611571</v>
      </c>
      <c r="L12" s="276">
        <f t="shared" si="5"/>
        <v>685389.59118695778</v>
      </c>
      <c r="M12" s="328"/>
      <c r="N12" s="328"/>
    </row>
    <row r="13" spans="1:14">
      <c r="A13" s="227" t="s">
        <v>8</v>
      </c>
      <c r="B13" s="230">
        <f>'Datos Mun'!X12/12</f>
        <v>247851.58996842895</v>
      </c>
      <c r="C13" s="225">
        <f>IF('Datos Mun'!B12="AMM",Descentralizados!$B$62*'Datos Mun'!AK12,Descentralizados!$B$63*'Datos Mun'!AK12)</f>
        <v>142115.79518000854</v>
      </c>
      <c r="D13" s="225" t="str">
        <f>IF('Datos Mun'!C12="No AMM",IF(Descentralizados!C13-Descentralizados!B13&lt;0,"SI","NO"),0)</f>
        <v>SI</v>
      </c>
      <c r="E13" s="234">
        <f t="shared" si="0"/>
        <v>247851.58996842895</v>
      </c>
      <c r="F13" s="283" t="str">
        <f t="shared" si="1"/>
        <v>NO</v>
      </c>
      <c r="G13" s="283" t="str">
        <f t="shared" si="2"/>
        <v>IGUAL</v>
      </c>
      <c r="I13" s="272" t="s">
        <v>8</v>
      </c>
      <c r="J13" s="280">
        <f t="shared" si="3"/>
        <v>142115.79518000854</v>
      </c>
      <c r="K13" s="284">
        <f t="shared" si="4"/>
        <v>105735.7947884204</v>
      </c>
      <c r="L13" s="276">
        <f t="shared" si="5"/>
        <v>247851.58996842895</v>
      </c>
      <c r="M13" s="328"/>
      <c r="N13" s="328"/>
    </row>
    <row r="14" spans="1:14">
      <c r="A14" s="227" t="s">
        <v>9</v>
      </c>
      <c r="B14" s="230">
        <f>'Datos Mun'!X13/12</f>
        <v>506731.01118072955</v>
      </c>
      <c r="C14" s="225">
        <f>IF('Datos Mun'!B13="AMM",Descentralizados!$B$62*'Datos Mun'!AK13,Descentralizados!$B$63*'Datos Mun'!AK13)</f>
        <v>386736.46457237116</v>
      </c>
      <c r="D14" s="225" t="str">
        <f>IF('Datos Mun'!C13="No AMM",IF(Descentralizados!C14-Descentralizados!B14&lt;0,"SI","NO"),0)</f>
        <v>SI</v>
      </c>
      <c r="E14" s="234">
        <f t="shared" si="0"/>
        <v>506731.01118072955</v>
      </c>
      <c r="F14" s="283" t="str">
        <f t="shared" si="1"/>
        <v>NO</v>
      </c>
      <c r="G14" s="283" t="str">
        <f t="shared" si="2"/>
        <v>IGUAL</v>
      </c>
      <c r="I14" s="272" t="s">
        <v>9</v>
      </c>
      <c r="J14" s="280">
        <f t="shared" si="3"/>
        <v>386736.46457237116</v>
      </c>
      <c r="K14" s="284">
        <f t="shared" si="4"/>
        <v>119994.54660835839</v>
      </c>
      <c r="L14" s="276">
        <f t="shared" si="5"/>
        <v>506731.01118072955</v>
      </c>
      <c r="M14" s="328"/>
      <c r="N14" s="328"/>
    </row>
    <row r="15" spans="1:14">
      <c r="A15" s="227" t="s">
        <v>10</v>
      </c>
      <c r="B15" s="230">
        <f>'Datos Mun'!X14/12</f>
        <v>352866.77962589264</v>
      </c>
      <c r="C15" s="225">
        <f>IF('Datos Mun'!B14="AMM",Descentralizados!$B$62*'Datos Mun'!AK14,Descentralizados!$B$63*'Datos Mun'!AK14)</f>
        <v>1028433.9405610957</v>
      </c>
      <c r="D15" s="225" t="str">
        <f>IF('Datos Mun'!C14="No AMM",IF(Descentralizados!C15-Descentralizados!B15&lt;0,"SI","NO"),0)</f>
        <v>NO</v>
      </c>
      <c r="E15" s="234">
        <f t="shared" si="0"/>
        <v>1028433.9405610957</v>
      </c>
      <c r="F15" s="283" t="str">
        <f t="shared" si="1"/>
        <v>SI</v>
      </c>
      <c r="G15" s="283" t="str">
        <f t="shared" si="2"/>
        <v>DIF</v>
      </c>
      <c r="I15" s="272" t="s">
        <v>10</v>
      </c>
      <c r="J15" s="280">
        <f t="shared" si="3"/>
        <v>1028433.9405610957</v>
      </c>
      <c r="K15" s="284">
        <f t="shared" si="4"/>
        <v>0</v>
      </c>
      <c r="L15" s="276">
        <f t="shared" si="5"/>
        <v>1028433.9405610957</v>
      </c>
      <c r="M15" s="328"/>
      <c r="N15" s="328"/>
    </row>
    <row r="16" spans="1:14">
      <c r="A16" s="227" t="s">
        <v>191</v>
      </c>
      <c r="B16" s="230">
        <f>'Datos Mun'!X15/12</f>
        <v>307760.28049896931</v>
      </c>
      <c r="C16" s="225">
        <f>IF('Datos Mun'!B15="AMM",Descentralizados!$B$62*'Datos Mun'!AK15,Descentralizados!$B$63*'Datos Mun'!AK15)</f>
        <v>393729.87933883414</v>
      </c>
      <c r="D16" s="225" t="str">
        <f>IF('Datos Mun'!C15="No AMM",IF(Descentralizados!C16-Descentralizados!B16&lt;0,"SI","NO"),0)</f>
        <v>NO</v>
      </c>
      <c r="E16" s="234">
        <f t="shared" si="0"/>
        <v>393729.87933883414</v>
      </c>
      <c r="F16" s="283" t="str">
        <f t="shared" si="1"/>
        <v>SI</v>
      </c>
      <c r="G16" s="283" t="str">
        <f t="shared" si="2"/>
        <v>DIF</v>
      </c>
      <c r="I16" s="272" t="s">
        <v>191</v>
      </c>
      <c r="J16" s="280">
        <f t="shared" si="3"/>
        <v>393729.87933883414</v>
      </c>
      <c r="K16" s="284">
        <f t="shared" si="4"/>
        <v>0</v>
      </c>
      <c r="L16" s="276">
        <f t="shared" si="5"/>
        <v>393729.87933883414</v>
      </c>
      <c r="M16" s="328"/>
      <c r="N16" s="328"/>
    </row>
    <row r="17" spans="1:14">
      <c r="A17" s="227" t="s">
        <v>12</v>
      </c>
      <c r="B17" s="230">
        <f>'Datos Mun'!X16/12</f>
        <v>463594.35675485799</v>
      </c>
      <c r="C17" s="225">
        <f>IF('Datos Mun'!B16="AMM",Descentralizados!$B$62*'Datos Mun'!AK16,Descentralizados!$B$63*'Datos Mun'!AK16)</f>
        <v>489978.88450725784</v>
      </c>
      <c r="D17" s="225" t="str">
        <f>IF('Datos Mun'!C16="No AMM",IF(Descentralizados!C17-Descentralizados!B17&lt;0,"SI","NO"),0)</f>
        <v>NO</v>
      </c>
      <c r="E17" s="234">
        <f t="shared" si="0"/>
        <v>489978.88450725784</v>
      </c>
      <c r="F17" s="283" t="str">
        <f t="shared" si="1"/>
        <v>SI</v>
      </c>
      <c r="G17" s="283" t="str">
        <f t="shared" si="2"/>
        <v>DIF</v>
      </c>
      <c r="I17" s="272" t="s">
        <v>12</v>
      </c>
      <c r="J17" s="280">
        <f t="shared" si="3"/>
        <v>489978.88450725784</v>
      </c>
      <c r="K17" s="284">
        <f t="shared" si="4"/>
        <v>0</v>
      </c>
      <c r="L17" s="276">
        <f t="shared" si="5"/>
        <v>489978.88450725784</v>
      </c>
      <c r="M17" s="328"/>
      <c r="N17" s="328"/>
    </row>
    <row r="18" spans="1:14">
      <c r="A18" s="227" t="s">
        <v>13</v>
      </c>
      <c r="B18" s="230">
        <f>'Datos Mun'!X17/12</f>
        <v>292908.57272918482</v>
      </c>
      <c r="C18" s="225">
        <f>IF('Datos Mun'!B17="AMM",Descentralizados!$B$62*'Datos Mun'!AK17,Descentralizados!$B$63*'Datos Mun'!AK17)</f>
        <v>771291.98672597646</v>
      </c>
      <c r="D18" s="225" t="str">
        <f>IF('Datos Mun'!C17="No AMM",IF(Descentralizados!C18-Descentralizados!B18&lt;0,"SI","NO"),0)</f>
        <v>NO</v>
      </c>
      <c r="E18" s="234">
        <f t="shared" si="0"/>
        <v>771291.98672597646</v>
      </c>
      <c r="F18" s="283" t="str">
        <f t="shared" si="1"/>
        <v>SI</v>
      </c>
      <c r="G18" s="283" t="str">
        <f t="shared" si="2"/>
        <v>DIF</v>
      </c>
      <c r="I18" s="272" t="s">
        <v>13</v>
      </c>
      <c r="J18" s="280">
        <f t="shared" si="3"/>
        <v>771291.98672597646</v>
      </c>
      <c r="K18" s="284">
        <f t="shared" si="4"/>
        <v>0</v>
      </c>
      <c r="L18" s="276">
        <f t="shared" si="5"/>
        <v>771291.98672597646</v>
      </c>
      <c r="M18" s="328"/>
      <c r="N18" s="328"/>
    </row>
    <row r="19" spans="1:14">
      <c r="A19" s="227" t="s">
        <v>14</v>
      </c>
      <c r="B19" s="230">
        <f>'Datos Mun'!X18/12</f>
        <v>1585969.7013374334</v>
      </c>
      <c r="C19" s="225">
        <f>IF('Datos Mun'!B18="AMM",Descentralizados!$B$62*'Datos Mun'!AK18,Descentralizados!$B$63*'Datos Mun'!AK18)</f>
        <v>1108726.4654076553</v>
      </c>
      <c r="D19" s="225" t="str">
        <f>IF('Datos Mun'!C18="No AMM",IF(Descentralizados!C19-Descentralizados!B19&lt;0,"SI","NO"),0)</f>
        <v>SI</v>
      </c>
      <c r="E19" s="234">
        <f t="shared" si="0"/>
        <v>1585969.7013374334</v>
      </c>
      <c r="F19" s="283" t="str">
        <f t="shared" si="1"/>
        <v>NO</v>
      </c>
      <c r="G19" s="283" t="str">
        <f t="shared" si="2"/>
        <v>IGUAL</v>
      </c>
      <c r="I19" s="272" t="s">
        <v>14</v>
      </c>
      <c r="J19" s="280">
        <f t="shared" si="3"/>
        <v>1108726.4654076553</v>
      </c>
      <c r="K19" s="284">
        <f t="shared" si="4"/>
        <v>477243.23592977808</v>
      </c>
      <c r="L19" s="276">
        <f t="shared" si="5"/>
        <v>1585969.7013374334</v>
      </c>
      <c r="M19" s="328"/>
      <c r="N19" s="328"/>
    </row>
    <row r="20" spans="1:14">
      <c r="A20" s="227" t="s">
        <v>15</v>
      </c>
      <c r="B20" s="230">
        <f>'Datos Mun'!X19/12</f>
        <v>218983.81735002479</v>
      </c>
      <c r="C20" s="225">
        <f>IF('Datos Mun'!B19="AMM",Descentralizados!$B$62*'Datos Mun'!AK19,Descentralizados!$B$63*'Datos Mun'!AK19)</f>
        <v>160672.22624246785</v>
      </c>
      <c r="D20" s="225" t="str">
        <f>IF('Datos Mun'!C19="No AMM",IF(Descentralizados!C20-Descentralizados!B20&lt;0,"SI","NO"),0)</f>
        <v>SI</v>
      </c>
      <c r="E20" s="234">
        <f t="shared" si="0"/>
        <v>218983.81735002479</v>
      </c>
      <c r="F20" s="283" t="str">
        <f t="shared" si="1"/>
        <v>NO</v>
      </c>
      <c r="G20" s="283" t="str">
        <f t="shared" si="2"/>
        <v>IGUAL</v>
      </c>
      <c r="I20" s="272" t="s">
        <v>15</v>
      </c>
      <c r="J20" s="280">
        <f t="shared" si="3"/>
        <v>160672.22624246785</v>
      </c>
      <c r="K20" s="284">
        <f t="shared" si="4"/>
        <v>58311.591107556946</v>
      </c>
      <c r="L20" s="276">
        <f t="shared" si="5"/>
        <v>218983.81735002479</v>
      </c>
      <c r="M20" s="328"/>
      <c r="N20" s="328"/>
    </row>
    <row r="21" spans="1:14">
      <c r="A21" s="227" t="s">
        <v>16</v>
      </c>
      <c r="B21" s="230">
        <f>'Datos Mun'!X20/12</f>
        <v>109860.46261583385</v>
      </c>
      <c r="C21" s="225">
        <f>IF('Datos Mun'!B20="AMM",Descentralizados!$B$62*'Datos Mun'!AK20,Descentralizados!$B$63*'Datos Mun'!AK20)</f>
        <v>107740.18108543553</v>
      </c>
      <c r="D21" s="225" t="str">
        <f>IF('Datos Mun'!C20="No AMM",IF(Descentralizados!C21-Descentralizados!B21&lt;0,"SI","NO"),0)</f>
        <v>SI</v>
      </c>
      <c r="E21" s="234">
        <f t="shared" si="0"/>
        <v>109860.46261583385</v>
      </c>
      <c r="F21" s="283" t="str">
        <f t="shared" si="1"/>
        <v>NO</v>
      </c>
      <c r="G21" s="283" t="str">
        <f t="shared" si="2"/>
        <v>IGUAL</v>
      </c>
      <c r="I21" s="272" t="s">
        <v>16</v>
      </c>
      <c r="J21" s="280">
        <f t="shared" si="3"/>
        <v>107740.18108543553</v>
      </c>
      <c r="K21" s="284">
        <f t="shared" si="4"/>
        <v>2120.2815303983225</v>
      </c>
      <c r="L21" s="276">
        <f t="shared" si="5"/>
        <v>109860.46261583385</v>
      </c>
      <c r="M21" s="328"/>
      <c r="N21" s="328"/>
    </row>
    <row r="22" spans="1:14">
      <c r="A22" s="227" t="s">
        <v>17</v>
      </c>
      <c r="B22" s="230">
        <f>'Datos Mun'!X21/12</f>
        <v>1147558.9651947303</v>
      </c>
      <c r="C22" s="225">
        <f>IF('Datos Mun'!B21="AMM",Descentralizados!$B$62*'Datos Mun'!AK21,Descentralizados!$B$63*'Datos Mun'!AK21)</f>
        <v>1035708.4504684159</v>
      </c>
      <c r="D22" s="225" t="str">
        <f>IF('Datos Mun'!C21="No AMM",IF(Descentralizados!C22-Descentralizados!B22&lt;0,"SI","NO"),0)</f>
        <v>SI</v>
      </c>
      <c r="E22" s="234">
        <f t="shared" si="0"/>
        <v>1147558.9651947303</v>
      </c>
      <c r="F22" s="283" t="str">
        <f t="shared" si="1"/>
        <v>NO</v>
      </c>
      <c r="G22" s="283" t="str">
        <f t="shared" si="2"/>
        <v>IGUAL</v>
      </c>
      <c r="I22" s="272" t="s">
        <v>17</v>
      </c>
      <c r="J22" s="280">
        <f t="shared" si="3"/>
        <v>1035708.4504684159</v>
      </c>
      <c r="K22" s="284">
        <f t="shared" si="4"/>
        <v>111850.51472631446</v>
      </c>
      <c r="L22" s="276">
        <f t="shared" si="5"/>
        <v>1147558.9651947303</v>
      </c>
      <c r="M22" s="328"/>
      <c r="N22" s="328"/>
    </row>
    <row r="23" spans="1:14">
      <c r="A23" s="227" t="s">
        <v>18</v>
      </c>
      <c r="B23" s="230">
        <f>'Datos Mun'!X22/12</f>
        <v>671009.0467954257</v>
      </c>
      <c r="C23" s="225">
        <f>IF('Datos Mun'!B22="AMM",Descentralizados!$B$62*'Datos Mun'!AK22,Descentralizados!$B$63*'Datos Mun'!AK22)</f>
        <v>1160655.4835818042</v>
      </c>
      <c r="D23" s="225">
        <f>IF('Datos Mun'!C22="No AMM",IF(Descentralizados!C23-Descentralizados!B23&lt;0,"SI","NO"),0)</f>
        <v>0</v>
      </c>
      <c r="E23" s="234">
        <f t="shared" si="0"/>
        <v>1160655.4835818042</v>
      </c>
      <c r="F23" s="283" t="str">
        <f t="shared" si="1"/>
        <v>SI</v>
      </c>
      <c r="G23" s="283" t="str">
        <f t="shared" si="2"/>
        <v>DIF</v>
      </c>
      <c r="I23" s="272" t="s">
        <v>18</v>
      </c>
      <c r="J23" s="280">
        <f t="shared" si="3"/>
        <v>1160655.4835818042</v>
      </c>
      <c r="K23" s="284">
        <f t="shared" si="4"/>
        <v>0</v>
      </c>
      <c r="L23" s="276">
        <f t="shared" si="5"/>
        <v>1160655.4835818042</v>
      </c>
      <c r="M23" s="328"/>
      <c r="N23" s="328"/>
    </row>
    <row r="24" spans="1:14">
      <c r="A24" s="227" t="s">
        <v>19</v>
      </c>
      <c r="B24" s="230">
        <f>'Datos Mun'!X23/12</f>
        <v>193323.8061193816</v>
      </c>
      <c r="C24" s="225">
        <f>IF('Datos Mun'!B23="AMM",Descentralizados!$B$62*'Datos Mun'!AK23,Descentralizados!$B$63*'Datos Mun'!AK23)</f>
        <v>295624.95149612083</v>
      </c>
      <c r="D24" s="225" t="str">
        <f>IF('Datos Mun'!C23="No AMM",IF(Descentralizados!C24-Descentralizados!B24&lt;0,"SI","NO"),0)</f>
        <v>NO</v>
      </c>
      <c r="E24" s="234">
        <f t="shared" si="0"/>
        <v>295624.95149612083</v>
      </c>
      <c r="F24" s="283" t="str">
        <f t="shared" si="1"/>
        <v>SI</v>
      </c>
      <c r="G24" s="283" t="str">
        <f t="shared" si="2"/>
        <v>DIF</v>
      </c>
      <c r="I24" s="272" t="s">
        <v>19</v>
      </c>
      <c r="J24" s="280">
        <f t="shared" si="3"/>
        <v>295624.95149612083</v>
      </c>
      <c r="K24" s="284">
        <f t="shared" si="4"/>
        <v>0</v>
      </c>
      <c r="L24" s="276">
        <f t="shared" si="5"/>
        <v>295624.95149612083</v>
      </c>
      <c r="M24" s="328"/>
      <c r="N24" s="328"/>
    </row>
    <row r="25" spans="1:14">
      <c r="A25" s="227" t="s">
        <v>20</v>
      </c>
      <c r="B25" s="230">
        <f>'Datos Mun'!X24/12</f>
        <v>1021870.2160713114</v>
      </c>
      <c r="C25" s="225">
        <f>IF('Datos Mun'!B24="AMM",Descentralizados!$B$62*'Datos Mun'!AK24,Descentralizados!$B$63*'Datos Mun'!AK24)</f>
        <v>1606542.1355364947</v>
      </c>
      <c r="D25" s="225">
        <f>IF('Datos Mun'!C24="No AMM",IF(Descentralizados!C25-Descentralizados!B25&lt;0,"SI","NO"),0)</f>
        <v>0</v>
      </c>
      <c r="E25" s="234">
        <f t="shared" si="0"/>
        <v>1606542.1355364947</v>
      </c>
      <c r="F25" s="283" t="str">
        <f t="shared" si="1"/>
        <v>SI</v>
      </c>
      <c r="G25" s="283" t="str">
        <f t="shared" si="2"/>
        <v>DIF</v>
      </c>
      <c r="I25" s="272" t="s">
        <v>20</v>
      </c>
      <c r="J25" s="280">
        <f t="shared" si="3"/>
        <v>1606542.1355364947</v>
      </c>
      <c r="K25" s="284">
        <f t="shared" si="4"/>
        <v>0</v>
      </c>
      <c r="L25" s="276">
        <f t="shared" si="5"/>
        <v>1606542.1355364947</v>
      </c>
      <c r="M25" s="328"/>
      <c r="N25" s="328"/>
    </row>
    <row r="26" spans="1:14">
      <c r="A26" s="227" t="s">
        <v>21</v>
      </c>
      <c r="B26" s="230">
        <f>'Datos Mun'!X25/12</f>
        <v>419650.41339484946</v>
      </c>
      <c r="C26" s="225">
        <f>IF('Datos Mun'!B25="AMM",Descentralizados!$B$62*'Datos Mun'!AK25,Descentralizados!$B$63*'Datos Mun'!AK25)</f>
        <v>471225.96112374612</v>
      </c>
      <c r="D26" s="225" t="str">
        <f>IF('Datos Mun'!C25="No AMM",IF(Descentralizados!C26-Descentralizados!B26&lt;0,"SI","NO"),0)</f>
        <v>NO</v>
      </c>
      <c r="E26" s="234">
        <f t="shared" si="0"/>
        <v>471225.96112374612</v>
      </c>
      <c r="F26" s="283" t="str">
        <f t="shared" si="1"/>
        <v>SI</v>
      </c>
      <c r="G26" s="283" t="str">
        <f t="shared" si="2"/>
        <v>DIF</v>
      </c>
      <c r="I26" s="272" t="s">
        <v>21</v>
      </c>
      <c r="J26" s="280">
        <f t="shared" si="3"/>
        <v>471225.96112374612</v>
      </c>
      <c r="K26" s="284">
        <f t="shared" si="4"/>
        <v>0</v>
      </c>
      <c r="L26" s="276">
        <f t="shared" si="5"/>
        <v>471225.96112374612</v>
      </c>
      <c r="M26" s="328"/>
      <c r="N26" s="328"/>
    </row>
    <row r="27" spans="1:14">
      <c r="A27" s="227" t="s">
        <v>22</v>
      </c>
      <c r="B27" s="230">
        <f>'Datos Mun'!X26/12</f>
        <v>214938.9402726251</v>
      </c>
      <c r="C27" s="225">
        <f>IF('Datos Mun'!B26="AMM",Descentralizados!$B$62*'Datos Mun'!AK26,Descentralizados!$B$63*'Datos Mun'!AK26)</f>
        <v>93760.5210510256</v>
      </c>
      <c r="D27" s="225" t="str">
        <f>IF('Datos Mun'!C26="No AMM",IF(Descentralizados!C27-Descentralizados!B27&lt;0,"SI","NO"),0)</f>
        <v>SI</v>
      </c>
      <c r="E27" s="234">
        <f t="shared" si="0"/>
        <v>214938.9402726251</v>
      </c>
      <c r="F27" s="283" t="str">
        <f t="shared" si="1"/>
        <v>NO</v>
      </c>
      <c r="G27" s="283" t="str">
        <f t="shared" si="2"/>
        <v>IGUAL</v>
      </c>
      <c r="I27" s="272" t="s">
        <v>22</v>
      </c>
      <c r="J27" s="280">
        <f t="shared" si="3"/>
        <v>93760.5210510256</v>
      </c>
      <c r="K27" s="284">
        <f t="shared" si="4"/>
        <v>121178.4192215995</v>
      </c>
      <c r="L27" s="276">
        <f t="shared" si="5"/>
        <v>214938.9402726251</v>
      </c>
      <c r="M27" s="328"/>
      <c r="N27" s="328"/>
    </row>
    <row r="28" spans="1:14">
      <c r="A28" s="227" t="s">
        <v>23</v>
      </c>
      <c r="B28" s="230">
        <f>'Datos Mun'!X27/12</f>
        <v>340332.44893929962</v>
      </c>
      <c r="C28" s="225">
        <f>IF('Datos Mun'!B27="AMM",Descentralizados!$B$62*'Datos Mun'!AK27,Descentralizados!$B$63*'Datos Mun'!AK27)</f>
        <v>268784.06600828323</v>
      </c>
      <c r="D28" s="225" t="str">
        <f>IF('Datos Mun'!C27="No AMM",IF(Descentralizados!C28-Descentralizados!B28&lt;0,"SI","NO"),0)</f>
        <v>SI</v>
      </c>
      <c r="E28" s="234">
        <f t="shared" si="0"/>
        <v>340332.44893929962</v>
      </c>
      <c r="F28" s="283" t="str">
        <f t="shared" si="1"/>
        <v>NO</v>
      </c>
      <c r="G28" s="283" t="str">
        <f t="shared" si="2"/>
        <v>IGUAL</v>
      </c>
      <c r="I28" s="272" t="s">
        <v>23</v>
      </c>
      <c r="J28" s="280">
        <f t="shared" si="3"/>
        <v>268784.06600828323</v>
      </c>
      <c r="K28" s="284">
        <f t="shared" si="4"/>
        <v>71548.382931016386</v>
      </c>
      <c r="L28" s="276">
        <f t="shared" si="5"/>
        <v>340332.44893929962</v>
      </c>
      <c r="M28" s="328"/>
      <c r="N28" s="328"/>
    </row>
    <row r="29" spans="1:14">
      <c r="A29" s="227" t="s">
        <v>24</v>
      </c>
      <c r="B29" s="230">
        <f>'Datos Mun'!X28/12</f>
        <v>436653.11894131009</v>
      </c>
      <c r="C29" s="225">
        <f>IF('Datos Mun'!B28="AMM",Descentralizados!$B$62*'Datos Mun'!AK28,Descentralizados!$B$63*'Datos Mun'!AK28)</f>
        <v>972605.96691454691</v>
      </c>
      <c r="D29" s="225" t="str">
        <f>IF('Datos Mun'!C28="No AMM",IF(Descentralizados!C29-Descentralizados!B29&lt;0,"SI","NO"),0)</f>
        <v>NO</v>
      </c>
      <c r="E29" s="234">
        <f t="shared" si="0"/>
        <v>972605.96691454691</v>
      </c>
      <c r="F29" s="283" t="str">
        <f t="shared" si="1"/>
        <v>SI</v>
      </c>
      <c r="G29" s="283" t="str">
        <f t="shared" si="2"/>
        <v>DIF</v>
      </c>
      <c r="I29" s="272" t="s">
        <v>24</v>
      </c>
      <c r="J29" s="280">
        <f t="shared" si="3"/>
        <v>972605.96691454691</v>
      </c>
      <c r="K29" s="284">
        <f t="shared" si="4"/>
        <v>0</v>
      </c>
      <c r="L29" s="276">
        <f t="shared" si="5"/>
        <v>972605.96691454691</v>
      </c>
      <c r="M29" s="328"/>
      <c r="N29" s="328"/>
    </row>
    <row r="30" spans="1:14">
      <c r="A30" s="227" t="s">
        <v>25</v>
      </c>
      <c r="B30" s="230">
        <f>'Datos Mun'!X29/12</f>
        <v>1601412.8103599017</v>
      </c>
      <c r="C30" s="225">
        <f>IF('Datos Mun'!B29="AMM",Descentralizados!$B$62*'Datos Mun'!AK29,Descentralizados!$B$63*'Datos Mun'!AK29)</f>
        <v>2081416.0540637353</v>
      </c>
      <c r="D30" s="225">
        <f>IF('Datos Mun'!C29="No AMM",IF(Descentralizados!C30-Descentralizados!B30&lt;0,"SI","NO"),0)</f>
        <v>0</v>
      </c>
      <c r="E30" s="234">
        <f t="shared" si="0"/>
        <v>2081416.0540637353</v>
      </c>
      <c r="F30" s="283" t="str">
        <f t="shared" si="1"/>
        <v>SI</v>
      </c>
      <c r="G30" s="283" t="str">
        <f t="shared" si="2"/>
        <v>DIF</v>
      </c>
      <c r="I30" s="272" t="s">
        <v>25</v>
      </c>
      <c r="J30" s="280">
        <f t="shared" si="3"/>
        <v>2081416.0540637353</v>
      </c>
      <c r="K30" s="284">
        <f t="shared" si="4"/>
        <v>0</v>
      </c>
      <c r="L30" s="276">
        <f t="shared" si="5"/>
        <v>2081416.0540637353</v>
      </c>
      <c r="M30" s="328"/>
      <c r="N30" s="328"/>
    </row>
    <row r="31" spans="1:14">
      <c r="A31" s="227" t="s">
        <v>26</v>
      </c>
      <c r="B31" s="230">
        <f>'Datos Mun'!X30/12</f>
        <v>201348.380720783</v>
      </c>
      <c r="C31" s="225">
        <f>IF('Datos Mun'!B30="AMM",Descentralizados!$B$62*'Datos Mun'!AK30,Descentralizados!$B$63*'Datos Mun'!AK30)</f>
        <v>98171.942524462982</v>
      </c>
      <c r="D31" s="225" t="str">
        <f>IF('Datos Mun'!C30="No AMM",IF(Descentralizados!C31-Descentralizados!B31&lt;0,"SI","NO"),0)</f>
        <v>SI</v>
      </c>
      <c r="E31" s="234">
        <f t="shared" si="0"/>
        <v>201348.380720783</v>
      </c>
      <c r="F31" s="283" t="str">
        <f t="shared" si="1"/>
        <v>NO</v>
      </c>
      <c r="G31" s="283" t="str">
        <f t="shared" si="2"/>
        <v>IGUAL</v>
      </c>
      <c r="I31" s="272" t="s">
        <v>26</v>
      </c>
      <c r="J31" s="280">
        <f t="shared" si="3"/>
        <v>98171.942524462982</v>
      </c>
      <c r="K31" s="284">
        <f t="shared" si="4"/>
        <v>103176.43819632001</v>
      </c>
      <c r="L31" s="276">
        <f t="shared" si="5"/>
        <v>201348.380720783</v>
      </c>
      <c r="M31" s="328"/>
      <c r="N31" s="328"/>
    </row>
    <row r="32" spans="1:14">
      <c r="A32" s="227" t="s">
        <v>27</v>
      </c>
      <c r="B32" s="230">
        <f>'Datos Mun'!X31/12</f>
        <v>210306.25401232424</v>
      </c>
      <c r="C32" s="225">
        <f>IF('Datos Mun'!B31="AMM",Descentralizados!$B$62*'Datos Mun'!AK31,Descentralizados!$B$63*'Datos Mun'!AK31)</f>
        <v>186180.64374604588</v>
      </c>
      <c r="D32" s="225" t="str">
        <f>IF('Datos Mun'!C31="No AMM",IF(Descentralizados!C32-Descentralizados!B32&lt;0,"SI","NO"),0)</f>
        <v>SI</v>
      </c>
      <c r="E32" s="234">
        <f t="shared" si="0"/>
        <v>210306.25401232424</v>
      </c>
      <c r="F32" s="283" t="str">
        <f t="shared" si="1"/>
        <v>NO</v>
      </c>
      <c r="G32" s="283" t="str">
        <f t="shared" si="2"/>
        <v>IGUAL</v>
      </c>
      <c r="I32" s="272" t="s">
        <v>27</v>
      </c>
      <c r="J32" s="280">
        <f t="shared" si="3"/>
        <v>186180.64374604588</v>
      </c>
      <c r="K32" s="284">
        <f t="shared" si="4"/>
        <v>24125.610266278352</v>
      </c>
      <c r="L32" s="276">
        <f t="shared" si="5"/>
        <v>210306.25401232424</v>
      </c>
      <c r="M32" s="328"/>
      <c r="N32" s="328"/>
    </row>
    <row r="33" spans="1:14">
      <c r="A33" s="227" t="s">
        <v>28</v>
      </c>
      <c r="B33" s="230">
        <f>'Datos Mun'!X32/12</f>
        <v>184361.89706776637</v>
      </c>
      <c r="C33" s="225">
        <f>IF('Datos Mun'!B32="AMM",Descentralizados!$B$62*'Datos Mun'!AK32,Descentralizados!$B$63*'Datos Mun'!AK32)</f>
        <v>138671.93073195263</v>
      </c>
      <c r="D33" s="225" t="str">
        <f>IF('Datos Mun'!C32="No AMM",IF(Descentralizados!C33-Descentralizados!B33&lt;0,"SI","NO"),0)</f>
        <v>SI</v>
      </c>
      <c r="E33" s="234">
        <f t="shared" si="0"/>
        <v>184361.89706776637</v>
      </c>
      <c r="F33" s="283" t="str">
        <f t="shared" si="1"/>
        <v>NO</v>
      </c>
      <c r="G33" s="283" t="str">
        <f t="shared" si="2"/>
        <v>IGUAL</v>
      </c>
      <c r="I33" s="272" t="s">
        <v>28</v>
      </c>
      <c r="J33" s="280">
        <f t="shared" si="3"/>
        <v>138671.93073195263</v>
      </c>
      <c r="K33" s="284">
        <f t="shared" si="4"/>
        <v>45689.966335813748</v>
      </c>
      <c r="L33" s="276">
        <f t="shared" si="5"/>
        <v>184361.89706776637</v>
      </c>
      <c r="M33" s="328"/>
      <c r="N33" s="328"/>
    </row>
    <row r="34" spans="1:14">
      <c r="A34" s="227" t="s">
        <v>29</v>
      </c>
      <c r="B34" s="230">
        <f>'Datos Mun'!X33/12</f>
        <v>153121.62531019372</v>
      </c>
      <c r="C34" s="225">
        <f>IF('Datos Mun'!B33="AMM",Descentralizados!$B$62*'Datos Mun'!AK33,Descentralizados!$B$63*'Datos Mun'!AK33)</f>
        <v>165072.37487392567</v>
      </c>
      <c r="D34" s="225" t="str">
        <f>IF('Datos Mun'!C33="No AMM",IF(Descentralizados!C34-Descentralizados!B34&lt;0,"SI","NO"),0)</f>
        <v>NO</v>
      </c>
      <c r="E34" s="234">
        <f t="shared" si="0"/>
        <v>165072.37487392567</v>
      </c>
      <c r="F34" s="283" t="str">
        <f t="shared" si="1"/>
        <v>SI</v>
      </c>
      <c r="G34" s="283" t="str">
        <f t="shared" si="2"/>
        <v>DIF</v>
      </c>
      <c r="I34" s="272" t="s">
        <v>29</v>
      </c>
      <c r="J34" s="280">
        <f t="shared" si="3"/>
        <v>165072.37487392567</v>
      </c>
      <c r="K34" s="284">
        <f t="shared" si="4"/>
        <v>0</v>
      </c>
      <c r="L34" s="276">
        <f t="shared" si="5"/>
        <v>165072.37487392567</v>
      </c>
      <c r="M34" s="328"/>
      <c r="N34" s="328"/>
    </row>
    <row r="35" spans="1:14">
      <c r="A35" s="227" t="s">
        <v>30</v>
      </c>
      <c r="B35" s="230">
        <f>'Datos Mun'!X34/12</f>
        <v>200994.39261957086</v>
      </c>
      <c r="C35" s="225">
        <f>IF('Datos Mun'!B34="AMM",Descentralizados!$B$62*'Datos Mun'!AK34,Descentralizados!$B$63*'Datos Mun'!AK34)</f>
        <v>171234.40272535934</v>
      </c>
      <c r="D35" s="225" t="str">
        <f>IF('Datos Mun'!C34="No AMM",IF(Descentralizados!C35-Descentralizados!B35&lt;0,"SI","NO"),0)</f>
        <v>SI</v>
      </c>
      <c r="E35" s="234">
        <f t="shared" si="0"/>
        <v>200994.39261957086</v>
      </c>
      <c r="F35" s="283" t="str">
        <f t="shared" si="1"/>
        <v>NO</v>
      </c>
      <c r="G35" s="283" t="str">
        <f t="shared" si="2"/>
        <v>IGUAL</v>
      </c>
      <c r="I35" s="272" t="s">
        <v>30</v>
      </c>
      <c r="J35" s="280">
        <f t="shared" si="3"/>
        <v>171234.40272535934</v>
      </c>
      <c r="K35" s="284">
        <f t="shared" si="4"/>
        <v>29759.989894211525</v>
      </c>
      <c r="L35" s="276">
        <f t="shared" si="5"/>
        <v>200994.39261957086</v>
      </c>
      <c r="M35" s="328"/>
      <c r="N35" s="328"/>
    </row>
    <row r="36" spans="1:14">
      <c r="A36" s="227" t="s">
        <v>31</v>
      </c>
      <c r="B36" s="230">
        <f>'Datos Mun'!X35/12</f>
        <v>783294.19963127049</v>
      </c>
      <c r="C36" s="225">
        <f>IF('Datos Mun'!B35="AMM",Descentralizados!$B$62*'Datos Mun'!AK35,Descentralizados!$B$63*'Datos Mun'!AK35)</f>
        <v>1465103.8336880321</v>
      </c>
      <c r="D36" s="225">
        <f>IF('Datos Mun'!C35="No AMM",IF(Descentralizados!C36-Descentralizados!B36&lt;0,"SI","NO"),0)</f>
        <v>0</v>
      </c>
      <c r="E36" s="234">
        <f t="shared" si="0"/>
        <v>1465103.8336880321</v>
      </c>
      <c r="F36" s="283" t="str">
        <f t="shared" si="1"/>
        <v>SI</v>
      </c>
      <c r="G36" s="283" t="str">
        <f t="shared" si="2"/>
        <v>DIF</v>
      </c>
      <c r="I36" s="272" t="s">
        <v>31</v>
      </c>
      <c r="J36" s="280">
        <f t="shared" si="3"/>
        <v>1465103.8336880321</v>
      </c>
      <c r="K36" s="284">
        <f t="shared" si="4"/>
        <v>0</v>
      </c>
      <c r="L36" s="276">
        <f t="shared" si="5"/>
        <v>1465103.8336880321</v>
      </c>
      <c r="M36" s="328"/>
      <c r="N36" s="328"/>
    </row>
    <row r="37" spans="1:14">
      <c r="A37" s="227" t="s">
        <v>32</v>
      </c>
      <c r="B37" s="230">
        <f>'Datos Mun'!X36/12</f>
        <v>406614.37317754544</v>
      </c>
      <c r="C37" s="225">
        <f>IF('Datos Mun'!B36="AMM",Descentralizados!$B$62*'Datos Mun'!AK36,Descentralizados!$B$63*'Datos Mun'!AK36)</f>
        <v>409615.8833234518</v>
      </c>
      <c r="D37" s="225" t="str">
        <f>IF('Datos Mun'!C36="No AMM",IF(Descentralizados!C37-Descentralizados!B37&lt;0,"SI","NO"),0)</f>
        <v>NO</v>
      </c>
      <c r="E37" s="234">
        <f t="shared" si="0"/>
        <v>409615.8833234518</v>
      </c>
      <c r="F37" s="283" t="str">
        <f t="shared" si="1"/>
        <v>SI</v>
      </c>
      <c r="G37" s="283" t="str">
        <f t="shared" si="2"/>
        <v>DIF</v>
      </c>
      <c r="I37" s="272" t="s">
        <v>32</v>
      </c>
      <c r="J37" s="280">
        <f t="shared" si="3"/>
        <v>409615.8833234518</v>
      </c>
      <c r="K37" s="284">
        <f t="shared" si="4"/>
        <v>0</v>
      </c>
      <c r="L37" s="276">
        <f t="shared" si="5"/>
        <v>409615.8833234518</v>
      </c>
      <c r="M37" s="328"/>
      <c r="N37" s="328"/>
    </row>
    <row r="38" spans="1:14">
      <c r="A38" s="227" t="s">
        <v>33</v>
      </c>
      <c r="B38" s="230">
        <f>'Datos Mun'!X37/12</f>
        <v>1180575.9289833552</v>
      </c>
      <c r="C38" s="225">
        <f>IF('Datos Mun'!B37="AMM",Descentralizados!$B$62*'Datos Mun'!AK37,Descentralizados!$B$63*'Datos Mun'!AK37)</f>
        <v>1126189.8833779448</v>
      </c>
      <c r="D38" s="225" t="str">
        <f>IF('Datos Mun'!C37="No AMM",IF(Descentralizados!C38-Descentralizados!B38&lt;0,"SI","NO"),0)</f>
        <v>SI</v>
      </c>
      <c r="E38" s="234">
        <f t="shared" si="0"/>
        <v>1180575.9289833552</v>
      </c>
      <c r="F38" s="283" t="str">
        <f t="shared" si="1"/>
        <v>NO</v>
      </c>
      <c r="G38" s="283" t="str">
        <f t="shared" si="2"/>
        <v>IGUAL</v>
      </c>
      <c r="I38" s="272" t="s">
        <v>33</v>
      </c>
      <c r="J38" s="280">
        <f t="shared" si="3"/>
        <v>1126189.8833779448</v>
      </c>
      <c r="K38" s="284">
        <f t="shared" si="4"/>
        <v>54386.045605410356</v>
      </c>
      <c r="L38" s="276">
        <f t="shared" si="5"/>
        <v>1180575.9289833552</v>
      </c>
      <c r="M38" s="328"/>
      <c r="N38" s="328"/>
    </row>
    <row r="39" spans="1:14">
      <c r="A39" s="227" t="s">
        <v>34</v>
      </c>
      <c r="B39" s="230">
        <f>'Datos Mun'!X38/12</f>
        <v>264613.6535775896</v>
      </c>
      <c r="C39" s="225">
        <f>IF('Datos Mun'!B38="AMM",Descentralizados!$B$62*'Datos Mun'!AK38,Descentralizados!$B$63*'Datos Mun'!AK38)</f>
        <v>209737.12368696413</v>
      </c>
      <c r="D39" s="225" t="str">
        <f>IF('Datos Mun'!C38="No AMM",IF(Descentralizados!C39-Descentralizados!B39&lt;0,"SI","NO"),0)</f>
        <v>SI</v>
      </c>
      <c r="E39" s="234">
        <f t="shared" si="0"/>
        <v>264613.6535775896</v>
      </c>
      <c r="F39" s="283" t="str">
        <f t="shared" si="1"/>
        <v>NO</v>
      </c>
      <c r="G39" s="283" t="str">
        <f t="shared" si="2"/>
        <v>IGUAL</v>
      </c>
      <c r="I39" s="272" t="s">
        <v>34</v>
      </c>
      <c r="J39" s="280">
        <f t="shared" si="3"/>
        <v>209737.12368696413</v>
      </c>
      <c r="K39" s="284">
        <f t="shared" si="4"/>
        <v>54876.529890625476</v>
      </c>
      <c r="L39" s="276">
        <f t="shared" si="5"/>
        <v>264613.6535775896</v>
      </c>
      <c r="M39" s="328"/>
      <c r="N39" s="328"/>
    </row>
    <row r="40" spans="1:14">
      <c r="A40" s="227" t="s">
        <v>35</v>
      </c>
      <c r="B40" s="230">
        <f>'Datos Mun'!X39/12</f>
        <v>258289.40993765972</v>
      </c>
      <c r="C40" s="225">
        <f>IF('Datos Mun'!B39="AMM",Descentralizados!$B$62*'Datos Mun'!AK39,Descentralizados!$B$63*'Datos Mun'!AK39)</f>
        <v>38676.862568938996</v>
      </c>
      <c r="D40" s="225" t="str">
        <f>IF('Datos Mun'!C39="No AMM",IF(Descentralizados!C40-Descentralizados!B40&lt;0,"SI","NO"),0)</f>
        <v>SI</v>
      </c>
      <c r="E40" s="234">
        <f t="shared" si="0"/>
        <v>258289.40993765972</v>
      </c>
      <c r="F40" s="283" t="str">
        <f t="shared" si="1"/>
        <v>NO</v>
      </c>
      <c r="G40" s="283" t="str">
        <f t="shared" si="2"/>
        <v>IGUAL</v>
      </c>
      <c r="I40" s="272" t="s">
        <v>35</v>
      </c>
      <c r="J40" s="280">
        <f t="shared" si="3"/>
        <v>38676.862568938996</v>
      </c>
      <c r="K40" s="284">
        <f t="shared" si="4"/>
        <v>219612.54736872073</v>
      </c>
      <c r="L40" s="276">
        <f t="shared" si="5"/>
        <v>258289.40993765972</v>
      </c>
      <c r="M40" s="328"/>
      <c r="N40" s="328"/>
    </row>
    <row r="41" spans="1:14">
      <c r="A41" s="227" t="s">
        <v>36</v>
      </c>
      <c r="B41" s="230">
        <f>'Datos Mun'!X40/12</f>
        <v>334120.64596245222</v>
      </c>
      <c r="C41" s="225">
        <f>IF('Datos Mun'!B40="AMM",Descentralizados!$B$62*'Datos Mun'!AK40,Descentralizados!$B$63*'Datos Mun'!AK40)</f>
        <v>295844.75100725534</v>
      </c>
      <c r="D41" s="225" t="str">
        <f>IF('Datos Mun'!C40="No AMM",IF(Descentralizados!C41-Descentralizados!B41&lt;0,"SI","NO"),0)</f>
        <v>SI</v>
      </c>
      <c r="E41" s="234">
        <f t="shared" si="0"/>
        <v>334120.64596245222</v>
      </c>
      <c r="F41" s="283" t="str">
        <f t="shared" si="1"/>
        <v>NO</v>
      </c>
      <c r="G41" s="283" t="str">
        <f t="shared" si="2"/>
        <v>IGUAL</v>
      </c>
      <c r="I41" s="272" t="s">
        <v>36</v>
      </c>
      <c r="J41" s="280">
        <f t="shared" si="3"/>
        <v>295844.75100725534</v>
      </c>
      <c r="K41" s="284">
        <f t="shared" si="4"/>
        <v>38275.894955196884</v>
      </c>
      <c r="L41" s="276">
        <f t="shared" si="5"/>
        <v>334120.64596245222</v>
      </c>
      <c r="M41" s="328"/>
      <c r="N41" s="328"/>
    </row>
    <row r="42" spans="1:14">
      <c r="A42" s="227" t="s">
        <v>37</v>
      </c>
      <c r="B42" s="230">
        <f>'Datos Mun'!X41/12</f>
        <v>318581.7091861848</v>
      </c>
      <c r="C42" s="225">
        <f>IF('Datos Mun'!B41="AMM",Descentralizados!$B$62*'Datos Mun'!AK41,Descentralizados!$B$63*'Datos Mun'!AK41)</f>
        <v>390302.34364521637</v>
      </c>
      <c r="D42" s="225" t="str">
        <f>IF('Datos Mun'!C41="No AMM",IF(Descentralizados!C42-Descentralizados!B42&lt;0,"SI","NO"),0)</f>
        <v>NO</v>
      </c>
      <c r="E42" s="234">
        <f t="shared" si="0"/>
        <v>390302.34364521637</v>
      </c>
      <c r="F42" s="283" t="str">
        <f t="shared" si="1"/>
        <v>SI</v>
      </c>
      <c r="G42" s="283" t="str">
        <f t="shared" si="2"/>
        <v>DIF</v>
      </c>
      <c r="I42" s="272" t="s">
        <v>37</v>
      </c>
      <c r="J42" s="280">
        <f t="shared" si="3"/>
        <v>390302.34364521637</v>
      </c>
      <c r="K42" s="284">
        <f t="shared" si="4"/>
        <v>0</v>
      </c>
      <c r="L42" s="276">
        <f t="shared" si="5"/>
        <v>390302.34364521637</v>
      </c>
      <c r="M42" s="328"/>
      <c r="N42" s="328"/>
    </row>
    <row r="43" spans="1:14">
      <c r="A43" s="227" t="s">
        <v>38</v>
      </c>
      <c r="B43" s="230">
        <f>'Datos Mun'!X42/12</f>
        <v>1492133.0807035097</v>
      </c>
      <c r="C43" s="225">
        <f>IF('Datos Mun'!B42="AMM",Descentralizados!$B$62*'Datos Mun'!AK42,Descentralizados!$B$63*'Datos Mun'!AK42)</f>
        <v>846895.3942518254</v>
      </c>
      <c r="D43" s="225" t="str">
        <f>IF('Datos Mun'!C42="No AMM",IF(Descentralizados!C43-Descentralizados!B43&lt;0,"SI","NO"),0)</f>
        <v>SI</v>
      </c>
      <c r="E43" s="234">
        <f t="shared" si="0"/>
        <v>1492133.0807035097</v>
      </c>
      <c r="F43" s="283" t="str">
        <f t="shared" si="1"/>
        <v>NO</v>
      </c>
      <c r="G43" s="283" t="str">
        <f t="shared" si="2"/>
        <v>IGUAL</v>
      </c>
      <c r="I43" s="272" t="s">
        <v>38</v>
      </c>
      <c r="J43" s="280">
        <f t="shared" si="3"/>
        <v>846895.3942518254</v>
      </c>
      <c r="K43" s="284">
        <f t="shared" si="4"/>
        <v>645237.68645168433</v>
      </c>
      <c r="L43" s="276">
        <f t="shared" si="5"/>
        <v>1492133.0807035097</v>
      </c>
      <c r="M43" s="328"/>
      <c r="N43" s="328"/>
    </row>
    <row r="44" spans="1:14">
      <c r="A44" s="227" t="s">
        <v>39</v>
      </c>
      <c r="B44" s="230">
        <f>'Datos Mun'!X43/12</f>
        <v>6078693.0760665266</v>
      </c>
      <c r="C44" s="225">
        <f>IF('Datos Mun'!B43="AMM",Descentralizados!$B$62*'Datos Mun'!AK43,Descentralizados!$B$63*'Datos Mun'!AK43)</f>
        <v>8153586.57172768</v>
      </c>
      <c r="D44" s="225">
        <f>IF('Datos Mun'!C43="No AMM",IF(Descentralizados!C44-Descentralizados!B44&lt;0,"SI","NO"),0)</f>
        <v>0</v>
      </c>
      <c r="E44" s="234">
        <f t="shared" si="0"/>
        <v>8153586.57172768</v>
      </c>
      <c r="F44" s="283" t="str">
        <f t="shared" si="1"/>
        <v>SI</v>
      </c>
      <c r="G44" s="283" t="str">
        <f t="shared" si="2"/>
        <v>DIF</v>
      </c>
      <c r="I44" s="272" t="s">
        <v>39</v>
      </c>
      <c r="J44" s="280">
        <f t="shared" si="3"/>
        <v>8153586.57172768</v>
      </c>
      <c r="K44" s="284">
        <f t="shared" si="4"/>
        <v>0</v>
      </c>
      <c r="L44" s="276">
        <f t="shared" si="5"/>
        <v>8153586.57172768</v>
      </c>
      <c r="M44" s="328"/>
      <c r="N44" s="328"/>
    </row>
    <row r="45" spans="1:14">
      <c r="A45" s="228" t="s">
        <v>40</v>
      </c>
      <c r="B45" s="230">
        <f>'Datos Mun'!X44/12</f>
        <v>296299.24811091315</v>
      </c>
      <c r="C45" s="225">
        <f>IF('Datos Mun'!B44="AMM",Descentralizados!$B$62*'Datos Mun'!AK44,Descentralizados!$B$63*'Datos Mun'!AK44)</f>
        <v>196392.61899642079</v>
      </c>
      <c r="D45" s="225" t="str">
        <f>IF('Datos Mun'!C44="No AMM",IF(Descentralizados!C45-Descentralizados!B45&lt;0,"SI","NO"),0)</f>
        <v>SI</v>
      </c>
      <c r="E45" s="234">
        <f t="shared" si="0"/>
        <v>296299.24811091315</v>
      </c>
      <c r="F45" s="283" t="str">
        <f t="shared" si="1"/>
        <v>NO</v>
      </c>
      <c r="G45" s="283" t="str">
        <f t="shared" si="2"/>
        <v>IGUAL</v>
      </c>
      <c r="I45" s="273" t="s">
        <v>40</v>
      </c>
      <c r="J45" s="280">
        <f t="shared" si="3"/>
        <v>196392.61899642079</v>
      </c>
      <c r="K45" s="284">
        <f t="shared" si="4"/>
        <v>99906.62911449236</v>
      </c>
      <c r="L45" s="276">
        <f t="shared" si="5"/>
        <v>296299.24811091315</v>
      </c>
      <c r="M45" s="328"/>
      <c r="N45" s="328"/>
    </row>
    <row r="46" spans="1:14">
      <c r="A46" s="228" t="s">
        <v>41</v>
      </c>
      <c r="B46" s="230">
        <f>'Datos Mun'!X45/12</f>
        <v>531589.09543761553</v>
      </c>
      <c r="C46" s="225">
        <f>IF('Datos Mun'!B45="AMM",Descentralizados!$B$62*'Datos Mun'!AK45,Descentralizados!$B$63*'Datos Mun'!AK45)</f>
        <v>1422062.5964610022</v>
      </c>
      <c r="D46" s="225" t="str">
        <f>IF('Datos Mun'!C45="No AMM",IF(Descentralizados!C46-Descentralizados!B46&lt;0,"SI","NO"),0)</f>
        <v>NO</v>
      </c>
      <c r="E46" s="234">
        <f t="shared" si="0"/>
        <v>1422062.5964610022</v>
      </c>
      <c r="F46" s="283" t="str">
        <f t="shared" si="1"/>
        <v>SI</v>
      </c>
      <c r="G46" s="283" t="str">
        <f t="shared" si="2"/>
        <v>DIF</v>
      </c>
      <c r="I46" s="273" t="s">
        <v>41</v>
      </c>
      <c r="J46" s="280">
        <f t="shared" si="3"/>
        <v>1422062.5964610022</v>
      </c>
      <c r="K46" s="284">
        <f t="shared" si="4"/>
        <v>0</v>
      </c>
      <c r="L46" s="276">
        <f t="shared" si="5"/>
        <v>1422062.5964610022</v>
      </c>
      <c r="M46" s="328"/>
      <c r="N46" s="328"/>
    </row>
    <row r="47" spans="1:14">
      <c r="A47" s="228" t="s">
        <v>42</v>
      </c>
      <c r="B47" s="230">
        <f>'Datos Mun'!X46/12</f>
        <v>170664.01323467653</v>
      </c>
      <c r="C47" s="225">
        <f>IF('Datos Mun'!B46="AMM",Descentralizados!$B$62*'Datos Mun'!AK46,Descentralizados!$B$63*'Datos Mun'!AK46)</f>
        <v>217557.95083093049</v>
      </c>
      <c r="D47" s="225" t="str">
        <f>IF('Datos Mun'!C46="No AMM",IF(Descentralizados!C47-Descentralizados!B47&lt;0,"SI","NO"),0)</f>
        <v>NO</v>
      </c>
      <c r="E47" s="234">
        <f t="shared" si="0"/>
        <v>217557.95083093049</v>
      </c>
      <c r="F47" s="283" t="str">
        <f t="shared" si="1"/>
        <v>SI</v>
      </c>
      <c r="G47" s="283" t="str">
        <f t="shared" si="2"/>
        <v>DIF</v>
      </c>
      <c r="I47" s="273" t="s">
        <v>42</v>
      </c>
      <c r="J47" s="280">
        <f t="shared" si="3"/>
        <v>217557.95083093049</v>
      </c>
      <c r="K47" s="284">
        <f t="shared" si="4"/>
        <v>0</v>
      </c>
      <c r="L47" s="276">
        <f t="shared" si="5"/>
        <v>217557.95083093049</v>
      </c>
      <c r="M47" s="328"/>
      <c r="N47" s="328"/>
    </row>
    <row r="48" spans="1:14">
      <c r="A48" s="228" t="s">
        <v>43</v>
      </c>
      <c r="B48" s="230">
        <f>'Datos Mun'!X47/12</f>
        <v>215238.04648679294</v>
      </c>
      <c r="C48" s="225">
        <f>IF('Datos Mun'!B47="AMM",Descentralizados!$B$62*'Datos Mun'!AK47,Descentralizados!$B$63*'Datos Mun'!AK47)</f>
        <v>200137.22893202593</v>
      </c>
      <c r="D48" s="225" t="str">
        <f>IF('Datos Mun'!C47="No AMM",IF(Descentralizados!C48-Descentralizados!B48&lt;0,"SI","NO"),0)</f>
        <v>SI</v>
      </c>
      <c r="E48" s="234">
        <f t="shared" si="0"/>
        <v>215238.04648679294</v>
      </c>
      <c r="F48" s="283" t="str">
        <f t="shared" si="1"/>
        <v>NO</v>
      </c>
      <c r="G48" s="283" t="str">
        <f t="shared" si="2"/>
        <v>IGUAL</v>
      </c>
      <c r="I48" s="273" t="s">
        <v>43</v>
      </c>
      <c r="J48" s="280">
        <f t="shared" si="3"/>
        <v>200137.22893202593</v>
      </c>
      <c r="K48" s="284">
        <f t="shared" si="4"/>
        <v>15100.817554767011</v>
      </c>
      <c r="L48" s="276">
        <f t="shared" si="5"/>
        <v>215238.04648679294</v>
      </c>
      <c r="M48" s="328"/>
      <c r="N48" s="328"/>
    </row>
    <row r="49" spans="1:14">
      <c r="A49" s="228" t="s">
        <v>44</v>
      </c>
      <c r="B49" s="230">
        <f>'Datos Mun'!X48/12</f>
        <v>387676.73059520504</v>
      </c>
      <c r="C49" s="225">
        <f>IF('Datos Mun'!B48="AMM",Descentralizados!$B$62*'Datos Mun'!AK48,Descentralizados!$B$63*'Datos Mun'!AK48)</f>
        <v>548855.16503258666</v>
      </c>
      <c r="D49" s="225" t="str">
        <f>IF('Datos Mun'!C48="No AMM",IF(Descentralizados!C49-Descentralizados!B49&lt;0,"SI","NO"),0)</f>
        <v>NO</v>
      </c>
      <c r="E49" s="234">
        <f t="shared" si="0"/>
        <v>548855.16503258666</v>
      </c>
      <c r="F49" s="283" t="str">
        <f t="shared" si="1"/>
        <v>SI</v>
      </c>
      <c r="G49" s="283" t="str">
        <f t="shared" si="2"/>
        <v>DIF</v>
      </c>
      <c r="I49" s="273" t="s">
        <v>44</v>
      </c>
      <c r="J49" s="280">
        <f t="shared" si="3"/>
        <v>548855.16503258666</v>
      </c>
      <c r="K49" s="284">
        <f t="shared" si="4"/>
        <v>0</v>
      </c>
      <c r="L49" s="276">
        <f t="shared" si="5"/>
        <v>548855.16503258666</v>
      </c>
      <c r="M49" s="328"/>
      <c r="N49" s="328"/>
    </row>
    <row r="50" spans="1:14">
      <c r="A50" s="228" t="s">
        <v>45</v>
      </c>
      <c r="B50" s="230">
        <f>'Datos Mun'!X49/12</f>
        <v>220049.97502568341</v>
      </c>
      <c r="C50" s="225">
        <f>IF('Datos Mun'!B49="AMM",Descentralizados!$B$62*'Datos Mun'!AK49,Descentralizados!$B$63*'Datos Mun'!AK49)</f>
        <v>296438.86212727695</v>
      </c>
      <c r="D50" s="225" t="str">
        <f>IF('Datos Mun'!C49="No AMM",IF(Descentralizados!C50-Descentralizados!B50&lt;0,"SI","NO"),0)</f>
        <v>NO</v>
      </c>
      <c r="E50" s="234">
        <f t="shared" si="0"/>
        <v>296438.86212727695</v>
      </c>
      <c r="F50" s="283" t="str">
        <f t="shared" si="1"/>
        <v>SI</v>
      </c>
      <c r="G50" s="283" t="str">
        <f t="shared" si="2"/>
        <v>DIF</v>
      </c>
      <c r="I50" s="273" t="s">
        <v>45</v>
      </c>
      <c r="J50" s="280">
        <f t="shared" si="3"/>
        <v>296438.86212727695</v>
      </c>
      <c r="K50" s="284">
        <f t="shared" si="4"/>
        <v>0</v>
      </c>
      <c r="L50" s="276">
        <f t="shared" si="5"/>
        <v>296438.86212727695</v>
      </c>
      <c r="M50" s="328"/>
      <c r="N50" s="328"/>
    </row>
    <row r="51" spans="1:14">
      <c r="A51" s="228" t="s">
        <v>46</v>
      </c>
      <c r="B51" s="230">
        <f>'Datos Mun'!X50/12</f>
        <v>1566883.6568982902</v>
      </c>
      <c r="C51" s="225">
        <f>IF('Datos Mun'!B50="AMM",Descentralizados!$B$62*'Datos Mun'!AK50,Descentralizados!$B$63*'Datos Mun'!AK50)</f>
        <v>2064198.8067515767</v>
      </c>
      <c r="D51" s="225">
        <f>IF('Datos Mun'!C50="No AMM",IF(Descentralizados!C51-Descentralizados!B51&lt;0,"SI","NO"),0)</f>
        <v>0</v>
      </c>
      <c r="E51" s="234">
        <f t="shared" si="0"/>
        <v>2064198.8067515767</v>
      </c>
      <c r="F51" s="283" t="str">
        <f t="shared" si="1"/>
        <v>SI</v>
      </c>
      <c r="G51" s="283" t="str">
        <f t="shared" si="2"/>
        <v>DIF</v>
      </c>
      <c r="I51" s="273" t="s">
        <v>46</v>
      </c>
      <c r="J51" s="280">
        <f t="shared" si="3"/>
        <v>2064198.8067515767</v>
      </c>
      <c r="K51" s="284">
        <f t="shared" si="4"/>
        <v>0</v>
      </c>
      <c r="L51" s="276">
        <f t="shared" si="5"/>
        <v>2064198.8067515767</v>
      </c>
      <c r="M51" s="328"/>
      <c r="N51" s="328"/>
    </row>
    <row r="52" spans="1:14">
      <c r="A52" s="228" t="s">
        <v>47</v>
      </c>
      <c r="B52" s="230">
        <f>'Datos Mun'!X51/12</f>
        <v>3163150.8705194271</v>
      </c>
      <c r="C52" s="225">
        <f>IF('Datos Mun'!B51="AMM",Descentralizados!$B$62*'Datos Mun'!AK51,Descentralizados!$B$63*'Datos Mun'!AK51)</f>
        <v>3975697.0859524687</v>
      </c>
      <c r="D52" s="225">
        <f>IF('Datos Mun'!C51="No AMM",IF(Descentralizados!C52-Descentralizados!B52&lt;0,"SI","NO"),0)</f>
        <v>0</v>
      </c>
      <c r="E52" s="234">
        <f t="shared" si="0"/>
        <v>3975697.0859524687</v>
      </c>
      <c r="F52" s="283" t="str">
        <f t="shared" si="1"/>
        <v>SI</v>
      </c>
      <c r="G52" s="283" t="str">
        <f t="shared" si="2"/>
        <v>DIF</v>
      </c>
      <c r="I52" s="273" t="s">
        <v>47</v>
      </c>
      <c r="J52" s="280">
        <f t="shared" si="3"/>
        <v>3975697.0859524687</v>
      </c>
      <c r="K52" s="284">
        <f t="shared" si="4"/>
        <v>0</v>
      </c>
      <c r="L52" s="276">
        <f t="shared" si="5"/>
        <v>3975697.0859524687</v>
      </c>
      <c r="M52" s="328"/>
      <c r="N52" s="328"/>
    </row>
    <row r="53" spans="1:14">
      <c r="A53" s="228" t="s">
        <v>48</v>
      </c>
      <c r="B53" s="230">
        <f>'Datos Mun'!X52/12</f>
        <v>817572.65302867116</v>
      </c>
      <c r="C53" s="225">
        <f>IF('Datos Mun'!B52="AMM",Descentralizados!$B$62*'Datos Mun'!AK52,Descentralizados!$B$63*'Datos Mun'!AK52)</f>
        <v>1063459.7319561327</v>
      </c>
      <c r="D53" s="225">
        <f>IF('Datos Mun'!C52="No AMM",IF(Descentralizados!C53-Descentralizados!B53&lt;0,"SI","NO"),0)</f>
        <v>0</v>
      </c>
      <c r="E53" s="234">
        <f t="shared" si="0"/>
        <v>1063459.7319561327</v>
      </c>
      <c r="F53" s="283" t="str">
        <f t="shared" si="1"/>
        <v>SI</v>
      </c>
      <c r="G53" s="283" t="str">
        <f t="shared" si="2"/>
        <v>DIF</v>
      </c>
      <c r="I53" s="273" t="s">
        <v>48</v>
      </c>
      <c r="J53" s="280">
        <f t="shared" si="3"/>
        <v>1063459.7319561327</v>
      </c>
      <c r="K53" s="284">
        <f t="shared" si="4"/>
        <v>0</v>
      </c>
      <c r="L53" s="276">
        <f t="shared" si="5"/>
        <v>1063459.7319561327</v>
      </c>
      <c r="M53" s="328"/>
      <c r="N53" s="328"/>
    </row>
    <row r="54" spans="1:14">
      <c r="A54" s="228" t="s">
        <v>49</v>
      </c>
      <c r="B54" s="230">
        <f>'Datos Mun'!X53/12</f>
        <v>405827.67325722537</v>
      </c>
      <c r="C54" s="225">
        <f>IF('Datos Mun'!B53="AMM",Descentralizados!$B$62*'Datos Mun'!AK53,Descentralizados!$B$63*'Datos Mun'!AK53)</f>
        <v>509304.14724725432</v>
      </c>
      <c r="D54" s="225" t="str">
        <f>IF('Datos Mun'!C53="No AMM",IF(Descentralizados!C54-Descentralizados!B54&lt;0,"SI","NO"),0)</f>
        <v>NO</v>
      </c>
      <c r="E54" s="234">
        <f t="shared" si="0"/>
        <v>509304.14724725432</v>
      </c>
      <c r="F54" s="283" t="str">
        <f t="shared" si="1"/>
        <v>SI</v>
      </c>
      <c r="G54" s="283" t="str">
        <f t="shared" si="2"/>
        <v>DIF</v>
      </c>
      <c r="I54" s="273" t="s">
        <v>49</v>
      </c>
      <c r="J54" s="280">
        <f t="shared" si="3"/>
        <v>509304.14724725432</v>
      </c>
      <c r="K54" s="284">
        <f t="shared" si="4"/>
        <v>0</v>
      </c>
      <c r="L54" s="276">
        <f t="shared" si="5"/>
        <v>509304.14724725432</v>
      </c>
      <c r="M54" s="328"/>
      <c r="N54" s="328"/>
    </row>
    <row r="55" spans="1:14">
      <c r="A55" s="228" t="s">
        <v>50</v>
      </c>
      <c r="B55" s="230">
        <f>'Datos Mun'!X54/12</f>
        <v>175970.52432231497</v>
      </c>
      <c r="C55" s="225">
        <f>IF('Datos Mun'!B54="AMM",Descentralizados!$B$62*'Datos Mun'!AK54,Descentralizados!$B$63*'Datos Mun'!AK54)</f>
        <v>309496.03556555492</v>
      </c>
      <c r="D55" s="225" t="str">
        <f>IF('Datos Mun'!C54="No AMM",IF(Descentralizados!C55-Descentralizados!B55&lt;0,"SI","NO"),0)</f>
        <v>NO</v>
      </c>
      <c r="E55" s="234">
        <f t="shared" si="0"/>
        <v>309496.03556555492</v>
      </c>
      <c r="F55" s="283" t="str">
        <f t="shared" si="1"/>
        <v>SI</v>
      </c>
      <c r="G55" s="283" t="str">
        <f t="shared" si="2"/>
        <v>DIF</v>
      </c>
      <c r="I55" s="273" t="s">
        <v>50</v>
      </c>
      <c r="J55" s="280">
        <f t="shared" si="3"/>
        <v>309496.03556555492</v>
      </c>
      <c r="K55" s="284">
        <f t="shared" si="4"/>
        <v>0</v>
      </c>
      <c r="L55" s="276">
        <f t="shared" si="5"/>
        <v>309496.03556555492</v>
      </c>
      <c r="M55" s="328"/>
      <c r="N55" s="328"/>
    </row>
    <row r="56" spans="1:14">
      <c r="A56" s="228" t="s">
        <v>51</v>
      </c>
      <c r="B56" s="230">
        <f>'Datos Mun'!X55/12</f>
        <v>295638.69155837776</v>
      </c>
      <c r="C56" s="225">
        <f>IF('Datos Mun'!B55="AMM",Descentralizados!$B$62*'Datos Mun'!AK55,Descentralizados!$B$63*'Datos Mun'!AK55)</f>
        <v>259258.37651322983</v>
      </c>
      <c r="D56" s="225" t="str">
        <f>IF('Datos Mun'!C55="No AMM",IF(Descentralizados!C56-Descentralizados!B56&lt;0,"SI","NO"),0)</f>
        <v>SI</v>
      </c>
      <c r="E56" s="234">
        <f t="shared" si="0"/>
        <v>295638.69155837776</v>
      </c>
      <c r="F56" s="283" t="str">
        <f t="shared" si="1"/>
        <v>NO</v>
      </c>
      <c r="G56" s="283" t="str">
        <f t="shared" si="2"/>
        <v>IGUAL</v>
      </c>
      <c r="I56" s="273" t="s">
        <v>51</v>
      </c>
      <c r="J56" s="280">
        <f t="shared" si="3"/>
        <v>259258.37651322983</v>
      </c>
      <c r="K56" s="284">
        <f t="shared" si="4"/>
        <v>36380.315045147931</v>
      </c>
      <c r="L56" s="276">
        <f t="shared" ref="L56" si="6">SUM(J56:K56)</f>
        <v>295638.69155837776</v>
      </c>
      <c r="M56" s="328"/>
      <c r="N56" s="328"/>
    </row>
    <row r="57" spans="1:14" ht="13.5" thickBot="1">
      <c r="A57" s="197" t="s">
        <v>52</v>
      </c>
      <c r="B57" s="231">
        <f>SUM(B6:B56)</f>
        <v>34654276.963072643</v>
      </c>
      <c r="C57" s="235">
        <f>SUM(C6:C56)</f>
        <v>42055607.149772778</v>
      </c>
      <c r="D57" s="236"/>
      <c r="E57" s="237">
        <f>SUM(E6:E56)</f>
        <v>44860182.313114546</v>
      </c>
      <c r="F57" s="241">
        <f>SUM(F6:F56)</f>
        <v>0</v>
      </c>
      <c r="G57" s="241"/>
      <c r="H57" s="263"/>
      <c r="I57" s="274" t="s">
        <v>52</v>
      </c>
      <c r="J57" s="235">
        <f>SUM(J6:J56)</f>
        <v>42055607.149772778</v>
      </c>
      <c r="K57" s="236">
        <f>SUM(K6:K56)</f>
        <v>2804575.163341756</v>
      </c>
      <c r="L57" s="277">
        <f>SUM(L6:L56)</f>
        <v>44860182.313114546</v>
      </c>
      <c r="M57" s="328"/>
      <c r="N57" s="328"/>
    </row>
    <row r="58" spans="1:14" ht="13.5" thickBot="1"/>
    <row r="59" spans="1:14" ht="13.5" thickBot="1">
      <c r="A59" s="198"/>
      <c r="B59" s="202" t="s">
        <v>86</v>
      </c>
      <c r="J59" s="328">
        <f t="shared" ref="J59:K59" si="7">J57/12</f>
        <v>3504633.9291477315</v>
      </c>
      <c r="K59" s="328">
        <f t="shared" si="7"/>
        <v>233714.59694514633</v>
      </c>
      <c r="L59" s="328">
        <f>L57/12</f>
        <v>3738348.526092879</v>
      </c>
    </row>
    <row r="60" spans="1:14" ht="13.15" customHeight="1">
      <c r="A60" s="361" t="s">
        <v>233</v>
      </c>
      <c r="B60" s="363">
        <f>'Part. 2022 Mes'!B46:C46</f>
        <v>42055607.149772801</v>
      </c>
      <c r="C60" s="365">
        <f>B60/12</f>
        <v>3504633.9291477334</v>
      </c>
    </row>
    <row r="61" spans="1:14">
      <c r="A61" s="362"/>
      <c r="B61" s="364"/>
      <c r="C61" s="364"/>
    </row>
    <row r="62" spans="1:14">
      <c r="A62" s="200" t="s">
        <v>153</v>
      </c>
      <c r="B62" s="208">
        <f>B60*0.6</f>
        <v>25233364.28986368</v>
      </c>
      <c r="C62" s="208">
        <f>C60*0.6</f>
        <v>2102780.3574886401</v>
      </c>
    </row>
    <row r="63" spans="1:14">
      <c r="A63" s="200" t="s">
        <v>154</v>
      </c>
      <c r="B63" s="208">
        <f>B60*0.4</f>
        <v>16822242.859909121</v>
      </c>
      <c r="C63" s="208">
        <f>C60*0.4</f>
        <v>1401853.5716590935</v>
      </c>
    </row>
    <row r="64" spans="1:14" ht="13.5" thickBot="1">
      <c r="A64" s="201" t="s">
        <v>155</v>
      </c>
      <c r="B64" s="209">
        <f>E57-B60</f>
        <v>2804575.1633417457</v>
      </c>
      <c r="C64" s="209">
        <f>L59-C60</f>
        <v>233714.59694514563</v>
      </c>
    </row>
  </sheetData>
  <mergeCells count="9">
    <mergeCell ref="I1:L1"/>
    <mergeCell ref="I2:L2"/>
    <mergeCell ref="I3:L3"/>
    <mergeCell ref="A60:A61"/>
    <mergeCell ref="B60:B61"/>
    <mergeCell ref="A1:E1"/>
    <mergeCell ref="A2:E2"/>
    <mergeCell ref="A3:E3"/>
    <mergeCell ref="C60:C6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5"/>
  <sheetViews>
    <sheetView workbookViewId="0">
      <selection activeCell="D6" sqref="D6"/>
    </sheetView>
  </sheetViews>
  <sheetFormatPr baseColWidth="10" defaultColWidth="11.42578125" defaultRowHeight="12.75"/>
  <cols>
    <col min="1" max="1" width="24.85546875" style="13" customWidth="1"/>
    <col min="2" max="2" width="15.7109375" style="13" customWidth="1"/>
    <col min="3" max="3" width="19.5703125" style="13" bestFit="1" customWidth="1"/>
    <col min="4" max="4" width="25.140625" style="13" customWidth="1"/>
    <col min="5" max="5" width="19.5703125" style="13" bestFit="1" customWidth="1"/>
    <col min="6" max="16384" width="11.42578125" style="13"/>
  </cols>
  <sheetData>
    <row r="1" spans="1:8">
      <c r="A1" s="359" t="s">
        <v>84</v>
      </c>
      <c r="B1" s="359"/>
      <c r="C1" s="359"/>
      <c r="D1" s="359"/>
      <c r="E1" s="359"/>
    </row>
    <row r="2" spans="1:8">
      <c r="A2" s="359" t="s">
        <v>85</v>
      </c>
      <c r="B2" s="359"/>
      <c r="C2" s="359"/>
      <c r="D2" s="359"/>
      <c r="E2" s="359"/>
    </row>
    <row r="3" spans="1:8">
      <c r="A3" s="360" t="s">
        <v>172</v>
      </c>
      <c r="B3" s="360"/>
      <c r="C3" s="360"/>
      <c r="D3" s="360"/>
      <c r="E3" s="360"/>
    </row>
    <row r="4" spans="1:8" ht="13.5" thickBot="1"/>
    <row r="5" spans="1:8" ht="25.5">
      <c r="A5" s="195" t="s">
        <v>0</v>
      </c>
      <c r="B5" s="205" t="s">
        <v>160</v>
      </c>
      <c r="C5" s="203" t="s">
        <v>161</v>
      </c>
      <c r="D5" s="206" t="s">
        <v>146</v>
      </c>
      <c r="E5" s="204"/>
    </row>
    <row r="6" spans="1:8">
      <c r="A6" s="196" t="s">
        <v>6</v>
      </c>
      <c r="B6" s="238">
        <f>$B$23</f>
        <v>652913.3010002228</v>
      </c>
      <c r="C6" s="239">
        <f>$B$24*VLOOKUP(A6,'Datos Mun'!$A$5:$AL$55,36,FALSE)</f>
        <v>1086998.0360196226</v>
      </c>
      <c r="D6" s="329">
        <f>$B$25*VLOOKUP(A6,'Datos Mun'!$A$5:$AL$55,38,FALSE)</f>
        <v>1208308.6611071127</v>
      </c>
      <c r="E6" s="210">
        <f>SUM(B6:D6)</f>
        <v>2948219.998126958</v>
      </c>
    </row>
    <row r="7" spans="1:8">
      <c r="A7" s="196" t="s">
        <v>9</v>
      </c>
      <c r="B7" s="240">
        <f t="shared" ref="B7:B17" si="0">$B$23</f>
        <v>652913.3010002228</v>
      </c>
      <c r="C7" s="241">
        <f>$B$24*VLOOKUP(A7,'Datos Mun'!$A$5:$AL$55,36,FALSE)</f>
        <v>202570.25325460735</v>
      </c>
      <c r="D7" s="242">
        <f>$B$25*VLOOKUP(A7,'Datos Mun'!$A$5:$AL$55,38,FALSE)</f>
        <v>189171.83592460584</v>
      </c>
      <c r="E7" s="211">
        <f t="shared" ref="E7:E17" si="1">SUM(B7:D7)</f>
        <v>1044655.390179436</v>
      </c>
    </row>
    <row r="8" spans="1:8">
      <c r="A8" s="196" t="s">
        <v>10</v>
      </c>
      <c r="B8" s="240">
        <f t="shared" si="0"/>
        <v>652913.3010002228</v>
      </c>
      <c r="C8" s="241">
        <f>$B$24*VLOOKUP(A8,'Datos Mun'!$A$5:$AL$55,36,FALSE)</f>
        <v>172998.64243470793</v>
      </c>
      <c r="D8" s="242">
        <f>$B$25*VLOOKUP(A8,'Datos Mun'!$A$5:$AL$55,38,FALSE)</f>
        <v>140151.61722925445</v>
      </c>
      <c r="E8" s="211">
        <f t="shared" si="1"/>
        <v>966063.56066418521</v>
      </c>
    </row>
    <row r="9" spans="1:8">
      <c r="A9" s="196" t="s">
        <v>13</v>
      </c>
      <c r="B9" s="240">
        <f t="shared" si="0"/>
        <v>652913.3010002228</v>
      </c>
      <c r="C9" s="241">
        <f>$B$24*VLOOKUP(A9,'Datos Mun'!$A$5:$AL$55,36,FALSE)</f>
        <v>113833.89490092524</v>
      </c>
      <c r="D9" s="242">
        <f>$B$25*VLOOKUP(A9,'Datos Mun'!$A$5:$AL$55,38,FALSE)</f>
        <v>105109.1519175592</v>
      </c>
      <c r="E9" s="211">
        <f t="shared" si="1"/>
        <v>871856.34781870723</v>
      </c>
    </row>
    <row r="10" spans="1:8">
      <c r="A10" s="196" t="s">
        <v>18</v>
      </c>
      <c r="B10" s="240">
        <f t="shared" si="0"/>
        <v>652913.3010002228</v>
      </c>
      <c r="C10" s="241">
        <f>$B$24*VLOOKUP(A10,'Datos Mun'!$A$5:$AL$55,36,FALSE)</f>
        <v>657707.13229845685</v>
      </c>
      <c r="D10" s="242">
        <f>$B$25*VLOOKUP(A10,'Datos Mun'!$A$5:$AL$55,38,FALSE)</f>
        <v>567733.7122784903</v>
      </c>
      <c r="E10" s="211">
        <f t="shared" si="1"/>
        <v>1878354.14557717</v>
      </c>
    </row>
    <row r="11" spans="1:8">
      <c r="A11" s="196" t="s">
        <v>20</v>
      </c>
      <c r="B11" s="240">
        <f t="shared" si="0"/>
        <v>652913.3010002228</v>
      </c>
      <c r="C11" s="241">
        <f>$B$24*VLOOKUP(A11,'Datos Mun'!$A$5:$AL$55,36,FALSE)</f>
        <v>796810.77089849662</v>
      </c>
      <c r="D11" s="242">
        <f>$B$25*VLOOKUP(A11,'Datos Mun'!$A$5:$AL$55,38,FALSE)</f>
        <v>785838.81560204818</v>
      </c>
      <c r="E11" s="211">
        <f t="shared" si="1"/>
        <v>2235562.8875007676</v>
      </c>
      <c r="G11" s="198"/>
      <c r="H11" s="198"/>
    </row>
    <row r="12" spans="1:8">
      <c r="A12" s="196" t="s">
        <v>24</v>
      </c>
      <c r="B12" s="240">
        <f t="shared" si="0"/>
        <v>652913.3010002228</v>
      </c>
      <c r="C12" s="241">
        <f>$B$24*VLOOKUP(A12,'Datos Mun'!$A$5:$AL$55,36,FALSE)</f>
        <v>169142.1957355901</v>
      </c>
      <c r="D12" s="242">
        <f>$B$25*VLOOKUP(A12,'Datos Mun'!$A$5:$AL$55,38,FALSE)</f>
        <v>132543.56338680041</v>
      </c>
      <c r="E12" s="211">
        <f t="shared" si="1"/>
        <v>954599.06012261333</v>
      </c>
    </row>
    <row r="13" spans="1:8">
      <c r="A13" s="196" t="s">
        <v>31</v>
      </c>
      <c r="B13" s="240">
        <f t="shared" si="0"/>
        <v>652913.3010002228</v>
      </c>
      <c r="C13" s="241">
        <f>$B$24*VLOOKUP(A13,'Datos Mun'!$A$5:$AL$55,36,FALSE)</f>
        <v>780765.70069048798</v>
      </c>
      <c r="D13" s="242">
        <f>$B$25*VLOOKUP(A13,'Datos Mun'!$A$5:$AL$55,38,FALSE)</f>
        <v>716654.38206196961</v>
      </c>
      <c r="E13" s="211">
        <f t="shared" si="1"/>
        <v>2150333.3837526804</v>
      </c>
    </row>
    <row r="14" spans="1:8">
      <c r="A14" s="196" t="s">
        <v>41</v>
      </c>
      <c r="B14" s="240">
        <f t="shared" si="0"/>
        <v>652913.3010002228</v>
      </c>
      <c r="C14" s="241">
        <f>$B$24*VLOOKUP(A14,'Datos Mun'!$A$5:$AL$55,36,FALSE)</f>
        <v>244441.42872931456</v>
      </c>
      <c r="D14" s="242">
        <f>$B$25*VLOOKUP(A14,'Datos Mun'!$A$5:$AL$55,38,FALSE)</f>
        <v>193794.04435690361</v>
      </c>
      <c r="E14" s="211">
        <f t="shared" si="1"/>
        <v>1091148.7740864409</v>
      </c>
    </row>
    <row r="15" spans="1:8">
      <c r="A15" s="196" t="s">
        <v>45</v>
      </c>
      <c r="B15" s="240">
        <f t="shared" si="0"/>
        <v>652913.3010002228</v>
      </c>
      <c r="C15" s="241">
        <f>$B$24*VLOOKUP(A15,'Datos Mun'!$A$5:$AL$55,36,FALSE)</f>
        <v>143670.43980062663</v>
      </c>
      <c r="D15" s="242">
        <f>$B$25*VLOOKUP(A15,'Datos Mun'!$A$5:$AL$55,38,FALSE)</f>
        <v>145002.83507019564</v>
      </c>
      <c r="E15" s="211">
        <f t="shared" si="1"/>
        <v>941586.575871045</v>
      </c>
    </row>
    <row r="16" spans="1:8">
      <c r="A16" s="196" t="s">
        <v>48</v>
      </c>
      <c r="B16" s="240">
        <f t="shared" si="0"/>
        <v>652913.3010002228</v>
      </c>
      <c r="C16" s="241">
        <f>$B$24*VLOOKUP(A16,'Datos Mun'!$A$5:$AL$55,36,FALSE)</f>
        <v>507219.60745692498</v>
      </c>
      <c r="D16" s="242">
        <f>$B$25*VLOOKUP(A16,'Datos Mun'!$A$5:$AL$55,38,FALSE)</f>
        <v>520190.48720549094</v>
      </c>
      <c r="E16" s="211">
        <f t="shared" si="1"/>
        <v>1680323.3956626388</v>
      </c>
    </row>
    <row r="17" spans="1:5">
      <c r="A17" s="196" t="s">
        <v>49</v>
      </c>
      <c r="B17" s="243">
        <f t="shared" si="0"/>
        <v>652913.3010002228</v>
      </c>
      <c r="C17" s="244">
        <f>$B$24*VLOOKUP(A17,'Datos Mun'!$A$5:$AL$55,36,FALSE)</f>
        <v>77466.724934104554</v>
      </c>
      <c r="D17" s="245">
        <f>$B$25*VLOOKUP(A17,'Datos Mun'!$A$5:$AL$55,38,FALSE)</f>
        <v>249125.72101343542</v>
      </c>
      <c r="E17" s="212">
        <f t="shared" si="1"/>
        <v>979505.74694776279</v>
      </c>
    </row>
    <row r="18" spans="1:5" ht="13.5" thickBot="1">
      <c r="A18" s="197" t="s">
        <v>52</v>
      </c>
      <c r="B18" s="246">
        <f>SUM(B6:B17)</f>
        <v>7834959.6120026717</v>
      </c>
      <c r="C18" s="247">
        <f>SUM(C6:C17)</f>
        <v>4953624.8271538662</v>
      </c>
      <c r="D18" s="248">
        <f>SUM(D6:D17)</f>
        <v>4953624.8271538662</v>
      </c>
      <c r="E18" s="213">
        <f>SUM(E6:E17)</f>
        <v>17742209.266310409</v>
      </c>
    </row>
    <row r="19" spans="1:5" ht="13.5" thickBot="1"/>
    <row r="20" spans="1:5" ht="13.5" thickBot="1">
      <c r="A20" s="198"/>
      <c r="B20" s="202" t="s">
        <v>86</v>
      </c>
    </row>
    <row r="21" spans="1:5">
      <c r="A21" s="361" t="s">
        <v>147</v>
      </c>
      <c r="B21" s="363">
        <f>'Part. 2022 Mes'!B36</f>
        <v>17742209.266310401</v>
      </c>
    </row>
    <row r="22" spans="1:5">
      <c r="A22" s="362"/>
      <c r="B22" s="364"/>
    </row>
    <row r="23" spans="1:5">
      <c r="A23" s="199" t="s">
        <v>159</v>
      </c>
      <c r="B23" s="207">
        <f>B21*3.68%</f>
        <v>652913.3010002228</v>
      </c>
    </row>
    <row r="24" spans="1:5">
      <c r="A24" s="200" t="s">
        <v>145</v>
      </c>
      <c r="B24" s="208">
        <f>($B$21-$B$18)*0.5</f>
        <v>4953624.8271538652</v>
      </c>
    </row>
    <row r="25" spans="1:5" ht="13.5" thickBot="1">
      <c r="A25" s="201" t="s">
        <v>146</v>
      </c>
      <c r="B25" s="209">
        <f>($B$21-$B$18)*0.5</f>
        <v>4953624.8271538652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00"/>
  <sheetViews>
    <sheetView topLeftCell="A22" workbookViewId="0">
      <selection activeCell="C13" sqref="C13"/>
    </sheetView>
  </sheetViews>
  <sheetFormatPr baseColWidth="10" defaultColWidth="9.7109375" defaultRowHeight="12.75"/>
  <cols>
    <col min="1" max="1" width="31" style="22" customWidth="1"/>
    <col min="2" max="2" width="15" style="22" customWidth="1"/>
    <col min="3" max="3" width="16.140625" style="22" customWidth="1"/>
    <col min="4" max="4" width="17.7109375" style="163" bestFit="1" customWidth="1"/>
    <col min="5" max="6" width="9.7109375" style="22"/>
    <col min="7" max="7" width="28.85546875" style="22" customWidth="1"/>
    <col min="8" max="8" width="12.42578125" style="22" customWidth="1"/>
    <col min="9" max="9" width="14.42578125" style="22" customWidth="1"/>
    <col min="10" max="16384" width="9.7109375" style="22"/>
  </cols>
  <sheetData>
    <row r="1" spans="1:7">
      <c r="A1" s="359" t="s">
        <v>84</v>
      </c>
      <c r="B1" s="359"/>
      <c r="C1" s="359"/>
      <c r="D1" s="359"/>
      <c r="E1" s="158"/>
      <c r="F1" s="158"/>
      <c r="G1" s="158"/>
    </row>
    <row r="2" spans="1:7">
      <c r="A2" s="359" t="s">
        <v>85</v>
      </c>
      <c r="B2" s="359"/>
      <c r="C2" s="359"/>
      <c r="D2" s="359"/>
      <c r="E2" s="158"/>
      <c r="F2" s="158"/>
      <c r="G2" s="158"/>
    </row>
    <row r="3" spans="1:7" ht="28.5" customHeight="1">
      <c r="A3" s="360" t="s">
        <v>173</v>
      </c>
      <c r="B3" s="360"/>
      <c r="C3" s="360"/>
      <c r="D3" s="360"/>
      <c r="E3" s="158"/>
      <c r="F3" s="158"/>
      <c r="G3" s="158"/>
    </row>
    <row r="4" spans="1:7">
      <c r="A4" s="367"/>
      <c r="B4" s="367"/>
      <c r="C4" s="367"/>
      <c r="D4" s="367"/>
    </row>
    <row r="5" spans="1:7" ht="26.25">
      <c r="A5" s="69" t="s">
        <v>137</v>
      </c>
      <c r="B5" s="368">
        <f>'Part. 2022 Mes'!B31</f>
        <v>50269592.921212792</v>
      </c>
      <c r="C5" s="368"/>
      <c r="D5" s="159"/>
    </row>
    <row r="6" spans="1:7" ht="18.75" thickBot="1">
      <c r="B6" s="366"/>
      <c r="C6" s="366"/>
      <c r="D6" s="160"/>
    </row>
    <row r="7" spans="1:7" ht="26.25" thickBot="1">
      <c r="A7" s="161" t="s">
        <v>0</v>
      </c>
      <c r="B7" s="161" t="s">
        <v>138</v>
      </c>
      <c r="C7" s="161" t="s">
        <v>139</v>
      </c>
      <c r="D7" s="162" t="s">
        <v>140</v>
      </c>
    </row>
    <row r="9" spans="1:7">
      <c r="A9" s="69" t="s">
        <v>128</v>
      </c>
      <c r="B9" s="69">
        <f>$B$5*0.6</f>
        <v>30161755.752727676</v>
      </c>
    </row>
    <row r="10" spans="1:7">
      <c r="A10" s="69" t="s">
        <v>141</v>
      </c>
      <c r="B10" s="69">
        <f>B9*2.56%</f>
        <v>772140.94726982852</v>
      </c>
    </row>
    <row r="11" spans="1:7">
      <c r="A11" s="69" t="s">
        <v>142</v>
      </c>
      <c r="B11" s="69">
        <f>B9-B25</f>
        <v>20896064.385489732</v>
      </c>
    </row>
    <row r="12" spans="1:7" ht="13.5" thickBot="1"/>
    <row r="13" spans="1:7" ht="13.5" thickTop="1">
      <c r="A13" s="164" t="s">
        <v>6</v>
      </c>
      <c r="B13" s="165">
        <f t="shared" ref="B13:B23" si="0">$B$10</f>
        <v>772140.94726982852</v>
      </c>
      <c r="C13" s="166">
        <f>$B$11*VLOOKUP(A13,'Datos Mun'!$A$5:$AL$55,37,FALSE)</f>
        <v>2045624.2936066976</v>
      </c>
      <c r="D13" s="167">
        <f>ROUND(B13+C13,2)</f>
        <v>2817765.24</v>
      </c>
    </row>
    <row r="14" spans="1:7">
      <c r="A14" s="168" t="s">
        <v>9</v>
      </c>
      <c r="B14" s="169">
        <f t="shared" si="0"/>
        <v>772140.94726982852</v>
      </c>
      <c r="C14" s="170">
        <f>$B$11*VLOOKUP(A14,'Datos Mun'!$A$5:$AL$55,37,FALSE)</f>
        <v>320261.30051818769</v>
      </c>
      <c r="D14" s="171">
        <f t="shared" ref="D14:D24" si="1">ROUND(B14+C14,2)</f>
        <v>1092402.25</v>
      </c>
    </row>
    <row r="15" spans="1:7">
      <c r="A15" s="168" t="s">
        <v>18</v>
      </c>
      <c r="B15" s="169">
        <f t="shared" si="0"/>
        <v>772140.94726982852</v>
      </c>
      <c r="C15" s="170">
        <f>$B$11*VLOOKUP(A15,'Datos Mun'!$A$5:$AL$55,37,FALSE)</f>
        <v>961153.31414763664</v>
      </c>
      <c r="D15" s="171">
        <f t="shared" si="1"/>
        <v>1733294.26</v>
      </c>
    </row>
    <row r="16" spans="1:7">
      <c r="A16" s="168" t="s">
        <v>20</v>
      </c>
      <c r="B16" s="169">
        <f t="shared" si="0"/>
        <v>772140.94726982852</v>
      </c>
      <c r="C16" s="170">
        <f>$B$11*VLOOKUP(A16,'Datos Mun'!$A$5:$AL$55,37,FALSE)</f>
        <v>1330397.624214465</v>
      </c>
      <c r="D16" s="171">
        <f t="shared" si="1"/>
        <v>2102538.5699999998</v>
      </c>
    </row>
    <row r="17" spans="1:4">
      <c r="A17" s="168" t="s">
        <v>25</v>
      </c>
      <c r="B17" s="169">
        <f t="shared" si="0"/>
        <v>772140.94726982852</v>
      </c>
      <c r="C17" s="170">
        <f>$B$11*VLOOKUP(A17,'Datos Mun'!$A$5:$AL$55,37,FALSE)</f>
        <v>1723646.6520708546</v>
      </c>
      <c r="D17" s="171">
        <f t="shared" si="1"/>
        <v>2495787.6</v>
      </c>
    </row>
    <row r="18" spans="1:4">
      <c r="A18" s="168" t="s">
        <v>31</v>
      </c>
      <c r="B18" s="169">
        <f t="shared" si="0"/>
        <v>772140.94726982852</v>
      </c>
      <c r="C18" s="170">
        <f>$B$11*VLOOKUP(A18,'Datos Mun'!$A$5:$AL$55,37,FALSE)</f>
        <v>1213270.7984749803</v>
      </c>
      <c r="D18" s="171">
        <f t="shared" si="1"/>
        <v>1985411.75</v>
      </c>
    </row>
    <row r="19" spans="1:4">
      <c r="A19" s="168" t="s">
        <v>39</v>
      </c>
      <c r="B19" s="169">
        <f t="shared" si="0"/>
        <v>772140.94726982852</v>
      </c>
      <c r="C19" s="170">
        <f>$B$11*VLOOKUP(A19,'Datos Mun'!$A$5:$AL$55,37,FALSE)</f>
        <v>6752086.959879837</v>
      </c>
      <c r="D19" s="171">
        <f t="shared" si="1"/>
        <v>7524227.9100000001</v>
      </c>
    </row>
    <row r="20" spans="1:4">
      <c r="A20" s="168" t="s">
        <v>45</v>
      </c>
      <c r="B20" s="169">
        <f t="shared" si="0"/>
        <v>772140.94726982852</v>
      </c>
      <c r="C20" s="170">
        <f>$B$11*VLOOKUP(A20,'Datos Mun'!$A$5:$AL$55,37,FALSE)</f>
        <v>245484.7272133746</v>
      </c>
      <c r="D20" s="171">
        <f t="shared" si="1"/>
        <v>1017625.67</v>
      </c>
    </row>
    <row r="21" spans="1:4">
      <c r="A21" s="168" t="s">
        <v>46</v>
      </c>
      <c r="B21" s="169">
        <f t="shared" si="0"/>
        <v>772140.94726982852</v>
      </c>
      <c r="C21" s="170">
        <f>$B$11*VLOOKUP(A21,'Datos Mun'!$A$5:$AL$55,37,FALSE)</f>
        <v>1709388.8343560649</v>
      </c>
      <c r="D21" s="171">
        <f t="shared" si="1"/>
        <v>2481529.7799999998</v>
      </c>
    </row>
    <row r="22" spans="1:4">
      <c r="A22" s="168" t="s">
        <v>47</v>
      </c>
      <c r="B22" s="169">
        <f t="shared" si="0"/>
        <v>772140.94726982852</v>
      </c>
      <c r="C22" s="170">
        <f>$B$11*VLOOKUP(A22,'Datos Mun'!$A$5:$AL$55,37,FALSE)</f>
        <v>3292324.453090813</v>
      </c>
      <c r="D22" s="171">
        <f t="shared" si="1"/>
        <v>4064465.4</v>
      </c>
    </row>
    <row r="23" spans="1:4">
      <c r="A23" s="168" t="s">
        <v>48</v>
      </c>
      <c r="B23" s="169">
        <f t="shared" si="0"/>
        <v>772140.94726982852</v>
      </c>
      <c r="C23" s="170">
        <f>$B$11*VLOOKUP(A23,'Datos Mun'!$A$5:$AL$55,37,FALSE)</f>
        <v>880664.29727952264</v>
      </c>
      <c r="D23" s="171">
        <f t="shared" si="1"/>
        <v>1652805.24</v>
      </c>
    </row>
    <row r="24" spans="1:4">
      <c r="A24" s="168" t="s">
        <v>49</v>
      </c>
      <c r="B24" s="169">
        <f>$B$10</f>
        <v>772140.94726982852</v>
      </c>
      <c r="C24" s="170">
        <f>$B$11*VLOOKUP(A24,'Datos Mun'!$A$5:$AL$55,37,FALSE)</f>
        <v>421761.13063729182</v>
      </c>
      <c r="D24" s="171">
        <f t="shared" si="1"/>
        <v>1193902.0800000001</v>
      </c>
    </row>
    <row r="25" spans="1:4" ht="13.5" thickBot="1">
      <c r="A25" s="172" t="s">
        <v>129</v>
      </c>
      <c r="B25" s="173">
        <f>SUM(B13:B24)</f>
        <v>9265691.3672379442</v>
      </c>
      <c r="C25" s="174">
        <f>SUM(C13:C24)</f>
        <v>20896064.385489728</v>
      </c>
      <c r="D25" s="175">
        <f>SUM(D13:D24)</f>
        <v>30161755.75</v>
      </c>
    </row>
    <row r="26" spans="1:4" ht="13.5" thickTop="1">
      <c r="A26" s="176"/>
      <c r="B26" s="177"/>
      <c r="C26" s="178"/>
      <c r="D26" s="179"/>
    </row>
    <row r="27" spans="1:4">
      <c r="A27" s="180" t="s">
        <v>130</v>
      </c>
      <c r="B27" s="181">
        <f>$B$5*0.4</f>
        <v>20107837.168485116</v>
      </c>
      <c r="C27" s="182"/>
      <c r="D27" s="183"/>
    </row>
    <row r="28" spans="1:4">
      <c r="A28" s="180" t="s">
        <v>143</v>
      </c>
      <c r="B28" s="181">
        <f>B27*1.28%</f>
        <v>257380.31575660949</v>
      </c>
      <c r="C28" s="182"/>
      <c r="D28" s="183"/>
    </row>
    <row r="29" spans="1:4">
      <c r="A29" s="180" t="s">
        <v>142</v>
      </c>
      <c r="B29" s="180">
        <f>B27-B70</f>
        <v>10070004.853977341</v>
      </c>
      <c r="C29" s="182"/>
      <c r="D29" s="183"/>
    </row>
    <row r="30" spans="1:4" ht="13.5" customHeight="1" thickBot="1">
      <c r="A30" s="184"/>
      <c r="B30" s="185"/>
      <c r="C30" s="186"/>
      <c r="D30" s="187"/>
    </row>
    <row r="31" spans="1:4" ht="13.5" thickTop="1">
      <c r="A31" s="164" t="s">
        <v>1</v>
      </c>
      <c r="B31" s="165">
        <f>$B$28</f>
        <v>257380.31575660949</v>
      </c>
      <c r="C31" s="166">
        <f>$B$29*VLOOKUP(A31,'Datos Mun'!$A$5:$AL$55,37,FALSE)</f>
        <v>45506.481401105979</v>
      </c>
      <c r="D31" s="167">
        <f>ROUND(B31+C31,2)</f>
        <v>302886.8</v>
      </c>
    </row>
    <row r="32" spans="1:4">
      <c r="A32" s="168" t="s">
        <v>2</v>
      </c>
      <c r="B32" s="169">
        <f t="shared" ref="B32:B69" si="2">$B$28</f>
        <v>257380.31575660949</v>
      </c>
      <c r="C32" s="170">
        <f>$B$29*VLOOKUP(A32,'Datos Mun'!$A$5:$AL$55,37,FALSE)</f>
        <v>81403.035492587675</v>
      </c>
      <c r="D32" s="171">
        <f t="shared" ref="D32:D69" si="3">ROUND(B32+C32,2)</f>
        <v>338783.35</v>
      </c>
    </row>
    <row r="33" spans="1:4">
      <c r="A33" s="168" t="s">
        <v>3</v>
      </c>
      <c r="B33" s="169">
        <f t="shared" si="2"/>
        <v>257380.31575660949</v>
      </c>
      <c r="C33" s="170">
        <f>$B$29*VLOOKUP(A33,'Datos Mun'!$A$5:$AL$55,37,FALSE)</f>
        <v>102851.30996433375</v>
      </c>
      <c r="D33" s="171">
        <f t="shared" si="3"/>
        <v>360231.63</v>
      </c>
    </row>
    <row r="34" spans="1:4">
      <c r="A34" s="168" t="s">
        <v>4</v>
      </c>
      <c r="B34" s="169">
        <f t="shared" si="2"/>
        <v>257380.31575660949</v>
      </c>
      <c r="C34" s="170">
        <f>$B$29*VLOOKUP(A34,'Datos Mun'!$A$5:$AL$55,37,FALSE)</f>
        <v>483538.49660580064</v>
      </c>
      <c r="D34" s="171">
        <f t="shared" si="3"/>
        <v>740918.81</v>
      </c>
    </row>
    <row r="35" spans="1:4">
      <c r="A35" s="168" t="s">
        <v>5</v>
      </c>
      <c r="B35" s="169">
        <f t="shared" si="2"/>
        <v>257380.31575660949</v>
      </c>
      <c r="C35" s="170">
        <f>$B$29*VLOOKUP(A35,'Datos Mun'!$A$5:$AL$55,37,FALSE)</f>
        <v>333523.51318163733</v>
      </c>
      <c r="D35" s="171">
        <f t="shared" si="3"/>
        <v>590903.82999999996</v>
      </c>
    </row>
    <row r="36" spans="1:4">
      <c r="A36" s="168" t="s">
        <v>7</v>
      </c>
      <c r="B36" s="169">
        <f t="shared" si="2"/>
        <v>257380.31575660949</v>
      </c>
      <c r="C36" s="170">
        <f>$B$29*VLOOKUP(A36,'Datos Mun'!$A$5:$AL$55,37,FALSE)</f>
        <v>300947.2658773592</v>
      </c>
      <c r="D36" s="171">
        <f t="shared" si="3"/>
        <v>558327.57999999996</v>
      </c>
    </row>
    <row r="37" spans="1:4">
      <c r="A37" s="168" t="s">
        <v>8</v>
      </c>
      <c r="B37" s="169">
        <f t="shared" si="2"/>
        <v>257380.31575660949</v>
      </c>
      <c r="C37" s="170">
        <f>$B$29*VLOOKUP(A37,'Datos Mun'!$A$5:$AL$55,37,FALSE)</f>
        <v>85072.2914421928</v>
      </c>
      <c r="D37" s="171">
        <f t="shared" si="3"/>
        <v>342452.61</v>
      </c>
    </row>
    <row r="38" spans="1:4">
      <c r="A38" s="168" t="s">
        <v>10</v>
      </c>
      <c r="B38" s="169">
        <f t="shared" si="2"/>
        <v>257380.31575660949</v>
      </c>
      <c r="C38" s="170">
        <f>$B$29*VLOOKUP(A38,'Datos Mun'!$A$5:$AL$55,37,FALSE)</f>
        <v>615633.41224412841</v>
      </c>
      <c r="D38" s="171">
        <f t="shared" si="3"/>
        <v>873013.73</v>
      </c>
    </row>
    <row r="39" spans="1:4">
      <c r="A39" s="168" t="s">
        <v>191</v>
      </c>
      <c r="B39" s="169">
        <f t="shared" si="2"/>
        <v>257380.31575660949</v>
      </c>
      <c r="C39" s="170">
        <f>$B$29*VLOOKUP(A39,'Datos Mun'!$A$5:$AL$55,37,FALSE)</f>
        <v>235691.62739571769</v>
      </c>
      <c r="D39" s="171">
        <f t="shared" si="3"/>
        <v>493071.94</v>
      </c>
    </row>
    <row r="40" spans="1:4">
      <c r="A40" s="168" t="s">
        <v>12</v>
      </c>
      <c r="B40" s="169">
        <f t="shared" si="2"/>
        <v>257380.31575660949</v>
      </c>
      <c r="C40" s="170">
        <f>$B$29*VLOOKUP(A40,'Datos Mun'!$A$5:$AL$55,37,FALSE)</f>
        <v>293307.48500210064</v>
      </c>
      <c r="D40" s="171">
        <f t="shared" si="3"/>
        <v>550687.80000000005</v>
      </c>
    </row>
    <row r="41" spans="1:4">
      <c r="A41" s="168" t="s">
        <v>13</v>
      </c>
      <c r="B41" s="169">
        <f t="shared" si="2"/>
        <v>257380.31575660949</v>
      </c>
      <c r="C41" s="170">
        <f>$B$29*VLOOKUP(A41,'Datos Mun'!$A$5:$AL$55,37,FALSE)</f>
        <v>461705.02440400323</v>
      </c>
      <c r="D41" s="171">
        <f t="shared" si="3"/>
        <v>719085.34</v>
      </c>
    </row>
    <row r="42" spans="1:4">
      <c r="A42" s="168" t="s">
        <v>14</v>
      </c>
      <c r="B42" s="169">
        <f t="shared" si="2"/>
        <v>257380.31575660949</v>
      </c>
      <c r="C42" s="170">
        <f>$B$29*VLOOKUP(A42,'Datos Mun'!$A$5:$AL$55,37,FALSE)</f>
        <v>663697.52127383964</v>
      </c>
      <c r="D42" s="171">
        <f t="shared" si="3"/>
        <v>921077.84</v>
      </c>
    </row>
    <row r="43" spans="1:4">
      <c r="A43" s="168" t="s">
        <v>15</v>
      </c>
      <c r="B43" s="169">
        <f t="shared" si="2"/>
        <v>257380.31575660949</v>
      </c>
      <c r="C43" s="170">
        <f>$B$29*VLOOKUP(A43,'Datos Mun'!$A$5:$AL$55,37,FALSE)</f>
        <v>96180.403031569222</v>
      </c>
      <c r="D43" s="171">
        <f t="shared" si="3"/>
        <v>353560.72</v>
      </c>
    </row>
    <row r="44" spans="1:4">
      <c r="A44" s="168" t="s">
        <v>16</v>
      </c>
      <c r="B44" s="169">
        <f t="shared" si="2"/>
        <v>257380.31575660949</v>
      </c>
      <c r="C44" s="170">
        <f>$B$29*VLOOKUP(A44,'Datos Mun'!$A$5:$AL$55,37,FALSE)</f>
        <v>64494.61915000523</v>
      </c>
      <c r="D44" s="171">
        <f t="shared" si="3"/>
        <v>321874.93</v>
      </c>
    </row>
    <row r="45" spans="1:4">
      <c r="A45" s="168" t="s">
        <v>17</v>
      </c>
      <c r="B45" s="169">
        <f t="shared" si="2"/>
        <v>257380.31575660949</v>
      </c>
      <c r="C45" s="170">
        <f>$B$29*VLOOKUP(A45,'Datos Mun'!$A$5:$AL$55,37,FALSE)</f>
        <v>619988.02480602416</v>
      </c>
      <c r="D45" s="171">
        <f t="shared" si="3"/>
        <v>877368.34</v>
      </c>
    </row>
    <row r="46" spans="1:4">
      <c r="A46" s="168" t="s">
        <v>19</v>
      </c>
      <c r="B46" s="169">
        <f t="shared" si="2"/>
        <v>257380.31575660949</v>
      </c>
      <c r="C46" s="170">
        <f>$B$29*VLOOKUP(A46,'Datos Mun'!$A$5:$AL$55,37,FALSE)</f>
        <v>176964.79127747149</v>
      </c>
      <c r="D46" s="171">
        <f t="shared" si="3"/>
        <v>434345.11</v>
      </c>
    </row>
    <row r="47" spans="1:4">
      <c r="A47" s="168" t="s">
        <v>21</v>
      </c>
      <c r="B47" s="169">
        <f t="shared" si="2"/>
        <v>257380.31575660949</v>
      </c>
      <c r="C47" s="170">
        <f>$B$29*VLOOKUP(A47,'Datos Mun'!$A$5:$AL$55,37,FALSE)</f>
        <v>282081.75065318827</v>
      </c>
      <c r="D47" s="171">
        <f t="shared" si="3"/>
        <v>539462.06999999995</v>
      </c>
    </row>
    <row r="48" spans="1:4">
      <c r="A48" s="168" t="s">
        <v>22</v>
      </c>
      <c r="B48" s="169">
        <f t="shared" si="2"/>
        <v>257380.31575660949</v>
      </c>
      <c r="C48" s="170">
        <f>$B$29*VLOOKUP(A48,'Datos Mun'!$A$5:$AL$55,37,FALSE)</f>
        <v>56126.219907657025</v>
      </c>
      <c r="D48" s="171">
        <f t="shared" si="3"/>
        <v>313506.53999999998</v>
      </c>
    </row>
    <row r="49" spans="1:4">
      <c r="A49" s="168" t="s">
        <v>23</v>
      </c>
      <c r="B49" s="169">
        <f t="shared" si="2"/>
        <v>257380.31575660949</v>
      </c>
      <c r="C49" s="170">
        <f>$B$29*VLOOKUP(A49,'Datos Mun'!$A$5:$AL$55,37,FALSE)</f>
        <v>160897.50171338333</v>
      </c>
      <c r="D49" s="171">
        <f t="shared" si="3"/>
        <v>418277.82</v>
      </c>
    </row>
    <row r="50" spans="1:4">
      <c r="A50" s="168" t="s">
        <v>24</v>
      </c>
      <c r="B50" s="169">
        <f t="shared" si="2"/>
        <v>257380.31575660949</v>
      </c>
      <c r="C50" s="170">
        <f>$B$29*VLOOKUP(A50,'Datos Mun'!$A$5:$AL$55,37,FALSE)</f>
        <v>582214.08936963382</v>
      </c>
      <c r="D50" s="171">
        <f t="shared" si="3"/>
        <v>839594.41</v>
      </c>
    </row>
    <row r="51" spans="1:4">
      <c r="A51" s="168" t="s">
        <v>26</v>
      </c>
      <c r="B51" s="169">
        <f t="shared" si="2"/>
        <v>257380.31575660949</v>
      </c>
      <c r="C51" s="170">
        <f>$B$29*VLOOKUP(A51,'Datos Mun'!$A$5:$AL$55,37,FALSE)</f>
        <v>58766.951944425055</v>
      </c>
      <c r="D51" s="171">
        <f t="shared" si="3"/>
        <v>316147.27</v>
      </c>
    </row>
    <row r="52" spans="1:4">
      <c r="A52" s="168" t="s">
        <v>27</v>
      </c>
      <c r="B52" s="169">
        <f t="shared" si="2"/>
        <v>257380.31575660949</v>
      </c>
      <c r="C52" s="170">
        <f>$B$29*VLOOKUP(A52,'Datos Mun'!$A$5:$AL$55,37,FALSE)</f>
        <v>111450.0606044298</v>
      </c>
      <c r="D52" s="171">
        <f t="shared" si="3"/>
        <v>368830.38</v>
      </c>
    </row>
    <row r="53" spans="1:4">
      <c r="A53" s="168" t="s">
        <v>28</v>
      </c>
      <c r="B53" s="169">
        <f t="shared" si="2"/>
        <v>257380.31575660949</v>
      </c>
      <c r="C53" s="170">
        <f>$B$29*VLOOKUP(A53,'Datos Mun'!$A$5:$AL$55,37,FALSE)</f>
        <v>83010.751135280938</v>
      </c>
      <c r="D53" s="171">
        <f t="shared" si="3"/>
        <v>340391.07</v>
      </c>
    </row>
    <row r="54" spans="1:4">
      <c r="A54" s="168" t="s">
        <v>29</v>
      </c>
      <c r="B54" s="169">
        <f t="shared" si="2"/>
        <v>257380.31575660949</v>
      </c>
      <c r="C54" s="170">
        <f>$B$29*VLOOKUP(A54,'Datos Mun'!$A$5:$AL$55,37,FALSE)</f>
        <v>98814.387004217744</v>
      </c>
      <c r="D54" s="171">
        <f t="shared" si="3"/>
        <v>356194.7</v>
      </c>
    </row>
    <row r="55" spans="1:4">
      <c r="A55" s="168" t="s">
        <v>30</v>
      </c>
      <c r="B55" s="169">
        <f t="shared" si="2"/>
        <v>257380.31575660949</v>
      </c>
      <c r="C55" s="170">
        <f>$B$29*VLOOKUP(A55,'Datos Mun'!$A$5:$AL$55,37,FALSE)</f>
        <v>102503.05390143409</v>
      </c>
      <c r="D55" s="171">
        <f t="shared" si="3"/>
        <v>359883.37</v>
      </c>
    </row>
    <row r="56" spans="1:4">
      <c r="A56" s="168" t="s">
        <v>32</v>
      </c>
      <c r="B56" s="169">
        <f t="shared" si="2"/>
        <v>257380.31575660949</v>
      </c>
      <c r="C56" s="170">
        <f>$B$29*VLOOKUP(A56,'Datos Mun'!$A$5:$AL$55,37,FALSE)</f>
        <v>245201.18795595961</v>
      </c>
      <c r="D56" s="171">
        <f t="shared" si="3"/>
        <v>502581.5</v>
      </c>
    </row>
    <row r="57" spans="1:4">
      <c r="A57" s="168" t="s">
        <v>33</v>
      </c>
      <c r="B57" s="169">
        <f t="shared" si="2"/>
        <v>257380.31575660949</v>
      </c>
      <c r="C57" s="170">
        <f>$B$29*VLOOKUP(A57,'Datos Mun'!$A$5:$AL$55,37,FALSE)</f>
        <v>674151.34156357951</v>
      </c>
      <c r="D57" s="171">
        <f t="shared" si="3"/>
        <v>931531.66</v>
      </c>
    </row>
    <row r="58" spans="1:4">
      <c r="A58" s="168" t="s">
        <v>34</v>
      </c>
      <c r="B58" s="169">
        <f t="shared" si="2"/>
        <v>257380.31575660949</v>
      </c>
      <c r="C58" s="170">
        <f>$B$29*VLOOKUP(A58,'Datos Mun'!$A$5:$AL$55,37,FALSE)</f>
        <v>125551.26395306272</v>
      </c>
      <c r="D58" s="171">
        <f t="shared" si="3"/>
        <v>382931.58</v>
      </c>
    </row>
    <row r="59" spans="1:4">
      <c r="A59" s="168" t="s">
        <v>35</v>
      </c>
      <c r="B59" s="169">
        <f t="shared" si="2"/>
        <v>257380.31575660949</v>
      </c>
      <c r="C59" s="170">
        <f>$B$29*VLOOKUP(A59,'Datos Mun'!$A$5:$AL$55,37,FALSE)</f>
        <v>23152.453394548975</v>
      </c>
      <c r="D59" s="171">
        <f t="shared" si="3"/>
        <v>280532.77</v>
      </c>
    </row>
    <row r="60" spans="1:4">
      <c r="A60" s="168" t="s">
        <v>36</v>
      </c>
      <c r="B60" s="169">
        <f t="shared" si="2"/>
        <v>257380.31575660949</v>
      </c>
      <c r="C60" s="170">
        <f>$B$29*VLOOKUP(A60,'Datos Mun'!$A$5:$AL$55,37,FALSE)</f>
        <v>177096.36601233052</v>
      </c>
      <c r="D60" s="171">
        <f t="shared" si="3"/>
        <v>434476.68</v>
      </c>
    </row>
    <row r="61" spans="1:4">
      <c r="A61" s="168" t="s">
        <v>37</v>
      </c>
      <c r="B61" s="169">
        <f t="shared" si="2"/>
        <v>257380.31575660949</v>
      </c>
      <c r="C61" s="170">
        <f>$B$29*VLOOKUP(A61,'Datos Mun'!$A$5:$AL$55,37,FALSE)</f>
        <v>233639.8616853219</v>
      </c>
      <c r="D61" s="171">
        <f t="shared" si="3"/>
        <v>491020.18</v>
      </c>
    </row>
    <row r="62" spans="1:4">
      <c r="A62" s="168" t="s">
        <v>38</v>
      </c>
      <c r="B62" s="169">
        <f t="shared" si="2"/>
        <v>257380.31575660949</v>
      </c>
      <c r="C62" s="170">
        <f>$B$29*VLOOKUP(A62,'Datos Mun'!$A$5:$AL$55,37,FALSE)</f>
        <v>506962.16919157049</v>
      </c>
      <c r="D62" s="171">
        <f t="shared" si="3"/>
        <v>764342.48</v>
      </c>
    </row>
    <row r="63" spans="1:4">
      <c r="A63" s="168" t="s">
        <v>40</v>
      </c>
      <c r="B63" s="169">
        <f t="shared" si="2"/>
        <v>257380.31575660949</v>
      </c>
      <c r="C63" s="170">
        <f>$B$29*VLOOKUP(A63,'Datos Mun'!$A$5:$AL$55,37,FALSE)</f>
        <v>117563.07663899484</v>
      </c>
      <c r="D63" s="171">
        <f t="shared" si="3"/>
        <v>374943.39</v>
      </c>
    </row>
    <row r="64" spans="1:4">
      <c r="A64" s="168" t="s">
        <v>41</v>
      </c>
      <c r="B64" s="169">
        <f t="shared" si="2"/>
        <v>257380.31575660949</v>
      </c>
      <c r="C64" s="170">
        <f>$B$29*VLOOKUP(A64,'Datos Mun'!$A$5:$AL$55,37,FALSE)</f>
        <v>851264.44602401112</v>
      </c>
      <c r="D64" s="171">
        <f t="shared" si="3"/>
        <v>1108644.76</v>
      </c>
    </row>
    <row r="65" spans="1:4">
      <c r="A65" s="168" t="s">
        <v>42</v>
      </c>
      <c r="B65" s="169">
        <f t="shared" si="2"/>
        <v>257380.31575660949</v>
      </c>
      <c r="C65" s="170">
        <f>$B$29*VLOOKUP(A65,'Datos Mun'!$A$5:$AL$55,37,FALSE)</f>
        <v>130232.90884178029</v>
      </c>
      <c r="D65" s="171">
        <f t="shared" si="3"/>
        <v>387613.22</v>
      </c>
    </row>
    <row r="66" spans="1:4">
      <c r="A66" s="168" t="s">
        <v>43</v>
      </c>
      <c r="B66" s="169">
        <f t="shared" si="2"/>
        <v>257380.31575660949</v>
      </c>
      <c r="C66" s="170">
        <f>$B$29*VLOOKUP(A66,'Datos Mun'!$A$5:$AL$55,37,FALSE)</f>
        <v>119804.64695407228</v>
      </c>
      <c r="D66" s="171">
        <f t="shared" si="3"/>
        <v>377184.96</v>
      </c>
    </row>
    <row r="67" spans="1:4">
      <c r="A67" s="168" t="s">
        <v>44</v>
      </c>
      <c r="B67" s="169">
        <f t="shared" si="2"/>
        <v>257380.31575660949</v>
      </c>
      <c r="C67" s="170">
        <f>$B$29*VLOOKUP(A67,'Datos Mun'!$A$5:$AL$55,37,FALSE)</f>
        <v>328551.56247806904</v>
      </c>
      <c r="D67" s="171">
        <f t="shared" si="3"/>
        <v>585931.88</v>
      </c>
    </row>
    <row r="68" spans="1:4">
      <c r="A68" s="168" t="s">
        <v>50</v>
      </c>
      <c r="B68" s="169">
        <f t="shared" si="2"/>
        <v>257380.31575660949</v>
      </c>
      <c r="C68" s="170">
        <f>$B$29*VLOOKUP(A68,'Datos Mun'!$A$5:$AL$55,37,FALSE)</f>
        <v>185268.19558998561</v>
      </c>
      <c r="D68" s="171">
        <f t="shared" si="3"/>
        <v>442648.51</v>
      </c>
    </row>
    <row r="69" spans="1:4" ht="15.75" customHeight="1">
      <c r="A69" s="168" t="s">
        <v>51</v>
      </c>
      <c r="B69" s="169">
        <f t="shared" si="2"/>
        <v>257380.31575660949</v>
      </c>
      <c r="C69" s="170">
        <f>$B$29*VLOOKUP(A69,'Datos Mun'!$A$5:$AL$55,37,FALSE)</f>
        <v>155195.30491052568</v>
      </c>
      <c r="D69" s="171">
        <f t="shared" si="3"/>
        <v>412575.62</v>
      </c>
    </row>
    <row r="70" spans="1:4">
      <c r="A70" s="188" t="s">
        <v>129</v>
      </c>
      <c r="B70" s="173">
        <f>SUM(B31:B69)</f>
        <v>10037832.314507775</v>
      </c>
      <c r="C70" s="174">
        <f>SUM(C31:C69)</f>
        <v>10070004.853977341</v>
      </c>
      <c r="D70" s="175">
        <f>SUM(D31:D69)</f>
        <v>20107837.18</v>
      </c>
    </row>
    <row r="71" spans="1:4" ht="15.75" thickBot="1">
      <c r="A71" s="189" t="s">
        <v>52</v>
      </c>
      <c r="B71" s="190">
        <f>+B70+B25</f>
        <v>19303523.681745719</v>
      </c>
      <c r="C71" s="191">
        <f>+C70+C25</f>
        <v>30966069.23946707</v>
      </c>
      <c r="D71" s="192">
        <f>+D70+D25</f>
        <v>50269592.93</v>
      </c>
    </row>
    <row r="72" spans="1:4" ht="13.5" thickTop="1">
      <c r="C72" s="193"/>
    </row>
    <row r="73" spans="1:4">
      <c r="C73" s="193"/>
    </row>
    <row r="74" spans="1:4">
      <c r="C74" s="193"/>
    </row>
    <row r="75" spans="1:4">
      <c r="C75" s="193"/>
    </row>
    <row r="76" spans="1:4">
      <c r="C76" s="193"/>
    </row>
    <row r="77" spans="1:4">
      <c r="C77" s="193"/>
    </row>
    <row r="78" spans="1:4">
      <c r="C78" s="193"/>
    </row>
    <row r="79" spans="1:4">
      <c r="C79" s="193"/>
    </row>
    <row r="80" spans="1:4">
      <c r="C80" s="193"/>
    </row>
    <row r="81" spans="3:3" s="163" customFormat="1">
      <c r="C81" s="193"/>
    </row>
    <row r="82" spans="3:3" s="163" customFormat="1">
      <c r="C82" s="193"/>
    </row>
    <row r="83" spans="3:3" s="163" customFormat="1">
      <c r="C83" s="193"/>
    </row>
    <row r="84" spans="3:3" s="163" customFormat="1">
      <c r="C84" s="193"/>
    </row>
    <row r="85" spans="3:3" s="163" customFormat="1">
      <c r="C85" s="193"/>
    </row>
    <row r="86" spans="3:3" s="163" customFormat="1">
      <c r="C86" s="193"/>
    </row>
    <row r="87" spans="3:3" s="163" customFormat="1">
      <c r="C87" s="193"/>
    </row>
    <row r="88" spans="3:3" s="163" customFormat="1">
      <c r="C88" s="193"/>
    </row>
    <row r="89" spans="3:3" s="163" customFormat="1">
      <c r="C89" s="193"/>
    </row>
    <row r="90" spans="3:3" s="163" customFormat="1">
      <c r="C90" s="193"/>
    </row>
    <row r="91" spans="3:3" s="163" customFormat="1">
      <c r="C91" s="193"/>
    </row>
    <row r="92" spans="3:3" s="163" customFormat="1">
      <c r="C92" s="193"/>
    </row>
    <row r="93" spans="3:3" s="163" customFormat="1">
      <c r="C93" s="193"/>
    </row>
    <row r="94" spans="3:3" s="163" customFormat="1">
      <c r="C94" s="193"/>
    </row>
    <row r="95" spans="3:3" s="163" customFormat="1">
      <c r="C95" s="193"/>
    </row>
    <row r="96" spans="3:3" s="163" customFormat="1">
      <c r="C96" s="193"/>
    </row>
    <row r="97" spans="3:3" s="163" customFormat="1">
      <c r="C97" s="193"/>
    </row>
    <row r="98" spans="3:3" s="163" customFormat="1">
      <c r="C98" s="193"/>
    </row>
    <row r="99" spans="3:3" s="163" customFormat="1">
      <c r="C99" s="193"/>
    </row>
    <row r="100" spans="3:3" s="163" customFormat="1">
      <c r="C100" s="193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96"/>
  <sheetViews>
    <sheetView showGridLines="0" zoomScaleNormal="100" workbookViewId="0">
      <selection activeCell="A22" sqref="A22"/>
    </sheetView>
  </sheetViews>
  <sheetFormatPr baseColWidth="10" defaultColWidth="9.7109375" defaultRowHeight="12.75"/>
  <cols>
    <col min="1" max="1" width="29.42578125" style="120" customWidth="1"/>
    <col min="2" max="3" width="17" style="120" customWidth="1"/>
    <col min="4" max="4" width="13.140625" style="120" customWidth="1"/>
    <col min="5" max="5" width="12.5703125" style="120" customWidth="1"/>
    <col min="6" max="6" width="17" style="126" customWidth="1"/>
    <col min="7" max="7" width="9.7109375" style="120"/>
    <col min="8" max="8" width="27.28515625" style="120" bestFit="1" customWidth="1"/>
    <col min="9" max="9" width="11.140625" style="120" bestFit="1" customWidth="1"/>
    <col min="10" max="11" width="10.140625" style="120" bestFit="1" customWidth="1"/>
    <col min="12" max="12" width="27.28515625" style="120" bestFit="1" customWidth="1"/>
    <col min="13" max="15" width="11.140625" style="120" bestFit="1" customWidth="1"/>
    <col min="16" max="16384" width="9.7109375" style="120"/>
  </cols>
  <sheetData>
    <row r="1" spans="1:14">
      <c r="A1" s="373" t="s">
        <v>85</v>
      </c>
      <c r="B1" s="373"/>
      <c r="C1" s="373"/>
      <c r="D1" s="373"/>
      <c r="E1" s="373"/>
      <c r="F1" s="373"/>
    </row>
    <row r="2" spans="1:14" ht="37.5" customHeight="1">
      <c r="A2" s="374" t="s">
        <v>174</v>
      </c>
      <c r="B2" s="374"/>
      <c r="C2" s="374"/>
      <c r="D2" s="374"/>
      <c r="E2" s="374"/>
      <c r="F2" s="374"/>
    </row>
    <row r="3" spans="1:14" ht="26.25" customHeight="1">
      <c r="A3" s="121" t="s">
        <v>117</v>
      </c>
      <c r="B3" s="375" t="s">
        <v>118</v>
      </c>
      <c r="C3" s="375"/>
      <c r="D3" s="375" t="s">
        <v>119</v>
      </c>
      <c r="E3" s="375"/>
      <c r="F3" s="122" t="s">
        <v>53</v>
      </c>
    </row>
    <row r="4" spans="1:14">
      <c r="A4" s="123" t="s">
        <v>120</v>
      </c>
      <c r="B4" s="376">
        <f>'Part. 2022 Mes'!B20</f>
        <v>60454935.277798392</v>
      </c>
      <c r="C4" s="376"/>
      <c r="D4" s="377">
        <f>'Part. 2022 Mes'!C20</f>
        <v>9364728.4499999993</v>
      </c>
      <c r="E4" s="377"/>
      <c r="F4" s="124">
        <f>SUM(B4:E4)</f>
        <v>69819663.727798387</v>
      </c>
    </row>
    <row r="5" spans="1:14">
      <c r="A5" s="125" t="s">
        <v>121</v>
      </c>
      <c r="B5" s="369">
        <f>3000000/12</f>
        <v>250000</v>
      </c>
      <c r="C5" s="369"/>
      <c r="D5" s="370">
        <f>IF(D4&lt;D6,0,1000000/12)</f>
        <v>83333.333333333328</v>
      </c>
      <c r="E5" s="369"/>
    </row>
    <row r="6" spans="1:14">
      <c r="A6" s="127" t="s">
        <v>122</v>
      </c>
      <c r="B6" s="369">
        <f>B5*51</f>
        <v>12750000</v>
      </c>
      <c r="C6" s="369"/>
      <c r="D6" s="371">
        <f>51000000/12</f>
        <v>4250000</v>
      </c>
      <c r="E6" s="372"/>
    </row>
    <row r="7" spans="1:14">
      <c r="A7" s="127" t="s">
        <v>123</v>
      </c>
      <c r="B7" s="369">
        <f>B4-B6</f>
        <v>47704935.277798392</v>
      </c>
      <c r="C7" s="369"/>
      <c r="D7" s="369">
        <f>IF(D4-D6&lt;0,D4,D4-D6)</f>
        <v>5114728.4499999993</v>
      </c>
      <c r="E7" s="369"/>
    </row>
    <row r="8" spans="1:14">
      <c r="A8" s="125" t="s">
        <v>124</v>
      </c>
      <c r="B8" s="369">
        <f>B7*0.6</f>
        <v>28622961.166679036</v>
      </c>
      <c r="C8" s="369"/>
      <c r="D8" s="369">
        <f>D7*0.6</f>
        <v>3068837.0699999994</v>
      </c>
      <c r="E8" s="369"/>
    </row>
    <row r="9" spans="1:14">
      <c r="A9" s="125" t="s">
        <v>125</v>
      </c>
      <c r="B9" s="369">
        <f>B7*0.4</f>
        <v>19081974.111119356</v>
      </c>
      <c r="C9" s="369"/>
      <c r="D9" s="369">
        <f>D7*0.4</f>
        <v>2045891.38</v>
      </c>
      <c r="E9" s="369"/>
      <c r="I9" s="128" t="s">
        <v>96</v>
      </c>
      <c r="J9" s="128" t="s">
        <v>96</v>
      </c>
      <c r="K9" s="128" t="s">
        <v>96</v>
      </c>
    </row>
    <row r="10" spans="1:14" ht="13.5" thickBot="1">
      <c r="A10" s="129"/>
      <c r="B10" s="129"/>
      <c r="C10" s="129"/>
      <c r="D10" s="129"/>
      <c r="E10" s="129"/>
      <c r="I10" s="128" t="s">
        <v>96</v>
      </c>
      <c r="J10" s="128" t="s">
        <v>96</v>
      </c>
      <c r="K10" s="128" t="s">
        <v>96</v>
      </c>
    </row>
    <row r="11" spans="1:14" ht="58.5" customHeight="1" thickBot="1">
      <c r="A11" s="130" t="s">
        <v>0</v>
      </c>
      <c r="B11" s="130" t="s">
        <v>126</v>
      </c>
      <c r="C11" s="130" t="s">
        <v>127</v>
      </c>
      <c r="D11" s="130" t="s">
        <v>126</v>
      </c>
      <c r="E11" s="130" t="s">
        <v>127</v>
      </c>
      <c r="F11" s="131" t="s">
        <v>135</v>
      </c>
    </row>
    <row r="13" spans="1:14" ht="13.5" thickBot="1">
      <c r="A13" s="132" t="s">
        <v>128</v>
      </c>
      <c r="B13" s="132"/>
      <c r="D13" s="132"/>
      <c r="M13" s="120" t="s">
        <v>187</v>
      </c>
      <c r="N13" s="120" t="s">
        <v>188</v>
      </c>
    </row>
    <row r="14" spans="1:14">
      <c r="A14" s="133" t="s">
        <v>6</v>
      </c>
      <c r="B14" s="134">
        <f>$B$5</f>
        <v>250000</v>
      </c>
      <c r="C14" s="135">
        <f>$B$8*VLOOKUP(A14,'Datos Mun'!$A$5:$AL$55,32,FALSE)</f>
        <v>3835371.9473486533</v>
      </c>
      <c r="D14" s="134">
        <f>$D$5</f>
        <v>83333.333333333328</v>
      </c>
      <c r="E14" s="135">
        <f>$D$8*VLOOKUP(A14,'Datos Mun'!$A$5:$AL$55,32,FALSE)</f>
        <v>411212.92589963204</v>
      </c>
      <c r="F14" s="214">
        <f>SUM(B14:E14)</f>
        <v>4579918.2065816186</v>
      </c>
      <c r="H14" s="133" t="s">
        <v>6</v>
      </c>
      <c r="I14" s="120">
        <f>B14+C14</f>
        <v>4085371.9473486533</v>
      </c>
      <c r="J14" s="120">
        <f>D14+E14</f>
        <v>494546.25923296536</v>
      </c>
      <c r="L14" s="120" t="s">
        <v>1</v>
      </c>
      <c r="M14" s="120">
        <f>VLOOKUP(L14,$H$14:$J$67,2,FALSE)</f>
        <v>314100.66270329466</v>
      </c>
      <c r="N14" s="120">
        <f>VLOOKUP(L14,$H$14:$J$67,3,FALSE)</f>
        <v>90205.944757773905</v>
      </c>
    </row>
    <row r="15" spans="1:14">
      <c r="A15" s="136" t="s">
        <v>9</v>
      </c>
      <c r="B15" s="137">
        <f t="shared" ref="B15:B25" si="0">$B$5</f>
        <v>250000</v>
      </c>
      <c r="C15" s="138">
        <f>$B$8*VLOOKUP(A15,'Datos Mun'!$A$5:$AL$55,32,FALSE)</f>
        <v>714750.38680383412</v>
      </c>
      <c r="D15" s="137">
        <f t="shared" ref="D15:D25" si="1">$D$5</f>
        <v>83333.333333333328</v>
      </c>
      <c r="E15" s="138">
        <f>$D$8*VLOOKUP(A15,'Datos Mun'!$A$5:$AL$55,32,FALSE)</f>
        <v>76632.619177568442</v>
      </c>
      <c r="F15" s="215">
        <f t="shared" ref="F15:F25" si="2">SUM(B15:E15)</f>
        <v>1124716.339314736</v>
      </c>
      <c r="H15" s="136" t="s">
        <v>9</v>
      </c>
      <c r="I15" s="120">
        <f t="shared" ref="I15:I25" si="3">B15+C15</f>
        <v>964750.38680383412</v>
      </c>
      <c r="J15" s="120">
        <f t="shared" ref="J15:J67" si="4">D15+E15</f>
        <v>159965.95251090178</v>
      </c>
      <c r="L15" s="120" t="s">
        <v>2</v>
      </c>
      <c r="M15" s="120">
        <f t="shared" ref="M15:M64" si="5">VLOOKUP(L15,$H$14:$J$67,2,FALSE)</f>
        <v>322894.56666527997</v>
      </c>
      <c r="N15" s="120">
        <f t="shared" ref="N15:N64" si="6">VLOOKUP(L15,$H$14:$J$67,3,FALSE)</f>
        <v>91148.79124774423</v>
      </c>
    </row>
    <row r="16" spans="1:14">
      <c r="A16" s="136" t="s">
        <v>18</v>
      </c>
      <c r="B16" s="137">
        <f t="shared" si="0"/>
        <v>250000</v>
      </c>
      <c r="C16" s="138">
        <f>$B$8*VLOOKUP(A16,'Datos Mun'!$A$5:$AL$55,32,FALSE)</f>
        <v>2320658.7327661864</v>
      </c>
      <c r="D16" s="137">
        <f t="shared" si="1"/>
        <v>83333.333333333328</v>
      </c>
      <c r="E16" s="138">
        <f>$D$8*VLOOKUP(A16,'Datos Mun'!$A$5:$AL$55,32,FALSE)</f>
        <v>248811.55742274268</v>
      </c>
      <c r="F16" s="215">
        <f t="shared" si="2"/>
        <v>2902803.6235222626</v>
      </c>
      <c r="H16" s="136" t="s">
        <v>18</v>
      </c>
      <c r="I16" s="120">
        <f t="shared" si="3"/>
        <v>2570658.7327661864</v>
      </c>
      <c r="J16" s="120">
        <f t="shared" si="4"/>
        <v>332144.89075607603</v>
      </c>
      <c r="L16" s="120" t="s">
        <v>3</v>
      </c>
      <c r="M16" s="120">
        <f t="shared" si="5"/>
        <v>280326.03645714041</v>
      </c>
      <c r="N16" s="120">
        <f t="shared" si="6"/>
        <v>86584.767184775119</v>
      </c>
    </row>
    <row r="17" spans="1:14">
      <c r="A17" s="136" t="s">
        <v>20</v>
      </c>
      <c r="B17" s="137">
        <f t="shared" si="0"/>
        <v>250000</v>
      </c>
      <c r="C17" s="138">
        <f>$B$8*VLOOKUP(A17,'Datos Mun'!$A$5:$AL$55,32,FALSE)</f>
        <v>2811473.0448272675</v>
      </c>
      <c r="D17" s="137">
        <f t="shared" si="1"/>
        <v>83333.333333333328</v>
      </c>
      <c r="E17" s="138">
        <f>$D$8*VLOOKUP(A17,'Datos Mun'!$A$5:$AL$55,32,FALSE)</f>
        <v>301434.66467458941</v>
      </c>
      <c r="F17" s="215">
        <f t="shared" si="2"/>
        <v>3446241.0428351904</v>
      </c>
      <c r="H17" s="136" t="s">
        <v>20</v>
      </c>
      <c r="I17" s="120">
        <f t="shared" si="3"/>
        <v>3061473.0448272675</v>
      </c>
      <c r="J17" s="120">
        <f t="shared" si="4"/>
        <v>384767.99800792272</v>
      </c>
      <c r="L17" s="120" t="s">
        <v>4</v>
      </c>
      <c r="M17" s="120">
        <f t="shared" si="5"/>
        <v>1010608.0316531829</v>
      </c>
      <c r="N17" s="120">
        <f t="shared" si="6"/>
        <v>164882.62202098744</v>
      </c>
    </row>
    <row r="18" spans="1:14">
      <c r="A18" s="136" t="s">
        <v>25</v>
      </c>
      <c r="B18" s="137">
        <f t="shared" si="0"/>
        <v>250000</v>
      </c>
      <c r="C18" s="138">
        <f>$B$8*VLOOKUP(A18,'Datos Mun'!$A$5:$AL$55,32,FALSE)</f>
        <v>3757544.3898426341</v>
      </c>
      <c r="D18" s="137">
        <f t="shared" si="1"/>
        <v>83333.333333333328</v>
      </c>
      <c r="E18" s="138">
        <f>$D$8*VLOOKUP(A18,'Datos Mun'!$A$5:$AL$55,32,FALSE)</f>
        <v>402868.57284156798</v>
      </c>
      <c r="F18" s="215">
        <f t="shared" si="2"/>
        <v>4493746.296017536</v>
      </c>
      <c r="H18" s="136" t="s">
        <v>25</v>
      </c>
      <c r="I18" s="120">
        <f t="shared" si="3"/>
        <v>4007544.3898426341</v>
      </c>
      <c r="J18" s="120">
        <f t="shared" si="4"/>
        <v>486201.90617490129</v>
      </c>
      <c r="L18" s="120" t="s">
        <v>5</v>
      </c>
      <c r="M18" s="120">
        <f t="shared" si="5"/>
        <v>638612.9618494967</v>
      </c>
      <c r="N18" s="120">
        <f t="shared" si="6"/>
        <v>124998.82895628676</v>
      </c>
    </row>
    <row r="19" spans="1:14">
      <c r="A19" s="136" t="s">
        <v>31</v>
      </c>
      <c r="B19" s="137">
        <f t="shared" si="0"/>
        <v>250000</v>
      </c>
      <c r="C19" s="138">
        <f>$B$8*VLOOKUP(A19,'Datos Mun'!$A$5:$AL$55,32,FALSE)</f>
        <v>2754859.4998806925</v>
      </c>
      <c r="D19" s="137">
        <f t="shared" si="1"/>
        <v>83333.333333333328</v>
      </c>
      <c r="E19" s="138">
        <f>$D$8*VLOOKUP(A19,'Datos Mun'!$A$5:$AL$55,32,FALSE)</f>
        <v>295364.79145691491</v>
      </c>
      <c r="F19" s="215">
        <f t="shared" si="2"/>
        <v>3383557.6246709409</v>
      </c>
      <c r="H19" s="136" t="s">
        <v>31</v>
      </c>
      <c r="I19" s="120">
        <f t="shared" si="3"/>
        <v>3004859.4998806925</v>
      </c>
      <c r="J19" s="120">
        <f t="shared" si="4"/>
        <v>378698.12479024823</v>
      </c>
      <c r="L19" s="120" t="s">
        <v>6</v>
      </c>
      <c r="M19" s="120">
        <f t="shared" si="5"/>
        <v>4085371.9473486533</v>
      </c>
      <c r="N19" s="120">
        <f t="shared" si="6"/>
        <v>494546.25923296536</v>
      </c>
    </row>
    <row r="20" spans="1:14">
      <c r="A20" s="136" t="s">
        <v>39</v>
      </c>
      <c r="B20" s="137">
        <f t="shared" si="0"/>
        <v>250000</v>
      </c>
      <c r="C20" s="138">
        <f>$B$8*VLOOKUP(A20,'Datos Mun'!$A$5:$AL$55,32,FALSE)</f>
        <v>6677909.4110078029</v>
      </c>
      <c r="D20" s="137">
        <f t="shared" si="1"/>
        <v>83333.333333333328</v>
      </c>
      <c r="E20" s="138">
        <f>$D$8*VLOOKUP(A20,'Datos Mun'!$A$5:$AL$55,32,FALSE)</f>
        <v>715978.19077013223</v>
      </c>
      <c r="F20" s="215">
        <f t="shared" si="2"/>
        <v>7727220.9351112684</v>
      </c>
      <c r="H20" s="136" t="s">
        <v>39</v>
      </c>
      <c r="I20" s="120">
        <f t="shared" si="3"/>
        <v>6927909.4110078029</v>
      </c>
      <c r="J20" s="120">
        <f t="shared" si="4"/>
        <v>799311.52410346561</v>
      </c>
      <c r="L20" s="120" t="s">
        <v>7</v>
      </c>
      <c r="M20" s="120">
        <f t="shared" si="5"/>
        <v>573132.86323059653</v>
      </c>
      <c r="N20" s="120">
        <f t="shared" si="6"/>
        <v>117978.32004322339</v>
      </c>
    </row>
    <row r="21" spans="1:14">
      <c r="A21" s="136" t="s">
        <v>45</v>
      </c>
      <c r="B21" s="137">
        <f t="shared" si="0"/>
        <v>250000</v>
      </c>
      <c r="C21" s="138">
        <f>$B$8*VLOOKUP(A21,'Datos Mun'!$A$5:$AL$55,32,FALSE)</f>
        <v>506927.84735134488</v>
      </c>
      <c r="D21" s="137">
        <f t="shared" si="1"/>
        <v>83333.333333333328</v>
      </c>
      <c r="E21" s="138">
        <f>$D$8*VLOOKUP(A21,'Datos Mun'!$A$5:$AL$55,32,FALSE)</f>
        <v>54350.734737331331</v>
      </c>
      <c r="F21" s="215">
        <f t="shared" si="2"/>
        <v>894611.91542200954</v>
      </c>
      <c r="H21" s="136" t="s">
        <v>45</v>
      </c>
      <c r="I21" s="120">
        <f t="shared" si="3"/>
        <v>756927.84735134488</v>
      </c>
      <c r="J21" s="120">
        <f t="shared" si="4"/>
        <v>137684.06807066465</v>
      </c>
      <c r="L21" s="120" t="s">
        <v>8</v>
      </c>
      <c r="M21" s="120">
        <f t="shared" si="5"/>
        <v>328908.04510987282</v>
      </c>
      <c r="N21" s="120">
        <f t="shared" si="6"/>
        <v>91793.531862209231</v>
      </c>
    </row>
    <row r="22" spans="1:14">
      <c r="A22" s="136" t="s">
        <v>46</v>
      </c>
      <c r="B22" s="137">
        <f t="shared" si="0"/>
        <v>250000</v>
      </c>
      <c r="C22" s="138">
        <f>$B$8*VLOOKUP(A22,'Datos Mun'!$A$5:$AL$55,32,FALSE)</f>
        <v>2408260.7444203603</v>
      </c>
      <c r="D22" s="137">
        <f t="shared" si="1"/>
        <v>83333.333333333328</v>
      </c>
      <c r="E22" s="138">
        <f>$D$8*VLOOKUP(A22,'Datos Mun'!$A$5:$AL$55,32,FALSE)</f>
        <v>258203.88755956525</v>
      </c>
      <c r="F22" s="215">
        <f t="shared" si="2"/>
        <v>2999797.965313259</v>
      </c>
      <c r="H22" s="136" t="s">
        <v>46</v>
      </c>
      <c r="I22" s="120">
        <f t="shared" si="3"/>
        <v>2658260.7444203603</v>
      </c>
      <c r="J22" s="120">
        <f t="shared" si="4"/>
        <v>341537.22089289856</v>
      </c>
      <c r="L22" s="120" t="s">
        <v>9</v>
      </c>
      <c r="M22" s="120">
        <f t="shared" si="5"/>
        <v>964750.38680383412</v>
      </c>
      <c r="N22" s="120">
        <f t="shared" si="6"/>
        <v>159965.95251090178</v>
      </c>
    </row>
    <row r="23" spans="1:14">
      <c r="A23" s="136" t="s">
        <v>47</v>
      </c>
      <c r="B23" s="137">
        <f t="shared" si="0"/>
        <v>250000</v>
      </c>
      <c r="C23" s="138">
        <f>$B$8*VLOOKUP(A23,'Datos Mun'!$A$5:$AL$55,32,FALSE)</f>
        <v>772193.56264642719</v>
      </c>
      <c r="D23" s="137">
        <f t="shared" si="1"/>
        <v>83333.333333333328</v>
      </c>
      <c r="E23" s="138">
        <f>$D$8*VLOOKUP(A23,'Datos Mun'!$A$5:$AL$55,32,FALSE)</f>
        <v>82791.442033726868</v>
      </c>
      <c r="F23" s="215">
        <f t="shared" si="2"/>
        <v>1188318.3380134874</v>
      </c>
      <c r="H23" s="136" t="s">
        <v>47</v>
      </c>
      <c r="I23" s="120">
        <f t="shared" si="3"/>
        <v>1022193.5626464272</v>
      </c>
      <c r="J23" s="120">
        <f t="shared" si="4"/>
        <v>166124.77536706021</v>
      </c>
      <c r="L23" s="120" t="s">
        <v>10</v>
      </c>
      <c r="M23" s="120">
        <f t="shared" si="5"/>
        <v>2501886.0248536728</v>
      </c>
      <c r="N23" s="120">
        <f t="shared" si="6"/>
        <v>324771.36171352904</v>
      </c>
    </row>
    <row r="24" spans="1:14">
      <c r="A24" s="136" t="s">
        <v>48</v>
      </c>
      <c r="B24" s="137">
        <f t="shared" si="0"/>
        <v>250000</v>
      </c>
      <c r="C24" s="138">
        <f>$B$8*VLOOKUP(A24,'Datos Mun'!$A$5:$AL$55,32,FALSE)</f>
        <v>1789677.4319014205</v>
      </c>
      <c r="D24" s="137">
        <f t="shared" si="1"/>
        <v>83333.333333333328</v>
      </c>
      <c r="E24" s="138">
        <f>$D$8*VLOOKUP(A24,'Datos Mun'!$A$5:$AL$55,32,FALSE)</f>
        <v>191881.90957528073</v>
      </c>
      <c r="F24" s="215">
        <f t="shared" si="2"/>
        <v>2314892.6748100347</v>
      </c>
      <c r="H24" s="136" t="s">
        <v>48</v>
      </c>
      <c r="I24" s="120">
        <f t="shared" si="3"/>
        <v>2039677.4319014205</v>
      </c>
      <c r="J24" s="120">
        <f t="shared" si="4"/>
        <v>275215.24290861405</v>
      </c>
      <c r="L24" s="120" t="s">
        <v>191</v>
      </c>
      <c r="M24" s="120">
        <f t="shared" si="5"/>
        <v>408204.05657100974</v>
      </c>
      <c r="N24" s="120">
        <f t="shared" si="6"/>
        <v>100295.32655976029</v>
      </c>
    </row>
    <row r="25" spans="1:14">
      <c r="A25" s="136" t="s">
        <v>49</v>
      </c>
      <c r="B25" s="137">
        <f t="shared" si="0"/>
        <v>250000</v>
      </c>
      <c r="C25" s="139">
        <f>$B$8*VLOOKUP(A25,'Datos Mun'!$A$5:$AL$55,32,FALSE)</f>
        <v>273334.16788241151</v>
      </c>
      <c r="D25" s="137">
        <f t="shared" si="1"/>
        <v>83333.333333333328</v>
      </c>
      <c r="E25" s="139">
        <f>$D$8*VLOOKUP(A25,'Datos Mun'!$A$5:$AL$55,32,FALSE)</f>
        <v>29305.77385094748</v>
      </c>
      <c r="F25" s="216">
        <f t="shared" si="2"/>
        <v>635973.27506669238</v>
      </c>
      <c r="H25" s="136" t="s">
        <v>49</v>
      </c>
      <c r="I25" s="120">
        <f t="shared" si="3"/>
        <v>523334.16788241151</v>
      </c>
      <c r="J25" s="120">
        <f t="shared" si="4"/>
        <v>112639.10718428082</v>
      </c>
      <c r="L25" s="120" t="s">
        <v>12</v>
      </c>
      <c r="M25" s="120">
        <f t="shared" si="5"/>
        <v>464028.10378067126</v>
      </c>
      <c r="N25" s="120">
        <f t="shared" si="6"/>
        <v>106280.55305246409</v>
      </c>
    </row>
    <row r="26" spans="1:14" ht="13.5" thickBot="1">
      <c r="A26" s="140" t="s">
        <v>129</v>
      </c>
      <c r="B26" s="141">
        <f>SUM(B14:B25)</f>
        <v>3000000</v>
      </c>
      <c r="C26" s="142">
        <f>SUM(C14:C25)</f>
        <v>28622961.166679036</v>
      </c>
      <c r="D26" s="141">
        <f>SUM(D14:D25)</f>
        <v>1000000.0000000001</v>
      </c>
      <c r="E26" s="142">
        <f>SUM(E14:E25)</f>
        <v>3068837.0699999994</v>
      </c>
      <c r="F26" s="217">
        <f>SUM(F14:F25)</f>
        <v>35691798.236679047</v>
      </c>
      <c r="L26" s="120" t="s">
        <v>13</v>
      </c>
      <c r="M26" s="120">
        <f t="shared" si="5"/>
        <v>1731751.263908339</v>
      </c>
      <c r="N26" s="120">
        <f t="shared" si="6"/>
        <v>242200.65599507373</v>
      </c>
    </row>
    <row r="27" spans="1:14">
      <c r="A27" s="143"/>
      <c r="B27" s="143"/>
      <c r="C27" s="144"/>
      <c r="D27" s="143"/>
      <c r="E27" s="144"/>
      <c r="F27" s="145"/>
      <c r="L27" s="120" t="s">
        <v>14</v>
      </c>
      <c r="M27" s="120">
        <f t="shared" si="5"/>
        <v>1027829.4269120708</v>
      </c>
      <c r="N27" s="120">
        <f t="shared" si="6"/>
        <v>166729.02973051264</v>
      </c>
    </row>
    <row r="28" spans="1:14" ht="13.5" thickBot="1">
      <c r="A28" s="146" t="s">
        <v>130</v>
      </c>
      <c r="B28" s="146"/>
      <c r="C28" s="139"/>
      <c r="D28" s="146"/>
      <c r="E28" s="139"/>
      <c r="F28" s="147"/>
      <c r="L28" s="120" t="s">
        <v>15</v>
      </c>
      <c r="M28" s="120">
        <f t="shared" si="5"/>
        <v>279313.01320661762</v>
      </c>
      <c r="N28" s="120">
        <f t="shared" si="6"/>
        <v>86476.154966567759</v>
      </c>
    </row>
    <row r="29" spans="1:14">
      <c r="A29" s="148" t="s">
        <v>1</v>
      </c>
      <c r="B29" s="220">
        <f>$B$5</f>
        <v>250000</v>
      </c>
      <c r="C29" s="149">
        <f>$B$9*VLOOKUP(A29,'Datos Mun'!$A$5:$AL$55,34,FALSE)</f>
        <v>64100.662703294685</v>
      </c>
      <c r="D29" s="134">
        <f>$D$5</f>
        <v>83333.333333333328</v>
      </c>
      <c r="E29" s="149">
        <f>$D$9*VLOOKUP(A29,'Datos Mun'!$A$5:$AL$55,34,FALSE)</f>
        <v>6872.6114244405708</v>
      </c>
      <c r="F29" s="218">
        <f>SUM(B29:E29)</f>
        <v>404306.60746106855</v>
      </c>
      <c r="H29" s="148" t="s">
        <v>1</v>
      </c>
      <c r="I29" s="120">
        <f t="shared" ref="I29:I67" si="7">B29+C29</f>
        <v>314100.66270329466</v>
      </c>
      <c r="J29" s="120">
        <f t="shared" si="4"/>
        <v>90205.944757773905</v>
      </c>
      <c r="L29" s="120" t="s">
        <v>16</v>
      </c>
      <c r="M29" s="120">
        <f t="shared" si="5"/>
        <v>320178.80220643157</v>
      </c>
      <c r="N29" s="120">
        <f t="shared" si="6"/>
        <v>90857.618067018091</v>
      </c>
    </row>
    <row r="30" spans="1:14">
      <c r="A30" s="150" t="s">
        <v>2</v>
      </c>
      <c r="B30" s="221">
        <f t="shared" ref="B30:B67" si="8">$B$5</f>
        <v>250000</v>
      </c>
      <c r="C30" s="139">
        <f>$B$9*VLOOKUP(A30,'Datos Mun'!$A$5:$AL$55,34,FALSE)</f>
        <v>72894.56666527997</v>
      </c>
      <c r="D30" s="137">
        <f t="shared" ref="D30:D67" si="9">$D$5</f>
        <v>83333.333333333328</v>
      </c>
      <c r="E30" s="139">
        <f>$D$9*VLOOKUP(A30,'Datos Mun'!$A$5:$AL$55,34,FALSE)</f>
        <v>7815.4579144108975</v>
      </c>
      <c r="F30" s="216">
        <f t="shared" ref="F30:F67" si="10">ROUND(SUM(B30:E30),2)</f>
        <v>414043.36</v>
      </c>
      <c r="H30" s="150" t="s">
        <v>2</v>
      </c>
      <c r="I30" s="120">
        <f t="shared" si="7"/>
        <v>322894.56666527997</v>
      </c>
      <c r="J30" s="120">
        <f t="shared" si="4"/>
        <v>91148.79124774423</v>
      </c>
      <c r="L30" s="120" t="s">
        <v>17</v>
      </c>
      <c r="M30" s="120">
        <f t="shared" si="5"/>
        <v>1131610.425875206</v>
      </c>
      <c r="N30" s="120">
        <f t="shared" si="6"/>
        <v>177856.00485111837</v>
      </c>
    </row>
    <row r="31" spans="1:14">
      <c r="A31" s="150" t="s">
        <v>3</v>
      </c>
      <c r="B31" s="221">
        <f t="shared" si="8"/>
        <v>250000</v>
      </c>
      <c r="C31" s="139">
        <f>$B$9*VLOOKUP(A31,'Datos Mun'!$A$5:$AL$55,34,FALSE)</f>
        <v>30326.036457140428</v>
      </c>
      <c r="D31" s="137">
        <f t="shared" si="9"/>
        <v>83333.333333333328</v>
      </c>
      <c r="E31" s="139">
        <f>$D$9*VLOOKUP(A31,'Datos Mun'!$A$5:$AL$55,34,FALSE)</f>
        <v>3251.43385144179</v>
      </c>
      <c r="F31" s="216">
        <f t="shared" si="10"/>
        <v>366910.8</v>
      </c>
      <c r="H31" s="150" t="s">
        <v>3</v>
      </c>
      <c r="I31" s="120">
        <f t="shared" si="7"/>
        <v>280326.03645714041</v>
      </c>
      <c r="J31" s="120">
        <f t="shared" si="4"/>
        <v>86584.767184775119</v>
      </c>
      <c r="L31" s="120" t="s">
        <v>18</v>
      </c>
      <c r="M31" s="120">
        <f t="shared" si="5"/>
        <v>2570658.7327661864</v>
      </c>
      <c r="N31" s="120">
        <f t="shared" si="6"/>
        <v>332144.89075607603</v>
      </c>
    </row>
    <row r="32" spans="1:14">
      <c r="A32" s="150" t="s">
        <v>4</v>
      </c>
      <c r="B32" s="221">
        <f t="shared" si="8"/>
        <v>250000</v>
      </c>
      <c r="C32" s="139">
        <f>$B$9*VLOOKUP(A32,'Datos Mun'!$A$5:$AL$55,34,FALSE)</f>
        <v>760608.03165318293</v>
      </c>
      <c r="D32" s="137">
        <f t="shared" si="9"/>
        <v>83333.333333333328</v>
      </c>
      <c r="E32" s="139">
        <f>$D$9*VLOOKUP(A32,'Datos Mun'!$A$5:$AL$55,34,FALSE)</f>
        <v>81549.288687654102</v>
      </c>
      <c r="F32" s="216">
        <f t="shared" si="10"/>
        <v>1175490.6499999999</v>
      </c>
      <c r="H32" s="150" t="s">
        <v>4</v>
      </c>
      <c r="I32" s="120">
        <f t="shared" si="7"/>
        <v>1010608.0316531829</v>
      </c>
      <c r="J32" s="120">
        <f t="shared" si="4"/>
        <v>164882.62202098744</v>
      </c>
      <c r="L32" s="120" t="s">
        <v>19</v>
      </c>
      <c r="M32" s="120">
        <f t="shared" si="5"/>
        <v>368674.59611443867</v>
      </c>
      <c r="N32" s="120">
        <f t="shared" si="6"/>
        <v>96057.139151413285</v>
      </c>
    </row>
    <row r="33" spans="1:14">
      <c r="A33" s="150" t="s">
        <v>5</v>
      </c>
      <c r="B33" s="221">
        <f t="shared" si="8"/>
        <v>250000</v>
      </c>
      <c r="C33" s="139">
        <f>$B$9*VLOOKUP(A33,'Datos Mun'!$A$5:$AL$55,34,FALSE)</f>
        <v>388612.96184949676</v>
      </c>
      <c r="D33" s="137">
        <f t="shared" si="9"/>
        <v>83333.333333333328</v>
      </c>
      <c r="E33" s="139">
        <f>$D$9*VLOOKUP(A33,'Datos Mun'!$A$5:$AL$55,34,FALSE)</f>
        <v>41665.495622953429</v>
      </c>
      <c r="F33" s="216">
        <f t="shared" si="10"/>
        <v>763611.79</v>
      </c>
      <c r="H33" s="150" t="s">
        <v>5</v>
      </c>
      <c r="I33" s="120">
        <f t="shared" si="7"/>
        <v>638612.9618494967</v>
      </c>
      <c r="J33" s="120">
        <f t="shared" si="4"/>
        <v>124998.82895628676</v>
      </c>
      <c r="L33" s="120" t="s">
        <v>20</v>
      </c>
      <c r="M33" s="120">
        <f t="shared" si="5"/>
        <v>3061473.0448272675</v>
      </c>
      <c r="N33" s="120">
        <f t="shared" si="6"/>
        <v>384767.99800792272</v>
      </c>
    </row>
    <row r="34" spans="1:14">
      <c r="A34" s="150" t="s">
        <v>7</v>
      </c>
      <c r="B34" s="221">
        <f t="shared" si="8"/>
        <v>250000</v>
      </c>
      <c r="C34" s="139">
        <f>$B$9*VLOOKUP(A34,'Datos Mun'!$A$5:$AL$55,34,FALSE)</f>
        <v>323132.86323059653</v>
      </c>
      <c r="D34" s="137">
        <f t="shared" si="9"/>
        <v>83333.333333333328</v>
      </c>
      <c r="E34" s="139">
        <f>$D$9*VLOOKUP(A34,'Datos Mun'!$A$5:$AL$55,34,FALSE)</f>
        <v>34644.986709890065</v>
      </c>
      <c r="F34" s="216">
        <f t="shared" si="10"/>
        <v>691111.18</v>
      </c>
      <c r="H34" s="150" t="s">
        <v>7</v>
      </c>
      <c r="I34" s="120">
        <f t="shared" si="7"/>
        <v>573132.86323059653</v>
      </c>
      <c r="J34" s="120">
        <f t="shared" si="4"/>
        <v>117978.32004322339</v>
      </c>
      <c r="L34" s="120" t="s">
        <v>21</v>
      </c>
      <c r="M34" s="120">
        <f t="shared" si="5"/>
        <v>554100.95833247644</v>
      </c>
      <c r="N34" s="120">
        <f t="shared" si="6"/>
        <v>115937.79687988074</v>
      </c>
    </row>
    <row r="35" spans="1:14">
      <c r="A35" s="150" t="s">
        <v>8</v>
      </c>
      <c r="B35" s="221">
        <f t="shared" si="8"/>
        <v>250000</v>
      </c>
      <c r="C35" s="139">
        <f>$B$9*VLOOKUP(A35,'Datos Mun'!$A$5:$AL$55,34,FALSE)</f>
        <v>78908.045109872852</v>
      </c>
      <c r="D35" s="137">
        <f t="shared" si="9"/>
        <v>83333.333333333328</v>
      </c>
      <c r="E35" s="139">
        <f>$D$9*VLOOKUP(A35,'Datos Mun'!$A$5:$AL$55,34,FALSE)</f>
        <v>8460.1985288759006</v>
      </c>
      <c r="F35" s="216">
        <f t="shared" si="10"/>
        <v>420701.58</v>
      </c>
      <c r="H35" s="150" t="s">
        <v>8</v>
      </c>
      <c r="I35" s="120">
        <f t="shared" si="7"/>
        <v>328908.04510987282</v>
      </c>
      <c r="J35" s="120">
        <f t="shared" si="4"/>
        <v>91793.531862209231</v>
      </c>
      <c r="L35" s="120" t="s">
        <v>22</v>
      </c>
      <c r="M35" s="120">
        <f t="shared" si="5"/>
        <v>288969.06461585633</v>
      </c>
      <c r="N35" s="120">
        <f t="shared" si="6"/>
        <v>87511.437386927326</v>
      </c>
    </row>
    <row r="36" spans="1:14">
      <c r="A36" s="150" t="s">
        <v>10</v>
      </c>
      <c r="B36" s="221">
        <f t="shared" si="8"/>
        <v>250000</v>
      </c>
      <c r="C36" s="139">
        <f>$B$9*VLOOKUP(A36,'Datos Mun'!$A$5:$AL$55,34,FALSE)</f>
        <v>2251886.0248536728</v>
      </c>
      <c r="D36" s="137">
        <f t="shared" si="9"/>
        <v>83333.333333333328</v>
      </c>
      <c r="E36" s="139">
        <f>$D$9*VLOOKUP(A36,'Datos Mun'!$A$5:$AL$55,34,FALSE)</f>
        <v>241438.0283801957</v>
      </c>
      <c r="F36" s="216">
        <f t="shared" si="10"/>
        <v>2826657.39</v>
      </c>
      <c r="H36" s="150" t="s">
        <v>10</v>
      </c>
      <c r="I36" s="120">
        <f t="shared" si="7"/>
        <v>2501886.0248536728</v>
      </c>
      <c r="J36" s="120">
        <f t="shared" si="4"/>
        <v>324771.36171352904</v>
      </c>
      <c r="L36" s="120" t="s">
        <v>23</v>
      </c>
      <c r="M36" s="120">
        <f t="shared" si="5"/>
        <v>385400.25659115578</v>
      </c>
      <c r="N36" s="120">
        <f t="shared" si="6"/>
        <v>97850.396200964693</v>
      </c>
    </row>
    <row r="37" spans="1:14">
      <c r="A37" s="150" t="s">
        <v>191</v>
      </c>
      <c r="B37" s="221">
        <f t="shared" si="8"/>
        <v>250000</v>
      </c>
      <c r="C37" s="139">
        <f>$B$9*VLOOKUP(A37,'Datos Mun'!$A$5:$AL$55,34,FALSE)</f>
        <v>158204.05657100974</v>
      </c>
      <c r="D37" s="137">
        <f t="shared" si="9"/>
        <v>83333.333333333328</v>
      </c>
      <c r="E37" s="139">
        <f>$D$9*VLOOKUP(A37,'Datos Mun'!$A$5:$AL$55,34,FALSE)</f>
        <v>16961.993226426963</v>
      </c>
      <c r="F37" s="216">
        <f t="shared" si="10"/>
        <v>508499.38</v>
      </c>
      <c r="H37" s="150" t="s">
        <v>191</v>
      </c>
      <c r="I37" s="120">
        <f t="shared" si="7"/>
        <v>408204.05657100974</v>
      </c>
      <c r="J37" s="120">
        <f t="shared" si="4"/>
        <v>100295.32655976029</v>
      </c>
      <c r="L37" s="120" t="s">
        <v>24</v>
      </c>
      <c r="M37" s="120">
        <f t="shared" si="5"/>
        <v>2451687.4897373402</v>
      </c>
      <c r="N37" s="120">
        <f t="shared" si="6"/>
        <v>319389.27966661507</v>
      </c>
    </row>
    <row r="38" spans="1:14">
      <c r="A38" s="150" t="s">
        <v>12</v>
      </c>
      <c r="B38" s="221">
        <f t="shared" si="8"/>
        <v>250000</v>
      </c>
      <c r="C38" s="139">
        <f>$B$9*VLOOKUP(A38,'Datos Mun'!$A$5:$AL$55,34,FALSE)</f>
        <v>214028.10378067123</v>
      </c>
      <c r="D38" s="137">
        <f t="shared" si="9"/>
        <v>83333.333333333328</v>
      </c>
      <c r="E38" s="139">
        <f>$D$9*VLOOKUP(A38,'Datos Mun'!$A$5:$AL$55,34,FALSE)</f>
        <v>22947.219719130757</v>
      </c>
      <c r="F38" s="216">
        <f t="shared" si="10"/>
        <v>570308.66</v>
      </c>
      <c r="H38" s="150" t="s">
        <v>12</v>
      </c>
      <c r="I38" s="120">
        <f t="shared" si="7"/>
        <v>464028.10378067126</v>
      </c>
      <c r="J38" s="120">
        <f t="shared" si="4"/>
        <v>106280.55305246409</v>
      </c>
      <c r="L38" s="120" t="s">
        <v>25</v>
      </c>
      <c r="M38" s="120">
        <f t="shared" si="5"/>
        <v>4007544.3898426341</v>
      </c>
      <c r="N38" s="120">
        <f t="shared" si="6"/>
        <v>486201.90617490129</v>
      </c>
    </row>
    <row r="39" spans="1:14">
      <c r="A39" s="150" t="s">
        <v>13</v>
      </c>
      <c r="B39" s="221">
        <f t="shared" si="8"/>
        <v>250000</v>
      </c>
      <c r="C39" s="139">
        <f>$B$9*VLOOKUP(A39,'Datos Mun'!$A$5:$AL$55,34,FALSE)</f>
        <v>1481751.263908339</v>
      </c>
      <c r="D39" s="137">
        <f t="shared" si="9"/>
        <v>83333.333333333328</v>
      </c>
      <c r="E39" s="139">
        <f>$D$9*VLOOKUP(A39,'Datos Mun'!$A$5:$AL$55,34,FALSE)</f>
        <v>158867.32266174039</v>
      </c>
      <c r="F39" s="216">
        <f t="shared" si="10"/>
        <v>1973951.92</v>
      </c>
      <c r="H39" s="150" t="s">
        <v>13</v>
      </c>
      <c r="I39" s="120">
        <f t="shared" si="7"/>
        <v>1731751.263908339</v>
      </c>
      <c r="J39" s="120">
        <f t="shared" si="4"/>
        <v>242200.65599507373</v>
      </c>
      <c r="L39" s="120" t="s">
        <v>26</v>
      </c>
      <c r="M39" s="120">
        <f t="shared" si="5"/>
        <v>292223.67122923816</v>
      </c>
      <c r="N39" s="120">
        <f t="shared" si="6"/>
        <v>87860.383024146737</v>
      </c>
    </row>
    <row r="40" spans="1:14">
      <c r="A40" s="150" t="s">
        <v>14</v>
      </c>
      <c r="B40" s="221">
        <f t="shared" si="8"/>
        <v>250000</v>
      </c>
      <c r="C40" s="139">
        <f>$B$9*VLOOKUP(A40,'Datos Mun'!$A$5:$AL$55,34,FALSE)</f>
        <v>777829.42691207083</v>
      </c>
      <c r="D40" s="137">
        <f t="shared" si="9"/>
        <v>83333.333333333328</v>
      </c>
      <c r="E40" s="139">
        <f>$D$9*VLOOKUP(A40,'Datos Mun'!$A$5:$AL$55,34,FALSE)</f>
        <v>83395.69639717933</v>
      </c>
      <c r="F40" s="216">
        <f t="shared" si="10"/>
        <v>1194558.46</v>
      </c>
      <c r="H40" s="150" t="s">
        <v>14</v>
      </c>
      <c r="I40" s="120">
        <f t="shared" si="7"/>
        <v>1027829.4269120708</v>
      </c>
      <c r="J40" s="120">
        <f t="shared" si="4"/>
        <v>166729.02973051264</v>
      </c>
      <c r="L40" s="120" t="s">
        <v>27</v>
      </c>
      <c r="M40" s="120">
        <f t="shared" si="5"/>
        <v>596712.59591297864</v>
      </c>
      <c r="N40" s="120">
        <f t="shared" si="6"/>
        <v>120506.44273936932</v>
      </c>
    </row>
    <row r="41" spans="1:14">
      <c r="A41" s="150" t="s">
        <v>15</v>
      </c>
      <c r="B41" s="221">
        <f t="shared" si="8"/>
        <v>250000</v>
      </c>
      <c r="C41" s="139">
        <f>$B$9*VLOOKUP(A41,'Datos Mun'!$A$5:$AL$55,34,FALSE)</f>
        <v>29313.013206617612</v>
      </c>
      <c r="D41" s="137">
        <f t="shared" si="9"/>
        <v>83333.333333333328</v>
      </c>
      <c r="E41" s="139">
        <f>$D$9*VLOOKUP(A41,'Datos Mun'!$A$5:$AL$55,34,FALSE)</f>
        <v>3142.8216332344241</v>
      </c>
      <c r="F41" s="216">
        <f t="shared" si="10"/>
        <v>365789.17</v>
      </c>
      <c r="H41" s="150" t="s">
        <v>15</v>
      </c>
      <c r="I41" s="120">
        <f t="shared" si="7"/>
        <v>279313.01320661762</v>
      </c>
      <c r="J41" s="120">
        <f t="shared" si="4"/>
        <v>86476.154966567759</v>
      </c>
      <c r="L41" s="120" t="s">
        <v>28</v>
      </c>
      <c r="M41" s="120">
        <f t="shared" si="5"/>
        <v>279873.40904733236</v>
      </c>
      <c r="N41" s="120">
        <f t="shared" si="6"/>
        <v>86536.238321320765</v>
      </c>
    </row>
    <row r="42" spans="1:14">
      <c r="A42" s="150" t="s">
        <v>16</v>
      </c>
      <c r="B42" s="221">
        <f t="shared" si="8"/>
        <v>250000</v>
      </c>
      <c r="C42" s="139">
        <f>$B$9*VLOOKUP(A42,'Datos Mun'!$A$5:$AL$55,34,FALSE)</f>
        <v>70178.802206431574</v>
      </c>
      <c r="D42" s="137">
        <f t="shared" si="9"/>
        <v>83333.333333333328</v>
      </c>
      <c r="E42" s="139">
        <f>$D$9*VLOOKUP(A42,'Datos Mun'!$A$5:$AL$55,34,FALSE)</f>
        <v>7524.2847336847681</v>
      </c>
      <c r="F42" s="216">
        <f t="shared" si="10"/>
        <v>411036.42</v>
      </c>
      <c r="H42" s="150" t="s">
        <v>16</v>
      </c>
      <c r="I42" s="120">
        <f t="shared" si="7"/>
        <v>320178.80220643157</v>
      </c>
      <c r="J42" s="120">
        <f t="shared" si="4"/>
        <v>90857.618067018091</v>
      </c>
      <c r="L42" s="120" t="s">
        <v>29</v>
      </c>
      <c r="M42" s="120">
        <f t="shared" si="5"/>
        <v>401436.19911007013</v>
      </c>
      <c r="N42" s="120">
        <f t="shared" si="6"/>
        <v>99569.704506204696</v>
      </c>
    </row>
    <row r="43" spans="1:14">
      <c r="A43" s="150" t="s">
        <v>17</v>
      </c>
      <c r="B43" s="221">
        <f t="shared" si="8"/>
        <v>250000</v>
      </c>
      <c r="C43" s="139">
        <f>$B$9*VLOOKUP(A43,'Datos Mun'!$A$5:$AL$55,34,FALSE)</f>
        <v>881610.42587520601</v>
      </c>
      <c r="D43" s="137">
        <f t="shared" si="9"/>
        <v>83333.333333333328</v>
      </c>
      <c r="E43" s="139">
        <f>$D$9*VLOOKUP(A43,'Datos Mun'!$A$5:$AL$55,34,FALSE)</f>
        <v>94522.671517785027</v>
      </c>
      <c r="F43" s="216">
        <f t="shared" si="10"/>
        <v>1309466.43</v>
      </c>
      <c r="H43" s="150" t="s">
        <v>17</v>
      </c>
      <c r="I43" s="120">
        <f t="shared" si="7"/>
        <v>1131610.425875206</v>
      </c>
      <c r="J43" s="120">
        <f t="shared" si="4"/>
        <v>177856.00485111837</v>
      </c>
      <c r="L43" s="120" t="s">
        <v>30</v>
      </c>
      <c r="M43" s="120">
        <f t="shared" si="5"/>
        <v>321084.05702604773</v>
      </c>
      <c r="N43" s="120">
        <f t="shared" si="6"/>
        <v>90954.675793926814</v>
      </c>
    </row>
    <row r="44" spans="1:14">
      <c r="A44" s="150" t="s">
        <v>19</v>
      </c>
      <c r="B44" s="221">
        <f t="shared" si="8"/>
        <v>250000</v>
      </c>
      <c r="C44" s="139">
        <f>$B$9*VLOOKUP(A44,'Datos Mun'!$A$5:$AL$55,34,FALSE)</f>
        <v>118674.59611443865</v>
      </c>
      <c r="D44" s="137">
        <f t="shared" si="9"/>
        <v>83333.333333333328</v>
      </c>
      <c r="E44" s="139">
        <f>$D$9*VLOOKUP(A44,'Datos Mun'!$A$5:$AL$55,34,FALSE)</f>
        <v>12723.805818079954</v>
      </c>
      <c r="F44" s="216">
        <f t="shared" si="10"/>
        <v>464731.74</v>
      </c>
      <c r="H44" s="150" t="s">
        <v>19</v>
      </c>
      <c r="I44" s="120">
        <f t="shared" si="7"/>
        <v>368674.59611443867</v>
      </c>
      <c r="J44" s="120">
        <f t="shared" si="4"/>
        <v>96057.139151413285</v>
      </c>
      <c r="L44" s="120" t="s">
        <v>31</v>
      </c>
      <c r="M44" s="120">
        <f t="shared" si="5"/>
        <v>3004859.4998806925</v>
      </c>
      <c r="N44" s="120">
        <f t="shared" si="6"/>
        <v>378698.12479024823</v>
      </c>
    </row>
    <row r="45" spans="1:14">
      <c r="A45" s="150" t="s">
        <v>21</v>
      </c>
      <c r="B45" s="221">
        <f t="shared" si="8"/>
        <v>250000</v>
      </c>
      <c r="C45" s="139">
        <f>$B$9*VLOOKUP(A45,'Datos Mun'!$A$5:$AL$55,34,FALSE)</f>
        <v>304100.95833247638</v>
      </c>
      <c r="D45" s="137">
        <f t="shared" si="9"/>
        <v>83333.333333333328</v>
      </c>
      <c r="E45" s="139">
        <f>$D$9*VLOOKUP(A45,'Datos Mun'!$A$5:$AL$55,34,FALSE)</f>
        <v>32604.463546547417</v>
      </c>
      <c r="F45" s="216">
        <f t="shared" si="10"/>
        <v>670038.76</v>
      </c>
      <c r="H45" s="150" t="s">
        <v>21</v>
      </c>
      <c r="I45" s="120">
        <f t="shared" si="7"/>
        <v>554100.95833247644</v>
      </c>
      <c r="J45" s="120">
        <f t="shared" si="4"/>
        <v>115937.79687988074</v>
      </c>
      <c r="L45" s="120" t="s">
        <v>32</v>
      </c>
      <c r="M45" s="120">
        <f t="shared" si="5"/>
        <v>365333.77475633152</v>
      </c>
      <c r="N45" s="120">
        <f t="shared" si="6"/>
        <v>95698.949921154941</v>
      </c>
    </row>
    <row r="46" spans="1:14">
      <c r="A46" s="150" t="s">
        <v>22</v>
      </c>
      <c r="B46" s="221">
        <f t="shared" si="8"/>
        <v>250000</v>
      </c>
      <c r="C46" s="139">
        <f>$B$9*VLOOKUP(A46,'Datos Mun'!$A$5:$AL$55,34,FALSE)</f>
        <v>38969.064615856354</v>
      </c>
      <c r="D46" s="137">
        <f t="shared" si="9"/>
        <v>83333.333333333328</v>
      </c>
      <c r="E46" s="139">
        <f>$D$9*VLOOKUP(A46,'Datos Mun'!$A$5:$AL$55,34,FALSE)</f>
        <v>4178.1040535939992</v>
      </c>
      <c r="F46" s="216">
        <f t="shared" si="10"/>
        <v>376480.5</v>
      </c>
      <c r="H46" s="150" t="s">
        <v>22</v>
      </c>
      <c r="I46" s="120">
        <f t="shared" si="7"/>
        <v>288969.06461585633</v>
      </c>
      <c r="J46" s="120">
        <f t="shared" si="4"/>
        <v>87511.437386927326</v>
      </c>
      <c r="L46" s="120" t="s">
        <v>33</v>
      </c>
      <c r="M46" s="120">
        <f t="shared" si="5"/>
        <v>2074864.3942290344</v>
      </c>
      <c r="N46" s="120">
        <f t="shared" si="6"/>
        <v>278987.84539173462</v>
      </c>
    </row>
    <row r="47" spans="1:14">
      <c r="A47" s="150" t="s">
        <v>23</v>
      </c>
      <c r="B47" s="221">
        <f t="shared" si="8"/>
        <v>250000</v>
      </c>
      <c r="C47" s="139">
        <f>$B$9*VLOOKUP(A47,'Datos Mun'!$A$5:$AL$55,34,FALSE)</f>
        <v>135400.25659115578</v>
      </c>
      <c r="D47" s="137">
        <f t="shared" si="9"/>
        <v>83333.333333333328</v>
      </c>
      <c r="E47" s="139">
        <f>$D$9*VLOOKUP(A47,'Datos Mun'!$A$5:$AL$55,34,FALSE)</f>
        <v>14517.062867631361</v>
      </c>
      <c r="F47" s="216">
        <f t="shared" si="10"/>
        <v>483250.65</v>
      </c>
      <c r="H47" s="150" t="s">
        <v>23</v>
      </c>
      <c r="I47" s="120">
        <f t="shared" si="7"/>
        <v>385400.25659115578</v>
      </c>
      <c r="J47" s="120">
        <f t="shared" si="4"/>
        <v>97850.396200964693</v>
      </c>
      <c r="L47" s="120" t="s">
        <v>34</v>
      </c>
      <c r="M47" s="120">
        <f t="shared" si="5"/>
        <v>360333.31956226146</v>
      </c>
      <c r="N47" s="120">
        <f t="shared" si="6"/>
        <v>95162.821524897314</v>
      </c>
    </row>
    <row r="48" spans="1:14">
      <c r="A48" s="150" t="s">
        <v>24</v>
      </c>
      <c r="B48" s="221">
        <f t="shared" si="8"/>
        <v>250000</v>
      </c>
      <c r="C48" s="139">
        <f>$B$9*VLOOKUP(A48,'Datos Mun'!$A$5:$AL$55,34,FALSE)</f>
        <v>2201687.4897373402</v>
      </c>
      <c r="D48" s="137">
        <f t="shared" si="9"/>
        <v>83333.333333333328</v>
      </c>
      <c r="E48" s="139">
        <f>$D$9*VLOOKUP(A48,'Datos Mun'!$A$5:$AL$55,34,FALSE)</f>
        <v>236055.94633328175</v>
      </c>
      <c r="F48" s="216">
        <f t="shared" si="10"/>
        <v>2771076.77</v>
      </c>
      <c r="H48" s="150" t="s">
        <v>24</v>
      </c>
      <c r="I48" s="120">
        <f t="shared" si="7"/>
        <v>2451687.4897373402</v>
      </c>
      <c r="J48" s="120">
        <f t="shared" si="4"/>
        <v>319389.27966661507</v>
      </c>
      <c r="L48" s="120" t="s">
        <v>35</v>
      </c>
      <c r="M48" s="120">
        <f t="shared" si="5"/>
        <v>281964.11660692201</v>
      </c>
      <c r="N48" s="120">
        <f t="shared" si="6"/>
        <v>86760.395452514684</v>
      </c>
    </row>
    <row r="49" spans="1:14">
      <c r="A49" s="150" t="s">
        <v>26</v>
      </c>
      <c r="B49" s="221">
        <f t="shared" si="8"/>
        <v>250000</v>
      </c>
      <c r="C49" s="139">
        <f>$B$9*VLOOKUP(A49,'Datos Mun'!$A$5:$AL$55,34,FALSE)</f>
        <v>42223.671229238164</v>
      </c>
      <c r="D49" s="137">
        <f t="shared" si="9"/>
        <v>83333.333333333328</v>
      </c>
      <c r="E49" s="139">
        <f>$D$9*VLOOKUP(A49,'Datos Mun'!$A$5:$AL$55,34,FALSE)</f>
        <v>4527.0496908134091</v>
      </c>
      <c r="F49" s="216">
        <f t="shared" si="10"/>
        <v>380084.05</v>
      </c>
      <c r="H49" s="150" t="s">
        <v>26</v>
      </c>
      <c r="I49" s="120">
        <f t="shared" si="7"/>
        <v>292223.67122923816</v>
      </c>
      <c r="J49" s="120">
        <f t="shared" si="4"/>
        <v>87860.383024146737</v>
      </c>
      <c r="L49" s="120" t="s">
        <v>36</v>
      </c>
      <c r="M49" s="120">
        <f t="shared" si="5"/>
        <v>414928.80665958673</v>
      </c>
      <c r="N49" s="120">
        <f t="shared" si="6"/>
        <v>101016.32681679643</v>
      </c>
    </row>
    <row r="50" spans="1:14">
      <c r="A50" s="150" t="s">
        <v>27</v>
      </c>
      <c r="B50" s="221">
        <f t="shared" si="8"/>
        <v>250000</v>
      </c>
      <c r="C50" s="139">
        <f>$B$9*VLOOKUP(A50,'Datos Mun'!$A$5:$AL$55,34,FALSE)</f>
        <v>346712.59591297864</v>
      </c>
      <c r="D50" s="137">
        <f t="shared" si="9"/>
        <v>83333.333333333328</v>
      </c>
      <c r="E50" s="139">
        <f>$D$9*VLOOKUP(A50,'Datos Mun'!$A$5:$AL$55,34,FALSE)</f>
        <v>37173.10940603599</v>
      </c>
      <c r="F50" s="216">
        <f t="shared" si="10"/>
        <v>717219.04</v>
      </c>
      <c r="H50" s="150" t="s">
        <v>27</v>
      </c>
      <c r="I50" s="120">
        <f t="shared" si="7"/>
        <v>596712.59591297864</v>
      </c>
      <c r="J50" s="120">
        <f t="shared" si="4"/>
        <v>120506.44273936932</v>
      </c>
      <c r="L50" s="120" t="s">
        <v>37</v>
      </c>
      <c r="M50" s="120">
        <f t="shared" si="5"/>
        <v>380356.69402472302</v>
      </c>
      <c r="N50" s="120">
        <f t="shared" si="6"/>
        <v>97309.646008187585</v>
      </c>
    </row>
    <row r="51" spans="1:14">
      <c r="A51" s="150" t="s">
        <v>28</v>
      </c>
      <c r="B51" s="221">
        <f t="shared" si="8"/>
        <v>250000</v>
      </c>
      <c r="C51" s="139">
        <f>$B$9*VLOOKUP(A51,'Datos Mun'!$A$5:$AL$55,34,FALSE)</f>
        <v>29873.409047332359</v>
      </c>
      <c r="D51" s="137">
        <f t="shared" si="9"/>
        <v>83333.333333333328</v>
      </c>
      <c r="E51" s="139">
        <f>$D$9*VLOOKUP(A51,'Datos Mun'!$A$5:$AL$55,34,FALSE)</f>
        <v>3202.9049879874347</v>
      </c>
      <c r="F51" s="216">
        <f t="shared" si="10"/>
        <v>366409.65</v>
      </c>
      <c r="H51" s="150" t="s">
        <v>28</v>
      </c>
      <c r="I51" s="120">
        <f t="shared" si="7"/>
        <v>279873.40904733236</v>
      </c>
      <c r="J51" s="120">
        <f t="shared" si="4"/>
        <v>86536.238321320765</v>
      </c>
      <c r="L51" s="120" t="s">
        <v>38</v>
      </c>
      <c r="M51" s="120">
        <f t="shared" si="5"/>
        <v>1703321.9518351562</v>
      </c>
      <c r="N51" s="120">
        <f t="shared" si="6"/>
        <v>239152.5811904883</v>
      </c>
    </row>
    <row r="52" spans="1:14">
      <c r="A52" s="150" t="s">
        <v>29</v>
      </c>
      <c r="B52" s="221">
        <f t="shared" si="8"/>
        <v>250000</v>
      </c>
      <c r="C52" s="139">
        <f>$B$9*VLOOKUP(A52,'Datos Mun'!$A$5:$AL$55,34,FALSE)</f>
        <v>151436.1991100701</v>
      </c>
      <c r="D52" s="137">
        <f t="shared" si="9"/>
        <v>83333.333333333328</v>
      </c>
      <c r="E52" s="139">
        <f>$D$9*VLOOKUP(A52,'Datos Mun'!$A$5:$AL$55,34,FALSE)</f>
        <v>16236.371172871368</v>
      </c>
      <c r="F52" s="216">
        <f t="shared" si="10"/>
        <v>501005.9</v>
      </c>
      <c r="H52" s="150" t="s">
        <v>29</v>
      </c>
      <c r="I52" s="120">
        <f t="shared" si="7"/>
        <v>401436.19911007013</v>
      </c>
      <c r="J52" s="120">
        <f t="shared" si="4"/>
        <v>99569.704506204696</v>
      </c>
      <c r="L52" s="120" t="s">
        <v>39</v>
      </c>
      <c r="M52" s="120">
        <f t="shared" si="5"/>
        <v>6927909.4110078029</v>
      </c>
      <c r="N52" s="120">
        <f t="shared" si="6"/>
        <v>799311.52410346561</v>
      </c>
    </row>
    <row r="53" spans="1:14">
      <c r="A53" s="150" t="s">
        <v>30</v>
      </c>
      <c r="B53" s="221">
        <f t="shared" si="8"/>
        <v>250000</v>
      </c>
      <c r="C53" s="139">
        <f>$B$9*VLOOKUP(A53,'Datos Mun'!$A$5:$AL$55,34,FALSE)</f>
        <v>71084.057026047711</v>
      </c>
      <c r="D53" s="137">
        <f t="shared" si="9"/>
        <v>83333.333333333328</v>
      </c>
      <c r="E53" s="139">
        <f>$D$9*VLOOKUP(A53,'Datos Mun'!$A$5:$AL$55,34,FALSE)</f>
        <v>7621.3424605934779</v>
      </c>
      <c r="F53" s="216">
        <f t="shared" si="10"/>
        <v>412038.73</v>
      </c>
      <c r="H53" s="150" t="s">
        <v>30</v>
      </c>
      <c r="I53" s="120">
        <f t="shared" si="7"/>
        <v>321084.05702604773</v>
      </c>
      <c r="J53" s="120">
        <f t="shared" si="4"/>
        <v>90954.675793926814</v>
      </c>
      <c r="L53" s="120" t="s">
        <v>40</v>
      </c>
      <c r="M53" s="120">
        <f t="shared" si="5"/>
        <v>269527.63968029083</v>
      </c>
      <c r="N53" s="120">
        <f t="shared" si="6"/>
        <v>85427.007156649794</v>
      </c>
    </row>
    <row r="54" spans="1:14">
      <c r="A54" s="150" t="s">
        <v>32</v>
      </c>
      <c r="B54" s="221">
        <f t="shared" si="8"/>
        <v>250000</v>
      </c>
      <c r="C54" s="139">
        <f>$B$9*VLOOKUP(A54,'Datos Mun'!$A$5:$AL$55,34,FALSE)</f>
        <v>115333.77475633151</v>
      </c>
      <c r="D54" s="137">
        <f t="shared" si="9"/>
        <v>83333.333333333328</v>
      </c>
      <c r="E54" s="139">
        <f>$D$9*VLOOKUP(A54,'Datos Mun'!$A$5:$AL$55,34,FALSE)</f>
        <v>12365.61658782162</v>
      </c>
      <c r="F54" s="216">
        <f t="shared" si="10"/>
        <v>461032.72</v>
      </c>
      <c r="H54" s="150" t="s">
        <v>32</v>
      </c>
      <c r="I54" s="120">
        <f t="shared" si="7"/>
        <v>365333.77475633152</v>
      </c>
      <c r="J54" s="120">
        <f t="shared" si="4"/>
        <v>95698.949921154941</v>
      </c>
      <c r="L54" s="120" t="s">
        <v>41</v>
      </c>
      <c r="M54" s="120">
        <f t="shared" si="5"/>
        <v>3431841.3688336168</v>
      </c>
      <c r="N54" s="120">
        <f t="shared" si="6"/>
        <v>424477.3780278911</v>
      </c>
    </row>
    <row r="55" spans="1:14">
      <c r="A55" s="150" t="s">
        <v>33</v>
      </c>
      <c r="B55" s="221">
        <f t="shared" si="8"/>
        <v>250000</v>
      </c>
      <c r="C55" s="139">
        <f>$B$9*VLOOKUP(A55,'Datos Mun'!$A$5:$AL$55,34,FALSE)</f>
        <v>1824864.3942290344</v>
      </c>
      <c r="D55" s="137">
        <f t="shared" si="9"/>
        <v>83333.333333333328</v>
      </c>
      <c r="E55" s="139">
        <f>$D$9*VLOOKUP(A55,'Datos Mun'!$A$5:$AL$55,34,FALSE)</f>
        <v>195654.51205840128</v>
      </c>
      <c r="F55" s="216">
        <f t="shared" si="10"/>
        <v>2353852.2400000002</v>
      </c>
      <c r="H55" s="150" t="s">
        <v>33</v>
      </c>
      <c r="I55" s="120">
        <f t="shared" si="7"/>
        <v>2074864.3942290344</v>
      </c>
      <c r="J55" s="120">
        <f t="shared" si="4"/>
        <v>278987.84539173462</v>
      </c>
      <c r="L55" s="120" t="s">
        <v>42</v>
      </c>
      <c r="M55" s="120">
        <f t="shared" si="5"/>
        <v>366152.81483122229</v>
      </c>
      <c r="N55" s="120">
        <f t="shared" si="6"/>
        <v>95786.764055024731</v>
      </c>
    </row>
    <row r="56" spans="1:14">
      <c r="A56" s="150" t="s">
        <v>34</v>
      </c>
      <c r="B56" s="221">
        <f t="shared" si="8"/>
        <v>250000</v>
      </c>
      <c r="C56" s="139">
        <f>$B$9*VLOOKUP(A56,'Datos Mun'!$A$5:$AL$55,34,FALSE)</f>
        <v>110333.31956226143</v>
      </c>
      <c r="D56" s="137">
        <f t="shared" si="9"/>
        <v>83333.333333333328</v>
      </c>
      <c r="E56" s="139">
        <f>$D$9*VLOOKUP(A56,'Datos Mun'!$A$5:$AL$55,34,FALSE)</f>
        <v>11829.488191563982</v>
      </c>
      <c r="F56" s="216">
        <f t="shared" si="10"/>
        <v>455496.14</v>
      </c>
      <c r="H56" s="150" t="s">
        <v>34</v>
      </c>
      <c r="I56" s="120">
        <f t="shared" si="7"/>
        <v>360333.31956226146</v>
      </c>
      <c r="J56" s="120">
        <f t="shared" si="4"/>
        <v>95162.821524897314</v>
      </c>
      <c r="L56" s="120" t="s">
        <v>43</v>
      </c>
      <c r="M56" s="120">
        <f t="shared" si="5"/>
        <v>301233.11205303681</v>
      </c>
      <c r="N56" s="120">
        <f t="shared" si="6"/>
        <v>88826.338496714379</v>
      </c>
    </row>
    <row r="57" spans="1:14">
      <c r="A57" s="150" t="s">
        <v>35</v>
      </c>
      <c r="B57" s="221">
        <f t="shared" si="8"/>
        <v>250000</v>
      </c>
      <c r="C57" s="139">
        <f>$B$9*VLOOKUP(A57,'Datos Mun'!$A$5:$AL$55,34,FALSE)</f>
        <v>31964.116606922002</v>
      </c>
      <c r="D57" s="137">
        <f t="shared" si="9"/>
        <v>83333.333333333328</v>
      </c>
      <c r="E57" s="139">
        <f>$D$9*VLOOKUP(A57,'Datos Mun'!$A$5:$AL$55,34,FALSE)</f>
        <v>3427.0621191813611</v>
      </c>
      <c r="F57" s="216">
        <f t="shared" si="10"/>
        <v>368724.51</v>
      </c>
      <c r="H57" s="150" t="s">
        <v>35</v>
      </c>
      <c r="I57" s="120">
        <f t="shared" si="7"/>
        <v>281964.11660692201</v>
      </c>
      <c r="J57" s="120">
        <f t="shared" si="4"/>
        <v>86760.395452514684</v>
      </c>
      <c r="L57" s="120" t="s">
        <v>44</v>
      </c>
      <c r="M57" s="120">
        <f t="shared" si="5"/>
        <v>998106.89366800792</v>
      </c>
      <c r="N57" s="120">
        <f t="shared" si="6"/>
        <v>163542.30103034334</v>
      </c>
    </row>
    <row r="58" spans="1:14">
      <c r="A58" s="150" t="s">
        <v>36</v>
      </c>
      <c r="B58" s="221">
        <f t="shared" si="8"/>
        <v>250000</v>
      </c>
      <c r="C58" s="139">
        <f>$B$9*VLOOKUP(A58,'Datos Mun'!$A$5:$AL$55,34,FALSE)</f>
        <v>164928.80665958673</v>
      </c>
      <c r="D58" s="137">
        <f t="shared" si="9"/>
        <v>83333.333333333328</v>
      </c>
      <c r="E58" s="139">
        <f>$D$9*VLOOKUP(A58,'Datos Mun'!$A$5:$AL$55,34,FALSE)</f>
        <v>17682.993483463095</v>
      </c>
      <c r="F58" s="216">
        <f t="shared" si="10"/>
        <v>515945.13</v>
      </c>
      <c r="H58" s="150" t="s">
        <v>36</v>
      </c>
      <c r="I58" s="120">
        <f t="shared" si="7"/>
        <v>414928.80665958673</v>
      </c>
      <c r="J58" s="120">
        <f t="shared" si="4"/>
        <v>101016.32681679643</v>
      </c>
      <c r="L58" s="120" t="s">
        <v>45</v>
      </c>
      <c r="M58" s="120">
        <f t="shared" si="5"/>
        <v>756927.84735134488</v>
      </c>
      <c r="N58" s="120">
        <f t="shared" si="6"/>
        <v>137684.06807066465</v>
      </c>
    </row>
    <row r="59" spans="1:14">
      <c r="A59" s="150" t="s">
        <v>37</v>
      </c>
      <c r="B59" s="221">
        <f t="shared" si="8"/>
        <v>250000</v>
      </c>
      <c r="C59" s="139">
        <f>$B$9*VLOOKUP(A59,'Datos Mun'!$A$5:$AL$55,34,FALSE)</f>
        <v>130356.69402472302</v>
      </c>
      <c r="D59" s="137">
        <f t="shared" si="9"/>
        <v>83333.333333333328</v>
      </c>
      <c r="E59" s="139">
        <f>$D$9*VLOOKUP(A59,'Datos Mun'!$A$5:$AL$55,34,FALSE)</f>
        <v>13976.312674854262</v>
      </c>
      <c r="F59" s="216">
        <f t="shared" si="10"/>
        <v>477666.34</v>
      </c>
      <c r="H59" s="150" t="s">
        <v>37</v>
      </c>
      <c r="I59" s="120">
        <f t="shared" si="7"/>
        <v>380356.69402472302</v>
      </c>
      <c r="J59" s="120">
        <f t="shared" si="4"/>
        <v>97309.646008187585</v>
      </c>
      <c r="L59" s="120" t="s">
        <v>46</v>
      </c>
      <c r="M59" s="120">
        <f t="shared" si="5"/>
        <v>2658260.7444203603</v>
      </c>
      <c r="N59" s="120">
        <f t="shared" si="6"/>
        <v>341537.22089289856</v>
      </c>
    </row>
    <row r="60" spans="1:14">
      <c r="A60" s="150" t="s">
        <v>38</v>
      </c>
      <c r="B60" s="221">
        <f t="shared" si="8"/>
        <v>250000</v>
      </c>
      <c r="C60" s="139">
        <f>$B$9*VLOOKUP(A60,'Datos Mun'!$A$5:$AL$55,34,FALSE)</f>
        <v>1453321.9518351562</v>
      </c>
      <c r="D60" s="137">
        <f t="shared" si="9"/>
        <v>83333.333333333328</v>
      </c>
      <c r="E60" s="139">
        <f>$D$9*VLOOKUP(A60,'Datos Mun'!$A$5:$AL$55,34,FALSE)</f>
        <v>155819.24785715496</v>
      </c>
      <c r="F60" s="216">
        <f t="shared" si="10"/>
        <v>1942474.53</v>
      </c>
      <c r="H60" s="150" t="s">
        <v>38</v>
      </c>
      <c r="I60" s="120">
        <f t="shared" si="7"/>
        <v>1703321.9518351562</v>
      </c>
      <c r="J60" s="120">
        <f t="shared" si="4"/>
        <v>239152.5811904883</v>
      </c>
      <c r="L60" s="120" t="s">
        <v>47</v>
      </c>
      <c r="M60" s="120">
        <f t="shared" si="5"/>
        <v>1022193.5626464272</v>
      </c>
      <c r="N60" s="120">
        <f t="shared" si="6"/>
        <v>166124.77536706021</v>
      </c>
    </row>
    <row r="61" spans="1:14">
      <c r="A61" s="150" t="s">
        <v>40</v>
      </c>
      <c r="B61" s="221">
        <f t="shared" si="8"/>
        <v>250000</v>
      </c>
      <c r="C61" s="139">
        <f>$B$9*VLOOKUP(A61,'Datos Mun'!$A$5:$AL$55,34,FALSE)</f>
        <v>19527.639680290853</v>
      </c>
      <c r="D61" s="137">
        <f t="shared" si="9"/>
        <v>83333.333333333328</v>
      </c>
      <c r="E61" s="139">
        <f>$D$9*VLOOKUP(A61,'Datos Mun'!$A$5:$AL$55,34,FALSE)</f>
        <v>2093.6738233164619</v>
      </c>
      <c r="F61" s="216">
        <f t="shared" si="10"/>
        <v>354954.65</v>
      </c>
      <c r="H61" s="150" t="s">
        <v>40</v>
      </c>
      <c r="I61" s="120">
        <f t="shared" si="7"/>
        <v>269527.63968029083</v>
      </c>
      <c r="J61" s="120">
        <f t="shared" si="4"/>
        <v>85427.007156649794</v>
      </c>
      <c r="L61" s="120" t="s">
        <v>48</v>
      </c>
      <c r="M61" s="120">
        <f t="shared" si="5"/>
        <v>2039677.4319014205</v>
      </c>
      <c r="N61" s="120">
        <f t="shared" si="6"/>
        <v>275215.24290861405</v>
      </c>
    </row>
    <row r="62" spans="1:14">
      <c r="A62" s="150" t="s">
        <v>41</v>
      </c>
      <c r="B62" s="221">
        <f t="shared" si="8"/>
        <v>250000</v>
      </c>
      <c r="C62" s="139">
        <f>$B$9*VLOOKUP(A62,'Datos Mun'!$A$5:$AL$55,34,FALSE)</f>
        <v>3181841.3688336168</v>
      </c>
      <c r="D62" s="137">
        <f t="shared" si="9"/>
        <v>83333.333333333328</v>
      </c>
      <c r="E62" s="139">
        <f>$D$9*VLOOKUP(A62,'Datos Mun'!$A$5:$AL$55,34,FALSE)</f>
        <v>341144.04469455779</v>
      </c>
      <c r="F62" s="216">
        <f t="shared" si="10"/>
        <v>3856318.75</v>
      </c>
      <c r="H62" s="150" t="s">
        <v>41</v>
      </c>
      <c r="I62" s="120">
        <f t="shared" si="7"/>
        <v>3431841.3688336168</v>
      </c>
      <c r="J62" s="120">
        <f t="shared" si="4"/>
        <v>424477.3780278911</v>
      </c>
      <c r="L62" s="120" t="s">
        <v>49</v>
      </c>
      <c r="M62" s="120">
        <f t="shared" si="5"/>
        <v>523334.16788241151</v>
      </c>
      <c r="N62" s="120">
        <f t="shared" si="6"/>
        <v>112639.10718428082</v>
      </c>
    </row>
    <row r="63" spans="1:14">
      <c r="A63" s="150" t="s">
        <v>42</v>
      </c>
      <c r="B63" s="221">
        <f t="shared" si="8"/>
        <v>250000</v>
      </c>
      <c r="C63" s="139">
        <f>$B$9*VLOOKUP(A63,'Datos Mun'!$A$5:$AL$55,34,FALSE)</f>
        <v>116152.81483122229</v>
      </c>
      <c r="D63" s="137">
        <f t="shared" si="9"/>
        <v>83333.333333333328</v>
      </c>
      <c r="E63" s="139">
        <f>$D$9*VLOOKUP(A63,'Datos Mun'!$A$5:$AL$55,34,FALSE)</f>
        <v>12453.430721691406</v>
      </c>
      <c r="F63" s="216">
        <f t="shared" si="10"/>
        <v>461939.58</v>
      </c>
      <c r="H63" s="150" t="s">
        <v>42</v>
      </c>
      <c r="I63" s="120">
        <f t="shared" si="7"/>
        <v>366152.81483122229</v>
      </c>
      <c r="J63" s="120">
        <f t="shared" si="4"/>
        <v>95786.764055024731</v>
      </c>
      <c r="L63" s="120" t="s">
        <v>50</v>
      </c>
      <c r="M63" s="120">
        <f t="shared" si="5"/>
        <v>283451.32095343422</v>
      </c>
      <c r="N63" s="120">
        <f t="shared" si="6"/>
        <v>86919.847432436145</v>
      </c>
    </row>
    <row r="64" spans="1:14">
      <c r="A64" s="150" t="s">
        <v>43</v>
      </c>
      <c r="B64" s="221">
        <f t="shared" si="8"/>
        <v>250000</v>
      </c>
      <c r="C64" s="139">
        <f>$B$9*VLOOKUP(A64,'Datos Mun'!$A$5:$AL$55,34,FALSE)</f>
        <v>51233.112053036806</v>
      </c>
      <c r="D64" s="137">
        <f t="shared" si="9"/>
        <v>83333.333333333328</v>
      </c>
      <c r="E64" s="139">
        <f>$D$9*VLOOKUP(A64,'Datos Mun'!$A$5:$AL$55,34,FALSE)</f>
        <v>5493.0051633810481</v>
      </c>
      <c r="F64" s="216">
        <f t="shared" si="10"/>
        <v>390059.45</v>
      </c>
      <c r="H64" s="150" t="s">
        <v>43</v>
      </c>
      <c r="I64" s="120">
        <f t="shared" si="7"/>
        <v>301233.11205303681</v>
      </c>
      <c r="J64" s="120">
        <f t="shared" si="4"/>
        <v>88826.338496714379</v>
      </c>
      <c r="L64" s="120" t="s">
        <v>51</v>
      </c>
      <c r="M64" s="120">
        <f t="shared" si="5"/>
        <v>327011.32072591526</v>
      </c>
      <c r="N64" s="120">
        <f t="shared" si="6"/>
        <v>91590.172815352882</v>
      </c>
    </row>
    <row r="65" spans="1:15">
      <c r="A65" s="150" t="s">
        <v>44</v>
      </c>
      <c r="B65" s="221">
        <f t="shared" si="8"/>
        <v>250000</v>
      </c>
      <c r="C65" s="139">
        <f>$B$9*VLOOKUP(A65,'Datos Mun'!$A$5:$AL$55,34,FALSE)</f>
        <v>748106.89366800792</v>
      </c>
      <c r="D65" s="137">
        <f t="shared" si="9"/>
        <v>83333.333333333328</v>
      </c>
      <c r="E65" s="139">
        <f>$D$9*VLOOKUP(A65,'Datos Mun'!$A$5:$AL$55,34,FALSE)</f>
        <v>80208.967697010012</v>
      </c>
      <c r="F65" s="216">
        <f t="shared" si="10"/>
        <v>1161649.19</v>
      </c>
      <c r="H65" s="150" t="s">
        <v>44</v>
      </c>
      <c r="I65" s="120">
        <f t="shared" si="7"/>
        <v>998106.89366800792</v>
      </c>
      <c r="J65" s="120">
        <f t="shared" si="4"/>
        <v>163542.30103034334</v>
      </c>
      <c r="M65" s="120">
        <f>SUM(M14:M64)</f>
        <v>60454935.277798384</v>
      </c>
      <c r="N65" s="120">
        <f>SUM(N14:N64)</f>
        <v>9364728.4500000011</v>
      </c>
      <c r="O65" s="120">
        <f>SUM(M65:N65)</f>
        <v>69819663.727798387</v>
      </c>
    </row>
    <row r="66" spans="1:15">
      <c r="A66" s="150" t="s">
        <v>50</v>
      </c>
      <c r="B66" s="221">
        <f t="shared" si="8"/>
        <v>250000</v>
      </c>
      <c r="C66" s="139">
        <f>$B$9*VLOOKUP(A66,'Datos Mun'!$A$5:$AL$55,34,FALSE)</f>
        <v>33451.320953434217</v>
      </c>
      <c r="D66" s="137">
        <f t="shared" si="9"/>
        <v>83333.333333333328</v>
      </c>
      <c r="E66" s="139">
        <f>$D$9*VLOOKUP(A66,'Datos Mun'!$A$5:$AL$55,34,FALSE)</f>
        <v>3586.5140991028129</v>
      </c>
      <c r="F66" s="216">
        <f t="shared" si="10"/>
        <v>370371.17</v>
      </c>
      <c r="H66" s="150" t="s">
        <v>50</v>
      </c>
      <c r="I66" s="120">
        <f t="shared" si="7"/>
        <v>283451.32095343422</v>
      </c>
      <c r="J66" s="120">
        <f t="shared" si="4"/>
        <v>86919.847432436145</v>
      </c>
    </row>
    <row r="67" spans="1:15">
      <c r="A67" s="150" t="s">
        <v>51</v>
      </c>
      <c r="B67" s="221">
        <f t="shared" si="8"/>
        <v>250000</v>
      </c>
      <c r="C67" s="139">
        <f>$B$9*VLOOKUP(A67,'Datos Mun'!$A$5:$AL$55,34,FALSE)</f>
        <v>77011.320725915255</v>
      </c>
      <c r="D67" s="137">
        <f t="shared" si="9"/>
        <v>83333.333333333328</v>
      </c>
      <c r="E67" s="139">
        <f>$D$9*VLOOKUP(A67,'Datos Mun'!$A$5:$AL$55,34,FALSE)</f>
        <v>8256.8394820195572</v>
      </c>
      <c r="F67" s="216">
        <f t="shared" si="10"/>
        <v>418601.49</v>
      </c>
      <c r="H67" s="150" t="s">
        <v>51</v>
      </c>
      <c r="I67" s="120">
        <f t="shared" si="7"/>
        <v>327011.32072591526</v>
      </c>
      <c r="J67" s="120">
        <f t="shared" si="4"/>
        <v>91590.172815352882</v>
      </c>
    </row>
    <row r="68" spans="1:15" s="154" customFormat="1">
      <c r="A68" s="151" t="s">
        <v>129</v>
      </c>
      <c r="B68" s="222">
        <f>SUM(B29:B67)</f>
        <v>9750000</v>
      </c>
      <c r="C68" s="153">
        <f>SUM(C29:C67)</f>
        <v>19081974.111119352</v>
      </c>
      <c r="D68" s="152">
        <f>SUM(D29:D67)</f>
        <v>3250000.0000000014</v>
      </c>
      <c r="E68" s="153">
        <f>SUM(E29:E67)</f>
        <v>2045891.3799999997</v>
      </c>
      <c r="F68" s="219">
        <f>SUM(F29:F67)</f>
        <v>34127865.47746107</v>
      </c>
    </row>
    <row r="69" spans="1:15" ht="13.5" thickBot="1">
      <c r="A69" s="155" t="s">
        <v>52</v>
      </c>
      <c r="B69" s="223">
        <f>B68+B26</f>
        <v>12750000</v>
      </c>
      <c r="C69" s="142">
        <f>C68+C26</f>
        <v>47704935.277798384</v>
      </c>
      <c r="D69" s="141">
        <f>D68+D26</f>
        <v>4250000.0000000019</v>
      </c>
      <c r="E69" s="142">
        <f>E68+E26</f>
        <v>5114728.4499999993</v>
      </c>
      <c r="F69" s="217">
        <f>F68+F26</f>
        <v>69819663.714140117</v>
      </c>
    </row>
    <row r="70" spans="1:15">
      <c r="C70" s="156"/>
      <c r="D70" s="156"/>
      <c r="E70" s="156"/>
    </row>
    <row r="71" spans="1:15">
      <c r="C71" s="156"/>
      <c r="D71" s="156"/>
      <c r="E71" s="156"/>
    </row>
    <row r="72" spans="1:15">
      <c r="C72" s="156"/>
      <c r="D72" s="156"/>
      <c r="E72" s="156"/>
    </row>
    <row r="73" spans="1:15">
      <c r="C73" s="156"/>
      <c r="D73" s="156"/>
      <c r="E73" s="156"/>
    </row>
    <row r="74" spans="1:15">
      <c r="C74" s="156"/>
      <c r="D74" s="156"/>
      <c r="E74" s="156"/>
    </row>
    <row r="75" spans="1:15">
      <c r="C75" s="156"/>
      <c r="D75" s="156"/>
      <c r="E75" s="156"/>
    </row>
    <row r="76" spans="1:15">
      <c r="C76" s="156"/>
      <c r="D76" s="156"/>
      <c r="E76" s="156"/>
    </row>
    <row r="77" spans="1:15">
      <c r="C77" s="156"/>
      <c r="D77" s="156"/>
      <c r="E77" s="156"/>
    </row>
    <row r="78" spans="1:15">
      <c r="C78" s="156"/>
      <c r="D78" s="156"/>
      <c r="E78" s="156"/>
    </row>
    <row r="79" spans="1:15">
      <c r="C79" s="156"/>
      <c r="D79" s="156"/>
      <c r="E79" s="156"/>
    </row>
    <row r="80" spans="1:15">
      <c r="C80" s="156"/>
      <c r="D80" s="156"/>
      <c r="E80" s="156"/>
    </row>
    <row r="81" spans="3:5">
      <c r="C81" s="156"/>
      <c r="D81" s="156"/>
      <c r="E81" s="156"/>
    </row>
    <row r="82" spans="3:5">
      <c r="C82" s="156"/>
      <c r="D82" s="156"/>
      <c r="E82" s="156"/>
    </row>
    <row r="83" spans="3:5">
      <c r="C83" s="156"/>
      <c r="D83" s="156"/>
      <c r="E83" s="156"/>
    </row>
    <row r="84" spans="3:5">
      <c r="C84" s="156"/>
      <c r="D84" s="156"/>
      <c r="E84" s="156"/>
    </row>
    <row r="85" spans="3:5">
      <c r="C85" s="156"/>
      <c r="D85" s="156"/>
      <c r="E85" s="156"/>
    </row>
    <row r="86" spans="3:5">
      <c r="C86" s="156"/>
      <c r="D86" s="156"/>
      <c r="E86" s="156"/>
    </row>
    <row r="87" spans="3:5">
      <c r="C87" s="156"/>
      <c r="D87" s="156"/>
      <c r="E87" s="156"/>
    </row>
    <row r="88" spans="3:5">
      <c r="C88" s="156"/>
      <c r="D88" s="156"/>
      <c r="E88" s="156"/>
    </row>
    <row r="89" spans="3:5">
      <c r="C89" s="156"/>
      <c r="D89" s="156"/>
      <c r="E89" s="156"/>
    </row>
    <row r="90" spans="3:5">
      <c r="C90" s="156"/>
      <c r="D90" s="156"/>
      <c r="E90" s="156"/>
    </row>
    <row r="91" spans="3:5">
      <c r="C91" s="156"/>
      <c r="D91" s="156"/>
      <c r="E91" s="156"/>
    </row>
    <row r="92" spans="3:5">
      <c r="C92" s="156"/>
      <c r="D92" s="156"/>
      <c r="E92" s="156"/>
    </row>
    <row r="93" spans="3:5">
      <c r="C93" s="156"/>
      <c r="D93" s="156"/>
      <c r="E93" s="156"/>
    </row>
    <row r="94" spans="3:5">
      <c r="C94" s="156"/>
      <c r="D94" s="156"/>
      <c r="E94" s="156"/>
    </row>
    <row r="95" spans="3:5">
      <c r="C95" s="156"/>
      <c r="D95" s="156"/>
      <c r="E95" s="156"/>
    </row>
    <row r="96" spans="3:5">
      <c r="C96" s="156"/>
      <c r="D96" s="156"/>
      <c r="E96" s="156"/>
    </row>
  </sheetData>
  <mergeCells count="16">
    <mergeCell ref="A1:F1"/>
    <mergeCell ref="A2:F2"/>
    <mergeCell ref="B3:C3"/>
    <mergeCell ref="D3:E3"/>
    <mergeCell ref="B4:C4"/>
    <mergeCell ref="D4:E4"/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47"/>
  <sheetViews>
    <sheetView showGridLines="0" zoomScaleNormal="100" zoomScaleSheetLayoutView="100" workbookViewId="0">
      <selection activeCell="B23" sqref="B23:D23"/>
    </sheetView>
  </sheetViews>
  <sheetFormatPr baseColWidth="10" defaultColWidth="11.42578125" defaultRowHeight="12.75"/>
  <cols>
    <col min="1" max="1" width="50.5703125" style="66" customWidth="1"/>
    <col min="2" max="2" width="15.7109375" style="66" customWidth="1"/>
    <col min="3" max="3" width="20.42578125" style="66" customWidth="1"/>
    <col min="4" max="4" width="25.7109375" style="66" bestFit="1" customWidth="1"/>
    <col min="5" max="5" width="18.42578125" style="66" customWidth="1"/>
    <col min="6" max="6" width="15.42578125" style="66" customWidth="1"/>
    <col min="7" max="16384" width="11.42578125" style="66"/>
  </cols>
  <sheetData>
    <row r="1" spans="1:6" ht="27.75" customHeight="1">
      <c r="A1" s="380" t="s">
        <v>224</v>
      </c>
      <c r="B1" s="380"/>
      <c r="C1" s="380"/>
      <c r="D1" s="380"/>
    </row>
    <row r="2" spans="1:6" ht="25.5">
      <c r="A2" s="92" t="s">
        <v>104</v>
      </c>
      <c r="B2" s="92" t="s">
        <v>86</v>
      </c>
      <c r="C2" s="92" t="s">
        <v>87</v>
      </c>
      <c r="D2" s="92" t="s">
        <v>88</v>
      </c>
      <c r="E2" s="92" t="s">
        <v>107</v>
      </c>
    </row>
    <row r="3" spans="1:6" ht="25.5" customHeight="1">
      <c r="A3" s="93" t="s">
        <v>55</v>
      </c>
      <c r="B3" s="94">
        <v>36165566160</v>
      </c>
      <c r="C3" s="95">
        <v>0.2</v>
      </c>
      <c r="D3" s="103">
        <f>B3*C3</f>
        <v>7233113232</v>
      </c>
      <c r="E3" s="103">
        <f>B3-D3</f>
        <v>28932452928</v>
      </c>
    </row>
    <row r="4" spans="1:6" ht="25.5" customHeight="1">
      <c r="A4" s="93" t="s">
        <v>60</v>
      </c>
      <c r="B4" s="94">
        <v>1008332033</v>
      </c>
      <c r="C4" s="95">
        <v>1</v>
      </c>
      <c r="D4" s="103">
        <f t="shared" ref="D4:D12" si="0">B4*C4</f>
        <v>1008332033</v>
      </c>
      <c r="E4" s="103">
        <f t="shared" ref="E4:E12" si="1">B4-D4</f>
        <v>0</v>
      </c>
    </row>
    <row r="5" spans="1:6" ht="25.5" customHeight="1">
      <c r="A5" s="93" t="s">
        <v>61</v>
      </c>
      <c r="B5" s="94">
        <v>339287460</v>
      </c>
      <c r="C5" s="95">
        <v>1</v>
      </c>
      <c r="D5" s="103">
        <f t="shared" si="0"/>
        <v>339287460</v>
      </c>
      <c r="E5" s="103">
        <f t="shared" si="1"/>
        <v>0</v>
      </c>
      <c r="F5" s="67"/>
    </row>
    <row r="6" spans="1:6" ht="25.5" customHeight="1">
      <c r="A6" s="93" t="s">
        <v>56</v>
      </c>
      <c r="B6" s="94">
        <v>1197376503</v>
      </c>
      <c r="C6" s="95">
        <v>0.2</v>
      </c>
      <c r="D6" s="103">
        <f t="shared" si="0"/>
        <v>239475300.60000002</v>
      </c>
      <c r="E6" s="103">
        <f t="shared" si="1"/>
        <v>957901202.39999998</v>
      </c>
    </row>
    <row r="7" spans="1:6" ht="25.5" customHeight="1">
      <c r="A7" s="93" t="s">
        <v>57</v>
      </c>
      <c r="B7" s="94">
        <v>2189235910</v>
      </c>
      <c r="C7" s="95">
        <v>0.2</v>
      </c>
      <c r="D7" s="103">
        <f t="shared" si="0"/>
        <v>437847182</v>
      </c>
      <c r="E7" s="103">
        <f t="shared" si="1"/>
        <v>1751388728</v>
      </c>
    </row>
    <row r="8" spans="1:6" ht="25.5" customHeight="1">
      <c r="A8" s="93" t="s">
        <v>185</v>
      </c>
      <c r="B8" s="94">
        <v>0</v>
      </c>
      <c r="C8" s="95">
        <v>0.2</v>
      </c>
      <c r="D8" s="103">
        <f t="shared" si="0"/>
        <v>0</v>
      </c>
      <c r="E8" s="103">
        <f t="shared" si="1"/>
        <v>0</v>
      </c>
    </row>
    <row r="9" spans="1:6" ht="25.5" customHeight="1">
      <c r="A9" s="93" t="s">
        <v>58</v>
      </c>
      <c r="B9" s="94">
        <v>927868809</v>
      </c>
      <c r="C9" s="95">
        <v>0.2</v>
      </c>
      <c r="D9" s="103">
        <f t="shared" si="0"/>
        <v>185573761.80000001</v>
      </c>
      <c r="E9" s="103">
        <f t="shared" si="1"/>
        <v>742295047.20000005</v>
      </c>
    </row>
    <row r="10" spans="1:6" ht="25.5" customHeight="1">
      <c r="A10" s="93" t="s">
        <v>105</v>
      </c>
      <c r="B10" s="94">
        <v>207677784</v>
      </c>
      <c r="C10" s="95">
        <v>0.2</v>
      </c>
      <c r="D10" s="103">
        <f t="shared" si="0"/>
        <v>41535556.800000004</v>
      </c>
      <c r="E10" s="103">
        <f t="shared" si="1"/>
        <v>166142227.19999999</v>
      </c>
    </row>
    <row r="11" spans="1:6" ht="25.5" customHeight="1">
      <c r="A11" s="93" t="s">
        <v>59</v>
      </c>
      <c r="B11" s="94">
        <v>1270773990</v>
      </c>
      <c r="C11" s="95">
        <v>0.2</v>
      </c>
      <c r="D11" s="103">
        <f t="shared" si="0"/>
        <v>254154798</v>
      </c>
      <c r="E11" s="103">
        <f t="shared" si="1"/>
        <v>1016619192</v>
      </c>
    </row>
    <row r="12" spans="1:6" ht="25.5" customHeight="1">
      <c r="A12" s="93" t="s">
        <v>171</v>
      </c>
      <c r="B12" s="94">
        <v>530000000</v>
      </c>
      <c r="C12" s="95">
        <v>0.2</v>
      </c>
      <c r="D12" s="103">
        <f t="shared" si="0"/>
        <v>106000000</v>
      </c>
      <c r="E12" s="103">
        <f t="shared" si="1"/>
        <v>424000000</v>
      </c>
    </row>
    <row r="13" spans="1:6" ht="25.5" customHeight="1">
      <c r="A13" s="96" t="s">
        <v>53</v>
      </c>
      <c r="B13" s="97">
        <f>SUM(B3:B12)</f>
        <v>43836118649</v>
      </c>
      <c r="C13" s="96"/>
      <c r="D13" s="97">
        <f>SUM(D3:D12)</f>
        <v>9845319324.1999989</v>
      </c>
      <c r="E13" s="97">
        <f>SUM(E3:E12)</f>
        <v>33990799324.800003</v>
      </c>
    </row>
    <row r="14" spans="1:6">
      <c r="A14" s="98"/>
      <c r="B14" s="98"/>
      <c r="C14" s="99"/>
      <c r="D14" s="100"/>
    </row>
    <row r="15" spans="1:6">
      <c r="A15" s="101" t="s">
        <v>106</v>
      </c>
      <c r="B15" s="101"/>
    </row>
    <row r="16" spans="1:6" ht="13.5" thickBot="1">
      <c r="B16" s="102"/>
    </row>
    <row r="17" spans="1:4" ht="39" thickTop="1">
      <c r="A17" s="107" t="s">
        <v>114</v>
      </c>
      <c r="B17" s="108" t="s">
        <v>108</v>
      </c>
      <c r="C17" s="108" t="s">
        <v>109</v>
      </c>
      <c r="D17" s="109" t="s">
        <v>170</v>
      </c>
    </row>
    <row r="18" spans="1:4" ht="17.25" customHeight="1">
      <c r="A18" s="110" t="s">
        <v>112</v>
      </c>
      <c r="B18" s="104">
        <f>E13</f>
        <v>33990799324.800003</v>
      </c>
      <c r="C18" s="104">
        <f>C20/C19</f>
        <v>495000000.00000006</v>
      </c>
      <c r="D18" s="111">
        <v>637047533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106">
        <f>B18*B19</f>
        <v>625430707.57632005</v>
      </c>
      <c r="C20" s="106">
        <v>173250000</v>
      </c>
      <c r="D20" s="262">
        <f>D18*D19</f>
        <v>637047533</v>
      </c>
    </row>
    <row r="21" spans="1:4" ht="17.25" customHeight="1">
      <c r="A21" s="114"/>
      <c r="B21" s="115"/>
      <c r="C21" s="115"/>
      <c r="D21" s="116"/>
    </row>
    <row r="22" spans="1:4" ht="24.75" customHeight="1">
      <c r="A22" s="346" t="s">
        <v>111</v>
      </c>
      <c r="B22" s="349" t="s">
        <v>110</v>
      </c>
      <c r="C22" s="381"/>
      <c r="D22" s="382"/>
    </row>
    <row r="23" spans="1:4">
      <c r="A23" s="347"/>
      <c r="B23" s="351" t="str">
        <f>IF(B20&gt;D20,"1.84% Particpaciones del Estado","Ley de Egresos 2020")</f>
        <v>Ley de Egresos 2020</v>
      </c>
      <c r="C23" s="351"/>
      <c r="D23" s="352"/>
    </row>
    <row r="24" spans="1:4">
      <c r="A24" s="348"/>
      <c r="B24" s="115"/>
      <c r="C24" s="115"/>
      <c r="D24" s="116"/>
    </row>
    <row r="25" spans="1:4" ht="13.5" thickBot="1">
      <c r="A25" s="117" t="s">
        <v>113</v>
      </c>
      <c r="B25" s="378">
        <f>IF(B23="Ley de Egresos 2020",D20+C20,B20+C20)</f>
        <v>810297533</v>
      </c>
      <c r="C25" s="383"/>
      <c r="D25" s="379"/>
    </row>
    <row r="26" spans="1:4" ht="13.5" thickTop="1"/>
    <row r="27" spans="1:4" ht="13.5" thickBot="1"/>
    <row r="28" spans="1:4" ht="26.25" thickTop="1">
      <c r="A28" s="107" t="s">
        <v>162</v>
      </c>
      <c r="B28" s="109" t="s">
        <v>108</v>
      </c>
    </row>
    <row r="29" spans="1:4">
      <c r="A29" s="110" t="s">
        <v>151</v>
      </c>
      <c r="B29" s="111">
        <f>E13</f>
        <v>33990799324.800003</v>
      </c>
    </row>
    <row r="30" spans="1:4">
      <c r="A30" s="110" t="s">
        <v>87</v>
      </c>
      <c r="B30" s="112">
        <v>1.5299999999999999E-2</v>
      </c>
    </row>
    <row r="31" spans="1:4" ht="13.5" thickBot="1">
      <c r="A31" s="117" t="s">
        <v>86</v>
      </c>
      <c r="B31" s="194">
        <f>B29*B30</f>
        <v>520059229.66944003</v>
      </c>
    </row>
    <row r="32" spans="1:4" ht="14.25" thickTop="1" thickBot="1"/>
    <row r="33" spans="1:5" ht="27.75" customHeight="1" thickTop="1">
      <c r="A33" s="107" t="s">
        <v>148</v>
      </c>
      <c r="B33" s="109" t="s">
        <v>108</v>
      </c>
    </row>
    <row r="34" spans="1:5">
      <c r="A34" s="110" t="s">
        <v>112</v>
      </c>
      <c r="B34" s="111">
        <f>$E$13</f>
        <v>33990799324.800003</v>
      </c>
    </row>
    <row r="35" spans="1:5">
      <c r="A35" s="110" t="s">
        <v>87</v>
      </c>
      <c r="B35" s="112">
        <v>5.4000000000000003E-3</v>
      </c>
    </row>
    <row r="36" spans="1:5" ht="13.5" thickBot="1">
      <c r="A36" s="117" t="s">
        <v>86</v>
      </c>
      <c r="B36" s="194">
        <f>B34*B35</f>
        <v>183550316.35392001</v>
      </c>
    </row>
    <row r="37" spans="1:5" ht="14.25" thickTop="1" thickBot="1"/>
    <row r="38" spans="1:5" ht="26.25" thickTop="1">
      <c r="A38" s="107" t="s">
        <v>150</v>
      </c>
      <c r="B38" s="108" t="s">
        <v>108</v>
      </c>
      <c r="C38" s="109" t="s">
        <v>170</v>
      </c>
    </row>
    <row r="39" spans="1:5">
      <c r="A39" s="110" t="s">
        <v>112</v>
      </c>
      <c r="B39" s="104">
        <f>$E$13</f>
        <v>33990799324.800003</v>
      </c>
      <c r="C39" s="111">
        <v>443163501</v>
      </c>
    </row>
    <row r="40" spans="1:5">
      <c r="A40" s="110" t="s">
        <v>87</v>
      </c>
      <c r="B40" s="105">
        <v>1.2800000000000001E-2</v>
      </c>
      <c r="C40" s="112">
        <v>1</v>
      </c>
    </row>
    <row r="41" spans="1:5">
      <c r="A41" s="110" t="s">
        <v>86</v>
      </c>
      <c r="B41" s="106">
        <f>B39*B40</f>
        <v>435082231.35744005</v>
      </c>
      <c r="C41" s="113">
        <f>C39*C40</f>
        <v>443163501</v>
      </c>
    </row>
    <row r="42" spans="1:5">
      <c r="A42" s="114"/>
      <c r="B42" s="115"/>
      <c r="C42" s="116"/>
      <c r="D42" s="264"/>
      <c r="E42" s="264">
        <f>C41/12</f>
        <v>36930291.75</v>
      </c>
    </row>
    <row r="43" spans="1:5" ht="24" customHeight="1">
      <c r="A43" s="346" t="s">
        <v>111</v>
      </c>
      <c r="B43" s="349" t="s">
        <v>152</v>
      </c>
      <c r="C43" s="350"/>
    </row>
    <row r="44" spans="1:5">
      <c r="A44" s="347"/>
      <c r="B44" s="354" t="str">
        <f>IF(B41&gt;C41,"1.28% Participaciones del Estado","Ley de Egresos 2021")</f>
        <v>Ley de Egresos 2021</v>
      </c>
      <c r="C44" s="355"/>
    </row>
    <row r="45" spans="1:5">
      <c r="A45" s="348"/>
      <c r="B45" s="356"/>
      <c r="C45" s="357"/>
    </row>
    <row r="46" spans="1:5" ht="13.5" thickBot="1">
      <c r="A46" s="117" t="s">
        <v>163</v>
      </c>
      <c r="B46" s="378">
        <f>IF($B$44="1.28% Participaciones del Estado",B41,C41)</f>
        <v>443163501</v>
      </c>
      <c r="C46" s="379"/>
    </row>
    <row r="47" spans="1:5" ht="13.5" thickTop="1"/>
  </sheetData>
  <mergeCells count="9">
    <mergeCell ref="B46:C46"/>
    <mergeCell ref="B44:C45"/>
    <mergeCell ref="A1:D1"/>
    <mergeCell ref="B22:D22"/>
    <mergeCell ref="B23:D23"/>
    <mergeCell ref="B25:D25"/>
    <mergeCell ref="A43:A45"/>
    <mergeCell ref="A22:A24"/>
    <mergeCell ref="B43:C4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Part. 2022 Mes</vt:lpstr>
      <vt:lpstr>Hoja1</vt:lpstr>
      <vt:lpstr>Hoja2</vt:lpstr>
      <vt:lpstr>Distribución Mes</vt:lpstr>
      <vt:lpstr>Descentralizados</vt:lpstr>
      <vt:lpstr>Ultracrecimiento</vt:lpstr>
      <vt:lpstr>Desarrollo</vt:lpstr>
      <vt:lpstr>Seguridad</vt:lpstr>
      <vt:lpstr>Participación 2022</vt:lpstr>
      <vt:lpstr>Distribución 2022</vt:lpstr>
      <vt:lpstr>Datos Mun</vt:lpstr>
      <vt:lpstr>Art 14 F I</vt:lpstr>
      <vt:lpstr>Desarrollo!Área_de_impresión</vt:lpstr>
      <vt:lpstr>'Distribución 2022'!Área_de_impresión</vt:lpstr>
      <vt:lpstr>'Distribución Mes'!Área_de_impresión</vt:lpstr>
      <vt:lpstr>'Part. 2022 Mes'!Área_de_impresión</vt:lpstr>
      <vt:lpstr>'Participación 2022'!Área_de_impresión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Juanita Reyes</cp:lastModifiedBy>
  <cp:lastPrinted>2021-01-27T21:03:18Z</cp:lastPrinted>
  <dcterms:created xsi:type="dcterms:W3CDTF">2009-12-17T23:31:03Z</dcterms:created>
  <dcterms:modified xsi:type="dcterms:W3CDTF">2022-10-27T14:48:49Z</dcterms:modified>
</cp:coreProperties>
</file>