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64017\Desktop\2022 PLANEACION HACENDARIA\PARTICIPACIONES FEDERALES\ENERO\"/>
    </mc:Choice>
  </mc:AlternateContent>
  <bookViews>
    <workbookView xWindow="0" yWindow="0" windowWidth="28770" windowHeight="11760" activeTab="1"/>
  </bookViews>
  <sheets>
    <sheet name="PART MES" sheetId="41" r:id="rId1"/>
    <sheet name="DIST MES ENERO" sheetId="46" r:id="rId2"/>
    <sheet name="CENSO POB 2020" sheetId="50" state="hidden" r:id="rId3"/>
    <sheet name="TERRITORIO INEGI 2021" sheetId="57" state="hidden" r:id="rId4"/>
    <sheet name="COEF Art 14 F I " sheetId="63" r:id="rId5"/>
    <sheet name="CALCULO GARANTIA" sheetId="61" r:id="rId6"/>
    <sheet name="PART PEF2022 " sheetId="62" r:id="rId7"/>
    <sheet name="COEF Art 14 F II" sheetId="53" r:id="rId8"/>
    <sheet name="Art.14 Frac.III" sheetId="55" r:id="rId9"/>
    <sheet name="ISAI" sheetId="47" r:id="rId10"/>
    <sheet name="ISR ENERO " sheetId="54" r:id="rId11"/>
    <sheet name="Ajuste 2021" sheetId="59" r:id="rId12"/>
    <sheet name="ISR_Nóm_2021" sheetId="58" state="hidden" r:id="rId13"/>
    <sheet name="Ajuste Semestral " sheetId="49" state="hidden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13" hidden="1">'Ajuste Semestral '!#REF!</definedName>
    <definedName name="_xlnm._FilterDatabase" localSheetId="1" hidden="1">'DIST MES ENERO'!#REF!</definedName>
    <definedName name="A_impresión_IM" localSheetId="11">#REF!</definedName>
    <definedName name="A_impresión_IM" localSheetId="13">#REF!</definedName>
    <definedName name="A_impresión_IM" localSheetId="8">#REF!</definedName>
    <definedName name="A_impresión_IM" localSheetId="5">#REF!</definedName>
    <definedName name="A_impresión_IM" localSheetId="4">#REF!</definedName>
    <definedName name="A_impresión_IM" localSheetId="7">#REF!</definedName>
    <definedName name="A_impresión_IM" localSheetId="1">#REF!</definedName>
    <definedName name="A_impresión_IM" localSheetId="12">#REF!</definedName>
    <definedName name="A_impresión_IM" localSheetId="0">#REF!</definedName>
    <definedName name="A_impresión_IM" localSheetId="6">#REF!</definedName>
    <definedName name="A_impresión_IM">#REF!</definedName>
    <definedName name="abril" localSheetId="11">#REF!</definedName>
    <definedName name="abril" localSheetId="8">#REF!</definedName>
    <definedName name="abril" localSheetId="7">#REF!</definedName>
    <definedName name="abril" localSheetId="12">#REF!</definedName>
    <definedName name="abril">#REF!</definedName>
    <definedName name="AJUSTES" localSheetId="11" hidden="1">{"'beneficiarios'!$A$1:$C$7"}</definedName>
    <definedName name="AJUSTES" localSheetId="13" hidden="1">{"'beneficiarios'!$A$1:$C$7"}</definedName>
    <definedName name="AJUSTES" localSheetId="8" hidden="1">{"'beneficiarios'!$A$1:$C$7"}</definedName>
    <definedName name="AJUSTES" localSheetId="5" hidden="1">{"'beneficiarios'!$A$1:$C$7"}</definedName>
    <definedName name="AJUSTES" localSheetId="4" hidden="1">{"'beneficiarios'!$A$1:$C$7"}</definedName>
    <definedName name="AJUSTES" localSheetId="7" hidden="1">{"'beneficiarios'!$A$1:$C$7"}</definedName>
    <definedName name="AJUSTES" localSheetId="1" hidden="1">{"'beneficiarios'!$A$1:$C$7"}</definedName>
    <definedName name="AJUSTES" localSheetId="12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hidden="1">{"'beneficiarios'!$A$1:$C$7"}</definedName>
    <definedName name="_xlnm.Print_Area" localSheetId="13">'Ajuste Semestral '!$A$1:$K$53</definedName>
    <definedName name="_xlnm.Print_Area" localSheetId="8">'Art.14 Frac.III'!$L$1:$Q$56</definedName>
    <definedName name="_xlnm.Print_Area" localSheetId="5">'CALCULO GARANTIA'!$A$1:$P$60</definedName>
    <definedName name="_xlnm.Print_Area" localSheetId="4">'COEF Art 14 F I '!$B$3:$AF$60</definedName>
    <definedName name="_xlnm.Print_Area" localSheetId="7">'COEF Art 14 F II'!$A$2:$L$62</definedName>
    <definedName name="_xlnm.Print_Area" localSheetId="1">'DIST MES ENERO'!$A$1:$N$58</definedName>
    <definedName name="_xlnm.Print_Area" localSheetId="9">ISAI!$A$1:$D$55</definedName>
    <definedName name="_xlnm.Print_Area" localSheetId="0">'PART MES'!$A$1:$F$17</definedName>
    <definedName name="_xlnm.Print_Area" localSheetId="6">'PART PEF2022 '!$A$1:$F$15</definedName>
    <definedName name="_xlnm.Database" localSheetId="11">#REF!</definedName>
    <definedName name="_xlnm.Database" localSheetId="13">#REF!</definedName>
    <definedName name="_xlnm.Database" localSheetId="8">#REF!</definedName>
    <definedName name="_xlnm.Database" localSheetId="5">#REF!</definedName>
    <definedName name="_xlnm.Database" localSheetId="4">#REF!</definedName>
    <definedName name="_xlnm.Database" localSheetId="7">#REF!</definedName>
    <definedName name="_xlnm.Database" localSheetId="1">#REF!</definedName>
    <definedName name="_xlnm.Database" localSheetId="12">#REF!</definedName>
    <definedName name="_xlnm.Database" localSheetId="0">#REF!</definedName>
    <definedName name="_xlnm.Database" localSheetId="6">#REF!</definedName>
    <definedName name="_xlnm.Database">#REF!</definedName>
    <definedName name="cierre_2001" localSheetId="11">'[1]deuda c sadm'!#REF!</definedName>
    <definedName name="cierre_2001" localSheetId="13">'[1]deuda c sadm'!#REF!</definedName>
    <definedName name="cierre_2001" localSheetId="8">'[1]deuda c sadm'!#REF!</definedName>
    <definedName name="cierre_2001" localSheetId="5">'[1]deuda c sadm'!#REF!</definedName>
    <definedName name="cierre_2001" localSheetId="4">'[1]deuda c sadm'!#REF!</definedName>
    <definedName name="cierre_2001" localSheetId="7">'[1]deuda c sadm'!#REF!</definedName>
    <definedName name="cierre_2001" localSheetId="1">'[1]deuda c sadm'!#REF!</definedName>
    <definedName name="cierre_2001" localSheetId="12">'[1]deuda c sadm'!#REF!</definedName>
    <definedName name="cierre_2001" localSheetId="0">'[1]deuda c sadm'!#REF!</definedName>
    <definedName name="cierre_2001" localSheetId="6">'[1]deuda c sadm'!#REF!</definedName>
    <definedName name="cierre_2001">'[1]deuda c sadm'!#REF!</definedName>
    <definedName name="deuda" localSheetId="11">'[1]deuda c sadm'!#REF!</definedName>
    <definedName name="deuda" localSheetId="13">'[1]deuda c sadm'!#REF!</definedName>
    <definedName name="deuda" localSheetId="8">'[1]deuda c sadm'!#REF!</definedName>
    <definedName name="deuda" localSheetId="5">'[1]deuda c sadm'!#REF!</definedName>
    <definedName name="deuda" localSheetId="4">'[1]deuda c sadm'!#REF!</definedName>
    <definedName name="deuda" localSheetId="7">'[1]deuda c sadm'!#REF!</definedName>
    <definedName name="deuda" localSheetId="1">'[1]deuda c sadm'!#REF!</definedName>
    <definedName name="deuda" localSheetId="12">'[1]deuda c sadm'!#REF!</definedName>
    <definedName name="deuda" localSheetId="0">'[1]deuda c sadm'!#REF!</definedName>
    <definedName name="deuda" localSheetId="6">'[1]deuda c sadm'!#REF!</definedName>
    <definedName name="deuda">'[1]deuda c sadm'!#REF!</definedName>
    <definedName name="Deuda_ingTot" localSheetId="11">'[1]deuda c sadm'!#REF!</definedName>
    <definedName name="Deuda_ingTot" localSheetId="13">'[1]deuda c sadm'!#REF!</definedName>
    <definedName name="Deuda_ingTot" localSheetId="8">'[1]deuda c sadm'!#REF!</definedName>
    <definedName name="Deuda_ingTot" localSheetId="5">'[1]deuda c sadm'!#REF!</definedName>
    <definedName name="Deuda_ingTot" localSheetId="4">'[1]deuda c sadm'!#REF!</definedName>
    <definedName name="Deuda_ingTot" localSheetId="7">'[1]deuda c sadm'!#REF!</definedName>
    <definedName name="Deuda_ingTot" localSheetId="1">'[1]deuda c sadm'!#REF!</definedName>
    <definedName name="Deuda_ingTot" localSheetId="12">'[1]deuda c sadm'!#REF!</definedName>
    <definedName name="Deuda_ingTot" localSheetId="0">'[1]deuda c sadm'!#REF!</definedName>
    <definedName name="Deuda_ingTot" localSheetId="6">'[1]deuda c sadm'!#REF!</definedName>
    <definedName name="Deuda_ingTot">'[1]deuda c sadm'!#REF!</definedName>
    <definedName name="ENERO" localSheetId="11">#REF!</definedName>
    <definedName name="ENERO" localSheetId="13">#REF!</definedName>
    <definedName name="ENERO" localSheetId="8">#REF!</definedName>
    <definedName name="ENERO" localSheetId="5">#REF!</definedName>
    <definedName name="ENERO" localSheetId="4">#REF!</definedName>
    <definedName name="ENERO" localSheetId="7">#REF!</definedName>
    <definedName name="ENERO" localSheetId="1">#REF!</definedName>
    <definedName name="ENERO" localSheetId="12">#REF!</definedName>
    <definedName name="ENERO" localSheetId="0">#REF!</definedName>
    <definedName name="ENERO" localSheetId="6">#REF!</definedName>
    <definedName name="ENERO">#REF!</definedName>
    <definedName name="ENEROAJUSTE" localSheetId="11">#REF!</definedName>
    <definedName name="ENEROAJUSTE" localSheetId="13">#REF!</definedName>
    <definedName name="ENEROAJUSTE" localSheetId="8">#REF!</definedName>
    <definedName name="ENEROAJUSTE" localSheetId="5">#REF!</definedName>
    <definedName name="ENEROAJUSTE" localSheetId="4">#REF!</definedName>
    <definedName name="ENEROAJUSTE" localSheetId="7">#REF!</definedName>
    <definedName name="ENEROAJUSTE" localSheetId="1">#REF!</definedName>
    <definedName name="ENEROAJUSTE" localSheetId="12">#REF!</definedName>
    <definedName name="ENEROAJUSTE" localSheetId="6">#REF!</definedName>
    <definedName name="ENEROAJUSTE">#REF!</definedName>
    <definedName name="Estado">'[2]Compendio de nombres'!$C$2:$C$33</definedName>
    <definedName name="Estado1" localSheetId="11">#REF!</definedName>
    <definedName name="Estado1" localSheetId="13">#REF!</definedName>
    <definedName name="Estado1" localSheetId="8">#REF!</definedName>
    <definedName name="Estado1" localSheetId="5">#REF!</definedName>
    <definedName name="Estado1" localSheetId="4">#REF!</definedName>
    <definedName name="Estado1" localSheetId="7">#REF!</definedName>
    <definedName name="Estado1" localSheetId="1">#REF!</definedName>
    <definedName name="Estado1" localSheetId="12">#REF!</definedName>
    <definedName name="Estado1" localSheetId="6">#REF!</definedName>
    <definedName name="Estado1">#REF!</definedName>
    <definedName name="Fto_1" localSheetId="11">#REF!</definedName>
    <definedName name="Fto_1" localSheetId="13">#REF!</definedName>
    <definedName name="Fto_1" localSheetId="8">#REF!</definedName>
    <definedName name="Fto_1" localSheetId="5">#REF!</definedName>
    <definedName name="Fto_1" localSheetId="4">#REF!</definedName>
    <definedName name="Fto_1" localSheetId="7">#REF!</definedName>
    <definedName name="Fto_1" localSheetId="1">#REF!</definedName>
    <definedName name="Fto_1" localSheetId="12">#REF!</definedName>
    <definedName name="Fto_1" localSheetId="0">#REF!</definedName>
    <definedName name="Fto_1" localSheetId="6">#REF!</definedName>
    <definedName name="Fto_1">#REF!</definedName>
    <definedName name="HTML_CodePage" hidden="1">1252</definedName>
    <definedName name="HTML_Control" localSheetId="11" hidden="1">{"'beneficiarios'!$A$1:$C$7"}</definedName>
    <definedName name="HTML_Control" localSheetId="13" hidden="1">{"'beneficiarios'!$A$1:$C$7"}</definedName>
    <definedName name="HTML_Control" localSheetId="8" hidden="1">{"'beneficiarios'!$A$1:$C$7"}</definedName>
    <definedName name="HTML_Control" localSheetId="5" hidden="1">{"'beneficiarios'!$A$1:$C$7"}</definedName>
    <definedName name="HTML_Control" localSheetId="4" hidden="1">{"'beneficiarios'!$A$1:$C$7"}</definedName>
    <definedName name="HTML_Control" localSheetId="7" hidden="1">{"'beneficiarios'!$A$1:$C$7"}</definedName>
    <definedName name="HTML_Control" localSheetId="1" hidden="1">{"'beneficiarios'!$A$1:$C$7"}</definedName>
    <definedName name="HTML_Control" localSheetId="12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11" hidden="1">{"'beneficiarios'!$A$1:$C$7"}</definedName>
    <definedName name="INDICADORES" localSheetId="13" hidden="1">{"'beneficiarios'!$A$1:$C$7"}</definedName>
    <definedName name="INDICADORES" localSheetId="8" hidden="1">{"'beneficiarios'!$A$1:$C$7"}</definedName>
    <definedName name="INDICADORES" localSheetId="5" hidden="1">{"'beneficiarios'!$A$1:$C$7"}</definedName>
    <definedName name="INDICADORES" localSheetId="4" hidden="1">{"'beneficiarios'!$A$1:$C$7"}</definedName>
    <definedName name="INDICADORES" localSheetId="7" hidden="1">{"'beneficiarios'!$A$1:$C$7"}</definedName>
    <definedName name="INDICADORES" localSheetId="1" hidden="1">{"'beneficiarios'!$A$1:$C$7"}</definedName>
    <definedName name="INDICADORES" localSheetId="12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hidden="1">{"'beneficiarios'!$A$1:$C$7"}</definedName>
    <definedName name="ingresofederales" localSheetId="11" hidden="1">{"'beneficiarios'!$A$1:$C$7"}</definedName>
    <definedName name="ingresofederales" localSheetId="13" hidden="1">{"'beneficiarios'!$A$1:$C$7"}</definedName>
    <definedName name="ingresofederales" localSheetId="8" hidden="1">{"'beneficiarios'!$A$1:$C$7"}</definedName>
    <definedName name="ingresofederales" localSheetId="5" hidden="1">{"'beneficiarios'!$A$1:$C$7"}</definedName>
    <definedName name="ingresofederales" localSheetId="4" hidden="1">{"'beneficiarios'!$A$1:$C$7"}</definedName>
    <definedName name="ingresofederales" localSheetId="7" hidden="1">{"'beneficiarios'!$A$1:$C$7"}</definedName>
    <definedName name="ingresofederales" localSheetId="1" hidden="1">{"'beneficiarios'!$A$1:$C$7"}</definedName>
    <definedName name="ingresofederales" localSheetId="12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hidden="1">{"'beneficiarios'!$A$1:$C$7"}</definedName>
    <definedName name="MUNICIPIOS" localSheetId="11" hidden="1">{"'beneficiarios'!$A$1:$C$7"}</definedName>
    <definedName name="MUNICIPIOS" localSheetId="13" hidden="1">{"'beneficiarios'!$A$1:$C$7"}</definedName>
    <definedName name="MUNICIPIOS" localSheetId="8">[3]IMPORTE!$A$3:$A$53</definedName>
    <definedName name="MUNICIPIOS" localSheetId="5" hidden="1">{"'beneficiarios'!$A$1:$C$7"}</definedName>
    <definedName name="MUNICIPIOS" localSheetId="4" hidden="1">{"'beneficiarios'!$A$1:$C$7"}</definedName>
    <definedName name="MUNICIPIOS" localSheetId="7" hidden="1">{"'beneficiarios'!$A$1:$C$7"}</definedName>
    <definedName name="MUNICIPIOS" localSheetId="12" hidden="1">{"'beneficiarios'!$A$1:$C$7"}</definedName>
    <definedName name="MUNICIPIOS" localSheetId="6" hidden="1">{"'beneficiarios'!$A$1:$C$7"}</definedName>
    <definedName name="MUNICIPIOS" hidden="1">{"'beneficiarios'!$A$1:$C$7"}</definedName>
    <definedName name="Notas_Fto_1" localSheetId="11">#REF!</definedName>
    <definedName name="Notas_Fto_1" localSheetId="13">#REF!</definedName>
    <definedName name="Notas_Fto_1" localSheetId="8">#REF!</definedName>
    <definedName name="Notas_Fto_1" localSheetId="5">#REF!</definedName>
    <definedName name="Notas_Fto_1" localSheetId="4">#REF!</definedName>
    <definedName name="Notas_Fto_1" localSheetId="7">#REF!</definedName>
    <definedName name="Notas_Fto_1" localSheetId="1">#REF!</definedName>
    <definedName name="Notas_Fto_1" localSheetId="12">#REF!</definedName>
    <definedName name="Notas_Fto_1" localSheetId="0">#REF!</definedName>
    <definedName name="Notas_Fto_1" localSheetId="6">#REF!</definedName>
    <definedName name="Notas_Fto_1">#REF!</definedName>
    <definedName name="Partidas">[4]TECHO!$B$1:$Q$2798</definedName>
    <definedName name="SINAJUSTE" localSheetId="11" hidden="1">{"'beneficiarios'!$A$1:$C$7"}</definedName>
    <definedName name="SINAJUSTE" localSheetId="13" hidden="1">{"'beneficiarios'!$A$1:$C$7"}</definedName>
    <definedName name="SINAJUSTE" localSheetId="8" hidden="1">{"'beneficiarios'!$A$1:$C$7"}</definedName>
    <definedName name="SINAJUSTE" localSheetId="5" hidden="1">{"'beneficiarios'!$A$1:$C$7"}</definedName>
    <definedName name="SINAJUSTE" localSheetId="4" hidden="1">{"'beneficiarios'!$A$1:$C$7"}</definedName>
    <definedName name="SINAJUSTE" localSheetId="7" hidden="1">{"'beneficiarios'!$A$1:$C$7"}</definedName>
    <definedName name="SINAJUSTE" localSheetId="1" hidden="1">{"'beneficiarios'!$A$1:$C$7"}</definedName>
    <definedName name="SINAJUSTE" localSheetId="12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hidden="1">{"'beneficiarios'!$A$1:$C$7"}</definedName>
    <definedName name="t" localSheetId="11">#REF!</definedName>
    <definedName name="t" localSheetId="13">#REF!</definedName>
    <definedName name="t" localSheetId="8">#REF!</definedName>
    <definedName name="t" localSheetId="5">#REF!</definedName>
    <definedName name="t" localSheetId="4">#REF!</definedName>
    <definedName name="t" localSheetId="7">#REF!</definedName>
    <definedName name="t" localSheetId="1">#REF!</definedName>
    <definedName name="t" localSheetId="12">#REF!</definedName>
    <definedName name="t" localSheetId="0">#REF!</definedName>
    <definedName name="t" localSheetId="6">#REF!</definedName>
    <definedName name="t">#REF!</definedName>
    <definedName name="_xlnm.Print_Titles" localSheetId="4">'COEF Art 14 F I '!$B:$B,'COEF Art 14 F I '!$3:$3</definedName>
    <definedName name="_xlnm.Print_Titles" localSheetId="1">'DIST MES ENERO'!$1:$2</definedName>
    <definedName name="TOT" localSheetId="11">#REF!</definedName>
    <definedName name="TOT" localSheetId="13">#REF!</definedName>
    <definedName name="TOT" localSheetId="8">#REF!</definedName>
    <definedName name="TOT" localSheetId="5">#REF!</definedName>
    <definedName name="TOT" localSheetId="4">#REF!</definedName>
    <definedName name="TOT" localSheetId="7">#REF!</definedName>
    <definedName name="TOT" localSheetId="1">#REF!</definedName>
    <definedName name="TOT" localSheetId="12">#REF!</definedName>
    <definedName name="TOT" localSheetId="0">#REF!</definedName>
    <definedName name="TOT" localSheetId="6">#REF!</definedName>
    <definedName name="TOT">#REF!</definedName>
    <definedName name="TOTAL" localSheetId="11">#REF!</definedName>
    <definedName name="TOTAL" localSheetId="13">#REF!</definedName>
    <definedName name="TOTAL" localSheetId="8">#REF!</definedName>
    <definedName name="TOTAL" localSheetId="5">#REF!</definedName>
    <definedName name="TOTAL" localSheetId="4">#REF!</definedName>
    <definedName name="TOTAL" localSheetId="7">#REF!</definedName>
    <definedName name="TOTAL" localSheetId="1">#REF!</definedName>
    <definedName name="TOTAL" localSheetId="12">#REF!</definedName>
    <definedName name="TOTAL" localSheetId="0">#REF!</definedName>
    <definedName name="TOTAL" localSheetId="6">#REF!</definedName>
    <definedName name="TOTAL">#REF!</definedName>
    <definedName name="UNO" localSheetId="12">#REF!</definedName>
    <definedName name="UNO">#REF!</definedName>
  </definedNames>
  <calcPr calcId="152511"/>
</workbook>
</file>

<file path=xl/calcChain.xml><?xml version="1.0" encoding="utf-8"?>
<calcChain xmlns="http://schemas.openxmlformats.org/spreadsheetml/2006/main">
  <c r="AE5" i="63" l="1"/>
  <c r="J9" i="41" l="1"/>
  <c r="J8" i="41"/>
  <c r="J7" i="41"/>
  <c r="I10" i="41"/>
  <c r="I15" i="41" s="1"/>
  <c r="H10" i="41"/>
  <c r="I9" i="41"/>
  <c r="I8" i="41"/>
  <c r="I7" i="41"/>
  <c r="I6" i="41"/>
  <c r="I5" i="41"/>
  <c r="I4" i="41"/>
  <c r="Q58" i="63" l="1"/>
  <c r="P58" i="63"/>
  <c r="R54" i="63" s="1"/>
  <c r="S54" i="63" s="1"/>
  <c r="O58" i="63"/>
  <c r="K58" i="63"/>
  <c r="L53" i="63" s="1"/>
  <c r="H58" i="63"/>
  <c r="D58" i="63"/>
  <c r="E58" i="63" s="1"/>
  <c r="C58" i="63"/>
  <c r="V57" i="63"/>
  <c r="L57" i="63"/>
  <c r="M57" i="63" s="1"/>
  <c r="E57" i="63"/>
  <c r="F57" i="63" s="1"/>
  <c r="V56" i="63"/>
  <c r="R56" i="63"/>
  <c r="S56" i="63" s="1"/>
  <c r="M56" i="63"/>
  <c r="L56" i="63"/>
  <c r="F56" i="63"/>
  <c r="E56" i="63"/>
  <c r="V55" i="63"/>
  <c r="L55" i="63"/>
  <c r="M55" i="63" s="1"/>
  <c r="F55" i="63"/>
  <c r="E55" i="63"/>
  <c r="V54" i="63"/>
  <c r="L54" i="63"/>
  <c r="M54" i="63" s="1"/>
  <c r="E54" i="63"/>
  <c r="F54" i="63" s="1"/>
  <c r="V53" i="63"/>
  <c r="M53" i="63"/>
  <c r="I53" i="63"/>
  <c r="J53" i="63" s="1"/>
  <c r="F53" i="63"/>
  <c r="E53" i="63"/>
  <c r="V52" i="63"/>
  <c r="L52" i="63"/>
  <c r="M52" i="63" s="1"/>
  <c r="F52" i="63"/>
  <c r="E52" i="63"/>
  <c r="V51" i="63"/>
  <c r="L51" i="63"/>
  <c r="M51" i="63" s="1"/>
  <c r="E51" i="63"/>
  <c r="F51" i="63" s="1"/>
  <c r="V50" i="63"/>
  <c r="R50" i="63"/>
  <c r="S50" i="63" s="1"/>
  <c r="M50" i="63"/>
  <c r="L50" i="63"/>
  <c r="F50" i="63"/>
  <c r="E50" i="63"/>
  <c r="V49" i="63"/>
  <c r="L49" i="63"/>
  <c r="M49" i="63" s="1"/>
  <c r="F49" i="63"/>
  <c r="E49" i="63"/>
  <c r="V48" i="63"/>
  <c r="L48" i="63"/>
  <c r="M48" i="63" s="1"/>
  <c r="E48" i="63"/>
  <c r="F48" i="63" s="1"/>
  <c r="V47" i="63"/>
  <c r="F47" i="63"/>
  <c r="E47" i="63"/>
  <c r="V46" i="63"/>
  <c r="R46" i="63"/>
  <c r="S46" i="63" s="1"/>
  <c r="L46" i="63"/>
  <c r="M46" i="63" s="1"/>
  <c r="E46" i="63"/>
  <c r="F46" i="63" s="1"/>
  <c r="V45" i="63"/>
  <c r="R45" i="63"/>
  <c r="S45" i="63" s="1"/>
  <c r="L45" i="63"/>
  <c r="M45" i="63" s="1"/>
  <c r="E45" i="63"/>
  <c r="F45" i="63" s="1"/>
  <c r="V44" i="63"/>
  <c r="R44" i="63"/>
  <c r="S44" i="63" s="1"/>
  <c r="L44" i="63"/>
  <c r="M44" i="63" s="1"/>
  <c r="I44" i="63"/>
  <c r="J44" i="63" s="1"/>
  <c r="F44" i="63"/>
  <c r="E44" i="63"/>
  <c r="V43" i="63"/>
  <c r="L43" i="63"/>
  <c r="M43" i="63" s="1"/>
  <c r="I43" i="63"/>
  <c r="J43" i="63" s="1"/>
  <c r="F43" i="63"/>
  <c r="E43" i="63"/>
  <c r="V42" i="63"/>
  <c r="R42" i="63"/>
  <c r="S42" i="63" s="1"/>
  <c r="L42" i="63"/>
  <c r="M42" i="63" s="1"/>
  <c r="E42" i="63"/>
  <c r="F42" i="63" s="1"/>
  <c r="V41" i="63"/>
  <c r="F41" i="63"/>
  <c r="E41" i="63"/>
  <c r="V40" i="63"/>
  <c r="L40" i="63"/>
  <c r="M40" i="63" s="1"/>
  <c r="F40" i="63"/>
  <c r="E40" i="63"/>
  <c r="V39" i="63"/>
  <c r="R39" i="63"/>
  <c r="S39" i="63" s="1"/>
  <c r="M39" i="63"/>
  <c r="L39" i="63"/>
  <c r="E39" i="63"/>
  <c r="F39" i="63" s="1"/>
  <c r="V38" i="63"/>
  <c r="M38" i="63"/>
  <c r="L38" i="63"/>
  <c r="I38" i="63"/>
  <c r="J38" i="63" s="1"/>
  <c r="N38" i="63" s="1"/>
  <c r="F38" i="63"/>
  <c r="E38" i="63"/>
  <c r="V37" i="63"/>
  <c r="L37" i="63"/>
  <c r="M37" i="63" s="1"/>
  <c r="F37" i="63"/>
  <c r="E37" i="63"/>
  <c r="V36" i="63"/>
  <c r="M36" i="63"/>
  <c r="L36" i="63"/>
  <c r="E36" i="63"/>
  <c r="F36" i="63" s="1"/>
  <c r="V35" i="63"/>
  <c r="I35" i="63"/>
  <c r="J35" i="63" s="1"/>
  <c r="E35" i="63"/>
  <c r="F35" i="63" s="1"/>
  <c r="V34" i="63"/>
  <c r="R34" i="63"/>
  <c r="S34" i="63" s="1"/>
  <c r="L34" i="63"/>
  <c r="M34" i="63" s="1"/>
  <c r="E34" i="63"/>
  <c r="F34" i="63" s="1"/>
  <c r="V33" i="63"/>
  <c r="R33" i="63"/>
  <c r="S33" i="63" s="1"/>
  <c r="L33" i="63"/>
  <c r="M33" i="63" s="1"/>
  <c r="E33" i="63"/>
  <c r="F33" i="63" s="1"/>
  <c r="V32" i="63"/>
  <c r="R32" i="63"/>
  <c r="S32" i="63" s="1"/>
  <c r="M32" i="63"/>
  <c r="L32" i="63"/>
  <c r="E32" i="63"/>
  <c r="F32" i="63" s="1"/>
  <c r="V31" i="63"/>
  <c r="R31" i="63"/>
  <c r="S31" i="63" s="1"/>
  <c r="M31" i="63"/>
  <c r="N31" i="63" s="1"/>
  <c r="L31" i="63"/>
  <c r="I31" i="63"/>
  <c r="J31" i="63" s="1"/>
  <c r="F31" i="63"/>
  <c r="E31" i="63"/>
  <c r="V30" i="63"/>
  <c r="M30" i="63"/>
  <c r="N30" i="63" s="1"/>
  <c r="L30" i="63"/>
  <c r="I30" i="63"/>
  <c r="J30" i="63" s="1"/>
  <c r="F30" i="63"/>
  <c r="E30" i="63"/>
  <c r="V29" i="63"/>
  <c r="J29" i="63"/>
  <c r="I29" i="63"/>
  <c r="E29" i="63"/>
  <c r="F29" i="63" s="1"/>
  <c r="V28" i="63"/>
  <c r="R28" i="63"/>
  <c r="S28" i="63" s="1"/>
  <c r="L28" i="63"/>
  <c r="M28" i="63" s="1"/>
  <c r="F28" i="63"/>
  <c r="E28" i="63"/>
  <c r="V27" i="63"/>
  <c r="L27" i="63"/>
  <c r="M27" i="63" s="1"/>
  <c r="N27" i="63" s="1"/>
  <c r="I27" i="63"/>
  <c r="J27" i="63" s="1"/>
  <c r="E27" i="63"/>
  <c r="F27" i="63" s="1"/>
  <c r="V26" i="63"/>
  <c r="R26" i="63"/>
  <c r="S26" i="63" s="1"/>
  <c r="M26" i="63"/>
  <c r="N26" i="63" s="1"/>
  <c r="L26" i="63"/>
  <c r="I26" i="63"/>
  <c r="J26" i="63" s="1"/>
  <c r="F26" i="63"/>
  <c r="E26" i="63"/>
  <c r="V25" i="63"/>
  <c r="L25" i="63"/>
  <c r="M25" i="63" s="1"/>
  <c r="N25" i="63" s="1"/>
  <c r="I25" i="63"/>
  <c r="J25" i="63" s="1"/>
  <c r="F25" i="63"/>
  <c r="E25" i="63"/>
  <c r="V24" i="63"/>
  <c r="S24" i="63"/>
  <c r="R24" i="63"/>
  <c r="L24" i="63"/>
  <c r="M24" i="63" s="1"/>
  <c r="E24" i="63"/>
  <c r="F24" i="63" s="1"/>
  <c r="V23" i="63"/>
  <c r="F23" i="63"/>
  <c r="E23" i="63"/>
  <c r="V22" i="63"/>
  <c r="L22" i="63"/>
  <c r="M22" i="63" s="1"/>
  <c r="E22" i="63"/>
  <c r="F22" i="63" s="1"/>
  <c r="V21" i="63"/>
  <c r="S21" i="63"/>
  <c r="R21" i="63"/>
  <c r="M21" i="63"/>
  <c r="N21" i="63" s="1"/>
  <c r="L21" i="63"/>
  <c r="I21" i="63"/>
  <c r="J21" i="63" s="1"/>
  <c r="E21" i="63"/>
  <c r="F21" i="63" s="1"/>
  <c r="V20" i="63"/>
  <c r="M20" i="63"/>
  <c r="L20" i="63"/>
  <c r="I20" i="63"/>
  <c r="J20" i="63" s="1"/>
  <c r="N20" i="63" s="1"/>
  <c r="F20" i="63"/>
  <c r="E20" i="63"/>
  <c r="V19" i="63"/>
  <c r="L19" i="63"/>
  <c r="M19" i="63" s="1"/>
  <c r="F19" i="63"/>
  <c r="E19" i="63"/>
  <c r="V18" i="63"/>
  <c r="R18" i="63"/>
  <c r="S18" i="63" s="1"/>
  <c r="L18" i="63"/>
  <c r="M18" i="63" s="1"/>
  <c r="N18" i="63" s="1"/>
  <c r="I18" i="63"/>
  <c r="J18" i="63" s="1"/>
  <c r="E18" i="63"/>
  <c r="F18" i="63" s="1"/>
  <c r="V17" i="63"/>
  <c r="M17" i="63"/>
  <c r="L17" i="63"/>
  <c r="I17" i="63"/>
  <c r="J17" i="63" s="1"/>
  <c r="N17" i="63" s="1"/>
  <c r="E17" i="63"/>
  <c r="F17" i="63" s="1"/>
  <c r="V16" i="63"/>
  <c r="M16" i="63"/>
  <c r="L16" i="63"/>
  <c r="E16" i="63"/>
  <c r="F16" i="63" s="1"/>
  <c r="V15" i="63"/>
  <c r="R15" i="63"/>
  <c r="S15" i="63" s="1"/>
  <c r="L15" i="63"/>
  <c r="M15" i="63" s="1"/>
  <c r="N15" i="63" s="1"/>
  <c r="I15" i="63"/>
  <c r="J15" i="63" s="1"/>
  <c r="E15" i="63"/>
  <c r="F15" i="63" s="1"/>
  <c r="V14" i="63"/>
  <c r="R14" i="63"/>
  <c r="S14" i="63" s="1"/>
  <c r="L14" i="63"/>
  <c r="M14" i="63" s="1"/>
  <c r="I14" i="63"/>
  <c r="J14" i="63" s="1"/>
  <c r="F14" i="63"/>
  <c r="E14" i="63"/>
  <c r="V13" i="63"/>
  <c r="M13" i="63"/>
  <c r="L13" i="63"/>
  <c r="E13" i="63"/>
  <c r="F13" i="63" s="1"/>
  <c r="V12" i="63"/>
  <c r="R12" i="63"/>
  <c r="S12" i="63" s="1"/>
  <c r="M12" i="63"/>
  <c r="N12" i="63" s="1"/>
  <c r="L12" i="63"/>
  <c r="J12" i="63"/>
  <c r="I12" i="63"/>
  <c r="F12" i="63"/>
  <c r="E12" i="63"/>
  <c r="V11" i="63"/>
  <c r="R11" i="63"/>
  <c r="S11" i="63" s="1"/>
  <c r="M11" i="63"/>
  <c r="L11" i="63"/>
  <c r="F11" i="63"/>
  <c r="E11" i="63"/>
  <c r="V10" i="63"/>
  <c r="L10" i="63"/>
  <c r="M10" i="63" s="1"/>
  <c r="E10" i="63"/>
  <c r="F10" i="63" s="1"/>
  <c r="V9" i="63"/>
  <c r="S9" i="63"/>
  <c r="R9" i="63"/>
  <c r="M9" i="63"/>
  <c r="L9" i="63"/>
  <c r="I9" i="63"/>
  <c r="J9" i="63" s="1"/>
  <c r="N9" i="63" s="1"/>
  <c r="E9" i="63"/>
  <c r="F9" i="63" s="1"/>
  <c r="V8" i="63"/>
  <c r="R8" i="63"/>
  <c r="S8" i="63" s="1"/>
  <c r="L8" i="63"/>
  <c r="M8" i="63" s="1"/>
  <c r="F8" i="63"/>
  <c r="E8" i="63"/>
  <c r="V7" i="63"/>
  <c r="R7" i="63"/>
  <c r="M7" i="63"/>
  <c r="L7" i="63"/>
  <c r="I7" i="63"/>
  <c r="E7" i="63"/>
  <c r="F7" i="63" s="1"/>
  <c r="AD5" i="63"/>
  <c r="AC5" i="63"/>
  <c r="AB5" i="63"/>
  <c r="AC15" i="63" l="1"/>
  <c r="AC25" i="63"/>
  <c r="AC18" i="63"/>
  <c r="AC30" i="63"/>
  <c r="AC9" i="63"/>
  <c r="AC38" i="63"/>
  <c r="AC21" i="63"/>
  <c r="AC17" i="63"/>
  <c r="AC12" i="63"/>
  <c r="AC20" i="63"/>
  <c r="AC27" i="63"/>
  <c r="N10" i="63"/>
  <c r="AC10" i="63" s="1"/>
  <c r="N8" i="63"/>
  <c r="AC8" i="63" s="1"/>
  <c r="W13" i="63"/>
  <c r="X13" i="63" s="1"/>
  <c r="N33" i="63"/>
  <c r="AC33" i="63" s="1"/>
  <c r="W16" i="63"/>
  <c r="X16" i="63" s="1"/>
  <c r="W56" i="63"/>
  <c r="N14" i="63"/>
  <c r="AC14" i="63" s="1"/>
  <c r="AC26" i="63"/>
  <c r="N49" i="63"/>
  <c r="AC49" i="63" s="1"/>
  <c r="N55" i="63"/>
  <c r="AC55" i="63" s="1"/>
  <c r="W7" i="63"/>
  <c r="X7" i="63" s="1"/>
  <c r="N44" i="63"/>
  <c r="AC44" i="63" s="1"/>
  <c r="W28" i="63"/>
  <c r="N39" i="63"/>
  <c r="AC39" i="63" s="1"/>
  <c r="N52" i="63"/>
  <c r="AC52" i="63" s="1"/>
  <c r="W22" i="63"/>
  <c r="X22" i="63" s="1"/>
  <c r="W14" i="63"/>
  <c r="X14" i="63" s="1"/>
  <c r="W40" i="63"/>
  <c r="X40" i="63" s="1"/>
  <c r="N43" i="63"/>
  <c r="AC43" i="63" s="1"/>
  <c r="W44" i="63"/>
  <c r="X44" i="63" s="1"/>
  <c r="X56" i="63"/>
  <c r="X50" i="63"/>
  <c r="X28" i="63"/>
  <c r="F58" i="63"/>
  <c r="G36" i="63" s="1"/>
  <c r="AB36" i="63" s="1"/>
  <c r="W10" i="63"/>
  <c r="X10" i="63" s="1"/>
  <c r="I52" i="63"/>
  <c r="J52" i="63" s="1"/>
  <c r="I46" i="63"/>
  <c r="J46" i="63" s="1"/>
  <c r="N46" i="63" s="1"/>
  <c r="AC46" i="63" s="1"/>
  <c r="I40" i="63"/>
  <c r="J40" i="63" s="1"/>
  <c r="N40" i="63" s="1"/>
  <c r="AC40" i="63" s="1"/>
  <c r="I34" i="63"/>
  <c r="J34" i="63" s="1"/>
  <c r="N34" i="63" s="1"/>
  <c r="AC34" i="63" s="1"/>
  <c r="I28" i="63"/>
  <c r="J28" i="63" s="1"/>
  <c r="N28" i="63" s="1"/>
  <c r="AC28" i="63" s="1"/>
  <c r="I22" i="63"/>
  <c r="J22" i="63" s="1"/>
  <c r="N22" i="63" s="1"/>
  <c r="AC22" i="63" s="1"/>
  <c r="I16" i="63"/>
  <c r="J16" i="63" s="1"/>
  <c r="N16" i="63" s="1"/>
  <c r="AC16" i="63" s="1"/>
  <c r="I55" i="63"/>
  <c r="J55" i="63" s="1"/>
  <c r="I49" i="63"/>
  <c r="J49" i="63" s="1"/>
  <c r="I41" i="63"/>
  <c r="J41" i="63" s="1"/>
  <c r="I32" i="63"/>
  <c r="J32" i="63" s="1"/>
  <c r="N32" i="63" s="1"/>
  <c r="AC32" i="63" s="1"/>
  <c r="I23" i="63"/>
  <c r="J23" i="63" s="1"/>
  <c r="I11" i="63"/>
  <c r="J11" i="63" s="1"/>
  <c r="N11" i="63" s="1"/>
  <c r="AC11" i="63" s="1"/>
  <c r="I54" i="63"/>
  <c r="J54" i="63" s="1"/>
  <c r="I48" i="63"/>
  <c r="J48" i="63" s="1"/>
  <c r="I39" i="63"/>
  <c r="J39" i="63" s="1"/>
  <c r="I37" i="63"/>
  <c r="J37" i="63" s="1"/>
  <c r="N37" i="63" s="1"/>
  <c r="AC37" i="63" s="1"/>
  <c r="I19" i="63"/>
  <c r="J19" i="63" s="1"/>
  <c r="N19" i="63" s="1"/>
  <c r="AC19" i="63" s="1"/>
  <c r="I57" i="63"/>
  <c r="J57" i="63" s="1"/>
  <c r="N57" i="63" s="1"/>
  <c r="AC57" i="63" s="1"/>
  <c r="I51" i="63"/>
  <c r="J51" i="63" s="1"/>
  <c r="I33" i="63"/>
  <c r="J33" i="63" s="1"/>
  <c r="I13" i="63"/>
  <c r="J13" i="63" s="1"/>
  <c r="N13" i="63" s="1"/>
  <c r="AC13" i="63" s="1"/>
  <c r="I42" i="63"/>
  <c r="J42" i="63" s="1"/>
  <c r="N42" i="63" s="1"/>
  <c r="AC42" i="63" s="1"/>
  <c r="I24" i="63"/>
  <c r="J24" i="63" s="1"/>
  <c r="N24" i="63" s="1"/>
  <c r="AC24" i="63" s="1"/>
  <c r="I8" i="63"/>
  <c r="J8" i="63" s="1"/>
  <c r="I56" i="63"/>
  <c r="J56" i="63" s="1"/>
  <c r="N56" i="63" s="1"/>
  <c r="AC56" i="63" s="1"/>
  <c r="I50" i="63"/>
  <c r="J50" i="63" s="1"/>
  <c r="N50" i="63" s="1"/>
  <c r="AC50" i="63" s="1"/>
  <c r="I45" i="63"/>
  <c r="J45" i="63" s="1"/>
  <c r="N45" i="63" s="1"/>
  <c r="AC45" i="63" s="1"/>
  <c r="I36" i="63"/>
  <c r="J36" i="63" s="1"/>
  <c r="N36" i="63" s="1"/>
  <c r="AC36" i="63" s="1"/>
  <c r="I10" i="63"/>
  <c r="J10" i="63" s="1"/>
  <c r="G43" i="63"/>
  <c r="AB43" i="63" s="1"/>
  <c r="J7" i="63"/>
  <c r="N7" i="63" s="1"/>
  <c r="W17" i="63"/>
  <c r="W46" i="63"/>
  <c r="X46" i="63" s="1"/>
  <c r="X17" i="63"/>
  <c r="G28" i="63"/>
  <c r="AB28" i="63" s="1"/>
  <c r="W50" i="63"/>
  <c r="W42" i="63"/>
  <c r="X42" i="63" s="1"/>
  <c r="S7" i="63"/>
  <c r="G16" i="63"/>
  <c r="AB16" i="63" s="1"/>
  <c r="AC31" i="63"/>
  <c r="G47" i="63"/>
  <c r="AB47" i="63" s="1"/>
  <c r="W32" i="63"/>
  <c r="X32" i="63" s="1"/>
  <c r="I47" i="63"/>
  <c r="J47" i="63" s="1"/>
  <c r="N51" i="63"/>
  <c r="AC51" i="63" s="1"/>
  <c r="N53" i="63"/>
  <c r="AC53" i="63" s="1"/>
  <c r="G57" i="63"/>
  <c r="AB57" i="63" s="1"/>
  <c r="V58" i="63"/>
  <c r="W29" i="63" s="1"/>
  <c r="X29" i="63" s="1"/>
  <c r="R19" i="63"/>
  <c r="S19" i="63" s="1"/>
  <c r="R30" i="63"/>
  <c r="S30" i="63" s="1"/>
  <c r="R37" i="63"/>
  <c r="S37" i="63" s="1"/>
  <c r="R48" i="63"/>
  <c r="S48" i="63" s="1"/>
  <c r="R55" i="63"/>
  <c r="S55" i="63" s="1"/>
  <c r="R49" i="63"/>
  <c r="S49" i="63" s="1"/>
  <c r="R52" i="63"/>
  <c r="S52" i="63" s="1"/>
  <c r="R53" i="63"/>
  <c r="S53" i="63" s="1"/>
  <c r="R47" i="63"/>
  <c r="S47" i="63" s="1"/>
  <c r="R41" i="63"/>
  <c r="S41" i="63" s="1"/>
  <c r="R35" i="63"/>
  <c r="S35" i="63" s="1"/>
  <c r="R29" i="63"/>
  <c r="S29" i="63" s="1"/>
  <c r="R23" i="63"/>
  <c r="S23" i="63" s="1"/>
  <c r="W48" i="63"/>
  <c r="X48" i="63" s="1"/>
  <c r="W54" i="63"/>
  <c r="X54" i="63" s="1"/>
  <c r="R25" i="63"/>
  <c r="S25" i="63" s="1"/>
  <c r="R36" i="63"/>
  <c r="S36" i="63" s="1"/>
  <c r="R43" i="63"/>
  <c r="S43" i="63" s="1"/>
  <c r="R10" i="63"/>
  <c r="S10" i="63" s="1"/>
  <c r="W21" i="63"/>
  <c r="X21" i="63" s="1"/>
  <c r="G26" i="63"/>
  <c r="AB26" i="63" s="1"/>
  <c r="R27" i="63"/>
  <c r="S27" i="63" s="1"/>
  <c r="W39" i="63"/>
  <c r="X39" i="63" s="1"/>
  <c r="R17" i="63"/>
  <c r="S17" i="63" s="1"/>
  <c r="R20" i="63"/>
  <c r="S20" i="63" s="1"/>
  <c r="R22" i="63"/>
  <c r="S22" i="63" s="1"/>
  <c r="R38" i="63"/>
  <c r="S38" i="63" s="1"/>
  <c r="R40" i="63"/>
  <c r="S40" i="63" s="1"/>
  <c r="W45" i="63"/>
  <c r="X45" i="63" s="1"/>
  <c r="R51" i="63"/>
  <c r="S51" i="63" s="1"/>
  <c r="R57" i="63"/>
  <c r="S57" i="63" s="1"/>
  <c r="R13" i="63"/>
  <c r="S13" i="63" s="1"/>
  <c r="R16" i="63"/>
  <c r="S16" i="63" s="1"/>
  <c r="N48" i="63"/>
  <c r="AC48" i="63" s="1"/>
  <c r="W51" i="63"/>
  <c r="X51" i="63" s="1"/>
  <c r="N54" i="63"/>
  <c r="AC54" i="63" s="1"/>
  <c r="L58" i="63"/>
  <c r="L23" i="63"/>
  <c r="M23" i="63" s="1"/>
  <c r="N23" i="63" s="1"/>
  <c r="AC23" i="63" s="1"/>
  <c r="L29" i="63"/>
  <c r="M29" i="63" s="1"/>
  <c r="N29" i="63" s="1"/>
  <c r="AC29" i="63" s="1"/>
  <c r="L35" i="63"/>
  <c r="M35" i="63" s="1"/>
  <c r="N35" i="63" s="1"/>
  <c r="AC35" i="63" s="1"/>
  <c r="L41" i="63"/>
  <c r="M41" i="63" s="1"/>
  <c r="N41" i="63" s="1"/>
  <c r="AC41" i="63" s="1"/>
  <c r="L47" i="63"/>
  <c r="M47" i="63" s="1"/>
  <c r="N58" i="63" l="1"/>
  <c r="AC7" i="63"/>
  <c r="G55" i="63"/>
  <c r="AB55" i="63" s="1"/>
  <c r="T37" i="63"/>
  <c r="U37" i="63" s="1"/>
  <c r="I58" i="63"/>
  <c r="G50" i="63"/>
  <c r="AB50" i="63" s="1"/>
  <c r="G35" i="63"/>
  <c r="AB35" i="63" s="1"/>
  <c r="G22" i="63"/>
  <c r="AB22" i="63" s="1"/>
  <c r="T17" i="63"/>
  <c r="U17" i="63" s="1"/>
  <c r="Y17" i="63" s="1"/>
  <c r="T23" i="63"/>
  <c r="U23" i="63" s="1"/>
  <c r="T19" i="63"/>
  <c r="U19" i="63" s="1"/>
  <c r="S58" i="63"/>
  <c r="T7" i="63"/>
  <c r="G27" i="63"/>
  <c r="AB27" i="63" s="1"/>
  <c r="G7" i="63"/>
  <c r="G32" i="63"/>
  <c r="AB32" i="63" s="1"/>
  <c r="G24" i="63"/>
  <c r="AB24" i="63" s="1"/>
  <c r="G44" i="63"/>
  <c r="AB44" i="63" s="1"/>
  <c r="G41" i="63"/>
  <c r="AB41" i="63" s="1"/>
  <c r="R58" i="63"/>
  <c r="T20" i="63"/>
  <c r="U20" i="63" s="1"/>
  <c r="G15" i="63"/>
  <c r="AB15" i="63" s="1"/>
  <c r="G11" i="63"/>
  <c r="AB11" i="63" s="1"/>
  <c r="G45" i="63"/>
  <c r="AB45" i="63" s="1"/>
  <c r="G31" i="63"/>
  <c r="AB31" i="63" s="1"/>
  <c r="G29" i="63"/>
  <c r="AB29" i="63" s="1"/>
  <c r="G21" i="63"/>
  <c r="AB21" i="63" s="1"/>
  <c r="G54" i="63"/>
  <c r="AB54" i="63" s="1"/>
  <c r="G48" i="63"/>
  <c r="AB48" i="63" s="1"/>
  <c r="G19" i="63"/>
  <c r="AB19" i="63" s="1"/>
  <c r="G39" i="63"/>
  <c r="AB39" i="63" s="1"/>
  <c r="G37" i="63"/>
  <c r="AB37" i="63" s="1"/>
  <c r="G10" i="63"/>
  <c r="AB10" i="63" s="1"/>
  <c r="G23" i="63"/>
  <c r="AB23" i="63" s="1"/>
  <c r="T35" i="63"/>
  <c r="U35" i="63" s="1"/>
  <c r="G14" i="63"/>
  <c r="AB14" i="63" s="1"/>
  <c r="G53" i="63"/>
  <c r="AB53" i="63" s="1"/>
  <c r="G12" i="63"/>
  <c r="AB12" i="63" s="1"/>
  <c r="G20" i="63"/>
  <c r="AB20" i="63" s="1"/>
  <c r="T30" i="63"/>
  <c r="U30" i="63" s="1"/>
  <c r="G49" i="63"/>
  <c r="AB49" i="63" s="1"/>
  <c r="N47" i="63"/>
  <c r="AC47" i="63" s="1"/>
  <c r="T16" i="63"/>
  <c r="U16" i="63" s="1"/>
  <c r="Y16" i="63" s="1"/>
  <c r="T27" i="63"/>
  <c r="U27" i="63" s="1"/>
  <c r="T41" i="63"/>
  <c r="U41" i="63" s="1"/>
  <c r="W55" i="63"/>
  <c r="X55" i="63" s="1"/>
  <c r="W49" i="63"/>
  <c r="X49" i="63" s="1"/>
  <c r="W37" i="63"/>
  <c r="X37" i="63" s="1"/>
  <c r="W19" i="63"/>
  <c r="X19" i="63" s="1"/>
  <c r="W31" i="63"/>
  <c r="X31" i="63" s="1"/>
  <c r="W11" i="63"/>
  <c r="X11" i="63" s="1"/>
  <c r="W34" i="63"/>
  <c r="X34" i="63" s="1"/>
  <c r="W8" i="63"/>
  <c r="X8" i="63" s="1"/>
  <c r="W25" i="63"/>
  <c r="X25" i="63" s="1"/>
  <c r="W18" i="63"/>
  <c r="X18" i="63" s="1"/>
  <c r="W52" i="63"/>
  <c r="X52" i="63" s="1"/>
  <c r="W43" i="63"/>
  <c r="X43" i="63" s="1"/>
  <c r="W38" i="63"/>
  <c r="X38" i="63" s="1"/>
  <c r="W12" i="63"/>
  <c r="X12" i="63" s="1"/>
  <c r="W41" i="63"/>
  <c r="X41" i="63" s="1"/>
  <c r="W36" i="63"/>
  <c r="X36" i="63" s="1"/>
  <c r="W23" i="63"/>
  <c r="X23" i="63" s="1"/>
  <c r="W53" i="63"/>
  <c r="X53" i="63" s="1"/>
  <c r="W47" i="63"/>
  <c r="X47" i="63" s="1"/>
  <c r="W20" i="63"/>
  <c r="X20" i="63" s="1"/>
  <c r="G51" i="63"/>
  <c r="AB51" i="63" s="1"/>
  <c r="W9" i="63"/>
  <c r="X9" i="63" s="1"/>
  <c r="W15" i="63"/>
  <c r="X15" i="63" s="1"/>
  <c r="G46" i="63"/>
  <c r="AB46" i="63" s="1"/>
  <c r="W24" i="63"/>
  <c r="X24" i="63" s="1"/>
  <c r="W35" i="63"/>
  <c r="X35" i="63" s="1"/>
  <c r="Y35" i="63" s="1"/>
  <c r="T13" i="63"/>
  <c r="U13" i="63" s="1"/>
  <c r="Y13" i="63" s="1"/>
  <c r="T47" i="63"/>
  <c r="U47" i="63" s="1"/>
  <c r="M58" i="63"/>
  <c r="G34" i="63"/>
  <c r="AB34" i="63" s="1"/>
  <c r="G33" i="63"/>
  <c r="AB33" i="63" s="1"/>
  <c r="T57" i="63"/>
  <c r="U57" i="63" s="1"/>
  <c r="T53" i="63"/>
  <c r="U53" i="63" s="1"/>
  <c r="W33" i="63"/>
  <c r="X33" i="63" s="1"/>
  <c r="W27" i="63"/>
  <c r="X27" i="63" s="1"/>
  <c r="W26" i="63"/>
  <c r="X26" i="63" s="1"/>
  <c r="T51" i="63"/>
  <c r="U51" i="63" s="1"/>
  <c r="Y51" i="63" s="1"/>
  <c r="T10" i="63"/>
  <c r="U10" i="63" s="1"/>
  <c r="Y10" i="63" s="1"/>
  <c r="T52" i="63"/>
  <c r="U52" i="63" s="1"/>
  <c r="G25" i="63"/>
  <c r="AB25" i="63" s="1"/>
  <c r="G18" i="63"/>
  <c r="AB18" i="63" s="1"/>
  <c r="T43" i="63"/>
  <c r="U43" i="63" s="1"/>
  <c r="T49" i="63"/>
  <c r="U49" i="63" s="1"/>
  <c r="G56" i="63"/>
  <c r="AB56" i="63" s="1"/>
  <c r="G13" i="63"/>
  <c r="AB13" i="63" s="1"/>
  <c r="T40" i="63"/>
  <c r="U40" i="63" s="1"/>
  <c r="Y40" i="63" s="1"/>
  <c r="T36" i="63"/>
  <c r="U36" i="63" s="1"/>
  <c r="T55" i="63"/>
  <c r="U55" i="63" s="1"/>
  <c r="G30" i="63"/>
  <c r="AB30" i="63" s="1"/>
  <c r="G40" i="63"/>
  <c r="AB40" i="63" s="1"/>
  <c r="G9" i="63"/>
  <c r="AB9" i="63" s="1"/>
  <c r="G8" i="63"/>
  <c r="AB8" i="63" s="1"/>
  <c r="W57" i="63"/>
  <c r="X57" i="63" s="1"/>
  <c r="T38" i="63"/>
  <c r="U38" i="63" s="1"/>
  <c r="T25" i="63"/>
  <c r="U25" i="63" s="1"/>
  <c r="T48" i="63"/>
  <c r="U48" i="63" s="1"/>
  <c r="Y48" i="63" s="1"/>
  <c r="G38" i="63"/>
  <c r="AB38" i="63" s="1"/>
  <c r="J58" i="63"/>
  <c r="G52" i="63"/>
  <c r="AB52" i="63" s="1"/>
  <c r="W30" i="63"/>
  <c r="X30" i="63" s="1"/>
  <c r="G42" i="63"/>
  <c r="AB42" i="63" s="1"/>
  <c r="G17" i="63"/>
  <c r="AB17" i="63" s="1"/>
  <c r="Y37" i="63" l="1"/>
  <c r="Y30" i="63"/>
  <c r="Y25" i="63"/>
  <c r="Y20" i="63"/>
  <c r="X58" i="63"/>
  <c r="Y36" i="63"/>
  <c r="Y19" i="63"/>
  <c r="Y41" i="63"/>
  <c r="Y57" i="63"/>
  <c r="Y49" i="63"/>
  <c r="G58" i="63"/>
  <c r="AB7" i="63"/>
  <c r="Y43" i="63"/>
  <c r="U7" i="63"/>
  <c r="Y38" i="63"/>
  <c r="Y55" i="63"/>
  <c r="Y52" i="63"/>
  <c r="T26" i="63"/>
  <c r="U26" i="63" s="1"/>
  <c r="T14" i="63"/>
  <c r="U14" i="63" s="1"/>
  <c r="Y14" i="63" s="1"/>
  <c r="T28" i="63"/>
  <c r="U28" i="63" s="1"/>
  <c r="Y28" i="63" s="1"/>
  <c r="T8" i="63"/>
  <c r="U8" i="63" s="1"/>
  <c r="Y8" i="63" s="1"/>
  <c r="T42" i="63"/>
  <c r="U42" i="63" s="1"/>
  <c r="Y42" i="63" s="1"/>
  <c r="T34" i="63"/>
  <c r="U34" i="63" s="1"/>
  <c r="Y34" i="63" s="1"/>
  <c r="T54" i="63"/>
  <c r="U54" i="63" s="1"/>
  <c r="Y54" i="63" s="1"/>
  <c r="T11" i="63"/>
  <c r="U11" i="63" s="1"/>
  <c r="Y11" i="63" s="1"/>
  <c r="T32" i="63"/>
  <c r="U32" i="63" s="1"/>
  <c r="Y32" i="63" s="1"/>
  <c r="T21" i="63"/>
  <c r="U21" i="63" s="1"/>
  <c r="Y21" i="63" s="1"/>
  <c r="T33" i="63"/>
  <c r="U33" i="63" s="1"/>
  <c r="Y33" i="63" s="1"/>
  <c r="T46" i="63"/>
  <c r="U46" i="63" s="1"/>
  <c r="Y46" i="63" s="1"/>
  <c r="T56" i="63"/>
  <c r="U56" i="63" s="1"/>
  <c r="Y56" i="63" s="1"/>
  <c r="T44" i="63"/>
  <c r="U44" i="63" s="1"/>
  <c r="Y44" i="63" s="1"/>
  <c r="T45" i="63"/>
  <c r="U45" i="63" s="1"/>
  <c r="Y45" i="63" s="1"/>
  <c r="T15" i="63"/>
  <c r="U15" i="63" s="1"/>
  <c r="Y15" i="63" s="1"/>
  <c r="T39" i="63"/>
  <c r="U39" i="63" s="1"/>
  <c r="Y39" i="63" s="1"/>
  <c r="T50" i="63"/>
  <c r="U50" i="63" s="1"/>
  <c r="Y50" i="63" s="1"/>
  <c r="T31" i="63"/>
  <c r="U31" i="63" s="1"/>
  <c r="Y31" i="63" s="1"/>
  <c r="T18" i="63"/>
  <c r="U18" i="63" s="1"/>
  <c r="Y18" i="63" s="1"/>
  <c r="T24" i="63"/>
  <c r="U24" i="63" s="1"/>
  <c r="Y24" i="63" s="1"/>
  <c r="T12" i="63"/>
  <c r="U12" i="63" s="1"/>
  <c r="Y12" i="63" s="1"/>
  <c r="T9" i="63"/>
  <c r="U9" i="63" s="1"/>
  <c r="Y9" i="63" s="1"/>
  <c r="T22" i="63"/>
  <c r="U22" i="63" s="1"/>
  <c r="Y22" i="63" s="1"/>
  <c r="AC58" i="63"/>
  <c r="Y47" i="63"/>
  <c r="Y27" i="63"/>
  <c r="Y53" i="63"/>
  <c r="T29" i="63"/>
  <c r="U29" i="63" s="1"/>
  <c r="Y29" i="63" s="1"/>
  <c r="Y26" i="63"/>
  <c r="W58" i="63"/>
  <c r="Y23" i="63"/>
  <c r="U58" i="63" l="1"/>
  <c r="Y7" i="63"/>
  <c r="AB58" i="63"/>
  <c r="T58" i="63"/>
  <c r="Y58" i="63" l="1"/>
  <c r="Z7" i="63"/>
  <c r="AD7" i="63" l="1"/>
  <c r="Z17" i="63"/>
  <c r="AD17" i="63" s="1"/>
  <c r="AE17" i="63" s="1"/>
  <c r="Z36" i="63"/>
  <c r="AD36" i="63" s="1"/>
  <c r="AE36" i="63" s="1"/>
  <c r="Z40" i="63"/>
  <c r="AD40" i="63" s="1"/>
  <c r="AE40" i="63" s="1"/>
  <c r="Z16" i="63"/>
  <c r="AD16" i="63" s="1"/>
  <c r="AE16" i="63" s="1"/>
  <c r="Z10" i="63"/>
  <c r="AD10" i="63" s="1"/>
  <c r="AE10" i="63" s="1"/>
  <c r="Z35" i="63"/>
  <c r="AD35" i="63" s="1"/>
  <c r="AE35" i="63" s="1"/>
  <c r="Z13" i="63"/>
  <c r="AD13" i="63" s="1"/>
  <c r="AE13" i="63" s="1"/>
  <c r="Z25" i="63"/>
  <c r="AD25" i="63" s="1"/>
  <c r="AE25" i="63" s="1"/>
  <c r="Z37" i="63"/>
  <c r="AD37" i="63" s="1"/>
  <c r="AE37" i="63" s="1"/>
  <c r="Z30" i="63"/>
  <c r="AD30" i="63" s="1"/>
  <c r="AE30" i="63" s="1"/>
  <c r="Z41" i="63"/>
  <c r="AD41" i="63" s="1"/>
  <c r="AE41" i="63" s="1"/>
  <c r="Z19" i="63"/>
  <c r="AD19" i="63" s="1"/>
  <c r="AE19" i="63" s="1"/>
  <c r="Z20" i="63"/>
  <c r="AD20" i="63" s="1"/>
  <c r="AE20" i="63" s="1"/>
  <c r="Z48" i="63"/>
  <c r="AD48" i="63" s="1"/>
  <c r="AE48" i="63" s="1"/>
  <c r="Z51" i="63"/>
  <c r="AD51" i="63" s="1"/>
  <c r="AE51" i="63" s="1"/>
  <c r="Z33" i="63"/>
  <c r="AD33" i="63" s="1"/>
  <c r="AE33" i="63" s="1"/>
  <c r="Z46" i="63"/>
  <c r="AD46" i="63" s="1"/>
  <c r="AE46" i="63" s="1"/>
  <c r="Z44" i="63"/>
  <c r="AD44" i="63" s="1"/>
  <c r="AE44" i="63" s="1"/>
  <c r="Z12" i="63"/>
  <c r="AD12" i="63" s="1"/>
  <c r="AE12" i="63" s="1"/>
  <c r="Z29" i="63"/>
  <c r="AD29" i="63" s="1"/>
  <c r="AE29" i="63" s="1"/>
  <c r="Z53" i="63"/>
  <c r="AD53" i="63" s="1"/>
  <c r="AE53" i="63" s="1"/>
  <c r="Z14" i="63"/>
  <c r="AD14" i="63" s="1"/>
  <c r="AE14" i="63" s="1"/>
  <c r="Z9" i="63"/>
  <c r="AD9" i="63" s="1"/>
  <c r="AE9" i="63" s="1"/>
  <c r="Z21" i="63"/>
  <c r="AD21" i="63" s="1"/>
  <c r="AE21" i="63" s="1"/>
  <c r="Z54" i="63"/>
  <c r="AD54" i="63" s="1"/>
  <c r="AE54" i="63" s="1"/>
  <c r="Z38" i="63"/>
  <c r="AD38" i="63" s="1"/>
  <c r="AE38" i="63" s="1"/>
  <c r="Z24" i="63"/>
  <c r="AD24" i="63" s="1"/>
  <c r="AE24" i="63" s="1"/>
  <c r="Z31" i="63"/>
  <c r="AD31" i="63" s="1"/>
  <c r="AE31" i="63" s="1"/>
  <c r="Z18" i="63"/>
  <c r="AD18" i="63" s="1"/>
  <c r="AE18" i="63" s="1"/>
  <c r="Z56" i="63"/>
  <c r="AD56" i="63" s="1"/>
  <c r="AE56" i="63" s="1"/>
  <c r="Z34" i="63"/>
  <c r="AD34" i="63" s="1"/>
  <c r="AE34" i="63" s="1"/>
  <c r="Z52" i="63"/>
  <c r="AD52" i="63" s="1"/>
  <c r="AE52" i="63" s="1"/>
  <c r="Z23" i="63"/>
  <c r="AD23" i="63" s="1"/>
  <c r="AE23" i="63" s="1"/>
  <c r="Z15" i="63"/>
  <c r="AD15" i="63" s="1"/>
  <c r="AE15" i="63" s="1"/>
  <c r="Z32" i="63"/>
  <c r="AD32" i="63" s="1"/>
  <c r="AE32" i="63" s="1"/>
  <c r="Z27" i="63"/>
  <c r="AD27" i="63" s="1"/>
  <c r="AE27" i="63" s="1"/>
  <c r="Z8" i="63"/>
  <c r="AD8" i="63" s="1"/>
  <c r="AE8" i="63" s="1"/>
  <c r="Z50" i="63"/>
  <c r="AD50" i="63" s="1"/>
  <c r="AE50" i="63" s="1"/>
  <c r="Z43" i="63"/>
  <c r="AD43" i="63" s="1"/>
  <c r="AE43" i="63" s="1"/>
  <c r="Z47" i="63"/>
  <c r="AD47" i="63" s="1"/>
  <c r="AE47" i="63" s="1"/>
  <c r="Z26" i="63"/>
  <c r="AD26" i="63" s="1"/>
  <c r="AE26" i="63" s="1"/>
  <c r="Z45" i="63"/>
  <c r="AD45" i="63" s="1"/>
  <c r="AE45" i="63" s="1"/>
  <c r="Z39" i="63"/>
  <c r="AD39" i="63" s="1"/>
  <c r="AE39" i="63" s="1"/>
  <c r="Z57" i="63"/>
  <c r="AD57" i="63" s="1"/>
  <c r="AE57" i="63" s="1"/>
  <c r="Z28" i="63"/>
  <c r="AD28" i="63" s="1"/>
  <c r="AE28" i="63" s="1"/>
  <c r="Z42" i="63"/>
  <c r="AD42" i="63" s="1"/>
  <c r="AE42" i="63" s="1"/>
  <c r="Z55" i="63"/>
  <c r="AD55" i="63" s="1"/>
  <c r="AE55" i="63" s="1"/>
  <c r="Z22" i="63"/>
  <c r="AD22" i="63" s="1"/>
  <c r="AE22" i="63" s="1"/>
  <c r="Z11" i="63"/>
  <c r="AD11" i="63" s="1"/>
  <c r="AE11" i="63" s="1"/>
  <c r="Z49" i="63"/>
  <c r="AD49" i="63" s="1"/>
  <c r="AE49" i="63" s="1"/>
  <c r="Z58" i="63" l="1"/>
  <c r="AD58" i="63"/>
  <c r="AE7" i="63"/>
  <c r="AE58" i="63" l="1"/>
  <c r="AF7" i="63" s="1"/>
  <c r="N6" i="61" l="1"/>
  <c r="M6" i="61"/>
  <c r="L6" i="61"/>
  <c r="M5" i="46"/>
  <c r="G7" i="53"/>
  <c r="AF37" i="63"/>
  <c r="AF56" i="63"/>
  <c r="AF30" i="63"/>
  <c r="AF38" i="63"/>
  <c r="AF32" i="63"/>
  <c r="AF9" i="63"/>
  <c r="AF33" i="63"/>
  <c r="AF22" i="63"/>
  <c r="AF44" i="63"/>
  <c r="AF24" i="63"/>
  <c r="AF15" i="63"/>
  <c r="AF50" i="63"/>
  <c r="AF52" i="63"/>
  <c r="AF51" i="63"/>
  <c r="AF19" i="63"/>
  <c r="AF42" i="63"/>
  <c r="AF53" i="63"/>
  <c r="AF46" i="63"/>
  <c r="AF39" i="63"/>
  <c r="AF31" i="63"/>
  <c r="AF57" i="63"/>
  <c r="AF11" i="63"/>
  <c r="AF41" i="63"/>
  <c r="AF16" i="63"/>
  <c r="AF27" i="63"/>
  <c r="AF8" i="63"/>
  <c r="AF40" i="63"/>
  <c r="AF17" i="63"/>
  <c r="AF10" i="63"/>
  <c r="AF23" i="63"/>
  <c r="AF34" i="63"/>
  <c r="AF29" i="63"/>
  <c r="AF28" i="63"/>
  <c r="AF47" i="63"/>
  <c r="AF13" i="63"/>
  <c r="AF21" i="63"/>
  <c r="AF54" i="63"/>
  <c r="AF18" i="63"/>
  <c r="AF20" i="63"/>
  <c r="AF25" i="63"/>
  <c r="AF12" i="63"/>
  <c r="AF35" i="63"/>
  <c r="AF26" i="63"/>
  <c r="AF14" i="63"/>
  <c r="AF49" i="63"/>
  <c r="AF36" i="63"/>
  <c r="AF55" i="63"/>
  <c r="AF45" i="63"/>
  <c r="AF43" i="63"/>
  <c r="AF48" i="63"/>
  <c r="N24" i="61" l="1"/>
  <c r="M24" i="61"/>
  <c r="L24" i="61"/>
  <c r="M23" i="46"/>
  <c r="G25" i="53"/>
  <c r="L47" i="61"/>
  <c r="N47" i="61"/>
  <c r="M47" i="61"/>
  <c r="M46" i="46"/>
  <c r="G48" i="53"/>
  <c r="N41" i="61"/>
  <c r="M41" i="61"/>
  <c r="L41" i="61"/>
  <c r="M40" i="46"/>
  <c r="G42" i="53"/>
  <c r="N29" i="61"/>
  <c r="M29" i="61"/>
  <c r="L29" i="61"/>
  <c r="M28" i="46"/>
  <c r="G30" i="53"/>
  <c r="N53" i="61"/>
  <c r="M53" i="61"/>
  <c r="L53" i="61"/>
  <c r="M52" i="46"/>
  <c r="G54" i="53"/>
  <c r="L19" i="61"/>
  <c r="M19" i="61"/>
  <c r="N19" i="61"/>
  <c r="M18" i="46"/>
  <c r="G20" i="53"/>
  <c r="M55" i="61"/>
  <c r="N55" i="61"/>
  <c r="L55" i="61"/>
  <c r="M54" i="46"/>
  <c r="G56" i="53"/>
  <c r="N51" i="61"/>
  <c r="M51" i="61"/>
  <c r="L51" i="61"/>
  <c r="G52" i="53"/>
  <c r="M50" i="46"/>
  <c r="M20" i="61"/>
  <c r="L20" i="61"/>
  <c r="N20" i="61"/>
  <c r="G21" i="53"/>
  <c r="M19" i="46"/>
  <c r="N12" i="61"/>
  <c r="L12" i="61"/>
  <c r="M12" i="61"/>
  <c r="M11" i="46"/>
  <c r="G13" i="53"/>
  <c r="L10" i="61"/>
  <c r="N10" i="61"/>
  <c r="M10" i="61"/>
  <c r="G11" i="53"/>
  <c r="M9" i="46"/>
  <c r="M56" i="61"/>
  <c r="L56" i="61"/>
  <c r="N56" i="61"/>
  <c r="G57" i="53"/>
  <c r="M55" i="46"/>
  <c r="L13" i="61"/>
  <c r="N13" i="61"/>
  <c r="M13" i="61"/>
  <c r="G14" i="53"/>
  <c r="M12" i="46"/>
  <c r="N30" i="61"/>
  <c r="M30" i="61"/>
  <c r="L30" i="61"/>
  <c r="M29" i="46"/>
  <c r="G31" i="53"/>
  <c r="N21" i="61"/>
  <c r="L21" i="61"/>
  <c r="M21" i="61"/>
  <c r="G22" i="53"/>
  <c r="M20" i="46"/>
  <c r="N16" i="61"/>
  <c r="M16" i="61"/>
  <c r="L16" i="61"/>
  <c r="M15" i="46"/>
  <c r="G17" i="53"/>
  <c r="N39" i="61"/>
  <c r="M39" i="61"/>
  <c r="L39" i="61"/>
  <c r="M38" i="46"/>
  <c r="G40" i="53"/>
  <c r="AF58" i="63"/>
  <c r="M7" i="61"/>
  <c r="L7" i="61"/>
  <c r="N7" i="61"/>
  <c r="M6" i="46"/>
  <c r="G8" i="53"/>
  <c r="N26" i="61"/>
  <c r="L26" i="61"/>
  <c r="M26" i="61"/>
  <c r="M25" i="46"/>
  <c r="G27" i="53"/>
  <c r="L49" i="61"/>
  <c r="N49" i="61"/>
  <c r="M49" i="61"/>
  <c r="G50" i="53"/>
  <c r="M48" i="46"/>
  <c r="N14" i="61"/>
  <c r="M14" i="61"/>
  <c r="L14" i="61"/>
  <c r="G15" i="53"/>
  <c r="M13" i="46"/>
  <c r="M46" i="61"/>
  <c r="L46" i="61"/>
  <c r="N46" i="61"/>
  <c r="G47" i="53"/>
  <c r="M45" i="46"/>
  <c r="N27" i="61"/>
  <c r="M27" i="61"/>
  <c r="L27" i="61"/>
  <c r="G28" i="53"/>
  <c r="M26" i="46"/>
  <c r="N25" i="61"/>
  <c r="M25" i="61"/>
  <c r="L25" i="61"/>
  <c r="G26" i="53"/>
  <c r="M24" i="46"/>
  <c r="M32" i="61"/>
  <c r="L32" i="61"/>
  <c r="N32" i="61"/>
  <c r="G33" i="53"/>
  <c r="M31" i="46"/>
  <c r="N37" i="61"/>
  <c r="M37" i="61"/>
  <c r="L37" i="61"/>
  <c r="G38" i="53"/>
  <c r="M36" i="46"/>
  <c r="N17" i="61"/>
  <c r="M17" i="61"/>
  <c r="L17" i="61"/>
  <c r="M16" i="46"/>
  <c r="G18" i="53"/>
  <c r="N42" i="61"/>
  <c r="M42" i="61"/>
  <c r="L42" i="61"/>
  <c r="M41" i="46"/>
  <c r="G43" i="53"/>
  <c r="M44" i="61"/>
  <c r="L44" i="61"/>
  <c r="N44" i="61"/>
  <c r="G45" i="53"/>
  <c r="M43" i="46"/>
  <c r="N54" i="61"/>
  <c r="M54" i="61"/>
  <c r="L54" i="61"/>
  <c r="M53" i="46"/>
  <c r="G55" i="53"/>
  <c r="M35" i="61"/>
  <c r="L35" i="61"/>
  <c r="N35" i="61"/>
  <c r="M34" i="46"/>
  <c r="G36" i="53"/>
  <c r="N43" i="61"/>
  <c r="M43" i="61"/>
  <c r="L43" i="61"/>
  <c r="M42" i="46"/>
  <c r="G44" i="53"/>
  <c r="N28" i="61"/>
  <c r="M28" i="61"/>
  <c r="L28" i="61"/>
  <c r="M27" i="46"/>
  <c r="G29" i="53"/>
  <c r="L33" i="61"/>
  <c r="M33" i="61"/>
  <c r="N33" i="61"/>
  <c r="G34" i="53"/>
  <c r="M32" i="46"/>
  <c r="N38" i="61"/>
  <c r="M38" i="61"/>
  <c r="L38" i="61"/>
  <c r="G39" i="53"/>
  <c r="M37" i="46"/>
  <c r="L34" i="61"/>
  <c r="N34" i="61"/>
  <c r="M34" i="61"/>
  <c r="G35" i="53"/>
  <c r="M33" i="46"/>
  <c r="L22" i="61"/>
  <c r="N22" i="61"/>
  <c r="M22" i="61"/>
  <c r="G23" i="53"/>
  <c r="M21" i="46"/>
  <c r="M45" i="61"/>
  <c r="L45" i="61"/>
  <c r="N45" i="61"/>
  <c r="G46" i="53"/>
  <c r="M44" i="46"/>
  <c r="M8" i="61"/>
  <c r="L8" i="61"/>
  <c r="N8" i="61"/>
  <c r="G9" i="53"/>
  <c r="M7" i="46"/>
  <c r="M18" i="61"/>
  <c r="L18" i="61"/>
  <c r="N18" i="61"/>
  <c r="M17" i="46"/>
  <c r="G19" i="53"/>
  <c r="N50" i="61"/>
  <c r="L50" i="61"/>
  <c r="M50" i="61"/>
  <c r="M49" i="46"/>
  <c r="G51" i="53"/>
  <c r="L36" i="61"/>
  <c r="N36" i="61"/>
  <c r="M36" i="61"/>
  <c r="M35" i="46"/>
  <c r="G37" i="53"/>
  <c r="N15" i="61"/>
  <c r="M15" i="61"/>
  <c r="L15" i="61"/>
  <c r="M14" i="46"/>
  <c r="G16" i="53"/>
  <c r="N40" i="61"/>
  <c r="M40" i="61"/>
  <c r="L40" i="61"/>
  <c r="M39" i="46"/>
  <c r="G41" i="53"/>
  <c r="L23" i="61"/>
  <c r="M23" i="61"/>
  <c r="N23" i="61"/>
  <c r="M22" i="46"/>
  <c r="G24" i="53"/>
  <c r="N48" i="61"/>
  <c r="L48" i="61"/>
  <c r="M48" i="61"/>
  <c r="M47" i="46"/>
  <c r="G49" i="53"/>
  <c r="L11" i="61"/>
  <c r="N11" i="61"/>
  <c r="M11" i="61"/>
  <c r="M10" i="46"/>
  <c r="G12" i="53"/>
  <c r="M9" i="61"/>
  <c r="L9" i="61"/>
  <c r="N9" i="61"/>
  <c r="G10" i="53"/>
  <c r="M8" i="46"/>
  <c r="N52" i="61"/>
  <c r="M52" i="61"/>
  <c r="L52" i="61"/>
  <c r="M51" i="46"/>
  <c r="G53" i="53"/>
  <c r="M31" i="61"/>
  <c r="L31" i="61"/>
  <c r="N31" i="61"/>
  <c r="M30" i="46"/>
  <c r="G32" i="53"/>
  <c r="S56" i="61"/>
  <c r="S55" i="61"/>
  <c r="S54" i="61"/>
  <c r="S53" i="61"/>
  <c r="S52" i="61"/>
  <c r="S51" i="61"/>
  <c r="S50" i="61"/>
  <c r="S49" i="61"/>
  <c r="S48" i="61"/>
  <c r="S47" i="61"/>
  <c r="S46" i="61"/>
  <c r="S45" i="61"/>
  <c r="S44" i="61"/>
  <c r="S43" i="61"/>
  <c r="S42" i="61"/>
  <c r="S41" i="61"/>
  <c r="S40" i="61"/>
  <c r="S39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S9" i="61"/>
  <c r="S8" i="61"/>
  <c r="S7" i="61"/>
  <c r="S6" i="61"/>
  <c r="R57" i="61"/>
  <c r="C15" i="41"/>
  <c r="C14" i="41"/>
  <c r="B14" i="41"/>
  <c r="C10" i="41"/>
  <c r="B10" i="41"/>
  <c r="F11" i="41"/>
  <c r="P3" i="55" s="1"/>
  <c r="D11" i="41"/>
  <c r="D12" i="41"/>
  <c r="F12" i="41" s="1"/>
  <c r="F14" i="41" l="1"/>
  <c r="S57" i="61"/>
  <c r="B15" i="41"/>
  <c r="K5" i="53" l="1"/>
  <c r="C22" i="62"/>
  <c r="B22" i="62"/>
  <c r="B23" i="62" s="1"/>
  <c r="B14" i="62"/>
  <c r="B15" i="62" s="1"/>
  <c r="D13" i="62"/>
  <c r="D14" i="62" s="1"/>
  <c r="D12" i="62"/>
  <c r="D11" i="62"/>
  <c r="E10" i="62"/>
  <c r="B10" i="62"/>
  <c r="F9" i="62"/>
  <c r="D9" i="62"/>
  <c r="D8" i="62"/>
  <c r="F8" i="62" s="1"/>
  <c r="D7" i="62"/>
  <c r="F7" i="62" s="1"/>
  <c r="F6" i="62"/>
  <c r="D6" i="62"/>
  <c r="D5" i="62"/>
  <c r="F5" i="62" s="1"/>
  <c r="D4" i="62"/>
  <c r="F4" i="62" s="1"/>
  <c r="F10" i="62" s="1"/>
  <c r="F15" i="62" s="1"/>
  <c r="G57" i="61"/>
  <c r="F57" i="61"/>
  <c r="E57" i="61"/>
  <c r="D57" i="61"/>
  <c r="C57" i="61"/>
  <c r="B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7" i="61" l="1"/>
  <c r="D10" i="62"/>
  <c r="D15" i="62" s="1"/>
  <c r="N4" i="41" l="1"/>
  <c r="N15" i="41" l="1"/>
  <c r="L15" i="41"/>
  <c r="D13" i="41" l="1"/>
  <c r="D14" i="41" s="1"/>
  <c r="D10" i="41"/>
  <c r="D15" i="41" s="1"/>
  <c r="D9" i="41"/>
  <c r="D8" i="41"/>
  <c r="D7" i="41"/>
  <c r="D6" i="41"/>
  <c r="D5" i="41"/>
  <c r="D4" i="41"/>
  <c r="V58" i="59" l="1"/>
  <c r="U58" i="59"/>
  <c r="T58" i="59"/>
  <c r="S58" i="59"/>
  <c r="R58" i="59"/>
  <c r="Q58" i="59"/>
  <c r="P58" i="59"/>
  <c r="O58" i="59"/>
  <c r="N58" i="59"/>
  <c r="J58" i="59"/>
  <c r="I58" i="59"/>
  <c r="H58" i="59"/>
  <c r="G58" i="59"/>
  <c r="F58" i="59"/>
  <c r="E58" i="59"/>
  <c r="D58" i="59"/>
  <c r="C58" i="59"/>
  <c r="B58" i="59"/>
  <c r="AH57" i="59"/>
  <c r="AT57" i="59" s="1"/>
  <c r="AG57" i="59"/>
  <c r="AS57" i="59" s="1"/>
  <c r="AF57" i="59"/>
  <c r="AR57" i="59" s="1"/>
  <c r="AE57" i="59"/>
  <c r="AQ57" i="59" s="1"/>
  <c r="G55" i="46" s="1"/>
  <c r="AD57" i="59"/>
  <c r="AP57" i="59" s="1"/>
  <c r="AC57" i="59"/>
  <c r="AO57" i="59" s="1"/>
  <c r="AB57" i="59"/>
  <c r="AN57" i="59" s="1"/>
  <c r="AA57" i="59"/>
  <c r="AM57" i="59" s="1"/>
  <c r="Z57" i="59"/>
  <c r="AL57" i="59" s="1"/>
  <c r="W57" i="59"/>
  <c r="K57" i="59"/>
  <c r="AH56" i="59"/>
  <c r="AT56" i="59" s="1"/>
  <c r="AG56" i="59"/>
  <c r="AS56" i="59" s="1"/>
  <c r="AF56" i="59"/>
  <c r="AR56" i="59" s="1"/>
  <c r="AE56" i="59"/>
  <c r="AQ56" i="59" s="1"/>
  <c r="G54" i="46" s="1"/>
  <c r="AD56" i="59"/>
  <c r="AP56" i="59" s="1"/>
  <c r="AC56" i="59"/>
  <c r="AO56" i="59" s="1"/>
  <c r="AB56" i="59"/>
  <c r="AN56" i="59" s="1"/>
  <c r="AA56" i="59"/>
  <c r="AM56" i="59" s="1"/>
  <c r="Z56" i="59"/>
  <c r="AL56" i="59" s="1"/>
  <c r="W56" i="59"/>
  <c r="K56" i="59"/>
  <c r="AH55" i="59"/>
  <c r="AT55" i="59" s="1"/>
  <c r="AG55" i="59"/>
  <c r="AS55" i="59" s="1"/>
  <c r="AF55" i="59"/>
  <c r="AR55" i="59" s="1"/>
  <c r="AE55" i="59"/>
  <c r="AQ55" i="59" s="1"/>
  <c r="G53" i="46" s="1"/>
  <c r="AD55" i="59"/>
  <c r="AP55" i="59" s="1"/>
  <c r="AC55" i="59"/>
  <c r="AO55" i="59" s="1"/>
  <c r="AB55" i="59"/>
  <c r="AN55" i="59" s="1"/>
  <c r="AA55" i="59"/>
  <c r="AM55" i="59" s="1"/>
  <c r="Z55" i="59"/>
  <c r="AL55" i="59" s="1"/>
  <c r="W55" i="59"/>
  <c r="K55" i="59"/>
  <c r="AH54" i="59"/>
  <c r="AT54" i="59" s="1"/>
  <c r="AG54" i="59"/>
  <c r="AS54" i="59" s="1"/>
  <c r="AF54" i="59"/>
  <c r="AR54" i="59" s="1"/>
  <c r="AE54" i="59"/>
  <c r="AQ54" i="59" s="1"/>
  <c r="G52" i="46" s="1"/>
  <c r="AD54" i="59"/>
  <c r="AP54" i="59" s="1"/>
  <c r="AC54" i="59"/>
  <c r="AO54" i="59" s="1"/>
  <c r="AB54" i="59"/>
  <c r="AN54" i="59" s="1"/>
  <c r="AA54" i="59"/>
  <c r="AM54" i="59" s="1"/>
  <c r="Z54" i="59"/>
  <c r="AL54" i="59" s="1"/>
  <c r="W54" i="59"/>
  <c r="K54" i="59"/>
  <c r="AH53" i="59"/>
  <c r="AT53" i="59" s="1"/>
  <c r="AG53" i="59"/>
  <c r="AS53" i="59" s="1"/>
  <c r="AF53" i="59"/>
  <c r="AR53" i="59" s="1"/>
  <c r="AE53" i="59"/>
  <c r="AQ53" i="59" s="1"/>
  <c r="G51" i="46" s="1"/>
  <c r="AD53" i="59"/>
  <c r="AP53" i="59" s="1"/>
  <c r="AC53" i="59"/>
  <c r="AO53" i="59" s="1"/>
  <c r="AB53" i="59"/>
  <c r="AN53" i="59" s="1"/>
  <c r="AA53" i="59"/>
  <c r="AM53" i="59" s="1"/>
  <c r="Z53" i="59"/>
  <c r="AL53" i="59" s="1"/>
  <c r="W53" i="59"/>
  <c r="K53" i="59"/>
  <c r="AL52" i="59"/>
  <c r="AH52" i="59"/>
  <c r="AT52" i="59" s="1"/>
  <c r="AG52" i="59"/>
  <c r="AS52" i="59" s="1"/>
  <c r="AF52" i="59"/>
  <c r="AR52" i="59" s="1"/>
  <c r="AE52" i="59"/>
  <c r="AQ52" i="59" s="1"/>
  <c r="G50" i="46" s="1"/>
  <c r="AD52" i="59"/>
  <c r="AP52" i="59" s="1"/>
  <c r="AC52" i="59"/>
  <c r="AO52" i="59" s="1"/>
  <c r="AB52" i="59"/>
  <c r="AN52" i="59" s="1"/>
  <c r="AA52" i="59"/>
  <c r="AM52" i="59" s="1"/>
  <c r="Z52" i="59"/>
  <c r="W52" i="59"/>
  <c r="K52" i="59"/>
  <c r="AH51" i="59"/>
  <c r="AT51" i="59" s="1"/>
  <c r="AG51" i="59"/>
  <c r="AS51" i="59" s="1"/>
  <c r="AF51" i="59"/>
  <c r="AR51" i="59" s="1"/>
  <c r="AE51" i="59"/>
  <c r="AQ51" i="59" s="1"/>
  <c r="G49" i="46" s="1"/>
  <c r="AD51" i="59"/>
  <c r="AP51" i="59" s="1"/>
  <c r="AC51" i="59"/>
  <c r="AO51" i="59" s="1"/>
  <c r="AB51" i="59"/>
  <c r="AN51" i="59" s="1"/>
  <c r="AA51" i="59"/>
  <c r="AM51" i="59" s="1"/>
  <c r="Z51" i="59"/>
  <c r="AL51" i="59" s="1"/>
  <c r="W51" i="59"/>
  <c r="K51" i="59"/>
  <c r="AH50" i="59"/>
  <c r="AT50" i="59" s="1"/>
  <c r="AG50" i="59"/>
  <c r="AS50" i="59" s="1"/>
  <c r="AF50" i="59"/>
  <c r="AR50" i="59" s="1"/>
  <c r="AE50" i="59"/>
  <c r="AQ50" i="59" s="1"/>
  <c r="G48" i="46" s="1"/>
  <c r="AD50" i="59"/>
  <c r="AP50" i="59" s="1"/>
  <c r="AC50" i="59"/>
  <c r="AO50" i="59" s="1"/>
  <c r="AB50" i="59"/>
  <c r="AN50" i="59" s="1"/>
  <c r="AA50" i="59"/>
  <c r="AM50" i="59" s="1"/>
  <c r="Z50" i="59"/>
  <c r="AL50" i="59" s="1"/>
  <c r="W50" i="59"/>
  <c r="K50" i="59"/>
  <c r="AH49" i="59"/>
  <c r="AT49" i="59" s="1"/>
  <c r="AG49" i="59"/>
  <c r="AS49" i="59" s="1"/>
  <c r="AF49" i="59"/>
  <c r="AR49" i="59" s="1"/>
  <c r="AE49" i="59"/>
  <c r="AQ49" i="59" s="1"/>
  <c r="G47" i="46" s="1"/>
  <c r="AD49" i="59"/>
  <c r="AP49" i="59" s="1"/>
  <c r="AC49" i="59"/>
  <c r="AO49" i="59" s="1"/>
  <c r="AB49" i="59"/>
  <c r="AN49" i="59" s="1"/>
  <c r="AA49" i="59"/>
  <c r="AM49" i="59" s="1"/>
  <c r="Z49" i="59"/>
  <c r="AL49" i="59" s="1"/>
  <c r="W49" i="59"/>
  <c r="K49" i="59"/>
  <c r="AH48" i="59"/>
  <c r="AT48" i="59" s="1"/>
  <c r="AG48" i="59"/>
  <c r="AS48" i="59" s="1"/>
  <c r="AF48" i="59"/>
  <c r="AR48" i="59" s="1"/>
  <c r="AE48" i="59"/>
  <c r="AQ48" i="59" s="1"/>
  <c r="G46" i="46" s="1"/>
  <c r="AD48" i="59"/>
  <c r="AP48" i="59" s="1"/>
  <c r="AC48" i="59"/>
  <c r="AO48" i="59" s="1"/>
  <c r="AB48" i="59"/>
  <c r="AN48" i="59" s="1"/>
  <c r="AA48" i="59"/>
  <c r="AM48" i="59" s="1"/>
  <c r="Z48" i="59"/>
  <c r="AL48" i="59" s="1"/>
  <c r="W48" i="59"/>
  <c r="K48" i="59"/>
  <c r="AH47" i="59"/>
  <c r="AT47" i="59" s="1"/>
  <c r="AG47" i="59"/>
  <c r="AS47" i="59" s="1"/>
  <c r="AF47" i="59"/>
  <c r="AR47" i="59" s="1"/>
  <c r="AE47" i="59"/>
  <c r="AQ47" i="59" s="1"/>
  <c r="G45" i="46" s="1"/>
  <c r="AD47" i="59"/>
  <c r="AP47" i="59" s="1"/>
  <c r="AC47" i="59"/>
  <c r="AO47" i="59" s="1"/>
  <c r="AB47" i="59"/>
  <c r="AN47" i="59" s="1"/>
  <c r="AA47" i="59"/>
  <c r="AM47" i="59" s="1"/>
  <c r="Z47" i="59"/>
  <c r="AL47" i="59" s="1"/>
  <c r="W47" i="59"/>
  <c r="K47" i="59"/>
  <c r="AH46" i="59"/>
  <c r="AT46" i="59" s="1"/>
  <c r="AG46" i="59"/>
  <c r="AS46" i="59" s="1"/>
  <c r="AF46" i="59"/>
  <c r="AR46" i="59" s="1"/>
  <c r="AE46" i="59"/>
  <c r="AQ46" i="59" s="1"/>
  <c r="G44" i="46" s="1"/>
  <c r="AD46" i="59"/>
  <c r="AP46" i="59" s="1"/>
  <c r="AC46" i="59"/>
  <c r="AO46" i="59" s="1"/>
  <c r="AB46" i="59"/>
  <c r="AN46" i="59" s="1"/>
  <c r="AA46" i="59"/>
  <c r="AM46" i="59" s="1"/>
  <c r="Z46" i="59"/>
  <c r="AL46" i="59" s="1"/>
  <c r="W46" i="59"/>
  <c r="K46" i="59"/>
  <c r="AH45" i="59"/>
  <c r="AT45" i="59" s="1"/>
  <c r="AG45" i="59"/>
  <c r="AS45" i="59" s="1"/>
  <c r="AF45" i="59"/>
  <c r="AR45" i="59" s="1"/>
  <c r="AE45" i="59"/>
  <c r="AQ45" i="59" s="1"/>
  <c r="G43" i="46" s="1"/>
  <c r="AD45" i="59"/>
  <c r="AP45" i="59" s="1"/>
  <c r="AC45" i="59"/>
  <c r="AO45" i="59" s="1"/>
  <c r="AB45" i="59"/>
  <c r="AN45" i="59" s="1"/>
  <c r="AA45" i="59"/>
  <c r="AM45" i="59" s="1"/>
  <c r="Z45" i="59"/>
  <c r="AL45" i="59" s="1"/>
  <c r="W45" i="59"/>
  <c r="K45" i="59"/>
  <c r="AM44" i="59"/>
  <c r="AH44" i="59"/>
  <c r="AT44" i="59" s="1"/>
  <c r="AG44" i="59"/>
  <c r="AS44" i="59" s="1"/>
  <c r="AF44" i="59"/>
  <c r="AR44" i="59" s="1"/>
  <c r="AE44" i="59"/>
  <c r="AQ44" i="59" s="1"/>
  <c r="G42" i="46" s="1"/>
  <c r="AD44" i="59"/>
  <c r="AP44" i="59" s="1"/>
  <c r="AC44" i="59"/>
  <c r="AO44" i="59" s="1"/>
  <c r="AB44" i="59"/>
  <c r="AN44" i="59" s="1"/>
  <c r="AA44" i="59"/>
  <c r="Z44" i="59"/>
  <c r="AL44" i="59" s="1"/>
  <c r="W44" i="59"/>
  <c r="K44" i="59"/>
  <c r="AH43" i="59"/>
  <c r="AT43" i="59" s="1"/>
  <c r="AG43" i="59"/>
  <c r="AS43" i="59" s="1"/>
  <c r="AF43" i="59"/>
  <c r="AR43" i="59" s="1"/>
  <c r="AE43" i="59"/>
  <c r="AQ43" i="59" s="1"/>
  <c r="G41" i="46" s="1"/>
  <c r="AD43" i="59"/>
  <c r="AP43" i="59" s="1"/>
  <c r="AC43" i="59"/>
  <c r="AO43" i="59" s="1"/>
  <c r="AB43" i="59"/>
  <c r="AN43" i="59" s="1"/>
  <c r="AA43" i="59"/>
  <c r="AM43" i="59" s="1"/>
  <c r="Z43" i="59"/>
  <c r="AL43" i="59" s="1"/>
  <c r="W43" i="59"/>
  <c r="K43" i="59"/>
  <c r="AH42" i="59"/>
  <c r="AT42" i="59" s="1"/>
  <c r="AG42" i="59"/>
  <c r="AS42" i="59" s="1"/>
  <c r="AF42" i="59"/>
  <c r="AR42" i="59" s="1"/>
  <c r="AE42" i="59"/>
  <c r="AQ42" i="59" s="1"/>
  <c r="G40" i="46" s="1"/>
  <c r="AD42" i="59"/>
  <c r="AP42" i="59" s="1"/>
  <c r="AC42" i="59"/>
  <c r="AO42" i="59" s="1"/>
  <c r="AB42" i="59"/>
  <c r="AN42" i="59" s="1"/>
  <c r="AA42" i="59"/>
  <c r="AM42" i="59" s="1"/>
  <c r="Z42" i="59"/>
  <c r="AL42" i="59" s="1"/>
  <c r="W42" i="59"/>
  <c r="K42" i="59"/>
  <c r="AS41" i="59"/>
  <c r="AH41" i="59"/>
  <c r="AT41" i="59" s="1"/>
  <c r="AG41" i="59"/>
  <c r="AF41" i="59"/>
  <c r="AR41" i="59" s="1"/>
  <c r="AE41" i="59"/>
  <c r="AQ41" i="59" s="1"/>
  <c r="G39" i="46" s="1"/>
  <c r="AD41" i="59"/>
  <c r="AP41" i="59" s="1"/>
  <c r="AC41" i="59"/>
  <c r="AO41" i="59" s="1"/>
  <c r="AB41" i="59"/>
  <c r="AN41" i="59" s="1"/>
  <c r="AA41" i="59"/>
  <c r="AM41" i="59" s="1"/>
  <c r="Z41" i="59"/>
  <c r="AL41" i="59" s="1"/>
  <c r="W41" i="59"/>
  <c r="K41" i="59"/>
  <c r="AH40" i="59"/>
  <c r="AT40" i="59" s="1"/>
  <c r="AG40" i="59"/>
  <c r="AS40" i="59" s="1"/>
  <c r="AF40" i="59"/>
  <c r="AR40" i="59" s="1"/>
  <c r="AE40" i="59"/>
  <c r="AQ40" i="59" s="1"/>
  <c r="G38" i="46" s="1"/>
  <c r="AD40" i="59"/>
  <c r="AP40" i="59" s="1"/>
  <c r="AC40" i="59"/>
  <c r="AO40" i="59" s="1"/>
  <c r="AB40" i="59"/>
  <c r="AN40" i="59" s="1"/>
  <c r="AA40" i="59"/>
  <c r="AM40" i="59" s="1"/>
  <c r="Z40" i="59"/>
  <c r="AL40" i="59" s="1"/>
  <c r="W40" i="59"/>
  <c r="K40" i="59"/>
  <c r="AH39" i="59"/>
  <c r="AT39" i="59" s="1"/>
  <c r="AG39" i="59"/>
  <c r="AS39" i="59" s="1"/>
  <c r="AF39" i="59"/>
  <c r="AR39" i="59" s="1"/>
  <c r="AE39" i="59"/>
  <c r="AQ39" i="59" s="1"/>
  <c r="G37" i="46" s="1"/>
  <c r="AD39" i="59"/>
  <c r="AP39" i="59" s="1"/>
  <c r="AC39" i="59"/>
  <c r="AO39" i="59" s="1"/>
  <c r="AB39" i="59"/>
  <c r="AN39" i="59" s="1"/>
  <c r="AA39" i="59"/>
  <c r="AM39" i="59" s="1"/>
  <c r="Z39" i="59"/>
  <c r="AL39" i="59" s="1"/>
  <c r="W39" i="59"/>
  <c r="K39" i="59"/>
  <c r="AH38" i="59"/>
  <c r="AT38" i="59" s="1"/>
  <c r="AG38" i="59"/>
  <c r="AS38" i="59" s="1"/>
  <c r="AF38" i="59"/>
  <c r="AR38" i="59" s="1"/>
  <c r="AE38" i="59"/>
  <c r="AQ38" i="59" s="1"/>
  <c r="G36" i="46" s="1"/>
  <c r="AD38" i="59"/>
  <c r="AP38" i="59" s="1"/>
  <c r="AC38" i="59"/>
  <c r="AO38" i="59" s="1"/>
  <c r="AB38" i="59"/>
  <c r="AN38" i="59" s="1"/>
  <c r="AA38" i="59"/>
  <c r="AM38" i="59" s="1"/>
  <c r="Z38" i="59"/>
  <c r="AL38" i="59" s="1"/>
  <c r="W38" i="59"/>
  <c r="K38" i="59"/>
  <c r="AH37" i="59"/>
  <c r="AT37" i="59" s="1"/>
  <c r="AG37" i="59"/>
  <c r="AS37" i="59" s="1"/>
  <c r="AF37" i="59"/>
  <c r="AR37" i="59" s="1"/>
  <c r="AE37" i="59"/>
  <c r="AQ37" i="59" s="1"/>
  <c r="G35" i="46" s="1"/>
  <c r="AD37" i="59"/>
  <c r="AP37" i="59" s="1"/>
  <c r="AC37" i="59"/>
  <c r="AO37" i="59" s="1"/>
  <c r="AB37" i="59"/>
  <c r="AN37" i="59" s="1"/>
  <c r="AA37" i="59"/>
  <c r="AM37" i="59" s="1"/>
  <c r="Z37" i="59"/>
  <c r="AL37" i="59" s="1"/>
  <c r="W37" i="59"/>
  <c r="K37" i="59"/>
  <c r="AH36" i="59"/>
  <c r="AT36" i="59" s="1"/>
  <c r="AG36" i="59"/>
  <c r="AS36" i="59" s="1"/>
  <c r="AF36" i="59"/>
  <c r="AR36" i="59" s="1"/>
  <c r="AE36" i="59"/>
  <c r="AQ36" i="59" s="1"/>
  <c r="G34" i="46" s="1"/>
  <c r="AD36" i="59"/>
  <c r="AP36" i="59" s="1"/>
  <c r="AC36" i="59"/>
  <c r="AO36" i="59" s="1"/>
  <c r="AB36" i="59"/>
  <c r="AN36" i="59" s="1"/>
  <c r="AA36" i="59"/>
  <c r="AM36" i="59" s="1"/>
  <c r="Z36" i="59"/>
  <c r="AL36" i="59" s="1"/>
  <c r="W36" i="59"/>
  <c r="K36" i="59"/>
  <c r="AH35" i="59"/>
  <c r="AT35" i="59" s="1"/>
  <c r="AG35" i="59"/>
  <c r="AS35" i="59" s="1"/>
  <c r="AF35" i="59"/>
  <c r="AR35" i="59" s="1"/>
  <c r="AE35" i="59"/>
  <c r="AQ35" i="59" s="1"/>
  <c r="G33" i="46" s="1"/>
  <c r="AD35" i="59"/>
  <c r="AP35" i="59" s="1"/>
  <c r="AC35" i="59"/>
  <c r="AO35" i="59" s="1"/>
  <c r="AB35" i="59"/>
  <c r="AN35" i="59" s="1"/>
  <c r="AA35" i="59"/>
  <c r="AM35" i="59" s="1"/>
  <c r="Z35" i="59"/>
  <c r="AL35" i="59" s="1"/>
  <c r="W35" i="59"/>
  <c r="K35" i="59"/>
  <c r="AH34" i="59"/>
  <c r="AT34" i="59" s="1"/>
  <c r="AG34" i="59"/>
  <c r="AS34" i="59" s="1"/>
  <c r="AF34" i="59"/>
  <c r="AR34" i="59" s="1"/>
  <c r="AE34" i="59"/>
  <c r="AQ34" i="59" s="1"/>
  <c r="G32" i="46" s="1"/>
  <c r="AD34" i="59"/>
  <c r="AP34" i="59" s="1"/>
  <c r="AC34" i="59"/>
  <c r="AO34" i="59" s="1"/>
  <c r="AB34" i="59"/>
  <c r="AN34" i="59" s="1"/>
  <c r="AA34" i="59"/>
  <c r="AM34" i="59" s="1"/>
  <c r="Z34" i="59"/>
  <c r="AL34" i="59" s="1"/>
  <c r="W34" i="59"/>
  <c r="K34" i="59"/>
  <c r="AH33" i="59"/>
  <c r="AT33" i="59" s="1"/>
  <c r="AG33" i="59"/>
  <c r="AS33" i="59" s="1"/>
  <c r="AF33" i="59"/>
  <c r="AR33" i="59" s="1"/>
  <c r="AE33" i="59"/>
  <c r="AQ33" i="59" s="1"/>
  <c r="G31" i="46" s="1"/>
  <c r="AD33" i="59"/>
  <c r="AP33" i="59" s="1"/>
  <c r="AC33" i="59"/>
  <c r="AO33" i="59" s="1"/>
  <c r="AB33" i="59"/>
  <c r="AN33" i="59" s="1"/>
  <c r="AA33" i="59"/>
  <c r="AM33" i="59" s="1"/>
  <c r="Z33" i="59"/>
  <c r="AL33" i="59" s="1"/>
  <c r="W33" i="59"/>
  <c r="K33" i="59"/>
  <c r="AH32" i="59"/>
  <c r="AT32" i="59" s="1"/>
  <c r="AG32" i="59"/>
  <c r="AS32" i="59" s="1"/>
  <c r="AF32" i="59"/>
  <c r="AR32" i="59" s="1"/>
  <c r="AE32" i="59"/>
  <c r="AQ32" i="59" s="1"/>
  <c r="G30" i="46" s="1"/>
  <c r="AD32" i="59"/>
  <c r="AP32" i="59" s="1"/>
  <c r="AC32" i="59"/>
  <c r="AO32" i="59" s="1"/>
  <c r="AB32" i="59"/>
  <c r="AN32" i="59" s="1"/>
  <c r="AA32" i="59"/>
  <c r="AM32" i="59" s="1"/>
  <c r="Z32" i="59"/>
  <c r="AL32" i="59" s="1"/>
  <c r="W32" i="59"/>
  <c r="K32" i="59"/>
  <c r="AH31" i="59"/>
  <c r="AT31" i="59" s="1"/>
  <c r="AG31" i="59"/>
  <c r="AS31" i="59" s="1"/>
  <c r="AF31" i="59"/>
  <c r="AR31" i="59" s="1"/>
  <c r="AE31" i="59"/>
  <c r="AQ31" i="59" s="1"/>
  <c r="G29" i="46" s="1"/>
  <c r="AD31" i="59"/>
  <c r="AP31" i="59" s="1"/>
  <c r="AC31" i="59"/>
  <c r="AO31" i="59" s="1"/>
  <c r="AB31" i="59"/>
  <c r="AN31" i="59" s="1"/>
  <c r="AA31" i="59"/>
  <c r="AM31" i="59" s="1"/>
  <c r="Z31" i="59"/>
  <c r="AL31" i="59" s="1"/>
  <c r="W31" i="59"/>
  <c r="K31" i="59"/>
  <c r="AH30" i="59"/>
  <c r="AT30" i="59" s="1"/>
  <c r="AG30" i="59"/>
  <c r="AS30" i="59" s="1"/>
  <c r="AF30" i="59"/>
  <c r="AR30" i="59" s="1"/>
  <c r="AE30" i="59"/>
  <c r="AQ30" i="59" s="1"/>
  <c r="G28" i="46" s="1"/>
  <c r="AD30" i="59"/>
  <c r="AP30" i="59" s="1"/>
  <c r="AC30" i="59"/>
  <c r="AO30" i="59" s="1"/>
  <c r="AB30" i="59"/>
  <c r="AN30" i="59" s="1"/>
  <c r="AA30" i="59"/>
  <c r="AM30" i="59" s="1"/>
  <c r="Z30" i="59"/>
  <c r="W30" i="59"/>
  <c r="K30" i="59"/>
  <c r="AS29" i="59"/>
  <c r="AH29" i="59"/>
  <c r="AT29" i="59" s="1"/>
  <c r="AG29" i="59"/>
  <c r="AF29" i="59"/>
  <c r="AR29" i="59" s="1"/>
  <c r="AE29" i="59"/>
  <c r="AQ29" i="59" s="1"/>
  <c r="G27" i="46" s="1"/>
  <c r="AD29" i="59"/>
  <c r="AP29" i="59" s="1"/>
  <c r="AC29" i="59"/>
  <c r="AO29" i="59" s="1"/>
  <c r="AB29" i="59"/>
  <c r="AN29" i="59" s="1"/>
  <c r="AA29" i="59"/>
  <c r="AM29" i="59" s="1"/>
  <c r="Z29" i="59"/>
  <c r="AL29" i="59" s="1"/>
  <c r="W29" i="59"/>
  <c r="K29" i="59"/>
  <c r="AT28" i="59"/>
  <c r="AH28" i="59"/>
  <c r="AG28" i="59"/>
  <c r="AS28" i="59" s="1"/>
  <c r="AF28" i="59"/>
  <c r="AR28" i="59" s="1"/>
  <c r="AE28" i="59"/>
  <c r="AQ28" i="59" s="1"/>
  <c r="G26" i="46" s="1"/>
  <c r="AD28" i="59"/>
  <c r="AP28" i="59" s="1"/>
  <c r="AC28" i="59"/>
  <c r="AO28" i="59" s="1"/>
  <c r="AB28" i="59"/>
  <c r="AN28" i="59" s="1"/>
  <c r="AA28" i="59"/>
  <c r="AM28" i="59" s="1"/>
  <c r="Z28" i="59"/>
  <c r="AL28" i="59" s="1"/>
  <c r="W28" i="59"/>
  <c r="K28" i="59"/>
  <c r="AH27" i="59"/>
  <c r="AT27" i="59" s="1"/>
  <c r="AG27" i="59"/>
  <c r="AS27" i="59" s="1"/>
  <c r="AF27" i="59"/>
  <c r="AR27" i="59" s="1"/>
  <c r="AE27" i="59"/>
  <c r="AQ27" i="59" s="1"/>
  <c r="G25" i="46" s="1"/>
  <c r="AD27" i="59"/>
  <c r="AP27" i="59" s="1"/>
  <c r="AC27" i="59"/>
  <c r="AO27" i="59" s="1"/>
  <c r="AB27" i="59"/>
  <c r="AN27" i="59" s="1"/>
  <c r="AA27" i="59"/>
  <c r="AM27" i="59" s="1"/>
  <c r="Z27" i="59"/>
  <c r="AL27" i="59" s="1"/>
  <c r="W27" i="59"/>
  <c r="K27" i="59"/>
  <c r="AM26" i="59"/>
  <c r="AH26" i="59"/>
  <c r="AT26" i="59" s="1"/>
  <c r="AG26" i="59"/>
  <c r="AS26" i="59" s="1"/>
  <c r="AF26" i="59"/>
  <c r="AR26" i="59" s="1"/>
  <c r="AE26" i="59"/>
  <c r="AQ26" i="59" s="1"/>
  <c r="G24" i="46" s="1"/>
  <c r="AD26" i="59"/>
  <c r="AP26" i="59" s="1"/>
  <c r="AC26" i="59"/>
  <c r="AO26" i="59" s="1"/>
  <c r="AB26" i="59"/>
  <c r="AN26" i="59" s="1"/>
  <c r="AA26" i="59"/>
  <c r="Z26" i="59"/>
  <c r="AL26" i="59" s="1"/>
  <c r="W26" i="59"/>
  <c r="K26" i="59"/>
  <c r="AL25" i="59"/>
  <c r="AH25" i="59"/>
  <c r="AT25" i="59" s="1"/>
  <c r="AG25" i="59"/>
  <c r="AS25" i="59" s="1"/>
  <c r="AF25" i="59"/>
  <c r="AR25" i="59" s="1"/>
  <c r="AE25" i="59"/>
  <c r="AQ25" i="59" s="1"/>
  <c r="G23" i="46" s="1"/>
  <c r="AD25" i="59"/>
  <c r="AP25" i="59" s="1"/>
  <c r="AC25" i="59"/>
  <c r="AO25" i="59" s="1"/>
  <c r="AB25" i="59"/>
  <c r="AN25" i="59" s="1"/>
  <c r="AA25" i="59"/>
  <c r="AM25" i="59" s="1"/>
  <c r="Z25" i="59"/>
  <c r="W25" i="59"/>
  <c r="K25" i="59"/>
  <c r="AH24" i="59"/>
  <c r="AT24" i="59" s="1"/>
  <c r="AG24" i="59"/>
  <c r="AS24" i="59" s="1"/>
  <c r="AF24" i="59"/>
  <c r="AR24" i="59" s="1"/>
  <c r="AE24" i="59"/>
  <c r="AQ24" i="59" s="1"/>
  <c r="G22" i="46" s="1"/>
  <c r="AD24" i="59"/>
  <c r="AP24" i="59" s="1"/>
  <c r="AC24" i="59"/>
  <c r="AO24" i="59" s="1"/>
  <c r="AB24" i="59"/>
  <c r="AN24" i="59" s="1"/>
  <c r="AA24" i="59"/>
  <c r="AM24" i="59" s="1"/>
  <c r="Z24" i="59"/>
  <c r="AL24" i="59" s="1"/>
  <c r="W24" i="59"/>
  <c r="K24" i="59"/>
  <c r="AH23" i="59"/>
  <c r="AT23" i="59" s="1"/>
  <c r="AG23" i="59"/>
  <c r="AS23" i="59" s="1"/>
  <c r="AF23" i="59"/>
  <c r="AR23" i="59" s="1"/>
  <c r="AE23" i="59"/>
  <c r="AQ23" i="59" s="1"/>
  <c r="G21" i="46" s="1"/>
  <c r="AD23" i="59"/>
  <c r="AP23" i="59" s="1"/>
  <c r="AC23" i="59"/>
  <c r="AO23" i="59" s="1"/>
  <c r="AB23" i="59"/>
  <c r="AN23" i="59" s="1"/>
  <c r="AA23" i="59"/>
  <c r="AM23" i="59" s="1"/>
  <c r="Z23" i="59"/>
  <c r="AL23" i="59" s="1"/>
  <c r="W23" i="59"/>
  <c r="K23" i="59"/>
  <c r="AH22" i="59"/>
  <c r="AT22" i="59" s="1"/>
  <c r="AG22" i="59"/>
  <c r="AS22" i="59" s="1"/>
  <c r="AF22" i="59"/>
  <c r="AR22" i="59" s="1"/>
  <c r="AE22" i="59"/>
  <c r="AQ22" i="59" s="1"/>
  <c r="G20" i="46" s="1"/>
  <c r="AD22" i="59"/>
  <c r="AP22" i="59" s="1"/>
  <c r="AC22" i="59"/>
  <c r="AO22" i="59" s="1"/>
  <c r="AB22" i="59"/>
  <c r="AN22" i="59" s="1"/>
  <c r="AA22" i="59"/>
  <c r="AM22" i="59" s="1"/>
  <c r="Z22" i="59"/>
  <c r="AL22" i="59" s="1"/>
  <c r="W22" i="59"/>
  <c r="K22" i="59"/>
  <c r="AR21" i="59"/>
  <c r="AH21" i="59"/>
  <c r="AT21" i="59" s="1"/>
  <c r="AG21" i="59"/>
  <c r="AS21" i="59" s="1"/>
  <c r="AF21" i="59"/>
  <c r="AE21" i="59"/>
  <c r="AQ21" i="59" s="1"/>
  <c r="G19" i="46" s="1"/>
  <c r="AD21" i="59"/>
  <c r="AP21" i="59" s="1"/>
  <c r="AC21" i="59"/>
  <c r="AO21" i="59" s="1"/>
  <c r="AB21" i="59"/>
  <c r="AN21" i="59" s="1"/>
  <c r="AA21" i="59"/>
  <c r="AM21" i="59" s="1"/>
  <c r="Z21" i="59"/>
  <c r="AL21" i="59" s="1"/>
  <c r="W21" i="59"/>
  <c r="K21" i="59"/>
  <c r="AH20" i="59"/>
  <c r="AT20" i="59" s="1"/>
  <c r="AG20" i="59"/>
  <c r="AS20" i="59" s="1"/>
  <c r="AF20" i="59"/>
  <c r="AR20" i="59" s="1"/>
  <c r="AE20" i="59"/>
  <c r="AQ20" i="59" s="1"/>
  <c r="G18" i="46" s="1"/>
  <c r="AD20" i="59"/>
  <c r="AP20" i="59" s="1"/>
  <c r="AC20" i="59"/>
  <c r="AO20" i="59" s="1"/>
  <c r="AB20" i="59"/>
  <c r="AN20" i="59" s="1"/>
  <c r="AA20" i="59"/>
  <c r="AM20" i="59" s="1"/>
  <c r="Z20" i="59"/>
  <c r="AL20" i="59" s="1"/>
  <c r="W20" i="59"/>
  <c r="K20" i="59"/>
  <c r="AL19" i="59"/>
  <c r="AH19" i="59"/>
  <c r="AT19" i="59" s="1"/>
  <c r="AG19" i="59"/>
  <c r="AS19" i="59" s="1"/>
  <c r="AF19" i="59"/>
  <c r="AR19" i="59" s="1"/>
  <c r="AE19" i="59"/>
  <c r="AQ19" i="59" s="1"/>
  <c r="G17" i="46" s="1"/>
  <c r="AD19" i="59"/>
  <c r="AP19" i="59" s="1"/>
  <c r="AC19" i="59"/>
  <c r="AO19" i="59" s="1"/>
  <c r="AB19" i="59"/>
  <c r="AN19" i="59" s="1"/>
  <c r="AA19" i="59"/>
  <c r="AM19" i="59" s="1"/>
  <c r="Z19" i="59"/>
  <c r="W19" i="59"/>
  <c r="K19" i="59"/>
  <c r="AH18" i="59"/>
  <c r="AT18" i="59" s="1"/>
  <c r="AG18" i="59"/>
  <c r="AS18" i="59" s="1"/>
  <c r="AF18" i="59"/>
  <c r="AR18" i="59" s="1"/>
  <c r="AE18" i="59"/>
  <c r="AQ18" i="59" s="1"/>
  <c r="G16" i="46" s="1"/>
  <c r="AD18" i="59"/>
  <c r="AP18" i="59" s="1"/>
  <c r="AC18" i="59"/>
  <c r="AO18" i="59" s="1"/>
  <c r="AB18" i="59"/>
  <c r="AN18" i="59" s="1"/>
  <c r="AA18" i="59"/>
  <c r="AM18" i="59" s="1"/>
  <c r="Z18" i="59"/>
  <c r="AL18" i="59" s="1"/>
  <c r="W18" i="59"/>
  <c r="K18" i="59"/>
  <c r="AH17" i="59"/>
  <c r="AT17" i="59" s="1"/>
  <c r="AG17" i="59"/>
  <c r="AS17" i="59" s="1"/>
  <c r="AF17" i="59"/>
  <c r="AR17" i="59" s="1"/>
  <c r="AE17" i="59"/>
  <c r="AQ17" i="59" s="1"/>
  <c r="G15" i="46" s="1"/>
  <c r="AD17" i="59"/>
  <c r="AP17" i="59" s="1"/>
  <c r="AC17" i="59"/>
  <c r="AO17" i="59" s="1"/>
  <c r="AB17" i="59"/>
  <c r="AN17" i="59" s="1"/>
  <c r="AA17" i="59"/>
  <c r="AM17" i="59" s="1"/>
  <c r="Z17" i="59"/>
  <c r="AL17" i="59" s="1"/>
  <c r="W17" i="59"/>
  <c r="K17" i="59"/>
  <c r="AH16" i="59"/>
  <c r="AT16" i="59" s="1"/>
  <c r="AG16" i="59"/>
  <c r="AS16" i="59" s="1"/>
  <c r="AF16" i="59"/>
  <c r="AR16" i="59" s="1"/>
  <c r="AE16" i="59"/>
  <c r="AQ16" i="59" s="1"/>
  <c r="G14" i="46" s="1"/>
  <c r="AD16" i="59"/>
  <c r="AP16" i="59" s="1"/>
  <c r="AC16" i="59"/>
  <c r="AO16" i="59" s="1"/>
  <c r="AB16" i="59"/>
  <c r="AN16" i="59" s="1"/>
  <c r="AA16" i="59"/>
  <c r="AM16" i="59" s="1"/>
  <c r="Z16" i="59"/>
  <c r="AL16" i="59" s="1"/>
  <c r="W16" i="59"/>
  <c r="K16" i="59"/>
  <c r="AH15" i="59"/>
  <c r="AT15" i="59" s="1"/>
  <c r="AG15" i="59"/>
  <c r="AS15" i="59" s="1"/>
  <c r="AF15" i="59"/>
  <c r="AR15" i="59" s="1"/>
  <c r="AE15" i="59"/>
  <c r="AQ15" i="59" s="1"/>
  <c r="G13" i="46" s="1"/>
  <c r="AD15" i="59"/>
  <c r="AP15" i="59" s="1"/>
  <c r="AC15" i="59"/>
  <c r="AO15" i="59" s="1"/>
  <c r="AB15" i="59"/>
  <c r="AN15" i="59" s="1"/>
  <c r="AA15" i="59"/>
  <c r="AM15" i="59" s="1"/>
  <c r="Z15" i="59"/>
  <c r="AL15" i="59" s="1"/>
  <c r="W15" i="59"/>
  <c r="K15" i="59"/>
  <c r="AH14" i="59"/>
  <c r="AT14" i="59" s="1"/>
  <c r="AG14" i="59"/>
  <c r="AS14" i="59" s="1"/>
  <c r="AF14" i="59"/>
  <c r="AR14" i="59" s="1"/>
  <c r="AE14" i="59"/>
  <c r="AQ14" i="59" s="1"/>
  <c r="G12" i="46" s="1"/>
  <c r="AD14" i="59"/>
  <c r="AP14" i="59" s="1"/>
  <c r="AC14" i="59"/>
  <c r="AO14" i="59" s="1"/>
  <c r="AB14" i="59"/>
  <c r="AN14" i="59" s="1"/>
  <c r="AA14" i="59"/>
  <c r="AM14" i="59" s="1"/>
  <c r="Z14" i="59"/>
  <c r="AL14" i="59" s="1"/>
  <c r="W14" i="59"/>
  <c r="K14" i="59"/>
  <c r="AH13" i="59"/>
  <c r="AT13" i="59" s="1"/>
  <c r="AG13" i="59"/>
  <c r="AS13" i="59" s="1"/>
  <c r="AF13" i="59"/>
  <c r="AR13" i="59" s="1"/>
  <c r="AE13" i="59"/>
  <c r="AQ13" i="59" s="1"/>
  <c r="G11" i="46" s="1"/>
  <c r="AD13" i="59"/>
  <c r="AP13" i="59" s="1"/>
  <c r="AC13" i="59"/>
  <c r="AO13" i="59" s="1"/>
  <c r="AB13" i="59"/>
  <c r="AN13" i="59" s="1"/>
  <c r="AA13" i="59"/>
  <c r="AM13" i="59" s="1"/>
  <c r="Z13" i="59"/>
  <c r="AL13" i="59" s="1"/>
  <c r="W13" i="59"/>
  <c r="K13" i="59"/>
  <c r="AH12" i="59"/>
  <c r="AT12" i="59" s="1"/>
  <c r="AG12" i="59"/>
  <c r="AS12" i="59" s="1"/>
  <c r="AF12" i="59"/>
  <c r="AR12" i="59" s="1"/>
  <c r="AE12" i="59"/>
  <c r="AQ12" i="59" s="1"/>
  <c r="G10" i="46" s="1"/>
  <c r="AD12" i="59"/>
  <c r="AP12" i="59" s="1"/>
  <c r="AC12" i="59"/>
  <c r="AO12" i="59" s="1"/>
  <c r="AB12" i="59"/>
  <c r="AN12" i="59" s="1"/>
  <c r="AA12" i="59"/>
  <c r="AM12" i="59" s="1"/>
  <c r="Z12" i="59"/>
  <c r="AL12" i="59" s="1"/>
  <c r="W12" i="59"/>
  <c r="K12" i="59"/>
  <c r="AH11" i="59"/>
  <c r="AT11" i="59" s="1"/>
  <c r="AG11" i="59"/>
  <c r="AS11" i="59" s="1"/>
  <c r="AF11" i="59"/>
  <c r="AR11" i="59" s="1"/>
  <c r="AE11" i="59"/>
  <c r="AQ11" i="59" s="1"/>
  <c r="G9" i="46" s="1"/>
  <c r="AD11" i="59"/>
  <c r="AP11" i="59" s="1"/>
  <c r="AC11" i="59"/>
  <c r="AO11" i="59" s="1"/>
  <c r="AB11" i="59"/>
  <c r="AN11" i="59" s="1"/>
  <c r="AA11" i="59"/>
  <c r="AM11" i="59" s="1"/>
  <c r="Z11" i="59"/>
  <c r="AL11" i="59" s="1"/>
  <c r="W11" i="59"/>
  <c r="K11" i="59"/>
  <c r="AH10" i="59"/>
  <c r="AT10" i="59" s="1"/>
  <c r="AG10" i="59"/>
  <c r="AS10" i="59" s="1"/>
  <c r="AF10" i="59"/>
  <c r="AR10" i="59" s="1"/>
  <c r="AE10" i="59"/>
  <c r="AQ10" i="59" s="1"/>
  <c r="G8" i="46" s="1"/>
  <c r="AD10" i="59"/>
  <c r="AP10" i="59" s="1"/>
  <c r="AC10" i="59"/>
  <c r="AO10" i="59" s="1"/>
  <c r="AB10" i="59"/>
  <c r="AN10" i="59" s="1"/>
  <c r="AA10" i="59"/>
  <c r="AM10" i="59" s="1"/>
  <c r="Z10" i="59"/>
  <c r="AL10" i="59" s="1"/>
  <c r="W10" i="59"/>
  <c r="K10" i="59"/>
  <c r="AH9" i="59"/>
  <c r="AT9" i="59" s="1"/>
  <c r="AG9" i="59"/>
  <c r="AS9" i="59" s="1"/>
  <c r="AF9" i="59"/>
  <c r="AR9" i="59" s="1"/>
  <c r="AE9" i="59"/>
  <c r="AQ9" i="59" s="1"/>
  <c r="G7" i="46" s="1"/>
  <c r="AD9" i="59"/>
  <c r="AP9" i="59" s="1"/>
  <c r="AC9" i="59"/>
  <c r="AO9" i="59" s="1"/>
  <c r="AB9" i="59"/>
  <c r="AN9" i="59" s="1"/>
  <c r="AA9" i="59"/>
  <c r="AM9" i="59" s="1"/>
  <c r="Z9" i="59"/>
  <c r="AL9" i="59" s="1"/>
  <c r="W9" i="59"/>
  <c r="K9" i="59"/>
  <c r="AH8" i="59"/>
  <c r="AT8" i="59" s="1"/>
  <c r="AG8" i="59"/>
  <c r="AS8" i="59" s="1"/>
  <c r="AF8" i="59"/>
  <c r="AR8" i="59" s="1"/>
  <c r="AE8" i="59"/>
  <c r="AQ8" i="59" s="1"/>
  <c r="G6" i="46" s="1"/>
  <c r="AD8" i="59"/>
  <c r="AP8" i="59" s="1"/>
  <c r="AC8" i="59"/>
  <c r="AO8" i="59" s="1"/>
  <c r="AB8" i="59"/>
  <c r="AN8" i="59" s="1"/>
  <c r="AA8" i="59"/>
  <c r="AM8" i="59" s="1"/>
  <c r="Z8" i="59"/>
  <c r="AL8" i="59" s="1"/>
  <c r="W8" i="59"/>
  <c r="K8" i="59"/>
  <c r="AH7" i="59"/>
  <c r="AG7" i="59"/>
  <c r="AF7" i="59"/>
  <c r="AE7" i="59"/>
  <c r="AD7" i="59"/>
  <c r="AC7" i="59"/>
  <c r="AB7" i="59"/>
  <c r="AA7" i="59"/>
  <c r="Z7" i="59"/>
  <c r="AL7" i="59" s="1"/>
  <c r="W7" i="59"/>
  <c r="K7" i="59"/>
  <c r="C60" i="58"/>
  <c r="N59" i="58"/>
  <c r="M57" i="58"/>
  <c r="M60" i="58" s="1"/>
  <c r="L57" i="58"/>
  <c r="L60" i="58" s="1"/>
  <c r="K57" i="58"/>
  <c r="K60" i="58" s="1"/>
  <c r="J57" i="58"/>
  <c r="J60" i="58" s="1"/>
  <c r="I57" i="58"/>
  <c r="I60" i="58" s="1"/>
  <c r="H57" i="58"/>
  <c r="H60" i="58" s="1"/>
  <c r="G57" i="58"/>
  <c r="G60" i="58" s="1"/>
  <c r="F57" i="58"/>
  <c r="F60" i="58" s="1"/>
  <c r="E57" i="58"/>
  <c r="E60" i="58" s="1"/>
  <c r="D57" i="58"/>
  <c r="D60" i="58" s="1"/>
  <c r="C57" i="58"/>
  <c r="B57" i="58"/>
  <c r="B60" i="58" s="1"/>
  <c r="N56" i="58"/>
  <c r="O56" i="58" s="1"/>
  <c r="N55" i="58"/>
  <c r="N54" i="58"/>
  <c r="N53" i="58"/>
  <c r="N52" i="58"/>
  <c r="N51" i="58"/>
  <c r="N50" i="58"/>
  <c r="O50" i="58" s="1"/>
  <c r="N49" i="58"/>
  <c r="N48" i="58"/>
  <c r="O48" i="58" s="1"/>
  <c r="N47" i="58"/>
  <c r="O47" i="58" s="1"/>
  <c r="N46" i="58"/>
  <c r="O46" i="58" s="1"/>
  <c r="N45" i="58"/>
  <c r="O45" i="58" s="1"/>
  <c r="N44" i="58"/>
  <c r="O44" i="58" s="1"/>
  <c r="N43" i="58"/>
  <c r="N42" i="58"/>
  <c r="N41" i="58"/>
  <c r="N40" i="58"/>
  <c r="N39" i="58"/>
  <c r="N38" i="58"/>
  <c r="O38" i="58" s="1"/>
  <c r="N37" i="58"/>
  <c r="N36" i="58"/>
  <c r="O36" i="58" s="1"/>
  <c r="N35" i="58"/>
  <c r="O35" i="58" s="1"/>
  <c r="N34" i="58"/>
  <c r="O34" i="58" s="1"/>
  <c r="N33" i="58"/>
  <c r="O33" i="58" s="1"/>
  <c r="N32" i="58"/>
  <c r="O32" i="58" s="1"/>
  <c r="N31" i="58"/>
  <c r="N30" i="58"/>
  <c r="N29" i="58"/>
  <c r="N28" i="58"/>
  <c r="N27" i="58"/>
  <c r="N26" i="58"/>
  <c r="O26" i="58" s="1"/>
  <c r="N25" i="58"/>
  <c r="N24" i="58"/>
  <c r="O24" i="58" s="1"/>
  <c r="N23" i="58"/>
  <c r="O23" i="58" s="1"/>
  <c r="N22" i="58"/>
  <c r="O22" i="58" s="1"/>
  <c r="N21" i="58"/>
  <c r="O21" i="58" s="1"/>
  <c r="N20" i="58"/>
  <c r="O20" i="58" s="1"/>
  <c r="N19" i="58"/>
  <c r="N18" i="58"/>
  <c r="N17" i="58"/>
  <c r="N16" i="58"/>
  <c r="N15" i="58"/>
  <c r="N14" i="58"/>
  <c r="O14" i="58" s="1"/>
  <c r="N13" i="58"/>
  <c r="N12" i="58"/>
  <c r="O12" i="58" s="1"/>
  <c r="N11" i="58"/>
  <c r="O11" i="58" s="1"/>
  <c r="N10" i="58"/>
  <c r="O10" i="58" s="1"/>
  <c r="N9" i="58"/>
  <c r="O9" i="58" s="1"/>
  <c r="N8" i="58"/>
  <c r="O8" i="58" s="1"/>
  <c r="N7" i="58"/>
  <c r="N6" i="58"/>
  <c r="N57" i="58" s="1"/>
  <c r="N60" i="58" s="1"/>
  <c r="AI7" i="59" l="1"/>
  <c r="AG58" i="59"/>
  <c r="AB58" i="59"/>
  <c r="AI55" i="59"/>
  <c r="AI31" i="59"/>
  <c r="AI19" i="59"/>
  <c r="K58" i="59"/>
  <c r="K59" i="59" s="1"/>
  <c r="AU21" i="59"/>
  <c r="AU29" i="59"/>
  <c r="AU42" i="59"/>
  <c r="AU44" i="59"/>
  <c r="AI49" i="59"/>
  <c r="AU54" i="59"/>
  <c r="W58" i="59"/>
  <c r="AI30" i="59"/>
  <c r="Z58" i="59"/>
  <c r="AU45" i="59"/>
  <c r="AU18" i="59"/>
  <c r="AU31" i="59"/>
  <c r="AA58" i="59"/>
  <c r="AI13" i="59"/>
  <c r="AU22" i="59"/>
  <c r="AI25" i="59"/>
  <c r="AU46" i="59"/>
  <c r="AI37" i="59"/>
  <c r="AU47" i="59"/>
  <c r="AC58" i="59"/>
  <c r="AD58" i="59"/>
  <c r="AE58" i="59"/>
  <c r="AF58" i="59"/>
  <c r="AI43" i="59"/>
  <c r="AI52" i="59"/>
  <c r="AH58" i="59"/>
  <c r="AL30" i="59"/>
  <c r="AU20" i="59"/>
  <c r="AU9" i="59"/>
  <c r="AU13" i="59"/>
  <c r="AU25" i="59"/>
  <c r="AU56" i="59"/>
  <c r="AU10" i="59"/>
  <c r="AU33" i="59"/>
  <c r="AU37" i="59"/>
  <c r="AU48" i="59"/>
  <c r="AU50" i="59"/>
  <c r="AU52" i="59"/>
  <c r="AU49" i="59"/>
  <c r="AU11" i="59"/>
  <c r="AU23" i="59"/>
  <c r="AU34" i="59"/>
  <c r="AU12" i="59"/>
  <c r="AU14" i="59"/>
  <c r="AU24" i="59"/>
  <c r="AU26" i="59"/>
  <c r="AU35" i="59"/>
  <c r="AU51" i="59"/>
  <c r="AU15" i="59"/>
  <c r="AU19" i="59"/>
  <c r="AU36" i="59"/>
  <c r="AU38" i="59"/>
  <c r="AU16" i="59"/>
  <c r="AU27" i="59"/>
  <c r="AU39" i="59"/>
  <c r="AU43" i="59"/>
  <c r="AU57" i="59"/>
  <c r="AU8" i="59"/>
  <c r="AU32" i="59"/>
  <c r="AU17" i="59"/>
  <c r="AU28" i="59"/>
  <c r="AU40" i="59"/>
  <c r="AU53" i="59"/>
  <c r="AU41" i="59"/>
  <c r="AU55" i="59"/>
  <c r="AM7" i="59"/>
  <c r="AI12" i="59"/>
  <c r="AI18" i="59"/>
  <c r="AI24" i="59"/>
  <c r="AI36" i="59"/>
  <c r="AI42" i="59"/>
  <c r="AI48" i="59"/>
  <c r="AI54" i="59"/>
  <c r="AN7" i="59"/>
  <c r="AO7" i="59"/>
  <c r="AI11" i="59"/>
  <c r="AI17" i="59"/>
  <c r="AI23" i="59"/>
  <c r="AI29" i="59"/>
  <c r="AI35" i="59"/>
  <c r="AI41" i="59"/>
  <c r="AI47" i="59"/>
  <c r="AI53" i="59"/>
  <c r="AP7" i="59"/>
  <c r="AQ7" i="59"/>
  <c r="AI10" i="59"/>
  <c r="AI16" i="59"/>
  <c r="AI22" i="59"/>
  <c r="AI28" i="59"/>
  <c r="AI34" i="59"/>
  <c r="AI40" i="59"/>
  <c r="AI46" i="59"/>
  <c r="AR7" i="59"/>
  <c r="AS7" i="59"/>
  <c r="AI9" i="59"/>
  <c r="AI15" i="59"/>
  <c r="AI21" i="59"/>
  <c r="AI27" i="59"/>
  <c r="AI33" i="59"/>
  <c r="AI39" i="59"/>
  <c r="AI45" i="59"/>
  <c r="AI51" i="59"/>
  <c r="AI57" i="59"/>
  <c r="AT7" i="59"/>
  <c r="AI8" i="59"/>
  <c r="AI14" i="59"/>
  <c r="AI20" i="59"/>
  <c r="AI26" i="59"/>
  <c r="AI32" i="59"/>
  <c r="AI38" i="59"/>
  <c r="AI44" i="59"/>
  <c r="AI50" i="59"/>
  <c r="AI56" i="59"/>
  <c r="O13" i="58"/>
  <c r="O25" i="58"/>
  <c r="O37" i="58"/>
  <c r="O49" i="58"/>
  <c r="O15" i="58"/>
  <c r="O27" i="58"/>
  <c r="O39" i="58"/>
  <c r="O51" i="58"/>
  <c r="O16" i="58"/>
  <c r="O28" i="58"/>
  <c r="O40" i="58"/>
  <c r="O52" i="58"/>
  <c r="O17" i="58"/>
  <c r="O29" i="58"/>
  <c r="O41" i="58"/>
  <c r="O53" i="58"/>
  <c r="O18" i="58"/>
  <c r="O30" i="58"/>
  <c r="O42" i="58"/>
  <c r="O54" i="58"/>
  <c r="O7" i="58"/>
  <c r="O19" i="58"/>
  <c r="O31" i="58"/>
  <c r="O43" i="58"/>
  <c r="O55" i="58"/>
  <c r="O6" i="58"/>
  <c r="AS58" i="59" l="1"/>
  <c r="AU30" i="59"/>
  <c r="AT58" i="59"/>
  <c r="AL58" i="59"/>
  <c r="AN58" i="59"/>
  <c r="AP58" i="59"/>
  <c r="AI58" i="59"/>
  <c r="AM58" i="59"/>
  <c r="AR58" i="59"/>
  <c r="AO58" i="59"/>
  <c r="AQ58" i="59"/>
  <c r="G5" i="46"/>
  <c r="G56" i="46" s="1"/>
  <c r="AU7" i="59"/>
  <c r="O57" i="58"/>
  <c r="AU58" i="59" l="1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3" i="54"/>
  <c r="D42" i="54"/>
  <c r="D41" i="54"/>
  <c r="D40" i="54"/>
  <c r="D39" i="54"/>
  <c r="D38" i="54"/>
  <c r="D37" i="54"/>
  <c r="D36" i="54"/>
  <c r="D35" i="54"/>
  <c r="D34" i="54"/>
  <c r="D33" i="54"/>
  <c r="D32" i="54"/>
  <c r="D31" i="54"/>
  <c r="D30" i="54"/>
  <c r="D29" i="54"/>
  <c r="D28" i="54"/>
  <c r="D27" i="54"/>
  <c r="D26" i="54"/>
  <c r="D25" i="54"/>
  <c r="D24" i="54"/>
  <c r="D23" i="54"/>
  <c r="D22" i="54"/>
  <c r="D21" i="54"/>
  <c r="D20" i="54"/>
  <c r="D19" i="54"/>
  <c r="D18" i="54"/>
  <c r="D17" i="54"/>
  <c r="D16" i="54"/>
  <c r="D15" i="54"/>
  <c r="D14" i="54"/>
  <c r="D13" i="54"/>
  <c r="D12" i="54"/>
  <c r="D11" i="54"/>
  <c r="D10" i="54"/>
  <c r="D9" i="54"/>
  <c r="D8" i="54"/>
  <c r="D7" i="54"/>
  <c r="D6" i="54"/>
  <c r="B53" i="57" l="1"/>
  <c r="K45" i="46" l="1"/>
  <c r="K44" i="46"/>
  <c r="K33" i="46"/>
  <c r="K32" i="46"/>
  <c r="K21" i="46"/>
  <c r="K20" i="46"/>
  <c r="K9" i="46"/>
  <c r="K8" i="46"/>
  <c r="K55" i="46"/>
  <c r="K54" i="46"/>
  <c r="K53" i="46"/>
  <c r="K52" i="46"/>
  <c r="K51" i="46"/>
  <c r="K50" i="46"/>
  <c r="K49" i="46"/>
  <c r="K48" i="46"/>
  <c r="K47" i="46"/>
  <c r="K46" i="46"/>
  <c r="K43" i="46"/>
  <c r="K42" i="46"/>
  <c r="K41" i="46"/>
  <c r="K40" i="46"/>
  <c r="K39" i="46"/>
  <c r="K38" i="46"/>
  <c r="K37" i="46"/>
  <c r="K36" i="46"/>
  <c r="K35" i="46"/>
  <c r="K34" i="46"/>
  <c r="K31" i="46"/>
  <c r="K30" i="46"/>
  <c r="K29" i="46"/>
  <c r="K28" i="46"/>
  <c r="K27" i="46"/>
  <c r="K26" i="46"/>
  <c r="K25" i="46"/>
  <c r="K24" i="46"/>
  <c r="K23" i="46"/>
  <c r="K22" i="46"/>
  <c r="K19" i="46"/>
  <c r="K18" i="46"/>
  <c r="K17" i="46"/>
  <c r="K16" i="46"/>
  <c r="K15" i="46"/>
  <c r="K14" i="46"/>
  <c r="K13" i="46"/>
  <c r="K12" i="46"/>
  <c r="K11" i="46"/>
  <c r="K10" i="46"/>
  <c r="K7" i="46"/>
  <c r="K6" i="46"/>
  <c r="K5" i="46"/>
  <c r="F5" i="41" l="1"/>
  <c r="J5" i="41" s="1"/>
  <c r="F4" i="41"/>
  <c r="J6" i="61" l="1"/>
  <c r="J20" i="61"/>
  <c r="J10" i="61"/>
  <c r="J38" i="61"/>
  <c r="J45" i="61"/>
  <c r="J31" i="61"/>
  <c r="J24" i="61"/>
  <c r="J18" i="61"/>
  <c r="J11" i="61"/>
  <c r="J51" i="61"/>
  <c r="J49" i="61"/>
  <c r="J32" i="61"/>
  <c r="J42" i="61"/>
  <c r="J23" i="61"/>
  <c r="J52" i="61"/>
  <c r="J40" i="61"/>
  <c r="J41" i="61"/>
  <c r="J13" i="61"/>
  <c r="J39" i="61"/>
  <c r="J7" i="61"/>
  <c r="J17" i="61"/>
  <c r="J54" i="61"/>
  <c r="J43" i="61"/>
  <c r="J53" i="61"/>
  <c r="J12" i="61"/>
  <c r="J21" i="61"/>
  <c r="J22" i="61"/>
  <c r="J55" i="61"/>
  <c r="J33" i="61"/>
  <c r="J8" i="61"/>
  <c r="J48" i="61"/>
  <c r="J46" i="61"/>
  <c r="J34" i="61"/>
  <c r="J26" i="61"/>
  <c r="J15" i="61"/>
  <c r="J50" i="61"/>
  <c r="J30" i="61"/>
  <c r="J44" i="61"/>
  <c r="J56" i="61"/>
  <c r="J47" i="61"/>
  <c r="J29" i="61"/>
  <c r="J16" i="61"/>
  <c r="J25" i="61"/>
  <c r="J37" i="61"/>
  <c r="J9" i="61"/>
  <c r="J19" i="61"/>
  <c r="J14" i="61"/>
  <c r="J27" i="61"/>
  <c r="J35" i="61"/>
  <c r="J28" i="61"/>
  <c r="J36" i="61"/>
  <c r="J4" i="41"/>
  <c r="F56" i="55"/>
  <c r="C56" i="55"/>
  <c r="J49" i="55" s="1"/>
  <c r="B56" i="55"/>
  <c r="H55" i="55"/>
  <c r="G55" i="55"/>
  <c r="D55" i="55"/>
  <c r="G54" i="55"/>
  <c r="H54" i="55" s="1"/>
  <c r="D54" i="55"/>
  <c r="G53" i="55"/>
  <c r="H53" i="55" s="1"/>
  <c r="D53" i="55"/>
  <c r="H52" i="55"/>
  <c r="G52" i="55"/>
  <c r="D52" i="55"/>
  <c r="G51" i="55"/>
  <c r="H51" i="55" s="1"/>
  <c r="D51" i="55"/>
  <c r="G50" i="55"/>
  <c r="H50" i="55" s="1"/>
  <c r="D50" i="55"/>
  <c r="H49" i="55"/>
  <c r="G49" i="55"/>
  <c r="D49" i="55"/>
  <c r="J48" i="55"/>
  <c r="G48" i="55"/>
  <c r="H48" i="55" s="1"/>
  <c r="D48" i="55"/>
  <c r="H47" i="55"/>
  <c r="G47" i="55"/>
  <c r="D47" i="55"/>
  <c r="H46" i="55"/>
  <c r="G46" i="55"/>
  <c r="D46" i="55"/>
  <c r="G45" i="55"/>
  <c r="H45" i="55" s="1"/>
  <c r="D45" i="55"/>
  <c r="G44" i="55"/>
  <c r="H44" i="55" s="1"/>
  <c r="D44" i="55"/>
  <c r="H43" i="55"/>
  <c r="G43" i="55"/>
  <c r="D43" i="55"/>
  <c r="G42" i="55"/>
  <c r="H42" i="55" s="1"/>
  <c r="D42" i="55"/>
  <c r="G41" i="55"/>
  <c r="H41" i="55" s="1"/>
  <c r="D41" i="55"/>
  <c r="H40" i="55"/>
  <c r="G40" i="55"/>
  <c r="D40" i="55"/>
  <c r="G39" i="55"/>
  <c r="H39" i="55" s="1"/>
  <c r="D39" i="55"/>
  <c r="H38" i="55"/>
  <c r="G38" i="55"/>
  <c r="D38" i="55"/>
  <c r="H37" i="55"/>
  <c r="G37" i="55"/>
  <c r="D37" i="55"/>
  <c r="G36" i="55"/>
  <c r="H36" i="55" s="1"/>
  <c r="D36" i="55"/>
  <c r="H35" i="55"/>
  <c r="G35" i="55"/>
  <c r="D35" i="55"/>
  <c r="H34" i="55"/>
  <c r="G34" i="55"/>
  <c r="D34" i="55"/>
  <c r="G33" i="55"/>
  <c r="H33" i="55" s="1"/>
  <c r="D33" i="55"/>
  <c r="G32" i="55"/>
  <c r="H32" i="55" s="1"/>
  <c r="D32" i="55"/>
  <c r="H31" i="55"/>
  <c r="G31" i="55"/>
  <c r="D31" i="55"/>
  <c r="G30" i="55"/>
  <c r="H30" i="55" s="1"/>
  <c r="D30" i="55"/>
  <c r="G29" i="55"/>
  <c r="H29" i="55" s="1"/>
  <c r="D29" i="55"/>
  <c r="H28" i="55"/>
  <c r="G28" i="55"/>
  <c r="D28" i="55"/>
  <c r="G27" i="55"/>
  <c r="H27" i="55" s="1"/>
  <c r="D27" i="55"/>
  <c r="G26" i="55"/>
  <c r="H26" i="55" s="1"/>
  <c r="D26" i="55"/>
  <c r="H25" i="55"/>
  <c r="G25" i="55"/>
  <c r="D25" i="55"/>
  <c r="J24" i="55"/>
  <c r="G24" i="55"/>
  <c r="H24" i="55" s="1"/>
  <c r="D24" i="55"/>
  <c r="H23" i="55"/>
  <c r="G23" i="55"/>
  <c r="D23" i="55"/>
  <c r="H22" i="55"/>
  <c r="G22" i="55"/>
  <c r="D22" i="55"/>
  <c r="G21" i="55"/>
  <c r="H21" i="55" s="1"/>
  <c r="D21" i="55"/>
  <c r="G20" i="55"/>
  <c r="H20" i="55" s="1"/>
  <c r="D20" i="55"/>
  <c r="H19" i="55"/>
  <c r="G19" i="55"/>
  <c r="D19" i="55"/>
  <c r="G18" i="55"/>
  <c r="H18" i="55" s="1"/>
  <c r="D18" i="55"/>
  <c r="G17" i="55"/>
  <c r="H17" i="55" s="1"/>
  <c r="D17" i="55"/>
  <c r="H16" i="55"/>
  <c r="G16" i="55"/>
  <c r="D16" i="55"/>
  <c r="G15" i="55"/>
  <c r="H15" i="55" s="1"/>
  <c r="D15" i="55"/>
  <c r="G14" i="55"/>
  <c r="H14" i="55" s="1"/>
  <c r="D14" i="55"/>
  <c r="J13" i="55"/>
  <c r="H13" i="55"/>
  <c r="G13" i="55"/>
  <c r="D13" i="55"/>
  <c r="J12" i="55"/>
  <c r="G12" i="55"/>
  <c r="H12" i="55" s="1"/>
  <c r="D12" i="55"/>
  <c r="H11" i="55"/>
  <c r="G11" i="55"/>
  <c r="D11" i="55"/>
  <c r="H10" i="55"/>
  <c r="G10" i="55"/>
  <c r="D10" i="55"/>
  <c r="G9" i="55"/>
  <c r="H9" i="55" s="1"/>
  <c r="D9" i="55"/>
  <c r="G8" i="55"/>
  <c r="H8" i="55" s="1"/>
  <c r="D8" i="55"/>
  <c r="H7" i="55"/>
  <c r="G7" i="55"/>
  <c r="D7" i="55"/>
  <c r="G6" i="55"/>
  <c r="H6" i="55" s="1"/>
  <c r="D6" i="55"/>
  <c r="G5" i="55"/>
  <c r="H5" i="55" s="1"/>
  <c r="D5" i="55"/>
  <c r="I6" i="61" l="1"/>
  <c r="I51" i="61"/>
  <c r="I30" i="61"/>
  <c r="I32" i="61"/>
  <c r="I23" i="61"/>
  <c r="I55" i="61"/>
  <c r="I37" i="61"/>
  <c r="I38" i="61"/>
  <c r="I22" i="61"/>
  <c r="I18" i="61"/>
  <c r="I11" i="61"/>
  <c r="I12" i="61"/>
  <c r="I49" i="61"/>
  <c r="I50" i="61"/>
  <c r="I40" i="61"/>
  <c r="I42" i="61"/>
  <c r="I24" i="61"/>
  <c r="I13" i="61"/>
  <c r="I46" i="61"/>
  <c r="I56" i="61"/>
  <c r="I16" i="61"/>
  <c r="I36" i="61"/>
  <c r="I9" i="61"/>
  <c r="I26" i="61"/>
  <c r="I35" i="61"/>
  <c r="I33" i="61"/>
  <c r="I52" i="61"/>
  <c r="I17" i="61"/>
  <c r="I20" i="61"/>
  <c r="I15" i="61"/>
  <c r="I54" i="61"/>
  <c r="I8" i="61"/>
  <c r="I48" i="61"/>
  <c r="I7" i="61"/>
  <c r="I19" i="61"/>
  <c r="I21" i="61"/>
  <c r="I47" i="61"/>
  <c r="I41" i="61"/>
  <c r="I25" i="61"/>
  <c r="I14" i="61"/>
  <c r="I44" i="61"/>
  <c r="I28" i="61"/>
  <c r="I34" i="61"/>
  <c r="I45" i="61"/>
  <c r="I31" i="61"/>
  <c r="I53" i="61"/>
  <c r="I10" i="61"/>
  <c r="I39" i="61"/>
  <c r="I43" i="61"/>
  <c r="I27" i="61"/>
  <c r="I29" i="61"/>
  <c r="J36" i="55"/>
  <c r="I33" i="55"/>
  <c r="E34" i="55"/>
  <c r="E43" i="55"/>
  <c r="I13" i="55"/>
  <c r="I15" i="55"/>
  <c r="I30" i="55"/>
  <c r="I39" i="55"/>
  <c r="E54" i="55"/>
  <c r="I9" i="55"/>
  <c r="H56" i="55"/>
  <c r="I5" i="55" s="1"/>
  <c r="I34" i="55"/>
  <c r="I6" i="55"/>
  <c r="I53" i="55"/>
  <c r="I25" i="55"/>
  <c r="E40" i="55"/>
  <c r="I54" i="55"/>
  <c r="E12" i="55"/>
  <c r="I21" i="55"/>
  <c r="I16" i="55"/>
  <c r="I49" i="55"/>
  <c r="I18" i="55"/>
  <c r="I24" i="55"/>
  <c r="I26" i="55"/>
  <c r="I31" i="55"/>
  <c r="I8" i="55"/>
  <c r="I17" i="55"/>
  <c r="I55" i="55"/>
  <c r="I27" i="55"/>
  <c r="I32" i="55"/>
  <c r="I41" i="55"/>
  <c r="I46" i="55"/>
  <c r="J35" i="55"/>
  <c r="J47" i="55"/>
  <c r="D56" i="55"/>
  <c r="E28" i="55" s="1"/>
  <c r="J10" i="55"/>
  <c r="J22" i="55"/>
  <c r="J34" i="55"/>
  <c r="J46" i="55"/>
  <c r="J21" i="55"/>
  <c r="J8" i="55"/>
  <c r="J20" i="55"/>
  <c r="J32" i="55"/>
  <c r="J44" i="55"/>
  <c r="J11" i="55"/>
  <c r="J23" i="55"/>
  <c r="J33" i="55"/>
  <c r="J45" i="55"/>
  <c r="J7" i="55"/>
  <c r="J19" i="55"/>
  <c r="J31" i="55"/>
  <c r="J43" i="55"/>
  <c r="J55" i="55"/>
  <c r="J6" i="55"/>
  <c r="J18" i="55"/>
  <c r="J30" i="55"/>
  <c r="J42" i="55"/>
  <c r="J54" i="55"/>
  <c r="J9" i="55"/>
  <c r="J5" i="55"/>
  <c r="J17" i="55"/>
  <c r="J29" i="55"/>
  <c r="J41" i="55"/>
  <c r="J53" i="55"/>
  <c r="J16" i="55"/>
  <c r="J28" i="55"/>
  <c r="J40" i="55"/>
  <c r="J52" i="55"/>
  <c r="J15" i="55"/>
  <c r="J27" i="55"/>
  <c r="J39" i="55"/>
  <c r="J51" i="55"/>
  <c r="J14" i="55"/>
  <c r="J26" i="55"/>
  <c r="J38" i="55"/>
  <c r="J50" i="55"/>
  <c r="J25" i="55"/>
  <c r="J37" i="55"/>
  <c r="I50" i="55" l="1"/>
  <c r="I12" i="55"/>
  <c r="I52" i="55"/>
  <c r="I28" i="55"/>
  <c r="I22" i="55"/>
  <c r="I7" i="55"/>
  <c r="I10" i="55"/>
  <c r="I42" i="55"/>
  <c r="I37" i="55"/>
  <c r="I40" i="55"/>
  <c r="I20" i="55"/>
  <c r="I36" i="55"/>
  <c r="I48" i="55"/>
  <c r="I44" i="55"/>
  <c r="E22" i="55"/>
  <c r="E42" i="55"/>
  <c r="E49" i="55"/>
  <c r="E31" i="55"/>
  <c r="E25" i="55"/>
  <c r="E24" i="55"/>
  <c r="E37" i="55"/>
  <c r="E16" i="55"/>
  <c r="E18" i="55"/>
  <c r="I51" i="55"/>
  <c r="E7" i="55"/>
  <c r="I19" i="55"/>
  <c r="I43" i="55"/>
  <c r="E10" i="55"/>
  <c r="I14" i="55"/>
  <c r="E15" i="55"/>
  <c r="E27" i="55"/>
  <c r="I45" i="55"/>
  <c r="I29" i="55"/>
  <c r="J56" i="55"/>
  <c r="E45" i="55"/>
  <c r="E33" i="55"/>
  <c r="E21" i="55"/>
  <c r="E9" i="55"/>
  <c r="E47" i="55"/>
  <c r="E35" i="55"/>
  <c r="E23" i="55"/>
  <c r="E11" i="55"/>
  <c r="E36" i="55"/>
  <c r="E14" i="55"/>
  <c r="E50" i="55"/>
  <c r="E38" i="55"/>
  <c r="E26" i="55"/>
  <c r="E53" i="55"/>
  <c r="E20" i="55"/>
  <c r="E41" i="55"/>
  <c r="E44" i="55"/>
  <c r="E32" i="55"/>
  <c r="E29" i="55"/>
  <c r="E17" i="55"/>
  <c r="E5" i="55"/>
  <c r="E8" i="55"/>
  <c r="E51" i="55"/>
  <c r="E55" i="55"/>
  <c r="E39" i="55"/>
  <c r="E6" i="55"/>
  <c r="E52" i="55"/>
  <c r="E13" i="55"/>
  <c r="E30" i="55"/>
  <c r="E46" i="55"/>
  <c r="I38" i="55"/>
  <c r="I47" i="55"/>
  <c r="I11" i="55"/>
  <c r="I35" i="55"/>
  <c r="I23" i="55"/>
  <c r="E48" i="55"/>
  <c r="E19" i="55"/>
  <c r="E56" i="55" l="1"/>
  <c r="I56" i="55"/>
  <c r="F13" i="41" l="1"/>
  <c r="F9" i="41"/>
  <c r="F8" i="41"/>
  <c r="F7" i="41"/>
  <c r="F6" i="41"/>
  <c r="J6" i="41" l="1"/>
  <c r="E10" i="46"/>
  <c r="E21" i="46"/>
  <c r="E50" i="46"/>
  <c r="E33" i="46"/>
  <c r="E27" i="46"/>
  <c r="E52" i="46"/>
  <c r="E23" i="46"/>
  <c r="E14" i="46"/>
  <c r="E17" i="46"/>
  <c r="E18" i="46"/>
  <c r="E13" i="46"/>
  <c r="E31" i="46"/>
  <c r="E38" i="46"/>
  <c r="E6" i="46"/>
  <c r="E7" i="46"/>
  <c r="E26" i="46"/>
  <c r="E37" i="46"/>
  <c r="E51" i="46"/>
  <c r="E47" i="46"/>
  <c r="E32" i="46"/>
  <c r="E41" i="46"/>
  <c r="E39" i="46"/>
  <c r="E46" i="46"/>
  <c r="E30" i="46"/>
  <c r="E53" i="46"/>
  <c r="E16" i="46"/>
  <c r="E15" i="46"/>
  <c r="E28" i="46"/>
  <c r="E24" i="46"/>
  <c r="E22" i="46"/>
  <c r="E45" i="46"/>
  <c r="E11" i="46"/>
  <c r="E36" i="46"/>
  <c r="E55" i="46"/>
  <c r="E8" i="46"/>
  <c r="E35" i="46"/>
  <c r="E49" i="46"/>
  <c r="E9" i="46"/>
  <c r="E25" i="46"/>
  <c r="E43" i="46"/>
  <c r="E40" i="46"/>
  <c r="E19" i="46"/>
  <c r="E34" i="46"/>
  <c r="E29" i="46"/>
  <c r="E12" i="46"/>
  <c r="E54" i="46"/>
  <c r="E20" i="46"/>
  <c r="E48" i="46"/>
  <c r="E42" i="46"/>
  <c r="E44" i="46"/>
  <c r="E5" i="46"/>
  <c r="F10" i="41"/>
  <c r="F15" i="41" s="1"/>
  <c r="C57" i="54"/>
  <c r="B57" i="54"/>
  <c r="K6" i="61" l="1"/>
  <c r="K24" i="61"/>
  <c r="K41" i="61"/>
  <c r="K14" i="61"/>
  <c r="K53" i="61"/>
  <c r="K20" i="61"/>
  <c r="K21" i="61"/>
  <c r="K22" i="61"/>
  <c r="K10" i="61"/>
  <c r="K39" i="61"/>
  <c r="K27" i="61"/>
  <c r="K17" i="61"/>
  <c r="K35" i="61"/>
  <c r="K49" i="61"/>
  <c r="K32" i="61"/>
  <c r="K44" i="61"/>
  <c r="K8" i="61"/>
  <c r="K52" i="61"/>
  <c r="K37" i="61"/>
  <c r="K48" i="61"/>
  <c r="K56" i="61"/>
  <c r="K33" i="61"/>
  <c r="K51" i="61"/>
  <c r="K12" i="61"/>
  <c r="K30" i="61"/>
  <c r="K47" i="61"/>
  <c r="K25" i="61"/>
  <c r="K16" i="61"/>
  <c r="K36" i="61"/>
  <c r="K11" i="61"/>
  <c r="K19" i="61"/>
  <c r="K29" i="61"/>
  <c r="K7" i="61"/>
  <c r="K46" i="61"/>
  <c r="K34" i="61"/>
  <c r="K45" i="61"/>
  <c r="K18" i="61"/>
  <c r="K9" i="61"/>
  <c r="K31" i="61"/>
  <c r="K42" i="61"/>
  <c r="K54" i="61"/>
  <c r="K43" i="61"/>
  <c r="K40" i="61"/>
  <c r="K38" i="61"/>
  <c r="K15" i="61"/>
  <c r="K55" i="61"/>
  <c r="K13" i="61"/>
  <c r="K26" i="61"/>
  <c r="K28" i="61"/>
  <c r="K50" i="61"/>
  <c r="K23" i="61"/>
  <c r="J10" i="41"/>
  <c r="J15" i="41" s="1"/>
  <c r="D57" i="54"/>
  <c r="O3" i="55" l="1"/>
  <c r="M3" i="55"/>
  <c r="N3" i="55"/>
  <c r="D58" i="53"/>
  <c r="E56" i="53" s="1"/>
  <c r="B58" i="53"/>
  <c r="C57" i="53" s="1"/>
  <c r="C47" i="53"/>
  <c r="C46" i="53"/>
  <c r="C21" i="53" l="1"/>
  <c r="C42" i="53"/>
  <c r="C14" i="53"/>
  <c r="C15" i="53"/>
  <c r="C17" i="53"/>
  <c r="C49" i="53"/>
  <c r="C34" i="53"/>
  <c r="C19" i="53"/>
  <c r="C51" i="53"/>
  <c r="C53" i="53"/>
  <c r="C38" i="53"/>
  <c r="C55" i="53"/>
  <c r="C7" i="53"/>
  <c r="C23" i="53"/>
  <c r="C39" i="53"/>
  <c r="C9" i="53"/>
  <c r="C25" i="53"/>
  <c r="C41" i="53"/>
  <c r="C43" i="53"/>
  <c r="C30" i="53"/>
  <c r="C31" i="53"/>
  <c r="C33" i="53"/>
  <c r="C18" i="53"/>
  <c r="C50" i="53"/>
  <c r="C35" i="53"/>
  <c r="C37" i="53"/>
  <c r="C22" i="53"/>
  <c r="C10" i="53"/>
  <c r="C26" i="53"/>
  <c r="C11" i="53"/>
  <c r="C27" i="53"/>
  <c r="C13" i="53"/>
  <c r="C29" i="53"/>
  <c r="C45" i="53"/>
  <c r="E43" i="53"/>
  <c r="E51" i="53"/>
  <c r="E9" i="53"/>
  <c r="E23" i="53"/>
  <c r="E24" i="53"/>
  <c r="E18" i="53"/>
  <c r="E40" i="53"/>
  <c r="E50" i="53"/>
  <c r="E30" i="53"/>
  <c r="E10" i="53"/>
  <c r="E52" i="53"/>
  <c r="E32" i="53"/>
  <c r="E46" i="53"/>
  <c r="E33" i="53"/>
  <c r="E47" i="53"/>
  <c r="E27" i="53"/>
  <c r="E34" i="53"/>
  <c r="E41" i="53"/>
  <c r="E48" i="53"/>
  <c r="E38" i="53"/>
  <c r="E25" i="53"/>
  <c r="E39" i="53"/>
  <c r="E26" i="53"/>
  <c r="E13" i="53"/>
  <c r="E7" i="53"/>
  <c r="E14" i="53"/>
  <c r="E21" i="53"/>
  <c r="E28" i="53"/>
  <c r="E37" i="53"/>
  <c r="E17" i="53"/>
  <c r="E45" i="53"/>
  <c r="E11" i="53"/>
  <c r="E12" i="53"/>
  <c r="E19" i="53"/>
  <c r="E20" i="53"/>
  <c r="E8" i="53"/>
  <c r="E35" i="53"/>
  <c r="E42" i="53"/>
  <c r="E49" i="53"/>
  <c r="E16" i="53"/>
  <c r="E44" i="53"/>
  <c r="E31" i="53"/>
  <c r="E15" i="53"/>
  <c r="E22" i="53"/>
  <c r="E29" i="53"/>
  <c r="E36" i="53"/>
  <c r="O38" i="55"/>
  <c r="O22" i="55"/>
  <c r="O24" i="55"/>
  <c r="O29" i="55"/>
  <c r="O53" i="55"/>
  <c r="O20" i="55"/>
  <c r="O6" i="55"/>
  <c r="O36" i="55"/>
  <c r="O49" i="55"/>
  <c r="O10" i="55"/>
  <c r="O13" i="55"/>
  <c r="O34" i="55"/>
  <c r="O12" i="55"/>
  <c r="O18" i="55"/>
  <c r="O39" i="55"/>
  <c r="O7" i="55"/>
  <c r="O48" i="55"/>
  <c r="O47" i="55"/>
  <c r="O8" i="55"/>
  <c r="O43" i="55"/>
  <c r="O35" i="55"/>
  <c r="O40" i="55"/>
  <c r="O26" i="55"/>
  <c r="O41" i="55"/>
  <c r="O11" i="55"/>
  <c r="O37" i="55"/>
  <c r="O21" i="55"/>
  <c r="O15" i="55"/>
  <c r="O52" i="55"/>
  <c r="O16" i="55"/>
  <c r="O46" i="55"/>
  <c r="O19" i="55"/>
  <c r="O31" i="55"/>
  <c r="O25" i="55"/>
  <c r="O23" i="55"/>
  <c r="O45" i="55"/>
  <c r="O9" i="55"/>
  <c r="O14" i="55"/>
  <c r="O28" i="55"/>
  <c r="O55" i="55"/>
  <c r="O27" i="55"/>
  <c r="O50" i="55"/>
  <c r="O32" i="55"/>
  <c r="O5" i="55"/>
  <c r="O51" i="55"/>
  <c r="O44" i="55"/>
  <c r="O54" i="55"/>
  <c r="O42" i="55"/>
  <c r="O30" i="55"/>
  <c r="O33" i="55"/>
  <c r="O17" i="55"/>
  <c r="N30" i="55"/>
  <c r="N41" i="55"/>
  <c r="N55" i="55"/>
  <c r="N9" i="55"/>
  <c r="N53" i="55"/>
  <c r="N49" i="55"/>
  <c r="N32" i="55"/>
  <c r="N27" i="55"/>
  <c r="N8" i="55"/>
  <c r="N26" i="55"/>
  <c r="N39" i="55"/>
  <c r="N33" i="55"/>
  <c r="N18" i="55"/>
  <c r="N6" i="55"/>
  <c r="N17" i="55"/>
  <c r="N25" i="55"/>
  <c r="N14" i="55"/>
  <c r="N34" i="55"/>
  <c r="N13" i="55"/>
  <c r="N31" i="55"/>
  <c r="N24" i="55"/>
  <c r="N16" i="55"/>
  <c r="N15" i="55"/>
  <c r="N54" i="55"/>
  <c r="N21" i="55"/>
  <c r="N46" i="55"/>
  <c r="N5" i="55"/>
  <c r="N48" i="55"/>
  <c r="N50" i="55"/>
  <c r="N19" i="55"/>
  <c r="N22" i="55"/>
  <c r="N51" i="55"/>
  <c r="N47" i="55"/>
  <c r="N38" i="55"/>
  <c r="N43" i="55"/>
  <c r="N37" i="55"/>
  <c r="N40" i="55"/>
  <c r="N12" i="55"/>
  <c r="N36" i="55"/>
  <c r="N20" i="55"/>
  <c r="N35" i="55"/>
  <c r="N23" i="55"/>
  <c r="N44" i="55"/>
  <c r="N28" i="55"/>
  <c r="N10" i="55"/>
  <c r="N29" i="55"/>
  <c r="N52" i="55"/>
  <c r="N42" i="55"/>
  <c r="N11" i="55"/>
  <c r="N7" i="55"/>
  <c r="N45" i="55"/>
  <c r="M12" i="55"/>
  <c r="M43" i="55"/>
  <c r="M40" i="55"/>
  <c r="M54" i="55"/>
  <c r="M34" i="55"/>
  <c r="M28" i="55"/>
  <c r="M23" i="55"/>
  <c r="M6" i="55"/>
  <c r="M38" i="55"/>
  <c r="M29" i="55"/>
  <c r="M11" i="55"/>
  <c r="M33" i="55"/>
  <c r="M8" i="55"/>
  <c r="M50" i="55"/>
  <c r="M14" i="55"/>
  <c r="M19" i="55"/>
  <c r="M10" i="55"/>
  <c r="M52" i="55"/>
  <c r="M45" i="55"/>
  <c r="M42" i="55"/>
  <c r="M49" i="55"/>
  <c r="M30" i="55"/>
  <c r="M51" i="55"/>
  <c r="M37" i="55"/>
  <c r="M48" i="55"/>
  <c r="M16" i="55"/>
  <c r="M36" i="55"/>
  <c r="M5" i="55"/>
  <c r="M7" i="55"/>
  <c r="M35" i="55"/>
  <c r="M47" i="55"/>
  <c r="M18" i="55"/>
  <c r="M39" i="55"/>
  <c r="M13" i="55"/>
  <c r="M20" i="55"/>
  <c r="M9" i="55"/>
  <c r="M44" i="55"/>
  <c r="M41" i="55"/>
  <c r="M26" i="55"/>
  <c r="M22" i="55"/>
  <c r="M21" i="55"/>
  <c r="M15" i="55"/>
  <c r="M17" i="55"/>
  <c r="M31" i="55"/>
  <c r="M27" i="55"/>
  <c r="M24" i="55"/>
  <c r="M55" i="55"/>
  <c r="M46" i="55"/>
  <c r="M32" i="55"/>
  <c r="M53" i="55"/>
  <c r="M25" i="55"/>
  <c r="C8" i="53"/>
  <c r="C12" i="53"/>
  <c r="C16" i="53"/>
  <c r="C20" i="53"/>
  <c r="C24" i="53"/>
  <c r="C28" i="53"/>
  <c r="C32" i="53"/>
  <c r="C36" i="53"/>
  <c r="C40" i="53"/>
  <c r="C44" i="53"/>
  <c r="C48" i="53"/>
  <c r="C52" i="53"/>
  <c r="C56" i="53"/>
  <c r="E55" i="53"/>
  <c r="E58" i="53"/>
  <c r="C54" i="53"/>
  <c r="E54" i="53"/>
  <c r="E57" i="53"/>
  <c r="E53" i="53"/>
  <c r="P22" i="55" l="1"/>
  <c r="D22" i="46" s="1"/>
  <c r="P48" i="55"/>
  <c r="D48" i="46" s="1"/>
  <c r="P52" i="55"/>
  <c r="D52" i="46" s="1"/>
  <c r="P15" i="55"/>
  <c r="D15" i="46" s="1"/>
  <c r="P30" i="55"/>
  <c r="D30" i="46" s="1"/>
  <c r="P53" i="55"/>
  <c r="D53" i="46" s="1"/>
  <c r="P39" i="55"/>
  <c r="D39" i="46" s="1"/>
  <c r="P35" i="55"/>
  <c r="D35" i="46" s="1"/>
  <c r="P19" i="55"/>
  <c r="D19" i="46" s="1"/>
  <c r="P14" i="55"/>
  <c r="D14" i="46" s="1"/>
  <c r="P43" i="55"/>
  <c r="D43" i="46" s="1"/>
  <c r="P24" i="55"/>
  <c r="D24" i="46" s="1"/>
  <c r="P28" i="55"/>
  <c r="D28" i="46" s="1"/>
  <c r="P54" i="55"/>
  <c r="D54" i="46" s="1"/>
  <c r="P26" i="55"/>
  <c r="D26" i="46" s="1"/>
  <c r="P36" i="55"/>
  <c r="D36" i="46" s="1"/>
  <c r="P16" i="55"/>
  <c r="D16" i="46" s="1"/>
  <c r="P50" i="55"/>
  <c r="D50" i="46" s="1"/>
  <c r="P13" i="55"/>
  <c r="D13" i="46" s="1"/>
  <c r="P27" i="55"/>
  <c r="D27" i="46" s="1"/>
  <c r="P38" i="55"/>
  <c r="D38" i="46" s="1"/>
  <c r="P17" i="55"/>
  <c r="D17" i="46" s="1"/>
  <c r="P21" i="55"/>
  <c r="D21" i="46" s="1"/>
  <c r="P7" i="55"/>
  <c r="D7" i="46" s="1"/>
  <c r="P10" i="55"/>
  <c r="D10" i="46" s="1"/>
  <c r="P34" i="55"/>
  <c r="D34" i="46" s="1"/>
  <c r="P41" i="55"/>
  <c r="D41" i="46" s="1"/>
  <c r="O56" i="55"/>
  <c r="P5" i="55"/>
  <c r="D5" i="46" s="1"/>
  <c r="M56" i="55"/>
  <c r="P44" i="55"/>
  <c r="D44" i="46" s="1"/>
  <c r="P8" i="55"/>
  <c r="D8" i="46" s="1"/>
  <c r="P46" i="55"/>
  <c r="D46" i="46" s="1"/>
  <c r="P9" i="55"/>
  <c r="D9" i="46" s="1"/>
  <c r="P37" i="55"/>
  <c r="D37" i="46" s="1"/>
  <c r="P33" i="55"/>
  <c r="D33" i="46" s="1"/>
  <c r="N56" i="55"/>
  <c r="P25" i="55"/>
  <c r="D25" i="46" s="1"/>
  <c r="P32" i="55"/>
  <c r="D32" i="46" s="1"/>
  <c r="P55" i="55"/>
  <c r="D55" i="46" s="1"/>
  <c r="P20" i="55"/>
  <c r="D20" i="46" s="1"/>
  <c r="P51" i="55"/>
  <c r="D51" i="46" s="1"/>
  <c r="P11" i="55"/>
  <c r="D11" i="46" s="1"/>
  <c r="P12" i="55"/>
  <c r="D12" i="46" s="1"/>
  <c r="P49" i="55"/>
  <c r="D49" i="46" s="1"/>
  <c r="P42" i="55"/>
  <c r="D42" i="46" s="1"/>
  <c r="P31" i="55"/>
  <c r="D31" i="46" s="1"/>
  <c r="P18" i="55"/>
  <c r="D18" i="46" s="1"/>
  <c r="P6" i="55"/>
  <c r="D6" i="46" s="1"/>
  <c r="P29" i="55"/>
  <c r="D29" i="46" s="1"/>
  <c r="P40" i="55"/>
  <c r="D40" i="46" s="1"/>
  <c r="P47" i="55"/>
  <c r="D47" i="46" s="1"/>
  <c r="P45" i="55"/>
  <c r="D45" i="46" s="1"/>
  <c r="P23" i="55"/>
  <c r="D23" i="46" s="1"/>
  <c r="C58" i="53"/>
  <c r="E4" i="50"/>
  <c r="D4" i="50"/>
  <c r="C4" i="50"/>
  <c r="B57" i="47"/>
  <c r="B58" i="47" s="1"/>
  <c r="W53" i="49"/>
  <c r="U53" i="49"/>
  <c r="T53" i="49"/>
  <c r="S53" i="49"/>
  <c r="R53" i="49"/>
  <c r="Q53" i="49"/>
  <c r="O53" i="49"/>
  <c r="N53" i="49"/>
  <c r="V52" i="49"/>
  <c r="P52" i="49"/>
  <c r="J52" i="49"/>
  <c r="I52" i="49"/>
  <c r="H52" i="49"/>
  <c r="G52" i="49"/>
  <c r="F52" i="49"/>
  <c r="E52" i="49"/>
  <c r="D52" i="49"/>
  <c r="C52" i="49"/>
  <c r="B52" i="49"/>
  <c r="V51" i="49"/>
  <c r="P51" i="49"/>
  <c r="J51" i="49"/>
  <c r="I51" i="49"/>
  <c r="H51" i="49"/>
  <c r="G51" i="49"/>
  <c r="F51" i="49"/>
  <c r="E51" i="49"/>
  <c r="D51" i="49"/>
  <c r="C51" i="49"/>
  <c r="B51" i="49"/>
  <c r="V50" i="49"/>
  <c r="P50" i="49"/>
  <c r="J50" i="49"/>
  <c r="I50" i="49"/>
  <c r="H50" i="49"/>
  <c r="G50" i="49"/>
  <c r="F50" i="49"/>
  <c r="E50" i="49"/>
  <c r="D50" i="49"/>
  <c r="C50" i="49"/>
  <c r="B50" i="49"/>
  <c r="V49" i="49"/>
  <c r="P49" i="49"/>
  <c r="J49" i="49"/>
  <c r="I49" i="49"/>
  <c r="H49" i="49"/>
  <c r="G49" i="49"/>
  <c r="F49" i="49"/>
  <c r="E49" i="49"/>
  <c r="D49" i="49"/>
  <c r="C49" i="49"/>
  <c r="B49" i="49"/>
  <c r="V48" i="49"/>
  <c r="P48" i="49"/>
  <c r="J48" i="49"/>
  <c r="I48" i="49"/>
  <c r="H48" i="49"/>
  <c r="G48" i="49"/>
  <c r="F48" i="49"/>
  <c r="E48" i="49"/>
  <c r="D48" i="49"/>
  <c r="C48" i="49"/>
  <c r="B48" i="49"/>
  <c r="V47" i="49"/>
  <c r="P47" i="49"/>
  <c r="J47" i="49"/>
  <c r="I47" i="49"/>
  <c r="H47" i="49"/>
  <c r="G47" i="49"/>
  <c r="F47" i="49"/>
  <c r="E47" i="49"/>
  <c r="D47" i="49"/>
  <c r="C47" i="49"/>
  <c r="B47" i="49"/>
  <c r="V46" i="49"/>
  <c r="P46" i="49"/>
  <c r="J46" i="49"/>
  <c r="I46" i="49"/>
  <c r="H46" i="49"/>
  <c r="G46" i="49"/>
  <c r="F46" i="49"/>
  <c r="E46" i="49"/>
  <c r="D46" i="49"/>
  <c r="C46" i="49"/>
  <c r="B46" i="49"/>
  <c r="V45" i="49"/>
  <c r="P45" i="49"/>
  <c r="J45" i="49"/>
  <c r="I45" i="49"/>
  <c r="H45" i="49"/>
  <c r="G45" i="49"/>
  <c r="F45" i="49"/>
  <c r="E45" i="49"/>
  <c r="D45" i="49"/>
  <c r="C45" i="49"/>
  <c r="B45" i="49"/>
  <c r="V44" i="49"/>
  <c r="P44" i="49"/>
  <c r="J44" i="49"/>
  <c r="I44" i="49"/>
  <c r="H44" i="49"/>
  <c r="G44" i="49"/>
  <c r="F44" i="49"/>
  <c r="E44" i="49"/>
  <c r="D44" i="49"/>
  <c r="C44" i="49"/>
  <c r="B44" i="49"/>
  <c r="V43" i="49"/>
  <c r="P43" i="49"/>
  <c r="J43" i="49"/>
  <c r="I43" i="49"/>
  <c r="H43" i="49"/>
  <c r="G43" i="49"/>
  <c r="F43" i="49"/>
  <c r="E43" i="49"/>
  <c r="D43" i="49"/>
  <c r="C43" i="49"/>
  <c r="B43" i="49"/>
  <c r="V42" i="49"/>
  <c r="P42" i="49"/>
  <c r="J42" i="49"/>
  <c r="I42" i="49"/>
  <c r="H42" i="49"/>
  <c r="G42" i="49"/>
  <c r="F42" i="49"/>
  <c r="E42" i="49"/>
  <c r="D42" i="49"/>
  <c r="C42" i="49"/>
  <c r="B42" i="49"/>
  <c r="V41" i="49"/>
  <c r="P41" i="49"/>
  <c r="J41" i="49"/>
  <c r="I41" i="49"/>
  <c r="H41" i="49"/>
  <c r="G41" i="49"/>
  <c r="F41" i="49"/>
  <c r="E41" i="49"/>
  <c r="D41" i="49"/>
  <c r="C41" i="49"/>
  <c r="B41" i="49"/>
  <c r="V40" i="49"/>
  <c r="J40" i="49"/>
  <c r="I40" i="49"/>
  <c r="H40" i="49"/>
  <c r="G40" i="49"/>
  <c r="F40" i="49"/>
  <c r="E40" i="49"/>
  <c r="D40" i="49"/>
  <c r="C40" i="49"/>
  <c r="B40" i="49"/>
  <c r="V39" i="49"/>
  <c r="P39" i="49"/>
  <c r="J39" i="49"/>
  <c r="I39" i="49"/>
  <c r="H39" i="49"/>
  <c r="G39" i="49"/>
  <c r="F39" i="49"/>
  <c r="E39" i="49"/>
  <c r="D39" i="49"/>
  <c r="C39" i="49"/>
  <c r="B39" i="49"/>
  <c r="V38" i="49"/>
  <c r="P38" i="49"/>
  <c r="J38" i="49"/>
  <c r="I38" i="49"/>
  <c r="H38" i="49"/>
  <c r="G38" i="49"/>
  <c r="F38" i="49"/>
  <c r="E38" i="49"/>
  <c r="D38" i="49"/>
  <c r="C38" i="49"/>
  <c r="B38" i="49"/>
  <c r="V37" i="49"/>
  <c r="P37" i="49"/>
  <c r="J37" i="49"/>
  <c r="I37" i="49"/>
  <c r="H37" i="49"/>
  <c r="G37" i="49"/>
  <c r="F37" i="49"/>
  <c r="E37" i="49"/>
  <c r="D37" i="49"/>
  <c r="C37" i="49"/>
  <c r="B37" i="49"/>
  <c r="V36" i="49"/>
  <c r="P36" i="49"/>
  <c r="J36" i="49"/>
  <c r="I36" i="49"/>
  <c r="H36" i="49"/>
  <c r="G36" i="49"/>
  <c r="F36" i="49"/>
  <c r="E36" i="49"/>
  <c r="D36" i="49"/>
  <c r="C36" i="49"/>
  <c r="B36" i="49"/>
  <c r="V35" i="49"/>
  <c r="P35" i="49"/>
  <c r="J35" i="49"/>
  <c r="I35" i="49"/>
  <c r="H35" i="49"/>
  <c r="G35" i="49"/>
  <c r="F35" i="49"/>
  <c r="E35" i="49"/>
  <c r="D35" i="49"/>
  <c r="C35" i="49"/>
  <c r="B35" i="49"/>
  <c r="V34" i="49"/>
  <c r="P34" i="49"/>
  <c r="J34" i="49"/>
  <c r="I34" i="49"/>
  <c r="H34" i="49"/>
  <c r="G34" i="49"/>
  <c r="F34" i="49"/>
  <c r="E34" i="49"/>
  <c r="D34" i="49"/>
  <c r="C34" i="49"/>
  <c r="B34" i="49"/>
  <c r="V33" i="49"/>
  <c r="P33" i="49"/>
  <c r="J33" i="49"/>
  <c r="I33" i="49"/>
  <c r="H33" i="49"/>
  <c r="G33" i="49"/>
  <c r="F33" i="49"/>
  <c r="E33" i="49"/>
  <c r="D33" i="49"/>
  <c r="C33" i="49"/>
  <c r="B33" i="49"/>
  <c r="V32" i="49"/>
  <c r="J32" i="49"/>
  <c r="I32" i="49"/>
  <c r="H32" i="49"/>
  <c r="G32" i="49"/>
  <c r="F32" i="49"/>
  <c r="E32" i="49"/>
  <c r="D32" i="49"/>
  <c r="C32" i="49"/>
  <c r="B32" i="49"/>
  <c r="V31" i="49"/>
  <c r="P31" i="49"/>
  <c r="J31" i="49"/>
  <c r="I31" i="49"/>
  <c r="H31" i="49"/>
  <c r="G31" i="49"/>
  <c r="F31" i="49"/>
  <c r="E31" i="49"/>
  <c r="D31" i="49"/>
  <c r="C31" i="49"/>
  <c r="B31" i="49"/>
  <c r="V30" i="49"/>
  <c r="P30" i="49"/>
  <c r="J30" i="49"/>
  <c r="I30" i="49"/>
  <c r="H30" i="49"/>
  <c r="G30" i="49"/>
  <c r="F30" i="49"/>
  <c r="E30" i="49"/>
  <c r="D30" i="49"/>
  <c r="C30" i="49"/>
  <c r="B30" i="49"/>
  <c r="V29" i="49"/>
  <c r="P29" i="49"/>
  <c r="J29" i="49"/>
  <c r="I29" i="49"/>
  <c r="H29" i="49"/>
  <c r="G29" i="49"/>
  <c r="F29" i="49"/>
  <c r="E29" i="49"/>
  <c r="D29" i="49"/>
  <c r="C29" i="49"/>
  <c r="B29" i="49"/>
  <c r="V28" i="49"/>
  <c r="P28" i="49"/>
  <c r="J28" i="49"/>
  <c r="I28" i="49"/>
  <c r="H28" i="49"/>
  <c r="G28" i="49"/>
  <c r="F28" i="49"/>
  <c r="E28" i="49"/>
  <c r="D28" i="49"/>
  <c r="C28" i="49"/>
  <c r="B28" i="49"/>
  <c r="V27" i="49"/>
  <c r="P27" i="49"/>
  <c r="J27" i="49"/>
  <c r="I27" i="49"/>
  <c r="H27" i="49"/>
  <c r="G27" i="49"/>
  <c r="F27" i="49"/>
  <c r="E27" i="49"/>
  <c r="D27" i="49"/>
  <c r="C27" i="49"/>
  <c r="B27" i="49"/>
  <c r="V26" i="49"/>
  <c r="P26" i="49"/>
  <c r="J26" i="49"/>
  <c r="I26" i="49"/>
  <c r="H26" i="49"/>
  <c r="G26" i="49"/>
  <c r="F26" i="49"/>
  <c r="E26" i="49"/>
  <c r="D26" i="49"/>
  <c r="C26" i="49"/>
  <c r="B26" i="49"/>
  <c r="V25" i="49"/>
  <c r="P25" i="49"/>
  <c r="J25" i="49"/>
  <c r="I25" i="49"/>
  <c r="H25" i="49"/>
  <c r="G25" i="49"/>
  <c r="F25" i="49"/>
  <c r="E25" i="49"/>
  <c r="D25" i="49"/>
  <c r="C25" i="49"/>
  <c r="B25" i="49"/>
  <c r="V24" i="49"/>
  <c r="J24" i="49"/>
  <c r="I24" i="49"/>
  <c r="H24" i="49"/>
  <c r="G24" i="49"/>
  <c r="F24" i="49"/>
  <c r="E24" i="49"/>
  <c r="D24" i="49"/>
  <c r="C24" i="49"/>
  <c r="B24" i="49"/>
  <c r="V23" i="49"/>
  <c r="P23" i="49"/>
  <c r="J23" i="49"/>
  <c r="I23" i="49"/>
  <c r="H23" i="49"/>
  <c r="G23" i="49"/>
  <c r="F23" i="49"/>
  <c r="E23" i="49"/>
  <c r="D23" i="49"/>
  <c r="C23" i="49"/>
  <c r="B23" i="49"/>
  <c r="V22" i="49"/>
  <c r="P22" i="49"/>
  <c r="J22" i="49"/>
  <c r="I22" i="49"/>
  <c r="H22" i="49"/>
  <c r="G22" i="49"/>
  <c r="F22" i="49"/>
  <c r="E22" i="49"/>
  <c r="D22" i="49"/>
  <c r="C22" i="49"/>
  <c r="B22" i="49"/>
  <c r="V21" i="49"/>
  <c r="P21" i="49"/>
  <c r="J21" i="49"/>
  <c r="I21" i="49"/>
  <c r="H21" i="49"/>
  <c r="G21" i="49"/>
  <c r="F21" i="49"/>
  <c r="E21" i="49"/>
  <c r="D21" i="49"/>
  <c r="C21" i="49"/>
  <c r="B21" i="49"/>
  <c r="V20" i="49"/>
  <c r="P20" i="49"/>
  <c r="J20" i="49"/>
  <c r="I20" i="49"/>
  <c r="H20" i="49"/>
  <c r="G20" i="49"/>
  <c r="F20" i="49"/>
  <c r="E20" i="49"/>
  <c r="D20" i="49"/>
  <c r="C20" i="49"/>
  <c r="B20" i="49"/>
  <c r="V19" i="49"/>
  <c r="P19" i="49"/>
  <c r="J19" i="49"/>
  <c r="I19" i="49"/>
  <c r="H19" i="49"/>
  <c r="G19" i="49"/>
  <c r="F19" i="49"/>
  <c r="E19" i="49"/>
  <c r="D19" i="49"/>
  <c r="C19" i="49"/>
  <c r="B19" i="49"/>
  <c r="V18" i="49"/>
  <c r="P18" i="49"/>
  <c r="J18" i="49"/>
  <c r="I18" i="49"/>
  <c r="H18" i="49"/>
  <c r="G18" i="49"/>
  <c r="F18" i="49"/>
  <c r="E18" i="49"/>
  <c r="D18" i="49"/>
  <c r="C18" i="49"/>
  <c r="B18" i="49"/>
  <c r="V17" i="49"/>
  <c r="P17" i="49"/>
  <c r="J17" i="49"/>
  <c r="I17" i="49"/>
  <c r="H17" i="49"/>
  <c r="G17" i="49"/>
  <c r="F17" i="49"/>
  <c r="E17" i="49"/>
  <c r="D17" i="49"/>
  <c r="C17" i="49"/>
  <c r="B17" i="49"/>
  <c r="V16" i="49"/>
  <c r="P16" i="49"/>
  <c r="J16" i="49"/>
  <c r="I16" i="49"/>
  <c r="H16" i="49"/>
  <c r="G16" i="49"/>
  <c r="F16" i="49"/>
  <c r="E16" i="49"/>
  <c r="D16" i="49"/>
  <c r="C16" i="49"/>
  <c r="B16" i="49"/>
  <c r="V15" i="49"/>
  <c r="P15" i="49"/>
  <c r="J15" i="49"/>
  <c r="I15" i="49"/>
  <c r="H15" i="49"/>
  <c r="G15" i="49"/>
  <c r="F15" i="49"/>
  <c r="E15" i="49"/>
  <c r="D15" i="49"/>
  <c r="C15" i="49"/>
  <c r="B15" i="49"/>
  <c r="V14" i="49"/>
  <c r="P14" i="49"/>
  <c r="J14" i="49"/>
  <c r="I14" i="49"/>
  <c r="H14" i="49"/>
  <c r="G14" i="49"/>
  <c r="F14" i="49"/>
  <c r="E14" i="49"/>
  <c r="D14" i="49"/>
  <c r="C14" i="49"/>
  <c r="B14" i="49"/>
  <c r="V13" i="49"/>
  <c r="P13" i="49"/>
  <c r="J13" i="49"/>
  <c r="I13" i="49"/>
  <c r="H13" i="49"/>
  <c r="G13" i="49"/>
  <c r="F13" i="49"/>
  <c r="E13" i="49"/>
  <c r="D13" i="49"/>
  <c r="C13" i="49"/>
  <c r="B13" i="49"/>
  <c r="V12" i="49"/>
  <c r="P12" i="49"/>
  <c r="J12" i="49"/>
  <c r="I12" i="49"/>
  <c r="H12" i="49"/>
  <c r="G12" i="49"/>
  <c r="F12" i="49"/>
  <c r="E12" i="49"/>
  <c r="D12" i="49"/>
  <c r="C12" i="49"/>
  <c r="B12" i="49"/>
  <c r="V11" i="49"/>
  <c r="P11" i="49"/>
  <c r="J11" i="49"/>
  <c r="I11" i="49"/>
  <c r="H11" i="49"/>
  <c r="G11" i="49"/>
  <c r="F11" i="49"/>
  <c r="E11" i="49"/>
  <c r="D11" i="49"/>
  <c r="C11" i="49"/>
  <c r="B11" i="49"/>
  <c r="V10" i="49"/>
  <c r="P10" i="49"/>
  <c r="J10" i="49"/>
  <c r="I10" i="49"/>
  <c r="H10" i="49"/>
  <c r="G10" i="49"/>
  <c r="F10" i="49"/>
  <c r="E10" i="49"/>
  <c r="D10" i="49"/>
  <c r="C10" i="49"/>
  <c r="B10" i="49"/>
  <c r="V9" i="49"/>
  <c r="P9" i="49"/>
  <c r="J9" i="49"/>
  <c r="I9" i="49"/>
  <c r="H9" i="49"/>
  <c r="G9" i="49"/>
  <c r="F9" i="49"/>
  <c r="E9" i="49"/>
  <c r="D9" i="49"/>
  <c r="C9" i="49"/>
  <c r="B9" i="49"/>
  <c r="V8" i="49"/>
  <c r="J8" i="49"/>
  <c r="I8" i="49"/>
  <c r="H8" i="49"/>
  <c r="G8" i="49"/>
  <c r="F8" i="49"/>
  <c r="E8" i="49"/>
  <c r="D8" i="49"/>
  <c r="C8" i="49"/>
  <c r="B8" i="49"/>
  <c r="V7" i="49"/>
  <c r="P7" i="49"/>
  <c r="J7" i="49"/>
  <c r="I7" i="49"/>
  <c r="H7" i="49"/>
  <c r="G7" i="49"/>
  <c r="F7" i="49"/>
  <c r="E7" i="49"/>
  <c r="D7" i="49"/>
  <c r="C7" i="49"/>
  <c r="B7" i="49"/>
  <c r="V6" i="49"/>
  <c r="P6" i="49"/>
  <c r="J6" i="49"/>
  <c r="I6" i="49"/>
  <c r="H6" i="49"/>
  <c r="G6" i="49"/>
  <c r="F6" i="49"/>
  <c r="E6" i="49"/>
  <c r="D6" i="49"/>
  <c r="C6" i="49"/>
  <c r="B6" i="49"/>
  <c r="V5" i="49"/>
  <c r="V53" i="49" s="1"/>
  <c r="P5" i="49"/>
  <c r="J5" i="49"/>
  <c r="I5" i="49"/>
  <c r="H5" i="49"/>
  <c r="G5" i="49"/>
  <c r="F5" i="49"/>
  <c r="E5" i="49"/>
  <c r="D5" i="49"/>
  <c r="C5" i="49"/>
  <c r="B5" i="49"/>
  <c r="V4" i="49"/>
  <c r="P4" i="49"/>
  <c r="J4" i="49"/>
  <c r="I4" i="49"/>
  <c r="H4" i="49"/>
  <c r="G4" i="49"/>
  <c r="F4" i="49"/>
  <c r="E4" i="49"/>
  <c r="D4" i="49"/>
  <c r="C4" i="49"/>
  <c r="B4" i="49"/>
  <c r="V3" i="49"/>
  <c r="P3" i="49"/>
  <c r="J3" i="49"/>
  <c r="I3" i="49"/>
  <c r="H3" i="49"/>
  <c r="G3" i="49"/>
  <c r="F3" i="49"/>
  <c r="E3" i="49"/>
  <c r="D3" i="49"/>
  <c r="C3" i="49"/>
  <c r="B3" i="49"/>
  <c r="V2" i="49"/>
  <c r="P2" i="49"/>
  <c r="P53" i="49" s="1"/>
  <c r="J2" i="49"/>
  <c r="I2" i="49"/>
  <c r="H2" i="49"/>
  <c r="G2" i="49"/>
  <c r="F2" i="49"/>
  <c r="E2" i="49"/>
  <c r="D2" i="49"/>
  <c r="C2" i="49"/>
  <c r="B2" i="49"/>
  <c r="B55" i="47"/>
  <c r="C50" i="47" s="1"/>
  <c r="P56" i="55" l="1"/>
  <c r="Q10" i="55" s="1"/>
  <c r="I5" i="53"/>
  <c r="H5" i="53"/>
  <c r="J5" i="53"/>
  <c r="C54" i="47"/>
  <c r="D54" i="47" s="1"/>
  <c r="L55" i="46" s="1"/>
  <c r="C16" i="47"/>
  <c r="D16" i="47" s="1"/>
  <c r="L17" i="46" s="1"/>
  <c r="C33" i="47"/>
  <c r="D33" i="47" s="1"/>
  <c r="L34" i="46" s="1"/>
  <c r="C4" i="47"/>
  <c r="D4" i="47" s="1"/>
  <c r="L5" i="46" s="1"/>
  <c r="C24" i="47"/>
  <c r="D24" i="47" s="1"/>
  <c r="L25" i="46" s="1"/>
  <c r="C37" i="47"/>
  <c r="D37" i="47" s="1"/>
  <c r="L38" i="46" s="1"/>
  <c r="C12" i="47"/>
  <c r="D12" i="47" s="1"/>
  <c r="L13" i="46" s="1"/>
  <c r="C32" i="47"/>
  <c r="D32" i="47" s="1"/>
  <c r="L33" i="46" s="1"/>
  <c r="C41" i="47"/>
  <c r="D41" i="47" s="1"/>
  <c r="L42" i="46" s="1"/>
  <c r="C20" i="47"/>
  <c r="D20" i="47" s="1"/>
  <c r="L21" i="46" s="1"/>
  <c r="C40" i="47"/>
  <c r="D40" i="47" s="1"/>
  <c r="L41" i="46" s="1"/>
  <c r="C45" i="47"/>
  <c r="D45" i="47" s="1"/>
  <c r="L46" i="46" s="1"/>
  <c r="C28" i="47"/>
  <c r="D28" i="47" s="1"/>
  <c r="L29" i="46" s="1"/>
  <c r="C52" i="47"/>
  <c r="D52" i="47" s="1"/>
  <c r="L53" i="46" s="1"/>
  <c r="C49" i="47"/>
  <c r="D49" i="47" s="1"/>
  <c r="L50" i="46" s="1"/>
  <c r="C36" i="47"/>
  <c r="D36" i="47" s="1"/>
  <c r="L37" i="46" s="1"/>
  <c r="C7" i="47"/>
  <c r="D7" i="47" s="1"/>
  <c r="L8" i="46" s="1"/>
  <c r="C5" i="47"/>
  <c r="D5" i="47" s="1"/>
  <c r="L6" i="46" s="1"/>
  <c r="C53" i="47"/>
  <c r="D53" i="47" s="1"/>
  <c r="L54" i="46" s="1"/>
  <c r="C44" i="47"/>
  <c r="D44" i="47" s="1"/>
  <c r="L45" i="46" s="1"/>
  <c r="C15" i="47"/>
  <c r="D15" i="47" s="1"/>
  <c r="L16" i="46" s="1"/>
  <c r="C9" i="47"/>
  <c r="D9" i="47" s="1"/>
  <c r="L10" i="46" s="1"/>
  <c r="C11" i="47"/>
  <c r="D11" i="47" s="1"/>
  <c r="L12" i="46" s="1"/>
  <c r="C6" i="47"/>
  <c r="D6" i="47" s="1"/>
  <c r="L7" i="46" s="1"/>
  <c r="C10" i="47"/>
  <c r="D10" i="47" s="1"/>
  <c r="L11" i="46" s="1"/>
  <c r="C23" i="47"/>
  <c r="D23" i="47" s="1"/>
  <c r="L24" i="46" s="1"/>
  <c r="C31" i="47"/>
  <c r="D31" i="47" s="1"/>
  <c r="L32" i="46" s="1"/>
  <c r="C17" i="47"/>
  <c r="D17" i="47" s="1"/>
  <c r="L18" i="46" s="1"/>
  <c r="C27" i="47"/>
  <c r="D27" i="47" s="1"/>
  <c r="L28" i="46" s="1"/>
  <c r="C22" i="47"/>
  <c r="D22" i="47" s="1"/>
  <c r="L23" i="46" s="1"/>
  <c r="C19" i="47"/>
  <c r="D19" i="47" s="1"/>
  <c r="L20" i="46" s="1"/>
  <c r="C43" i="47"/>
  <c r="D43" i="47" s="1"/>
  <c r="L44" i="46" s="1"/>
  <c r="C21" i="47"/>
  <c r="D21" i="47" s="1"/>
  <c r="L22" i="46" s="1"/>
  <c r="C35" i="47"/>
  <c r="D35" i="47" s="1"/>
  <c r="L36" i="46" s="1"/>
  <c r="C26" i="47"/>
  <c r="D26" i="47" s="1"/>
  <c r="L27" i="46" s="1"/>
  <c r="C51" i="47"/>
  <c r="D51" i="47" s="1"/>
  <c r="L52" i="46" s="1"/>
  <c r="C25" i="47"/>
  <c r="D25" i="47" s="1"/>
  <c r="L26" i="46" s="1"/>
  <c r="C39" i="47"/>
  <c r="D39" i="47" s="1"/>
  <c r="L40" i="46" s="1"/>
  <c r="C38" i="47"/>
  <c r="D38" i="47" s="1"/>
  <c r="L39" i="46" s="1"/>
  <c r="C13" i="47"/>
  <c r="D13" i="47" s="1"/>
  <c r="L14" i="46" s="1"/>
  <c r="C8" i="47"/>
  <c r="D8" i="47" s="1"/>
  <c r="L9" i="46" s="1"/>
  <c r="C29" i="47"/>
  <c r="D29" i="47" s="1"/>
  <c r="L30" i="46" s="1"/>
  <c r="C47" i="47"/>
  <c r="D47" i="47" s="1"/>
  <c r="L48" i="46" s="1"/>
  <c r="C42" i="47"/>
  <c r="D42" i="47" s="1"/>
  <c r="L43" i="46" s="1"/>
  <c r="C14" i="47"/>
  <c r="D14" i="47" s="1"/>
  <c r="L15" i="46" s="1"/>
  <c r="C30" i="47"/>
  <c r="D30" i="47" s="1"/>
  <c r="L31" i="46" s="1"/>
  <c r="C46" i="47"/>
  <c r="D46" i="47" s="1"/>
  <c r="L47" i="46" s="1"/>
  <c r="C48" i="47"/>
  <c r="D48" i="47" s="1"/>
  <c r="L49" i="46" s="1"/>
  <c r="C18" i="47"/>
  <c r="D18" i="47" s="1"/>
  <c r="L19" i="46" s="1"/>
  <c r="C34" i="47"/>
  <c r="D34" i="47" s="1"/>
  <c r="L35" i="46" s="1"/>
  <c r="K10" i="49"/>
  <c r="K11" i="49"/>
  <c r="K22" i="49"/>
  <c r="K23" i="49"/>
  <c r="K33" i="49"/>
  <c r="K12" i="49"/>
  <c r="K3" i="49"/>
  <c r="K4" i="49"/>
  <c r="K7" i="49"/>
  <c r="K8" i="49"/>
  <c r="K9" i="49"/>
  <c r="K15" i="49"/>
  <c r="K16" i="49"/>
  <c r="K17" i="49"/>
  <c r="K19" i="49"/>
  <c r="K20" i="49"/>
  <c r="K21" i="49"/>
  <c r="K27" i="49"/>
  <c r="K28" i="49"/>
  <c r="K29" i="49"/>
  <c r="K30" i="49"/>
  <c r="K31" i="49"/>
  <c r="K32" i="49"/>
  <c r="K37" i="49"/>
  <c r="K38" i="49"/>
  <c r="K39" i="49"/>
  <c r="K40" i="49"/>
  <c r="K41" i="49"/>
  <c r="K42" i="49"/>
  <c r="K43" i="49"/>
  <c r="K44" i="49"/>
  <c r="K48" i="49"/>
  <c r="K49" i="49"/>
  <c r="K50" i="49"/>
  <c r="K51" i="49"/>
  <c r="K56" i="46"/>
  <c r="E53" i="49"/>
  <c r="K13" i="49"/>
  <c r="K52" i="49"/>
  <c r="D50" i="47"/>
  <c r="L51" i="46" s="1"/>
  <c r="K5" i="49"/>
  <c r="C53" i="49"/>
  <c r="K2" i="49"/>
  <c r="F53" i="49"/>
  <c r="G53" i="49"/>
  <c r="H53" i="49"/>
  <c r="I53" i="49"/>
  <c r="K14" i="49"/>
  <c r="K18" i="49"/>
  <c r="K24" i="49"/>
  <c r="K25" i="49"/>
  <c r="K26" i="49"/>
  <c r="B53" i="49"/>
  <c r="K35" i="49"/>
  <c r="K36" i="49"/>
  <c r="K45" i="49"/>
  <c r="K46" i="49"/>
  <c r="K47" i="49"/>
  <c r="D53" i="49"/>
  <c r="K6" i="49"/>
  <c r="J53" i="49"/>
  <c r="K34" i="49"/>
  <c r="Q34" i="55" l="1"/>
  <c r="Q18" i="55"/>
  <c r="Q44" i="55"/>
  <c r="Q9" i="55"/>
  <c r="Q46" i="55"/>
  <c r="Q55" i="55"/>
  <c r="Q11" i="55"/>
  <c r="Q25" i="55"/>
  <c r="Q7" i="55"/>
  <c r="Q31" i="55"/>
  <c r="Q33" i="55"/>
  <c r="Q45" i="55"/>
  <c r="Q29" i="55"/>
  <c r="Q8" i="55"/>
  <c r="Q12" i="55"/>
  <c r="Q20" i="55"/>
  <c r="Q47" i="55"/>
  <c r="Q23" i="55"/>
  <c r="Q40" i="55"/>
  <c r="Q5" i="55"/>
  <c r="Q16" i="55"/>
  <c r="Q17" i="55"/>
  <c r="Q15" i="55"/>
  <c r="Q22" i="55"/>
  <c r="Q50" i="55"/>
  <c r="Q13" i="55"/>
  <c r="Q35" i="55"/>
  <c r="Q19" i="55"/>
  <c r="Q27" i="55"/>
  <c r="Q43" i="55"/>
  <c r="Q54" i="55"/>
  <c r="Q30" i="55"/>
  <c r="Q52" i="55"/>
  <c r="Q26" i="55"/>
  <c r="Q24" i="55"/>
  <c r="Q28" i="55"/>
  <c r="Q36" i="55"/>
  <c r="Q14" i="55"/>
  <c r="Q39" i="55"/>
  <c r="Q53" i="55"/>
  <c r="Q48" i="55"/>
  <c r="Q38" i="55"/>
  <c r="Q6" i="55"/>
  <c r="Q32" i="55"/>
  <c r="Q49" i="55"/>
  <c r="Q21" i="55"/>
  <c r="Q41" i="55"/>
  <c r="Q37" i="55"/>
  <c r="Q51" i="55"/>
  <c r="Q42" i="55"/>
  <c r="H25" i="53"/>
  <c r="H54" i="53"/>
  <c r="H26" i="53"/>
  <c r="H9" i="53"/>
  <c r="H56" i="53"/>
  <c r="H12" i="53"/>
  <c r="H35" i="53"/>
  <c r="H51" i="53"/>
  <c r="H17" i="53"/>
  <c r="H43" i="53"/>
  <c r="H50" i="53"/>
  <c r="H31" i="53"/>
  <c r="H23" i="53"/>
  <c r="H8" i="53"/>
  <c r="H49" i="53"/>
  <c r="H13" i="53"/>
  <c r="H19" i="53"/>
  <c r="H38" i="53"/>
  <c r="H28" i="53"/>
  <c r="H52" i="53"/>
  <c r="H46" i="53"/>
  <c r="H24" i="53"/>
  <c r="H37" i="53"/>
  <c r="H36" i="53"/>
  <c r="H27" i="53"/>
  <c r="H32" i="53"/>
  <c r="H15" i="53"/>
  <c r="H44" i="53"/>
  <c r="H30" i="53"/>
  <c r="H48" i="53"/>
  <c r="H42" i="53"/>
  <c r="H10" i="53"/>
  <c r="H11" i="53"/>
  <c r="H22" i="53"/>
  <c r="H29" i="53"/>
  <c r="H39" i="53"/>
  <c r="H41" i="53"/>
  <c r="H40" i="53"/>
  <c r="H34" i="53"/>
  <c r="H14" i="53"/>
  <c r="H57" i="53"/>
  <c r="H16" i="53"/>
  <c r="H18" i="53"/>
  <c r="H45" i="53"/>
  <c r="H55" i="53"/>
  <c r="H20" i="53"/>
  <c r="H7" i="53"/>
  <c r="H33" i="53"/>
  <c r="H47" i="53"/>
  <c r="H53" i="53"/>
  <c r="H21" i="53"/>
  <c r="I18" i="53"/>
  <c r="I16" i="53"/>
  <c r="I37" i="53"/>
  <c r="I46" i="53"/>
  <c r="I39" i="53"/>
  <c r="I21" i="53"/>
  <c r="I28" i="53"/>
  <c r="I47" i="53"/>
  <c r="I32" i="53"/>
  <c r="I7" i="53"/>
  <c r="I8" i="53"/>
  <c r="I11" i="53"/>
  <c r="I22" i="53"/>
  <c r="I51" i="53"/>
  <c r="I48" i="53"/>
  <c r="I35" i="53"/>
  <c r="I14" i="53"/>
  <c r="I20" i="53"/>
  <c r="I13" i="53"/>
  <c r="I43" i="53"/>
  <c r="I10" i="53"/>
  <c r="I24" i="53"/>
  <c r="I50" i="53"/>
  <c r="I29" i="53"/>
  <c r="I56" i="53"/>
  <c r="I44" i="53"/>
  <c r="I38" i="53"/>
  <c r="I27" i="53"/>
  <c r="I12" i="53"/>
  <c r="I25" i="53"/>
  <c r="I36" i="53"/>
  <c r="I15" i="53"/>
  <c r="I30" i="53"/>
  <c r="I26" i="53"/>
  <c r="I9" i="53"/>
  <c r="I34" i="53"/>
  <c r="I33" i="53"/>
  <c r="I52" i="53"/>
  <c r="I42" i="53"/>
  <c r="I41" i="53"/>
  <c r="I17" i="53"/>
  <c r="I40" i="53"/>
  <c r="I19" i="53"/>
  <c r="I23" i="53"/>
  <c r="I45" i="53"/>
  <c r="I31" i="53"/>
  <c r="I49" i="53"/>
  <c r="I57" i="53"/>
  <c r="I54" i="53"/>
  <c r="I53" i="53"/>
  <c r="I55" i="53"/>
  <c r="C55" i="47"/>
  <c r="D55" i="47"/>
  <c r="K53" i="49"/>
  <c r="Q56" i="55" l="1"/>
  <c r="H58" i="53"/>
  <c r="I58" i="53"/>
  <c r="J7" i="53" l="1"/>
  <c r="I44" i="46" l="1"/>
  <c r="H44" i="46"/>
  <c r="F44" i="46"/>
  <c r="C44" i="46"/>
  <c r="F10" i="46"/>
  <c r="I10" i="46"/>
  <c r="H10" i="46"/>
  <c r="C10" i="46"/>
  <c r="F20" i="46"/>
  <c r="I20" i="46"/>
  <c r="H20" i="46"/>
  <c r="C20" i="46"/>
  <c r="F42" i="46"/>
  <c r="I42" i="46"/>
  <c r="H42" i="46"/>
  <c r="C42" i="46"/>
  <c r="H27" i="46"/>
  <c r="F27" i="46"/>
  <c r="I27" i="46"/>
  <c r="C27" i="46"/>
  <c r="F41" i="46"/>
  <c r="I41" i="46"/>
  <c r="H41" i="46"/>
  <c r="C41" i="46"/>
  <c r="F54" i="46"/>
  <c r="I54" i="46"/>
  <c r="H54" i="46"/>
  <c r="C54" i="46"/>
  <c r="H49" i="46"/>
  <c r="F49" i="46"/>
  <c r="I49" i="46"/>
  <c r="C49" i="46"/>
  <c r="F53" i="46"/>
  <c r="H53" i="46"/>
  <c r="I53" i="46"/>
  <c r="C53" i="46"/>
  <c r="I21" i="46"/>
  <c r="H21" i="46"/>
  <c r="F21" i="46"/>
  <c r="C21" i="46"/>
  <c r="I24" i="46"/>
  <c r="H24" i="46"/>
  <c r="F24" i="46"/>
  <c r="C24" i="46"/>
  <c r="I8" i="46"/>
  <c r="F8" i="46"/>
  <c r="H8" i="46"/>
  <c r="C8" i="46"/>
  <c r="I55" i="46"/>
  <c r="H55" i="46"/>
  <c r="F55" i="46"/>
  <c r="C55" i="46"/>
  <c r="I46" i="46"/>
  <c r="H46" i="46"/>
  <c r="F46" i="46"/>
  <c r="C46" i="46"/>
  <c r="I12" i="46"/>
  <c r="H12" i="46"/>
  <c r="F12" i="46"/>
  <c r="C12" i="46"/>
  <c r="B5" i="46"/>
  <c r="O6" i="61"/>
  <c r="F6" i="46"/>
  <c r="I6" i="46"/>
  <c r="H6" i="46"/>
  <c r="C6" i="46"/>
  <c r="I48" i="46"/>
  <c r="H48" i="46"/>
  <c r="F48" i="46"/>
  <c r="C48" i="46"/>
  <c r="H14" i="46"/>
  <c r="I14" i="46"/>
  <c r="F14" i="46"/>
  <c r="C14" i="46"/>
  <c r="C5" i="46"/>
  <c r="I26" i="46"/>
  <c r="H26" i="46"/>
  <c r="F26" i="46"/>
  <c r="C26" i="46"/>
  <c r="H51" i="46"/>
  <c r="F51" i="46"/>
  <c r="I51" i="46"/>
  <c r="C51" i="46"/>
  <c r="F52" i="46"/>
  <c r="I52" i="46"/>
  <c r="H52" i="46"/>
  <c r="C52" i="46"/>
  <c r="H13" i="46"/>
  <c r="F13" i="46"/>
  <c r="I13" i="46"/>
  <c r="C13" i="46"/>
  <c r="F32" i="46"/>
  <c r="I32" i="46"/>
  <c r="H32" i="46"/>
  <c r="C32" i="46"/>
  <c r="I5" i="46"/>
  <c r="I35" i="46"/>
  <c r="H35" i="46"/>
  <c r="F35" i="46"/>
  <c r="C35" i="46"/>
  <c r="I33" i="46"/>
  <c r="H33" i="46"/>
  <c r="F33" i="46"/>
  <c r="C33" i="46"/>
  <c r="I47" i="46"/>
  <c r="H47" i="46"/>
  <c r="F47" i="46"/>
  <c r="C47" i="46"/>
  <c r="I34" i="46"/>
  <c r="H34" i="46"/>
  <c r="F34" i="46"/>
  <c r="C34" i="46"/>
  <c r="F18" i="46"/>
  <c r="I18" i="46"/>
  <c r="H18" i="46"/>
  <c r="C18" i="46"/>
  <c r="I36" i="46"/>
  <c r="H36" i="46"/>
  <c r="F36" i="46"/>
  <c r="C36" i="46"/>
  <c r="F16" i="46"/>
  <c r="I16" i="46"/>
  <c r="H16" i="46"/>
  <c r="C16" i="46"/>
  <c r="H19" i="46"/>
  <c r="I19" i="46"/>
  <c r="F19" i="46"/>
  <c r="C19" i="46"/>
  <c r="H15" i="46"/>
  <c r="F15" i="46"/>
  <c r="I15" i="46"/>
  <c r="C15" i="46"/>
  <c r="H38" i="46"/>
  <c r="F38" i="46"/>
  <c r="I38" i="46"/>
  <c r="C38" i="46"/>
  <c r="H37" i="46"/>
  <c r="F37" i="46"/>
  <c r="I37" i="46"/>
  <c r="C37" i="46"/>
  <c r="H5" i="46"/>
  <c r="I9" i="46"/>
  <c r="H9" i="46"/>
  <c r="F9" i="46"/>
  <c r="C9" i="46"/>
  <c r="H25" i="46"/>
  <c r="F25" i="46"/>
  <c r="I25" i="46"/>
  <c r="C25" i="46"/>
  <c r="F30" i="46"/>
  <c r="I30" i="46"/>
  <c r="H30" i="46"/>
  <c r="C30" i="46"/>
  <c r="H39" i="46"/>
  <c r="F39" i="46"/>
  <c r="I39" i="46"/>
  <c r="C39" i="46"/>
  <c r="H31" i="46"/>
  <c r="I31" i="46"/>
  <c r="F31" i="46"/>
  <c r="C31" i="46"/>
  <c r="H50" i="46"/>
  <c r="F50" i="46"/>
  <c r="I50" i="46"/>
  <c r="C50" i="46"/>
  <c r="F17" i="46"/>
  <c r="H17" i="46"/>
  <c r="I17" i="46"/>
  <c r="C17" i="46"/>
  <c r="F29" i="46"/>
  <c r="H29" i="46"/>
  <c r="I29" i="46"/>
  <c r="C29" i="46"/>
  <c r="H43" i="46"/>
  <c r="I43" i="46"/>
  <c r="F43" i="46"/>
  <c r="C43" i="46"/>
  <c r="H7" i="46"/>
  <c r="I7" i="46"/>
  <c r="F7" i="46"/>
  <c r="C7" i="46"/>
  <c r="I22" i="46"/>
  <c r="H22" i="46"/>
  <c r="F22" i="46"/>
  <c r="C22" i="46"/>
  <c r="F40" i="46"/>
  <c r="I40" i="46"/>
  <c r="H40" i="46"/>
  <c r="C40" i="46"/>
  <c r="I28" i="46"/>
  <c r="F28" i="46"/>
  <c r="H28" i="46"/>
  <c r="C28" i="46"/>
  <c r="I23" i="46"/>
  <c r="H23" i="46"/>
  <c r="F23" i="46"/>
  <c r="C23" i="46"/>
  <c r="I11" i="46"/>
  <c r="H11" i="46"/>
  <c r="F11" i="46"/>
  <c r="C11" i="46"/>
  <c r="I45" i="46"/>
  <c r="H45" i="46"/>
  <c r="F45" i="46"/>
  <c r="C45" i="46"/>
  <c r="F5" i="46"/>
  <c r="J30" i="53"/>
  <c r="K30" i="53" s="1"/>
  <c r="J10" i="53"/>
  <c r="K10" i="53" s="1"/>
  <c r="J56" i="53"/>
  <c r="K56" i="53" s="1"/>
  <c r="J25" i="53"/>
  <c r="K25" i="53" s="1"/>
  <c r="J37" i="53"/>
  <c r="K37" i="53" s="1"/>
  <c r="J48" i="53"/>
  <c r="K48" i="53" s="1"/>
  <c r="J46" i="53"/>
  <c r="K46" i="53" s="1"/>
  <c r="J12" i="53"/>
  <c r="K12" i="53" s="1"/>
  <c r="J55" i="53"/>
  <c r="K55" i="53" s="1"/>
  <c r="J47" i="53"/>
  <c r="K47" i="53" s="1"/>
  <c r="J8" i="53"/>
  <c r="K8" i="53" s="1"/>
  <c r="J32" i="53"/>
  <c r="K32" i="53" s="1"/>
  <c r="J13" i="53"/>
  <c r="K13" i="53" s="1"/>
  <c r="J11" i="53"/>
  <c r="K11" i="53" s="1"/>
  <c r="J27" i="53"/>
  <c r="K27" i="53" s="1"/>
  <c r="J22" i="53"/>
  <c r="K22" i="53" s="1"/>
  <c r="J57" i="53"/>
  <c r="K57" i="53" s="1"/>
  <c r="J51" i="53"/>
  <c r="K51" i="53" s="1"/>
  <c r="J44" i="53"/>
  <c r="K44" i="53" s="1"/>
  <c r="J14" i="53"/>
  <c r="K14" i="53" s="1"/>
  <c r="J41" i="53"/>
  <c r="K41" i="53" s="1"/>
  <c r="J29" i="53"/>
  <c r="K29" i="53" s="1"/>
  <c r="J43" i="53"/>
  <c r="K43" i="53" s="1"/>
  <c r="J23" i="53"/>
  <c r="K23" i="53" s="1"/>
  <c r="J35" i="53"/>
  <c r="K35" i="53" s="1"/>
  <c r="J33" i="53"/>
  <c r="K33" i="53" s="1"/>
  <c r="J49" i="53"/>
  <c r="K49" i="53" s="1"/>
  <c r="J52" i="53"/>
  <c r="K52" i="53" s="1"/>
  <c r="J16" i="53"/>
  <c r="K16" i="53" s="1"/>
  <c r="J31" i="53"/>
  <c r="K31" i="53" s="1"/>
  <c r="J45" i="53"/>
  <c r="K45" i="53" s="1"/>
  <c r="J50" i="53"/>
  <c r="K50" i="53" s="1"/>
  <c r="J36" i="53"/>
  <c r="K36" i="53" s="1"/>
  <c r="J20" i="53"/>
  <c r="K20" i="53" s="1"/>
  <c r="J19" i="53"/>
  <c r="K19" i="53" s="1"/>
  <c r="J38" i="53"/>
  <c r="K38" i="53" s="1"/>
  <c r="J26" i="53"/>
  <c r="K26" i="53" s="1"/>
  <c r="J18" i="53"/>
  <c r="K18" i="53" s="1"/>
  <c r="J28" i="53"/>
  <c r="K28" i="53" s="1"/>
  <c r="J9" i="53"/>
  <c r="K9" i="53" s="1"/>
  <c r="J53" i="53"/>
  <c r="K53" i="53" s="1"/>
  <c r="J24" i="53"/>
  <c r="K24" i="53" s="1"/>
  <c r="J42" i="53"/>
  <c r="K42" i="53" s="1"/>
  <c r="J54" i="53"/>
  <c r="K54" i="53" s="1"/>
  <c r="J15" i="53"/>
  <c r="K15" i="53" s="1"/>
  <c r="J34" i="53"/>
  <c r="K34" i="53" s="1"/>
  <c r="J21" i="53"/>
  <c r="K21" i="53" s="1"/>
  <c r="J17" i="53"/>
  <c r="K17" i="53" s="1"/>
  <c r="J40" i="53"/>
  <c r="K40" i="53" s="1"/>
  <c r="J39" i="53"/>
  <c r="K39" i="53" s="1"/>
  <c r="K7" i="53"/>
  <c r="K57" i="61" l="1"/>
  <c r="L57" i="61"/>
  <c r="B46" i="46"/>
  <c r="O47" i="61"/>
  <c r="P47" i="61" s="1"/>
  <c r="B8" i="46"/>
  <c r="O9" i="61"/>
  <c r="P9" i="61" s="1"/>
  <c r="B21" i="46"/>
  <c r="O22" i="61"/>
  <c r="P22" i="61" s="1"/>
  <c r="B42" i="46"/>
  <c r="O43" i="61"/>
  <c r="P43" i="61" s="1"/>
  <c r="B10" i="46"/>
  <c r="O11" i="61"/>
  <c r="P11" i="61" s="1"/>
  <c r="B23" i="46"/>
  <c r="O24" i="61"/>
  <c r="P24" i="61" s="1"/>
  <c r="B7" i="46"/>
  <c r="O8" i="61"/>
  <c r="P8" i="61" s="1"/>
  <c r="M57" i="61"/>
  <c r="P6" i="61"/>
  <c r="B52" i="46"/>
  <c r="O53" i="61"/>
  <c r="P53" i="61" s="1"/>
  <c r="B41" i="46"/>
  <c r="O42" i="61"/>
  <c r="P42" i="61" s="1"/>
  <c r="B45" i="46"/>
  <c r="O46" i="61"/>
  <c r="P46" i="61" s="1"/>
  <c r="B40" i="46"/>
  <c r="O41" i="61"/>
  <c r="P41" i="61" s="1"/>
  <c r="B29" i="46"/>
  <c r="O30" i="61"/>
  <c r="P30" i="61" s="1"/>
  <c r="B50" i="46"/>
  <c r="O51" i="61"/>
  <c r="P51" i="61" s="1"/>
  <c r="B39" i="46"/>
  <c r="O40" i="61"/>
  <c r="P40" i="61" s="1"/>
  <c r="B25" i="46"/>
  <c r="O26" i="61"/>
  <c r="P26" i="61" s="1"/>
  <c r="B48" i="46"/>
  <c r="O49" i="61"/>
  <c r="P49" i="61" s="1"/>
  <c r="I57" i="61"/>
  <c r="B37" i="46"/>
  <c r="O38" i="61"/>
  <c r="P38" i="61" s="1"/>
  <c r="B15" i="46"/>
  <c r="O16" i="61"/>
  <c r="P16" i="61" s="1"/>
  <c r="B18" i="46"/>
  <c r="O19" i="61"/>
  <c r="P19" i="61" s="1"/>
  <c r="B35" i="46"/>
  <c r="O36" i="61"/>
  <c r="P36" i="61" s="1"/>
  <c r="B16" i="46"/>
  <c r="O17" i="61"/>
  <c r="P17" i="61" s="1"/>
  <c r="B47" i="46"/>
  <c r="O48" i="61"/>
  <c r="P48" i="61" s="1"/>
  <c r="B12" i="46"/>
  <c r="O13" i="61"/>
  <c r="P13" i="61" s="1"/>
  <c r="B55" i="46"/>
  <c r="O56" i="61"/>
  <c r="P56" i="61" s="1"/>
  <c r="B24" i="46"/>
  <c r="O25" i="61"/>
  <c r="P25" i="61" s="1"/>
  <c r="B13" i="46"/>
  <c r="O14" i="61"/>
  <c r="P14" i="61" s="1"/>
  <c r="B51" i="46"/>
  <c r="O52" i="61"/>
  <c r="P52" i="61" s="1"/>
  <c r="J57" i="61"/>
  <c r="B53" i="46"/>
  <c r="O54" i="61"/>
  <c r="P54" i="61" s="1"/>
  <c r="B54" i="46"/>
  <c r="O55" i="61"/>
  <c r="P55" i="61" s="1"/>
  <c r="B27" i="46"/>
  <c r="O28" i="61"/>
  <c r="P28" i="61" s="1"/>
  <c r="B20" i="46"/>
  <c r="O21" i="61"/>
  <c r="P21" i="61" s="1"/>
  <c r="B44" i="46"/>
  <c r="O45" i="61"/>
  <c r="P45" i="61" s="1"/>
  <c r="B26" i="46"/>
  <c r="O27" i="61"/>
  <c r="P27" i="61" s="1"/>
  <c r="B17" i="46"/>
  <c r="O18" i="61"/>
  <c r="P18" i="61" s="1"/>
  <c r="B31" i="46"/>
  <c r="O32" i="61"/>
  <c r="P32" i="61" s="1"/>
  <c r="B14" i="46"/>
  <c r="O15" i="61"/>
  <c r="P15" i="61" s="1"/>
  <c r="B6" i="46"/>
  <c r="O7" i="61"/>
  <c r="P7" i="61" s="1"/>
  <c r="B11" i="46"/>
  <c r="O12" i="61"/>
  <c r="P12" i="61" s="1"/>
  <c r="B28" i="46"/>
  <c r="O29" i="61"/>
  <c r="P29" i="61" s="1"/>
  <c r="B43" i="46"/>
  <c r="O44" i="61"/>
  <c r="P44" i="61" s="1"/>
  <c r="B30" i="46"/>
  <c r="O31" i="61"/>
  <c r="P31" i="61" s="1"/>
  <c r="B9" i="46"/>
  <c r="O10" i="61"/>
  <c r="P10" i="61" s="1"/>
  <c r="B32" i="46"/>
  <c r="O33" i="61"/>
  <c r="P33" i="61" s="1"/>
  <c r="B22" i="46"/>
  <c r="O23" i="61"/>
  <c r="P23" i="61" s="1"/>
  <c r="B38" i="46"/>
  <c r="O39" i="61"/>
  <c r="P39" i="61" s="1"/>
  <c r="B36" i="46"/>
  <c r="O37" i="61"/>
  <c r="P37" i="61" s="1"/>
  <c r="N57" i="61"/>
  <c r="B19" i="46"/>
  <c r="O20" i="61"/>
  <c r="P20" i="61" s="1"/>
  <c r="B34" i="46"/>
  <c r="O35" i="61"/>
  <c r="P35" i="61" s="1"/>
  <c r="B33" i="46"/>
  <c r="O34" i="61"/>
  <c r="P34" i="61" s="1"/>
  <c r="B49" i="46"/>
  <c r="O50" i="61"/>
  <c r="P50" i="61" s="1"/>
  <c r="M56" i="46"/>
  <c r="G58" i="53"/>
  <c r="J58" i="53"/>
  <c r="K58" i="53"/>
  <c r="P57" i="61" l="1"/>
  <c r="O57" i="61"/>
  <c r="L50" i="53"/>
  <c r="L20" i="53"/>
  <c r="L46" i="53"/>
  <c r="L49" i="53"/>
  <c r="L17" i="53"/>
  <c r="L31" i="53"/>
  <c r="L53" i="53"/>
  <c r="L52" i="53"/>
  <c r="L39" i="53"/>
  <c r="L42" i="53"/>
  <c r="L26" i="53"/>
  <c r="L45" i="53"/>
  <c r="L14" i="53"/>
  <c r="L36" i="53"/>
  <c r="L40" i="53"/>
  <c r="L9" i="53"/>
  <c r="L41" i="53"/>
  <c r="L54" i="53"/>
  <c r="L55" i="53"/>
  <c r="L30" i="53"/>
  <c r="L27" i="53"/>
  <c r="L8" i="53"/>
  <c r="L29" i="53"/>
  <c r="L28" i="53"/>
  <c r="L25" i="53"/>
  <c r="L22" i="53"/>
  <c r="L15" i="53"/>
  <c r="L13" i="53"/>
  <c r="L57" i="53"/>
  <c r="L34" i="53"/>
  <c r="L56" i="53"/>
  <c r="L43" i="53"/>
  <c r="L38" i="53"/>
  <c r="L10" i="53"/>
  <c r="L35" i="53"/>
  <c r="L12" i="53"/>
  <c r="L44" i="53"/>
  <c r="L33" i="53"/>
  <c r="L37" i="53"/>
  <c r="L51" i="53"/>
  <c r="L23" i="53"/>
  <c r="L19" i="53"/>
  <c r="L11" i="53"/>
  <c r="L48" i="53"/>
  <c r="L18" i="53"/>
  <c r="L24" i="53"/>
  <c r="L32" i="53"/>
  <c r="L21" i="53"/>
  <c r="L16" i="53"/>
  <c r="L47" i="53"/>
  <c r="L7" i="53"/>
  <c r="J25" i="46" l="1"/>
  <c r="N25" i="46" s="1"/>
  <c r="J50" i="46"/>
  <c r="N50" i="46" s="1"/>
  <c r="J51" i="46"/>
  <c r="N51" i="46" s="1"/>
  <c r="J39" i="46"/>
  <c r="N39" i="46" s="1"/>
  <c r="J35" i="46"/>
  <c r="N35" i="46" s="1"/>
  <c r="J22" i="46"/>
  <c r="N22" i="46" s="1"/>
  <c r="J16" i="46"/>
  <c r="N16" i="46" s="1"/>
  <c r="J41" i="46"/>
  <c r="N41" i="46" s="1"/>
  <c r="J53" i="46"/>
  <c r="N53" i="46" s="1"/>
  <c r="J17" i="46"/>
  <c r="N17" i="46" s="1"/>
  <c r="J21" i="46"/>
  <c r="N21" i="46" s="1"/>
  <c r="J49" i="46"/>
  <c r="N49" i="46" s="1"/>
  <c r="J47" i="46"/>
  <c r="N47" i="46" s="1"/>
  <c r="J13" i="46"/>
  <c r="N13" i="46" s="1"/>
  <c r="J44" i="46"/>
  <c r="N44" i="46" s="1"/>
  <c r="J45" i="46"/>
  <c r="N45" i="46" s="1"/>
  <c r="J31" i="46"/>
  <c r="N31" i="46" s="1"/>
  <c r="J20" i="46"/>
  <c r="N20" i="46" s="1"/>
  <c r="J34" i="46"/>
  <c r="N34" i="46" s="1"/>
  <c r="J18" i="46"/>
  <c r="N18" i="46" s="1"/>
  <c r="J8" i="46"/>
  <c r="N8" i="46" s="1"/>
  <c r="J28" i="46"/>
  <c r="N28" i="46" s="1"/>
  <c r="J29" i="46"/>
  <c r="N29" i="46" s="1"/>
  <c r="J11" i="46"/>
  <c r="N11" i="46" s="1"/>
  <c r="J38" i="46"/>
  <c r="N38" i="46" s="1"/>
  <c r="J14" i="46"/>
  <c r="N14" i="46" s="1"/>
  <c r="J42" i="46"/>
  <c r="N42" i="46" s="1"/>
  <c r="J23" i="46"/>
  <c r="N23" i="46" s="1"/>
  <c r="J12" i="46"/>
  <c r="N12" i="46" s="1"/>
  <c r="J48" i="46"/>
  <c r="N48" i="46" s="1"/>
  <c r="J6" i="46"/>
  <c r="N6" i="46" s="1"/>
  <c r="J36" i="46"/>
  <c r="N36" i="46" s="1"/>
  <c r="J46" i="46"/>
  <c r="N46" i="46" s="1"/>
  <c r="J9" i="46"/>
  <c r="N9" i="46" s="1"/>
  <c r="J52" i="46"/>
  <c r="N52" i="46" s="1"/>
  <c r="J15" i="46"/>
  <c r="N15" i="46" s="1"/>
  <c r="J10" i="46"/>
  <c r="N10" i="46" s="1"/>
  <c r="J43" i="46"/>
  <c r="N43" i="46" s="1"/>
  <c r="J40" i="46"/>
  <c r="N40" i="46" s="1"/>
  <c r="J37" i="46"/>
  <c r="N37" i="46" s="1"/>
  <c r="J54" i="46"/>
  <c r="N54" i="46" s="1"/>
  <c r="J32" i="46"/>
  <c r="N32" i="46" s="1"/>
  <c r="J55" i="46"/>
  <c r="N55" i="46" s="1"/>
  <c r="J7" i="46"/>
  <c r="N7" i="46" s="1"/>
  <c r="J5" i="46"/>
  <c r="N5" i="46" s="1"/>
  <c r="J19" i="46"/>
  <c r="N19" i="46" s="1"/>
  <c r="J26" i="46"/>
  <c r="N26" i="46" s="1"/>
  <c r="J30" i="46"/>
  <c r="N30" i="46" s="1"/>
  <c r="J33" i="46"/>
  <c r="N33" i="46" s="1"/>
  <c r="J27" i="46"/>
  <c r="N27" i="46" s="1"/>
  <c r="J24" i="46"/>
  <c r="N24" i="46" s="1"/>
  <c r="L58" i="53"/>
  <c r="J56" i="46" l="1"/>
  <c r="L56" i="46" l="1"/>
  <c r="H56" i="46" l="1"/>
  <c r="E56" i="46"/>
  <c r="I56" i="46"/>
  <c r="F56" i="46"/>
  <c r="C56" i="46"/>
  <c r="B56" i="46"/>
  <c r="N56" i="46" l="1"/>
  <c r="D56" i="46"/>
</calcChain>
</file>

<file path=xl/sharedStrings.xml><?xml version="1.0" encoding="utf-8"?>
<sst xmlns="http://schemas.openxmlformats.org/spreadsheetml/2006/main" count="1341" uniqueCount="437">
  <si>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</si>
  <si>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</si>
  <si>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</si>
  <si>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</si>
  <si>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</si>
  <si>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</si>
  <si>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</si>
  <si>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</si>
  <si>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</si>
  <si>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</si>
  <si>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</si>
  <si>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</si>
  <si>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</si>
  <si>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</si>
  <si>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</si>
  <si>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</si>
  <si>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</si>
  <si>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</si>
  <si>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</si>
  <si>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</si>
  <si>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</si>
  <si>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</si>
  <si>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</si>
  <si>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</si>
  <si>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</si>
  <si>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</si>
  <si>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</si>
  <si>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</si>
  <si>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</si>
  <si>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</si>
  <si>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</si>
  <si>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</si>
  <si>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</si>
  <si>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</si>
  <si>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</si>
  <si>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</si>
  <si>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</si>
  <si>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</si>
  <si>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</si>
  <si>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</si>
  <si>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</si>
  <si>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</si>
  <si>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</si>
  <si>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</si>
  <si>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</si>
  <si>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</si>
  <si>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</si>
  <si>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</si>
  <si>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</si>
  <si>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</si>
  <si>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</si>
  <si>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</si>
  <si>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</si>
  <si>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TOTAL</t>
  </si>
  <si>
    <t>P=RP/BG</t>
  </si>
  <si>
    <t>ER=P*RP</t>
  </si>
  <si>
    <t>PC</t>
  </si>
  <si>
    <t>PO</t>
  </si>
  <si>
    <t>TERRITORIO (KM2)</t>
  </si>
  <si>
    <t>TE</t>
  </si>
  <si>
    <t>POBLACIÓN Y TERRITORIO</t>
  </si>
  <si>
    <t>CEPT=0.85(PO/∑PO)+0.15(TE/∑TE)</t>
  </si>
  <si>
    <t>PC*35%</t>
  </si>
  <si>
    <t>CEP= MAE1/∑MAE1</t>
  </si>
  <si>
    <t>CEG=MAE2/∑MAE2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</si>
  <si>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</si>
  <si>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</si>
  <si>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PC/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PC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</si>
  <si>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</si>
  <si>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</si>
  <si>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</si>
  <si>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</si>
  <si>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 xml:space="preserve">FUENTE: </t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</si>
  <si>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</si>
  <si>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</si>
  <si>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</si>
  <si>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</si>
  <si>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</si>
  <si>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</si>
  <si>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COEFICIENTE POBLACIÓN</t>
  </si>
  <si>
    <t>COEFICIENTE PROYECCIÓN POBLACIÓN</t>
  </si>
  <si>
    <t>PO*35%</t>
  </si>
  <si>
    <t>CEP*30%</t>
  </si>
  <si>
    <t>DISTRIBUCIÓN POR POBLACIÓN</t>
  </si>
  <si>
    <t>DISTRIBUCIÓN POR PROYECCIÓN DE POBLACIÓN</t>
  </si>
  <si>
    <t>DISTRIBUCIÓN POR COEFICIENTE REGLA I</t>
  </si>
  <si>
    <t>COEFICIENTE ESTIMADO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</si>
  <si>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</si>
  <si>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</si>
  <si>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</si>
  <si>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</si>
  <si>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 xml:space="preserve">POBLACIÓN </t>
  </si>
  <si>
    <t>REGLA I</t>
  </si>
  <si>
    <t>PROYECCIÓN DE POBLACIÓN</t>
  </si>
  <si>
    <t>$</t>
  </si>
  <si>
    <t>MAE2=(PI*35%)+(PC*35%)+(CD*30%)</t>
  </si>
  <si>
    <t>FGP</t>
  </si>
  <si>
    <t>FFM</t>
  </si>
  <si>
    <t>IEPS</t>
  </si>
  <si>
    <t xml:space="preserve">  Proyecciones de la Población 2010-2030, CONSEJO NACIONAL DE POBLACIÓN</t>
  </si>
  <si>
    <t>EFECTIVIDAD RECAUDACIÓN DE PREDIAL</t>
  </si>
  <si>
    <t>CER*50%</t>
  </si>
  <si>
    <t>CEPT*25%</t>
  </si>
  <si>
    <t>MAE1=(CEPT*25%)+(CIMP*25%)+(CER*50%)</t>
  </si>
  <si>
    <t>Fondo del Estado</t>
  </si>
  <si>
    <t>Monto</t>
  </si>
  <si>
    <t>Porcentaje de distribución</t>
  </si>
  <si>
    <t>Fondo General de Participaciones (FGP)</t>
  </si>
  <si>
    <t>Impuesto Especial sobre Producción y Servicios (IEPS)</t>
  </si>
  <si>
    <t>Los montos no incluyen descuentos ni compensación alguna.</t>
  </si>
  <si>
    <t>SECRETARÍA DE FINANZAS Y TESORERÍA GENERAL DEL ESTADO</t>
  </si>
  <si>
    <t>FEXHI</t>
  </si>
  <si>
    <t>FOFIR</t>
  </si>
  <si>
    <t>PROPORCION DE RECAUDACIÓN</t>
  </si>
  <si>
    <t>RECAUDACIÓN PONDERADO POR EFICIENCIA</t>
  </si>
  <si>
    <t>COEFICIENTE DE DISTRIBUCIÓN ANTES DE GARANTÍA</t>
  </si>
  <si>
    <t>Impuesto sobre la Venta Final de Gasolinas y Diesel (IEPSGD)</t>
  </si>
  <si>
    <t>Fondo de Fiscalización y Recaudación (FOFIR)</t>
  </si>
  <si>
    <t>Monto a distribuir</t>
  </si>
  <si>
    <t>DETERMINACIÓN PRELIMINAR DE LOS COEFICIENTES DE PARTICIPACIÓN DE RECURSOS A MUNICIPIOS POR VARIABLE (ARTÍCULO14 FRACC II LCH)</t>
  </si>
  <si>
    <t>MONTO OBS + ESTIM DE GASOLINAS</t>
  </si>
  <si>
    <t>MONTO OBS. + ESTIM. DE PARTICIPACIONES</t>
  </si>
  <si>
    <t>Fondo de Compensacion ISAN</t>
  </si>
  <si>
    <t xml:space="preserve">Impuesto sobre Adquisición de Vehículos Nuevos (ISAN) </t>
  </si>
  <si>
    <t>ISAN</t>
  </si>
  <si>
    <t>COMP ISAN</t>
  </si>
  <si>
    <t>COORDINACIÓN DE PLANEACIÓN HACENDARIA</t>
  </si>
  <si>
    <t>30% FFM</t>
  </si>
  <si>
    <t>70% FFM</t>
  </si>
  <si>
    <t>Fondo de Fomento Municipal (FFM) 30%</t>
  </si>
  <si>
    <t>Fondo de Fomento Municipal (FFM) 70%</t>
  </si>
  <si>
    <t>Las cifras de Recaudación y Facturación del Impuesto Predial fueron actualizadas para el Cálculo de Distribución. La población por Municipio para la entidad</t>
  </si>
  <si>
    <t>50%*CERi,t+20%*REi,t+30%*CCRi,t</t>
  </si>
  <si>
    <t>REi,t = Ri,t-1 /∑Ri,t-1</t>
  </si>
  <si>
    <t>CCRi,t=CRi,t /∑CRi,t</t>
  </si>
  <si>
    <t>CRi,t=(Ri,t-1/Ri,t-2)- 1</t>
  </si>
  <si>
    <t>Ri,t-2</t>
  </si>
  <si>
    <t>CERi,t = ERi,t-1 /∑ERi,t-1</t>
  </si>
  <si>
    <t>ERt-1 = Ri,t-1 / BGi,t-1</t>
  </si>
  <si>
    <t>Ri,t-1</t>
  </si>
  <si>
    <t>BGt-1</t>
  </si>
  <si>
    <t xml:space="preserve"> ESTIMACIÓN 30% FFM ANUAL</t>
  </si>
  <si>
    <t>DISTRIBUCIÓN POR RECAUDACION</t>
  </si>
  <si>
    <t>DISTRIBUCIÓN CRECIMIENTO RECAUDACION</t>
  </si>
  <si>
    <t xml:space="preserve">DISTRIBUCIÓN POR EFICIENCIA EN LA RECAUDACIÓN  </t>
  </si>
  <si>
    <t>COEFICIENTE  POR MONTO DE RECAUDACIÓN EN EL IMPUESTO PREDIAL</t>
  </si>
  <si>
    <t>Tasa&gt;0</t>
  </si>
  <si>
    <t xml:space="preserve">TASA DE CRECIMIENTO EN LA RECAUDACIÓN EFECTIVA </t>
  </si>
  <si>
    <t>COEFICIENTE  DE EFICIENCIA RECAUDATORIA</t>
  </si>
  <si>
    <t>Eficiencia Recaudatoria</t>
  </si>
  <si>
    <t>COEFICIENTE DE DISTRIBUCIÓN  30% FFM Art 14 Frac III</t>
  </si>
  <si>
    <t>RECAUDACIÓN EN EL IMPUESTO PREDIAL</t>
  </si>
  <si>
    <t>CRECIMIENTO RECAUDACION</t>
  </si>
  <si>
    <t xml:space="preserve"> EFICIENCIA RECAUDATORIA</t>
  </si>
  <si>
    <t>IEPSGYD</t>
  </si>
  <si>
    <t>BGt-2</t>
  </si>
  <si>
    <t>RPt-1</t>
  </si>
  <si>
    <t>Mes</t>
  </si>
  <si>
    <t xml:space="preserve"> </t>
  </si>
  <si>
    <t xml:space="preserve"> MUNICIPIO </t>
  </si>
  <si>
    <t>COEFICIENTE</t>
  </si>
  <si>
    <t xml:space="preserve"> ABASOLO </t>
  </si>
  <si>
    <t xml:space="preserve"> AGUALEGUAS </t>
  </si>
  <si>
    <t xml:space="preserve"> ALDAMAS, LOS </t>
  </si>
  <si>
    <t xml:space="preserve"> ALLENDE </t>
  </si>
  <si>
    <t xml:space="preserve"> ANAHUAC </t>
  </si>
  <si>
    <t xml:space="preserve"> APODACA </t>
  </si>
  <si>
    <t xml:space="preserve"> ARAMBERRI </t>
  </si>
  <si>
    <t xml:space="preserve"> BUSTAMANTE </t>
  </si>
  <si>
    <t xml:space="preserve"> CADEREYTA JIMENEZ </t>
  </si>
  <si>
    <t xml:space="preserve"> CARMEN </t>
  </si>
  <si>
    <t xml:space="preserve"> CERRALVO  </t>
  </si>
  <si>
    <t xml:space="preserve"> CHINA </t>
  </si>
  <si>
    <t xml:space="preserve"> CIENEGA DE FLORES </t>
  </si>
  <si>
    <t xml:space="preserve"> DOCTOR ARROYO </t>
  </si>
  <si>
    <t xml:space="preserve"> DOCTOR COSS </t>
  </si>
  <si>
    <t xml:space="preserve"> DOCTOR GONZALEZ </t>
  </si>
  <si>
    <t xml:space="preserve"> GALEANA </t>
  </si>
  <si>
    <t xml:space="preserve"> GARCIA </t>
  </si>
  <si>
    <t xml:space="preserve"> GENERAL BRAVO </t>
  </si>
  <si>
    <t xml:space="preserve"> GENERAL ESCOBEDO </t>
  </si>
  <si>
    <t xml:space="preserve"> GENERAL TERAN </t>
  </si>
  <si>
    <t xml:space="preserve"> GENERAL TREVIÑO </t>
  </si>
  <si>
    <t xml:space="preserve"> GENERAL ZARAGOZA </t>
  </si>
  <si>
    <t xml:space="preserve"> GENERAL ZUAZUA </t>
  </si>
  <si>
    <t xml:space="preserve"> GUADALUPE </t>
  </si>
  <si>
    <t xml:space="preserve"> HERRERAS, LOS </t>
  </si>
  <si>
    <t xml:space="preserve"> HIDALGO </t>
  </si>
  <si>
    <t xml:space="preserve"> HIGUERAS </t>
  </si>
  <si>
    <t xml:space="preserve"> HUALAHUISES </t>
  </si>
  <si>
    <t xml:space="preserve"> ITURBIDE </t>
  </si>
  <si>
    <t xml:space="preserve"> JUAREZ </t>
  </si>
  <si>
    <t xml:space="preserve"> LAMPAZOS DE NARANJO </t>
  </si>
  <si>
    <t xml:space="preserve"> LINARES </t>
  </si>
  <si>
    <t xml:space="preserve"> MARIN </t>
  </si>
  <si>
    <t xml:space="preserve"> MELCHOR OCAMPO </t>
  </si>
  <si>
    <t xml:space="preserve"> MIER Y NORIEGA </t>
  </si>
  <si>
    <t xml:space="preserve"> MINA </t>
  </si>
  <si>
    <t xml:space="preserve"> MONTEMORELOS </t>
  </si>
  <si>
    <t xml:space="preserve"> MONTERREY </t>
  </si>
  <si>
    <t xml:space="preserve"> PARAS </t>
  </si>
  <si>
    <t xml:space="preserve"> PESQUERIA </t>
  </si>
  <si>
    <t xml:space="preserve"> RAMONES, LOS </t>
  </si>
  <si>
    <t xml:space="preserve"> RAYONES </t>
  </si>
  <si>
    <t xml:space="preserve"> SABINAS HIDALGO </t>
  </si>
  <si>
    <t xml:space="preserve"> SALINAS VICTORIA </t>
  </si>
  <si>
    <t xml:space="preserve"> SAN NICOLAS DE LOS GARZA </t>
  </si>
  <si>
    <t xml:space="preserve"> SAN PEDRO GARZA GARCIA </t>
  </si>
  <si>
    <t xml:space="preserve"> SANTA CATARINA </t>
  </si>
  <si>
    <t xml:space="preserve"> SANTIAGO </t>
  </si>
  <si>
    <t xml:space="preserve"> VALLECILLO </t>
  </si>
  <si>
    <t xml:space="preserve"> VILLALDAMA </t>
  </si>
  <si>
    <t xml:space="preserve">         TOTAL </t>
  </si>
  <si>
    <t>ISR Venta de Inmuebles</t>
  </si>
  <si>
    <t>20% para municipios</t>
  </si>
  <si>
    <t>RECAUDACIÓN 2019</t>
  </si>
  <si>
    <t>LOS ALDAMAS</t>
  </si>
  <si>
    <t>LOS HERRERAS</t>
  </si>
  <si>
    <t>LOS RAMONES</t>
  </si>
  <si>
    <t>ISR NOMINA</t>
  </si>
  <si>
    <t>ISR INMUEBLES</t>
  </si>
  <si>
    <t>FONDO DE ISR POR LA ENAJENACIÓN DE BIENES INMUEBLES</t>
  </si>
  <si>
    <t>ISR Enajenación de Inmuebles</t>
  </si>
  <si>
    <t>POBLACIÓN 2020</t>
  </si>
  <si>
    <t>Entidad federativa</t>
  </si>
  <si>
    <t>Municipio</t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</si>
  <si>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</si>
  <si>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</si>
  <si>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</si>
  <si>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</si>
  <si>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</si>
  <si>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</si>
  <si>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</si>
  <si>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</si>
  <si>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</si>
  <si>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</si>
  <si>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</si>
  <si>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</si>
  <si>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</si>
  <si>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</si>
  <si>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</si>
  <si>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</si>
  <si>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</si>
  <si>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</si>
  <si>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</si>
  <si>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</si>
  <si>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</si>
  <si>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</si>
  <si>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</si>
  <si>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</si>
  <si>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</si>
  <si>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</si>
  <si>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</si>
  <si>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</si>
  <si>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</si>
  <si>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</si>
  <si>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</si>
  <si>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</si>
  <si>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</si>
  <si>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</si>
  <si>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</si>
  <si>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</si>
  <si>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</si>
  <si>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</si>
  <si>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</si>
  <si>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</si>
  <si>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</si>
  <si>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</si>
  <si>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</si>
  <si>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</si>
  <si>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</si>
  <si>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</si>
  <si>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</si>
  <si>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</si>
  <si>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</si>
  <si>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</si>
  <si>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</si>
  <si>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</si>
  <si>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</si>
  <si>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</si>
  <si>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</si>
  <si>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</si>
  <si>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censo pob 2020</t>
  </si>
  <si>
    <t>(PESOS)</t>
  </si>
  <si>
    <t>POBLACIÓN  2020</t>
  </si>
  <si>
    <t xml:space="preserve">  Población 2020, CENSO POBLACION Y VIVIENDA, INEGI</t>
  </si>
  <si>
    <t>COEFICIENTE CRECIMIENTO RECAUDACION</t>
  </si>
  <si>
    <t>RECAUDACIÓN 2020</t>
  </si>
  <si>
    <t>FACTURACIÓN  2020
(2016-2019)</t>
  </si>
  <si>
    <t>ISAI 2020</t>
  </si>
  <si>
    <t>FACTURACIÓN  2019
(2015-2019)</t>
  </si>
  <si>
    <t>SUBTOTAL</t>
  </si>
  <si>
    <t>TERRITORIO INEGI 2020 NL PUBLICACIÓN</t>
  </si>
  <si>
    <t>Fuente: Panorama Sociodemografico de Nuevo León. Censo de Población y Vivienda 2020. INEGI</t>
  </si>
  <si>
    <t>ORGANISMOS</t>
  </si>
  <si>
    <t>CÁLCULO  DE PARTICIPACIONES DE ISR</t>
  </si>
  <si>
    <t>EJERCICIO FISCAL 2021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</si>
  <si>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</si>
  <si>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</si>
  <si>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</si>
  <si>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</si>
  <si>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</si>
  <si>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</si>
  <si>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</si>
  <si>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</si>
  <si>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</si>
  <si>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</si>
  <si>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</si>
  <si>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</si>
  <si>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ISR PARTICIPABLE
2021</t>
  </si>
  <si>
    <t>PROPORCIÓN DE ISR PARTICIPABLE
2021</t>
  </si>
  <si>
    <t>CERRALVO</t>
  </si>
  <si>
    <t>TOTAL ISR</t>
  </si>
  <si>
    <t>Proporción a Municipios</t>
  </si>
  <si>
    <t>PROYECCIÓN DE POBLACIÓN 2021</t>
  </si>
  <si>
    <t>CÁLCULO DEL AJUSTE POR LA DIFERENCIA 2021</t>
  </si>
  <si>
    <t>CÁLCULO DEL AJUSTE POR LA DIFERENCIA  2021</t>
  </si>
  <si>
    <t>2021 CON COEFICIENTES ACTUALIZADOS</t>
  </si>
  <si>
    <t>DIFERENCIAS</t>
  </si>
  <si>
    <t>DESCUENTO MENSUAL (ENE,FEB,MZO)</t>
  </si>
  <si>
    <t>FFM 70%</t>
  </si>
  <si>
    <t>FFM 30%</t>
  </si>
  <si>
    <t>FONDO COMP ISAN</t>
  </si>
  <si>
    <t>IEPSGyD</t>
  </si>
  <si>
    <t>CORRESPONDIENTE AL PERIODO ENERO</t>
  </si>
  <si>
    <t>CÁLCULO  DE PARTICIPACIONES DE ISR MES DE ENERO 2022</t>
  </si>
  <si>
    <t>%</t>
  </si>
  <si>
    <t>FEIEF</t>
  </si>
  <si>
    <t>FALTANTE FEIEF FGP</t>
  </si>
  <si>
    <t>CÁLCULO DE DISTRIBUCIÓN SEGÚN ART. DECIMO TRANSITORIO DE LA LEY DE EGRESOS DEL ESTADO 2022</t>
  </si>
  <si>
    <t>Cálculo de Distribución 2021 con ajuste anual 2021</t>
  </si>
  <si>
    <t>Cálculo de Distribución 2022</t>
  </si>
  <si>
    <t>PARTICIPACIONES AÑO ANTERIOR
FGP, FFM 70%, FOFIR, IEPS, ISAN, FEXHI</t>
  </si>
  <si>
    <t>PARTICIPACIONES AÑO ACTUAL
FGP, FFM 70%, FOFIR, IEPS, ISAN, FEXHI</t>
  </si>
  <si>
    <t>ANÁHUAC</t>
  </si>
  <si>
    <t>CADEREYTA JIMÉNEZ</t>
  </si>
  <si>
    <t>EL CARMEN</t>
  </si>
  <si>
    <t>CIÉNEGA DE FLORES</t>
  </si>
  <si>
    <t>DOCTOR GONZÁLEZ</t>
  </si>
  <si>
    <t>GARCÍA</t>
  </si>
  <si>
    <t>GENERAL TERÁN</t>
  </si>
  <si>
    <t>JUÁREZ</t>
  </si>
  <si>
    <t>MARÍN</t>
  </si>
  <si>
    <t>PARÁS</t>
  </si>
  <si>
    <t>PESQUERÍA</t>
  </si>
  <si>
    <t>SAN NICOLÁS DE LOS GARZA</t>
  </si>
  <si>
    <t>SAN PEDRO GARZA GARCÍA</t>
  </si>
  <si>
    <t>Participaciones 2022</t>
  </si>
  <si>
    <t>Monto Distribuido 2021</t>
  </si>
  <si>
    <t>Diferencia</t>
  </si>
  <si>
    <t>Impuesto sobre la Renta de Enajenación de Bienes Inmuebles (ISR BI)</t>
  </si>
  <si>
    <t>Fondo de Fomento Municipal (FFM)</t>
  </si>
  <si>
    <t>parte fija 2013</t>
  </si>
  <si>
    <t>DISTRIBUCIÓN ENERO</t>
  </si>
  <si>
    <t>SUBSECRETARÍA DE POLITICA DE INGRESOS, COORDINACIÓN DE PLANEACIÓN HACENDARIA</t>
  </si>
  <si>
    <t>PERSONAS EN POBREZA 2015</t>
  </si>
  <si>
    <t>PERSONAS EN POBREZA 2020</t>
  </si>
  <si>
    <t>CARENCIAS PROMEDIO EN SITUACION DE POBREZA 2015</t>
  </si>
  <si>
    <t>INCIDENCIA DE LA POBREZA 2015</t>
  </si>
  <si>
    <t>IP/∑IP</t>
  </si>
  <si>
    <t>EP/∑EP</t>
  </si>
  <si>
    <t>15</t>
  </si>
  <si>
    <t>11</t>
  </si>
  <si>
    <t>12</t>
  </si>
  <si>
    <t>13</t>
  </si>
  <si>
    <t>14</t>
  </si>
  <si>
    <t>17</t>
  </si>
  <si>
    <t>16</t>
  </si>
  <si>
    <t>18</t>
  </si>
  <si>
    <t>19</t>
  </si>
  <si>
    <t>20</t>
  </si>
  <si>
    <t>23</t>
  </si>
  <si>
    <t>21</t>
  </si>
  <si>
    <t>22</t>
  </si>
  <si>
    <t>25</t>
  </si>
  <si>
    <t>27</t>
  </si>
  <si>
    <t>26</t>
  </si>
  <si>
    <t>29</t>
  </si>
  <si>
    <t>30</t>
  </si>
  <si>
    <t>32</t>
  </si>
  <si>
    <t>33</t>
  </si>
  <si>
    <t>34</t>
  </si>
  <si>
    <t>35</t>
  </si>
  <si>
    <t>61</t>
  </si>
  <si>
    <t>36</t>
  </si>
  <si>
    <t>28</t>
  </si>
  <si>
    <t>37</t>
  </si>
  <si>
    <t>39</t>
  </si>
  <si>
    <t>38</t>
  </si>
  <si>
    <t>40</t>
  </si>
  <si>
    <t>41</t>
  </si>
  <si>
    <t>42</t>
  </si>
  <si>
    <t>43</t>
  </si>
  <si>
    <t>44</t>
  </si>
  <si>
    <t>46</t>
  </si>
  <si>
    <t>49</t>
  </si>
  <si>
    <t>48</t>
  </si>
  <si>
    <t>47</t>
  </si>
  <si>
    <t>45</t>
  </si>
  <si>
    <t>70</t>
  </si>
  <si>
    <t>50</t>
  </si>
  <si>
    <t>51</t>
  </si>
  <si>
    <t>52</t>
  </si>
  <si>
    <t>53</t>
  </si>
  <si>
    <t>54</t>
  </si>
  <si>
    <t>55</t>
  </si>
  <si>
    <t>58</t>
  </si>
  <si>
    <t>31</t>
  </si>
  <si>
    <t>57</t>
  </si>
  <si>
    <t>56</t>
  </si>
  <si>
    <t>59</t>
  </si>
  <si>
    <t>60</t>
  </si>
  <si>
    <t>FUENTE:
Facturación de Predial.- Instituto Registral y Catastral
Recaudación de Predial.- Municipios del Estado
Población.- Censo de Población y Vivienda 2020
Territorio.- INEGI
Vairables de Social 2015 Y 2020.- CONEVAL</t>
  </si>
  <si>
    <t>INTENSIDAD DE LA POBREZA</t>
  </si>
  <si>
    <t>PROPORCIÓN DE INTENSIDAD DE LA POBREZA</t>
  </si>
  <si>
    <t xml:space="preserve">DISTRIBUCION DEL 85% POR POBREZA </t>
  </si>
  <si>
    <t>MEJORA EN POBREZA MUNICIPAL</t>
  </si>
  <si>
    <t>PROPORCIÓN DE LA EFICACIA EN POBREZA</t>
  </si>
  <si>
    <t xml:space="preserve">DISTRIBUCIÓN DEL 15% POR EFICACIA DE POBREZA </t>
  </si>
  <si>
    <r>
      <t>PP2</t>
    </r>
    <r>
      <rPr>
        <vertAlign val="subscript"/>
        <sz val="8"/>
        <color rgb="FFFF0000"/>
        <rFont val="Arial"/>
        <family val="2"/>
      </rPr>
      <t>i</t>
    </r>
  </si>
  <si>
    <r>
      <t>PP1</t>
    </r>
    <r>
      <rPr>
        <vertAlign val="subscript"/>
        <sz val="8"/>
        <color rgb="FFFF0000"/>
        <rFont val="Arial"/>
        <family val="2"/>
      </rPr>
      <t>i</t>
    </r>
  </si>
  <si>
    <t>CPP1i</t>
  </si>
  <si>
    <t>ICPi=(PP1i/∑PP1i)</t>
  </si>
  <si>
    <t>IP=(ICPi*CPP!i)</t>
  </si>
  <si>
    <t>(0.85*IP/∑IP)(Monto)</t>
  </si>
  <si>
    <t>EP=PP2i/PP1i</t>
  </si>
  <si>
    <t>(0.15*(EP/∑EP)(Monto)</t>
  </si>
  <si>
    <t>DIPi</t>
  </si>
  <si>
    <t>CDPEi</t>
  </si>
  <si>
    <t>CÁLCULO DE DISTRIBUCIÓN DE PARTICIPACIONES ENERO 2022</t>
  </si>
  <si>
    <t>Participaciones Enero 2022</t>
  </si>
  <si>
    <t>Total de Distrbución Enero 2022</t>
  </si>
  <si>
    <t>DISTRIBUIDO 2021</t>
  </si>
  <si>
    <t>Los sumas totales puden no coincidir debido al redondeo</t>
  </si>
  <si>
    <t>Ajuste FOFIR</t>
  </si>
  <si>
    <t>Faltante Inicial FEIEF</t>
  </si>
  <si>
    <t>Participaciones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</si>
</sst>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0.000000%"/>
    <numFmt numFmtId="168" formatCode="#,##0\ &quot;$&quot;;[Red]\-#,##0\ &quot;$&quot;"/>
    <numFmt numFmtId="169" formatCode="&quot;$&quot;\ #,##0.00"/>
    <numFmt numFmtId="170" formatCode="\U\ #,##0.00"/>
    <numFmt numFmtId="171" formatCode="_(* #,##0.000000_);_(* \(#,##0.000000\);_(* &quot;-&quot;??_);_(@_)"/>
    <numFmt numFmtId="172" formatCode="0.000000"/>
    <numFmt numFmtId="173" formatCode="0.00000000"/>
    <numFmt numFmtId="174" formatCode="General_)"/>
    <numFmt numFmtId="175" formatCode="_-[$€-2]* #,##0.00_-;\-[$€-2]* #,##0.00_-;_-[$€-2]* &quot;-&quot;??_-"/>
    <numFmt numFmtId="176" formatCode="_-* #,##0_-;\-* #,##0_-;_-* &quot;-&quot;??_-;_-@_-"/>
    <numFmt numFmtId="177" formatCode="_-* #,##0.0000_-;\-* #,##0.0000_-;_-* &quot;-&quot;????_-;_-@_-"/>
    <numFmt numFmtId="178" formatCode="_-* #,##0.0000_-;\-* #,##0.0000_-;_-* &quot;-&quot;_-;_-@_-"/>
    <numFmt numFmtId="179" formatCode="_-* #,##0.0000_-;\-* #,##0.0000_-;_-* &quot;-&quot;??_-;_-@_-"/>
    <numFmt numFmtId="180" formatCode="_-* #,##0.00000_-;\-* #,##0.00000_-;_-* &quot;-&quot;??_-;_-@_-"/>
    <numFmt numFmtId="181" formatCode="#,##0.00_ ;[Red]\-#,##0.00\ "/>
    <numFmt numFmtId="182" formatCode="#,##0_ ;[Red]\-#,##0\ "/>
    <numFmt numFmtId="183" formatCode="###\ ###\ ###\ ##0"/>
    <numFmt numFmtId="184" formatCode="#,##0.0000;[Red]\-#,##0.0000"/>
    <numFmt numFmtId="185" formatCode="_-* #,##0.000000_-;\-* #,##0.000000_-;_-* &quot;-&quot;????_-;_-@_-"/>
    <numFmt numFmtId="186" formatCode="#,##0.0000000_ ;[Red]\-#,##0.0000000\ "/>
    <numFmt numFmtId="187" formatCode="#,##0;[Red]\-#,##0;_-* &quot;-&quot;_-;_-@_-"/>
    <numFmt numFmtId="188" formatCode="0.00%;[Red]\-0.00%;_-* &quot;-&quot;_-;_-@_-"/>
    <numFmt numFmtId="189" formatCode="#,##0.000000;[Red]\-#,##0.000000;_-* &quot;-&quot;_-;_-@_-"/>
    <numFmt numFmtId="190" formatCode="0.00000000%"/>
    <numFmt numFmtId="191" formatCode="0.0000%"/>
    <numFmt numFmtId="192" formatCode="#,##0.00000000000;\-#,##0.00000000000"/>
    <numFmt numFmtId="193" formatCode="#,##0.0000;\-#,##0.0000"/>
    <numFmt numFmtId="194" formatCode="0.00000000000"/>
    <numFmt numFmtId="195" formatCode="0.000000000"/>
    <numFmt numFmtId="196" formatCode="_-* #,##0.000000_-;\-* #,##0.000000_-;_-* &quot;-&quot;??_-;_-@_-"/>
    <numFmt numFmtId="197" formatCode="0.000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b/>
      <sz val="8"/>
      <color rgb="FFFF0000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20"/>
      <name val="Arial"/>
      <family val="2"/>
    </font>
    <font>
      <sz val="11"/>
      <color theme="1"/>
      <name val="Soberana Sans"/>
      <family val="2"/>
    </font>
    <font>
      <sz val="11"/>
      <name val="Calibri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sz val="11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rgb="FF333333"/>
      <name val="Helvetica"/>
      <family val="2"/>
    </font>
    <font>
      <b/>
      <sz val="12"/>
      <color rgb="FF006100"/>
      <name val="Arial Narrow"/>
      <family val="2"/>
    </font>
    <font>
      <sz val="12"/>
      <color indexed="8"/>
      <name val="Arial Narrow"/>
      <family val="2"/>
    </font>
    <font>
      <b/>
      <sz val="10"/>
      <name val="Arial Narrow"/>
      <family val="2"/>
    </font>
    <font>
      <b/>
      <sz val="11"/>
      <color theme="1"/>
      <name val="Calibri"/>
      <family val="2"/>
      <scheme val="minor"/>
    </font>
    <font>
      <sz val="10"/>
      <name val="Arial Narrow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b/>
      <sz val="8"/>
      <name val="Arial"/>
      <family val="2"/>
    </font>
    <font>
      <b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0"/>
      <color indexed="62"/>
      <name val="Arial"/>
      <family val="2"/>
    </font>
    <font>
      <vertAlign val="subscript"/>
      <sz val="8"/>
      <color rgb="FFFF0000"/>
      <name val="Arial"/>
      <family val="2"/>
    </font>
    <font>
      <b/>
      <sz val="16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/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19">
    <xf numFmtId="0" fontId="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68" fontId="9" fillId="0" borderId="0" applyFont="0" applyFill="0" applyBorder="0" applyAlignment="0" applyProtection="0"/>
    <xf numFmtId="0" fontId="22" fillId="3" borderId="0" applyNumberFormat="0" applyBorder="0" applyAlignment="0" applyProtection="0"/>
    <xf numFmtId="164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31" fillId="0" borderId="0"/>
    <xf numFmtId="0" fontId="11" fillId="0" borderId="0"/>
    <xf numFmtId="37" fontId="10" fillId="0" borderId="0"/>
    <xf numFmtId="0" fontId="14" fillId="23" borderId="4" applyNumberFormat="0" applyFont="0" applyAlignment="0" applyProtection="0"/>
    <xf numFmtId="169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30" fillId="0" borderId="9" applyNumberFormat="0" applyFill="0" applyAlignment="0" applyProtection="0"/>
    <xf numFmtId="170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4" fontId="9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75" fontId="9" fillId="0" borderId="0" applyFont="0" applyFill="0" applyBorder="0" applyAlignment="0" applyProtection="0"/>
    <xf numFmtId="0" fontId="22" fillId="3" borderId="0" applyNumberFormat="0" applyBorder="0" applyAlignment="0" applyProtection="0"/>
    <xf numFmtId="41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9" fillId="23" borderId="4" applyNumberFormat="0" applyFont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27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8" fillId="0" borderId="0"/>
    <xf numFmtId="43" fontId="9" fillId="0" borderId="0" applyFont="0" applyFill="0" applyBorder="0" applyAlignment="0" applyProtection="0"/>
    <xf numFmtId="0" fontId="43" fillId="0" borderId="0"/>
    <xf numFmtId="0" fontId="7" fillId="0" borderId="0"/>
    <xf numFmtId="43" fontId="44" fillId="0" borderId="0" applyFont="0" applyFill="0" applyBorder="0" applyAlignment="0" applyProtection="0"/>
    <xf numFmtId="0" fontId="9" fillId="0" borderId="0"/>
    <xf numFmtId="9" fontId="6" fillId="0" borderId="0" applyFont="0" applyFill="0" applyBorder="0" applyAlignment="0" applyProtection="0"/>
    <xf numFmtId="0" fontId="47" fillId="25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169" fontId="9" fillId="0" borderId="0" applyFont="0" applyFill="0" applyBorder="0" applyAlignment="0" applyProtection="0">
      <alignment horizontal="right"/>
    </xf>
    <xf numFmtId="0" fontId="3" fillId="0" borderId="0"/>
    <xf numFmtId="44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</cellStyleXfs>
  <cellXfs count="497">
    <xf numFmtId="0" fontId="0" fillId="0" borderId="0" xfId="0"/>
    <xf numFmtId="37" fontId="9" fillId="0" borderId="0" xfId="37" applyFont="1" applyFill="1" applyProtection="1">
      <protection hidden="1"/>
    </xf>
    <xf numFmtId="37" fontId="9" fillId="0" borderId="0" xfId="37" applyFont="1" applyProtection="1">
      <protection hidden="1"/>
    </xf>
    <xf numFmtId="37" fontId="33" fillId="0" borderId="0" xfId="37" applyFont="1" applyProtection="1">
      <protection hidden="1"/>
    </xf>
    <xf numFmtId="37" fontId="38" fillId="0" borderId="0" xfId="37" applyFont="1" applyProtection="1">
      <protection hidden="1"/>
    </xf>
    <xf numFmtId="172" fontId="9" fillId="0" borderId="0" xfId="37" applyNumberFormat="1" applyFont="1" applyProtection="1">
      <protection hidden="1"/>
    </xf>
    <xf numFmtId="173" fontId="9" fillId="0" borderId="0" xfId="37" applyNumberFormat="1" applyFont="1" applyProtection="1">
      <protection hidden="1"/>
    </xf>
    <xf numFmtId="37" fontId="42" fillId="0" borderId="0" xfId="37" applyFont="1" applyAlignment="1" applyProtection="1">
      <alignment horizontal="center"/>
      <protection hidden="1"/>
    </xf>
    <xf numFmtId="37" fontId="9" fillId="0" borderId="0" xfId="37" applyFont="1" applyAlignment="1" applyProtection="1">
      <alignment wrapText="1"/>
      <protection hidden="1"/>
    </xf>
    <xf numFmtId="37" fontId="42" fillId="0" borderId="0" xfId="37" applyFont="1" applyAlignment="1" applyProtection="1">
      <protection hidden="1"/>
    </xf>
    <xf numFmtId="0" fontId="0" fillId="0" borderId="26" xfId="0" applyBorder="1" applyAlignment="1"/>
    <xf numFmtId="0" fontId="9" fillId="0" borderId="0" xfId="53"/>
    <xf numFmtId="0" fontId="9" fillId="0" borderId="0" xfId="53" applyFont="1" applyBorder="1" applyAlignment="1">
      <alignment vertical="center"/>
    </xf>
    <xf numFmtId="3" fontId="9" fillId="0" borderId="0" xfId="53" applyNumberFormat="1" applyBorder="1" applyAlignment="1">
      <alignment horizontal="center" vertical="center"/>
    </xf>
    <xf numFmtId="0" fontId="9" fillId="0" borderId="0" xfId="53" applyBorder="1" applyAlignment="1">
      <alignment horizontal="center" vertical="center"/>
    </xf>
    <xf numFmtId="0" fontId="9" fillId="0" borderId="0" xfId="53" applyFont="1"/>
    <xf numFmtId="176" fontId="0" fillId="0" borderId="0" xfId="51" applyNumberFormat="1" applyFont="1"/>
    <xf numFmtId="176" fontId="9" fillId="0" borderId="0" xfId="51" applyNumberFormat="1" applyFont="1"/>
    <xf numFmtId="176" fontId="13" fillId="0" borderId="30" xfId="51" applyNumberFormat="1" applyFont="1" applyFill="1" applyBorder="1" applyAlignment="1">
      <alignment horizontal="center" vertical="center" wrapText="1"/>
    </xf>
    <xf numFmtId="176" fontId="13" fillId="0" borderId="33" xfId="51" applyNumberFormat="1" applyFont="1" applyFill="1" applyBorder="1"/>
    <xf numFmtId="176" fontId="13" fillId="0" borderId="30" xfId="51" applyNumberFormat="1" applyFont="1" applyFill="1" applyBorder="1"/>
    <xf numFmtId="0" fontId="9" fillId="24" borderId="0" xfId="106" applyFill="1"/>
    <xf numFmtId="176" fontId="0" fillId="24" borderId="0" xfId="51" applyNumberFormat="1" applyFont="1" applyFill="1"/>
    <xf numFmtId="177" fontId="9" fillId="24" borderId="34" xfId="106" applyNumberFormat="1" applyFill="1" applyBorder="1"/>
    <xf numFmtId="176" fontId="0" fillId="24" borderId="37" xfId="51" applyNumberFormat="1" applyFont="1" applyFill="1" applyBorder="1"/>
    <xf numFmtId="176" fontId="0" fillId="24" borderId="0" xfId="51" applyNumberFormat="1" applyFont="1" applyFill="1" applyBorder="1"/>
    <xf numFmtId="176" fontId="0" fillId="24" borderId="38" xfId="51" applyNumberFormat="1" applyFont="1" applyFill="1" applyBorder="1"/>
    <xf numFmtId="0" fontId="13" fillId="24" borderId="33" xfId="106" applyFont="1" applyFill="1" applyBorder="1"/>
    <xf numFmtId="178" fontId="9" fillId="24" borderId="36" xfId="106" applyNumberFormat="1" applyFill="1" applyBorder="1"/>
    <xf numFmtId="179" fontId="0" fillId="24" borderId="0" xfId="51" applyNumberFormat="1" applyFont="1" applyFill="1" applyBorder="1"/>
    <xf numFmtId="179" fontId="9" fillId="24" borderId="0" xfId="106" applyNumberFormat="1" applyFill="1" applyBorder="1"/>
    <xf numFmtId="179" fontId="0" fillId="24" borderId="37" xfId="51" applyNumberFormat="1" applyFont="1" applyFill="1" applyBorder="1"/>
    <xf numFmtId="177" fontId="9" fillId="24" borderId="39" xfId="106" applyNumberFormat="1" applyFill="1" applyBorder="1"/>
    <xf numFmtId="41" fontId="0" fillId="24" borderId="40" xfId="51" applyNumberFormat="1" applyFont="1" applyFill="1" applyBorder="1"/>
    <xf numFmtId="176" fontId="0" fillId="24" borderId="41" xfId="51" applyNumberFormat="1" applyFont="1" applyFill="1" applyBorder="1"/>
    <xf numFmtId="176" fontId="0" fillId="24" borderId="42" xfId="51" applyNumberFormat="1" applyFont="1" applyFill="1" applyBorder="1"/>
    <xf numFmtId="176" fontId="0" fillId="24" borderId="43" xfId="51" applyNumberFormat="1" applyFont="1" applyFill="1" applyBorder="1"/>
    <xf numFmtId="0" fontId="13" fillId="24" borderId="44" xfId="106" applyFont="1" applyFill="1" applyBorder="1"/>
    <xf numFmtId="178" fontId="9" fillId="24" borderId="40" xfId="106" applyNumberFormat="1" applyFill="1" applyBorder="1"/>
    <xf numFmtId="179" fontId="0" fillId="24" borderId="42" xfId="51" applyNumberFormat="1" applyFont="1" applyFill="1" applyBorder="1"/>
    <xf numFmtId="179" fontId="0" fillId="24" borderId="41" xfId="51" applyNumberFormat="1" applyFont="1" applyFill="1" applyBorder="1"/>
    <xf numFmtId="0" fontId="45" fillId="24" borderId="0" xfId="106" applyFont="1" applyFill="1"/>
    <xf numFmtId="0" fontId="13" fillId="24" borderId="0" xfId="106" applyFont="1" applyFill="1"/>
    <xf numFmtId="0" fontId="13" fillId="0" borderId="0" xfId="106" applyFont="1"/>
    <xf numFmtId="176" fontId="45" fillId="24" borderId="0" xfId="51" applyNumberFormat="1" applyFont="1" applyFill="1" applyAlignment="1">
      <alignment horizontal="center" vertical="center"/>
    </xf>
    <xf numFmtId="0" fontId="33" fillId="24" borderId="0" xfId="106" applyFont="1" applyFill="1" applyAlignment="1">
      <alignment horizontal="center" vertical="center" wrapText="1"/>
    </xf>
    <xf numFmtId="0" fontId="13" fillId="24" borderId="32" xfId="106" applyFont="1" applyFill="1" applyBorder="1" applyAlignment="1">
      <alignment horizontal="center" vertical="center" wrapText="1"/>
    </xf>
    <xf numFmtId="0" fontId="13" fillId="24" borderId="45" xfId="106" applyFont="1" applyFill="1" applyBorder="1" applyAlignment="1">
      <alignment horizontal="center" vertical="center" wrapText="1"/>
    </xf>
    <xf numFmtId="0" fontId="13" fillId="24" borderId="46" xfId="106" applyFont="1" applyFill="1" applyBorder="1" applyAlignment="1">
      <alignment horizontal="center" vertical="center" wrapText="1"/>
    </xf>
    <xf numFmtId="0" fontId="13" fillId="24" borderId="31" xfId="106" applyFont="1" applyFill="1" applyBorder="1" applyAlignment="1">
      <alignment horizontal="center" vertical="center" wrapText="1"/>
    </xf>
    <xf numFmtId="0" fontId="13" fillId="24" borderId="47" xfId="106" applyFont="1" applyFill="1" applyBorder="1" applyAlignment="1">
      <alignment horizontal="center" vertical="center" wrapText="1"/>
    </xf>
    <xf numFmtId="0" fontId="13" fillId="24" borderId="30" xfId="106" applyFont="1" applyFill="1" applyBorder="1" applyAlignment="1">
      <alignment horizontal="center" vertical="center"/>
    </xf>
    <xf numFmtId="0" fontId="13" fillId="24" borderId="0" xfId="106" applyFont="1" applyFill="1" applyAlignment="1"/>
    <xf numFmtId="0" fontId="13" fillId="24" borderId="0" xfId="106" applyFont="1" applyFill="1" applyAlignment="1">
      <alignment horizontal="center" vertical="center" wrapText="1"/>
    </xf>
    <xf numFmtId="43" fontId="13" fillId="0" borderId="31" xfId="51" applyNumberFormat="1" applyFont="1" applyFill="1" applyBorder="1" applyAlignment="1">
      <alignment horizontal="center" vertical="center" wrapText="1"/>
    </xf>
    <xf numFmtId="43" fontId="13" fillId="0" borderId="32" xfId="51" applyNumberFormat="1" applyFont="1" applyFill="1" applyBorder="1" applyAlignment="1">
      <alignment horizontal="center" vertical="center"/>
    </xf>
    <xf numFmtId="43" fontId="13" fillId="0" borderId="0" xfId="51" applyNumberFormat="1" applyFont="1" applyFill="1" applyBorder="1"/>
    <xf numFmtId="43" fontId="9" fillId="0" borderId="0" xfId="53" applyNumberFormat="1" applyFont="1"/>
    <xf numFmtId="43" fontId="0" fillId="0" borderId="0" xfId="51" applyNumberFormat="1" applyFont="1"/>
    <xf numFmtId="0" fontId="32" fillId="0" borderId="0" xfId="109" applyFont="1"/>
    <xf numFmtId="43" fontId="32" fillId="0" borderId="0" xfId="110" applyFont="1"/>
    <xf numFmtId="38" fontId="0" fillId="0" borderId="0" xfId="51" applyNumberFormat="1" applyFont="1" applyFill="1" applyBorder="1"/>
    <xf numFmtId="38" fontId="0" fillId="24" borderId="0" xfId="51" applyNumberFormat="1" applyFont="1" applyFill="1" applyBorder="1"/>
    <xf numFmtId="37" fontId="9" fillId="24" borderId="11" xfId="37" applyFont="1" applyFill="1" applyBorder="1" applyAlignment="1" applyProtection="1">
      <alignment horizontal="left"/>
      <protection hidden="1"/>
    </xf>
    <xf numFmtId="37" fontId="9" fillId="24" borderId="12" xfId="37" applyFont="1" applyFill="1" applyBorder="1" applyAlignment="1" applyProtection="1">
      <alignment horizontal="left"/>
      <protection hidden="1"/>
    </xf>
    <xf numFmtId="43" fontId="13" fillId="26" borderId="31" xfId="51" applyNumberFormat="1" applyFont="1" applyFill="1" applyBorder="1" applyAlignment="1">
      <alignment horizontal="center" vertical="center" wrapText="1"/>
    </xf>
    <xf numFmtId="17" fontId="0" fillId="0" borderId="0" xfId="51" applyNumberFormat="1" applyFont="1"/>
    <xf numFmtId="182" fontId="0" fillId="0" borderId="0" xfId="33" applyNumberFormat="1" applyFont="1" applyFill="1" applyBorder="1"/>
    <xf numFmtId="182" fontId="13" fillId="0" borderId="34" xfId="33" applyNumberFormat="1" applyFont="1" applyFill="1" applyBorder="1"/>
    <xf numFmtId="182" fontId="13" fillId="0" borderId="31" xfId="33" applyNumberFormat="1" applyFont="1" applyFill="1" applyBorder="1"/>
    <xf numFmtId="182" fontId="13" fillId="0" borderId="32" xfId="33" applyNumberFormat="1" applyFont="1" applyFill="1" applyBorder="1"/>
    <xf numFmtId="37" fontId="9" fillId="24" borderId="0" xfId="37" applyFont="1" applyFill="1" applyProtection="1">
      <protection hidden="1"/>
    </xf>
    <xf numFmtId="37" fontId="13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Border="1" applyProtection="1">
      <protection hidden="1"/>
    </xf>
    <xf numFmtId="173" fontId="9" fillId="24" borderId="0" xfId="37" applyNumberFormat="1" applyFont="1" applyFill="1" applyProtection="1"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/>
      <protection hidden="1"/>
    </xf>
    <xf numFmtId="37" fontId="38" fillId="24" borderId="0" xfId="37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 wrapText="1"/>
      <protection hidden="1"/>
    </xf>
    <xf numFmtId="37" fontId="9" fillId="24" borderId="11" xfId="37" applyFont="1" applyFill="1" applyBorder="1" applyProtection="1">
      <protection hidden="1"/>
    </xf>
    <xf numFmtId="37" fontId="9" fillId="24" borderId="12" xfId="37" applyFont="1" applyFill="1" applyBorder="1" applyProtection="1">
      <protection hidden="1"/>
    </xf>
    <xf numFmtId="37" fontId="9" fillId="24" borderId="21" xfId="37" applyFont="1" applyFill="1" applyBorder="1" applyProtection="1">
      <protection hidden="1"/>
    </xf>
    <xf numFmtId="37" fontId="13" fillId="24" borderId="13" xfId="37" applyFont="1" applyFill="1" applyBorder="1" applyProtection="1">
      <protection hidden="1"/>
    </xf>
    <xf numFmtId="37" fontId="13" fillId="24" borderId="14" xfId="37" applyFont="1" applyFill="1" applyBorder="1" applyProtection="1">
      <protection hidden="1"/>
    </xf>
    <xf numFmtId="0" fontId="9" fillId="24" borderId="0" xfId="106" applyFill="1" applyBorder="1"/>
    <xf numFmtId="0" fontId="13" fillId="24" borderId="0" xfId="106" applyFont="1" applyFill="1" applyBorder="1"/>
    <xf numFmtId="0" fontId="13" fillId="24" borderId="0" xfId="106" applyFont="1" applyFill="1" applyBorder="1" applyAlignment="1">
      <alignment horizontal="center" vertical="center" wrapText="1"/>
    </xf>
    <xf numFmtId="0" fontId="33" fillId="24" borderId="0" xfId="106" applyFont="1" applyFill="1" applyBorder="1" applyAlignment="1">
      <alignment horizontal="center" vertical="center" wrapText="1"/>
    </xf>
    <xf numFmtId="176" fontId="45" fillId="24" borderId="0" xfId="51" applyNumberFormat="1" applyFont="1" applyFill="1" applyBorder="1" applyAlignment="1">
      <alignment horizontal="center" vertical="center"/>
    </xf>
    <xf numFmtId="0" fontId="13" fillId="0" borderId="0" xfId="106" applyFont="1" applyBorder="1"/>
    <xf numFmtId="0" fontId="45" fillId="24" borderId="0" xfId="106" applyFont="1" applyFill="1" applyBorder="1"/>
    <xf numFmtId="177" fontId="9" fillId="24" borderId="0" xfId="106" applyNumberFormat="1" applyFill="1" applyBorder="1"/>
    <xf numFmtId="178" fontId="9" fillId="24" borderId="0" xfId="106" applyNumberFormat="1" applyFill="1" applyBorder="1"/>
    <xf numFmtId="38" fontId="9" fillId="24" borderId="0" xfId="106" applyNumberFormat="1" applyFill="1" applyBorder="1"/>
    <xf numFmtId="176" fontId="13" fillId="24" borderId="0" xfId="51" applyNumberFormat="1" applyFont="1" applyFill="1" applyBorder="1"/>
    <xf numFmtId="179" fontId="13" fillId="24" borderId="0" xfId="51" applyNumberFormat="1" applyFont="1" applyFill="1" applyBorder="1"/>
    <xf numFmtId="176" fontId="13" fillId="24" borderId="0" xfId="106" applyNumberFormat="1" applyFont="1" applyFill="1" applyBorder="1"/>
    <xf numFmtId="179" fontId="13" fillId="24" borderId="0" xfId="106" applyNumberFormat="1" applyFont="1" applyFill="1" applyBorder="1"/>
    <xf numFmtId="177" fontId="13" fillId="24" borderId="0" xfId="106" applyNumberFormat="1" applyFont="1" applyFill="1" applyBorder="1"/>
    <xf numFmtId="178" fontId="13" fillId="24" borderId="0" xfId="106" applyNumberFormat="1" applyFont="1" applyFill="1" applyBorder="1"/>
    <xf numFmtId="38" fontId="13" fillId="24" borderId="0" xfId="106" applyNumberFormat="1" applyFont="1" applyFill="1" applyBorder="1"/>
    <xf numFmtId="38" fontId="13" fillId="24" borderId="0" xfId="51" applyNumberFormat="1" applyFont="1" applyFill="1" applyBorder="1"/>
    <xf numFmtId="181" fontId="0" fillId="24" borderId="0" xfId="51" applyNumberFormat="1" applyFont="1" applyFill="1" applyBorder="1"/>
    <xf numFmtId="0" fontId="48" fillId="29" borderId="68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48" fillId="24" borderId="0" xfId="0" applyFont="1" applyFill="1" applyBorder="1" applyAlignment="1" applyProtection="1">
      <alignment horizontal="center" vertical="center" wrapText="1"/>
    </xf>
    <xf numFmtId="0" fontId="48" fillId="24" borderId="70" xfId="0" applyFont="1" applyFill="1" applyBorder="1" applyAlignment="1" applyProtection="1">
      <alignment horizontal="center" vertical="center" wrapText="1"/>
    </xf>
    <xf numFmtId="0" fontId="50" fillId="30" borderId="69" xfId="0" applyFont="1" applyFill="1" applyBorder="1" applyAlignment="1" applyProtection="1">
      <alignment horizontal="left" vertical="center" wrapText="1"/>
    </xf>
    <xf numFmtId="0" fontId="50" fillId="30" borderId="0" xfId="0" applyFont="1" applyFill="1" applyBorder="1" applyAlignment="1" applyProtection="1">
      <alignment horizontal="left" vertical="center" wrapText="1"/>
    </xf>
    <xf numFmtId="183" fontId="50" fillId="30" borderId="0" xfId="0" applyNumberFormat="1" applyFont="1" applyFill="1" applyBorder="1" applyAlignment="1" applyProtection="1">
      <alignment horizontal="right" vertical="center" wrapText="1"/>
    </xf>
    <xf numFmtId="0" fontId="51" fillId="31" borderId="69" xfId="0" applyFont="1" applyFill="1" applyBorder="1" applyAlignment="1" applyProtection="1">
      <alignment horizontal="left" vertical="center" wrapText="1"/>
    </xf>
    <xf numFmtId="0" fontId="51" fillId="31" borderId="0" xfId="0" applyFont="1" applyFill="1" applyBorder="1" applyAlignment="1" applyProtection="1">
      <alignment horizontal="left" vertical="center" wrapText="1"/>
    </xf>
    <xf numFmtId="183" fontId="51" fillId="31" borderId="0" xfId="0" applyNumberFormat="1" applyFont="1" applyFill="1" applyBorder="1" applyAlignment="1" applyProtection="1">
      <alignment horizontal="right" vertical="center" wrapText="1"/>
    </xf>
    <xf numFmtId="183" fontId="51" fillId="31" borderId="70" xfId="0" applyNumberFormat="1" applyFont="1" applyFill="1" applyBorder="1" applyAlignment="1" applyProtection="1">
      <alignment horizontal="right" vertical="center" wrapText="1"/>
    </xf>
    <xf numFmtId="0" fontId="51" fillId="30" borderId="69" xfId="0" applyFont="1" applyFill="1" applyBorder="1" applyAlignment="1" applyProtection="1">
      <alignment horizontal="left" vertical="center" wrapText="1"/>
    </xf>
    <xf numFmtId="0" fontId="51" fillId="30" borderId="0" xfId="0" applyFont="1" applyFill="1" applyBorder="1" applyAlignment="1" applyProtection="1">
      <alignment horizontal="left" vertical="center" wrapText="1"/>
    </xf>
    <xf numFmtId="183" fontId="51" fillId="30" borderId="0" xfId="0" applyNumberFormat="1" applyFont="1" applyFill="1" applyBorder="1" applyAlignment="1" applyProtection="1">
      <alignment horizontal="right" vertical="center" wrapText="1"/>
    </xf>
    <xf numFmtId="183" fontId="51" fillId="30" borderId="70" xfId="0" applyNumberFormat="1" applyFont="1" applyFill="1" applyBorder="1" applyAlignment="1" applyProtection="1">
      <alignment horizontal="right" vertical="center" wrapText="1"/>
    </xf>
    <xf numFmtId="0" fontId="51" fillId="31" borderId="71" xfId="0" applyFont="1" applyFill="1" applyBorder="1" applyAlignment="1" applyProtection="1">
      <alignment horizontal="left" vertical="center" wrapText="1"/>
    </xf>
    <xf numFmtId="0" fontId="51" fillId="31" borderId="72" xfId="0" applyFont="1" applyFill="1" applyBorder="1" applyAlignment="1" applyProtection="1">
      <alignment horizontal="left" vertical="center" wrapText="1"/>
    </xf>
    <xf numFmtId="183" fontId="51" fillId="31" borderId="72" xfId="0" applyNumberFormat="1" applyFont="1" applyFill="1" applyBorder="1" applyAlignment="1" applyProtection="1">
      <alignment horizontal="right" vertical="center" wrapText="1"/>
    </xf>
    <xf numFmtId="183" fontId="51" fillId="31" borderId="73" xfId="0" applyNumberFormat="1" applyFont="1" applyFill="1" applyBorder="1" applyAlignment="1" applyProtection="1">
      <alignment horizontal="right" vertical="center" wrapText="1"/>
    </xf>
    <xf numFmtId="0" fontId="0" fillId="24" borderId="0" xfId="0" applyFill="1"/>
    <xf numFmtId="0" fontId="13" fillId="24" borderId="0" xfId="0" applyFont="1" applyFill="1"/>
    <xf numFmtId="176" fontId="0" fillId="24" borderId="0" xfId="102" applyNumberFormat="1" applyFont="1" applyFill="1"/>
    <xf numFmtId="176" fontId="0" fillId="0" borderId="0" xfId="102" applyNumberFormat="1" applyFont="1"/>
    <xf numFmtId="176" fontId="52" fillId="24" borderId="47" xfId="102" applyNumberFormat="1" applyFont="1" applyFill="1" applyBorder="1" applyAlignment="1">
      <alignment horizontal="center" vertical="center" wrapText="1"/>
    </xf>
    <xf numFmtId="176" fontId="52" fillId="24" borderId="46" xfId="102" applyNumberFormat="1" applyFont="1" applyFill="1" applyBorder="1" applyAlignment="1">
      <alignment horizontal="center" vertical="center" wrapText="1"/>
    </xf>
    <xf numFmtId="38" fontId="52" fillId="24" borderId="57" xfId="102" applyNumberFormat="1" applyFont="1" applyFill="1" applyBorder="1"/>
    <xf numFmtId="176" fontId="52" fillId="24" borderId="47" xfId="102" applyNumberFormat="1" applyFont="1" applyFill="1" applyBorder="1"/>
    <xf numFmtId="38" fontId="55" fillId="24" borderId="46" xfId="102" applyNumberFormat="1" applyFont="1" applyFill="1" applyBorder="1"/>
    <xf numFmtId="38" fontId="52" fillId="24" borderId="45" xfId="102" applyNumberFormat="1" applyFont="1" applyFill="1" applyBorder="1"/>
    <xf numFmtId="176" fontId="52" fillId="24" borderId="0" xfId="102" applyNumberFormat="1" applyFont="1" applyFill="1" applyBorder="1"/>
    <xf numFmtId="14" fontId="56" fillId="24" borderId="0" xfId="102" applyNumberFormat="1" applyFont="1" applyFill="1" applyAlignment="1">
      <alignment horizontal="left"/>
    </xf>
    <xf numFmtId="176" fontId="56" fillId="24" borderId="0" xfId="102" applyNumberFormat="1" applyFont="1" applyFill="1"/>
    <xf numFmtId="176" fontId="54" fillId="24" borderId="0" xfId="102" applyNumberFormat="1" applyFont="1" applyFill="1"/>
    <xf numFmtId="37" fontId="9" fillId="24" borderId="0" xfId="37" applyFont="1" applyFill="1" applyAlignment="1" applyProtection="1">
      <alignment wrapText="1"/>
      <protection hidden="1"/>
    </xf>
    <xf numFmtId="173" fontId="41" fillId="24" borderId="0" xfId="37" applyNumberFormat="1" applyFont="1" applyFill="1" applyAlignment="1" applyProtection="1">
      <alignment horizontal="center" vertical="center"/>
      <protection hidden="1"/>
    </xf>
    <xf numFmtId="39" fontId="13" fillId="24" borderId="10" xfId="37" applyNumberFormat="1" applyFont="1" applyFill="1" applyBorder="1" applyAlignment="1" applyProtection="1">
      <alignment horizontal="center" vertical="center" wrapText="1"/>
      <protection hidden="1"/>
    </xf>
    <xf numFmtId="39" fontId="13" fillId="24" borderId="0" xfId="37" applyNumberFormat="1" applyFont="1" applyFill="1" applyBorder="1" applyAlignment="1" applyProtection="1">
      <alignment horizontal="center" vertical="center" wrapText="1"/>
      <protection hidden="1"/>
    </xf>
    <xf numFmtId="37" fontId="35" fillId="24" borderId="0" xfId="37" applyFont="1" applyFill="1" applyBorder="1" applyAlignment="1" applyProtection="1">
      <alignment horizontal="center" vertical="center" wrapText="1"/>
      <protection hidden="1"/>
    </xf>
    <xf numFmtId="39" fontId="33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12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Protection="1">
      <protection hidden="1"/>
    </xf>
    <xf numFmtId="173" fontId="38" fillId="24" borderId="0" xfId="37" applyNumberFormat="1" applyFont="1" applyFill="1" applyProtection="1">
      <protection hidden="1"/>
    </xf>
    <xf numFmtId="39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Alignment="1" applyProtection="1">
      <alignment horizontal="center" vertical="center" wrapText="1"/>
      <protection hidden="1"/>
    </xf>
    <xf numFmtId="37" fontId="9" fillId="24" borderId="11" xfId="37" applyNumberFormat="1" applyFont="1" applyFill="1" applyBorder="1" applyProtection="1">
      <protection hidden="1"/>
    </xf>
    <xf numFmtId="37" fontId="9" fillId="24" borderId="75" xfId="37" applyFont="1" applyFill="1" applyBorder="1" applyProtection="1">
      <protection hidden="1"/>
    </xf>
    <xf numFmtId="37" fontId="9" fillId="24" borderId="12" xfId="37" applyNumberFormat="1" applyFont="1" applyFill="1" applyBorder="1" applyProtection="1">
      <protection hidden="1"/>
    </xf>
    <xf numFmtId="37" fontId="13" fillId="24" borderId="13" xfId="37" applyNumberFormat="1" applyFont="1" applyFill="1" applyBorder="1" applyProtection="1">
      <protection hidden="1"/>
    </xf>
    <xf numFmtId="37" fontId="13" fillId="24" borderId="25" xfId="37" applyFont="1" applyFill="1" applyBorder="1" applyAlignment="1" applyProtection="1">
      <alignment horizontal="center" vertical="center" wrapText="1"/>
      <protection hidden="1"/>
    </xf>
    <xf numFmtId="37" fontId="13" fillId="24" borderId="0" xfId="37" applyFont="1" applyFill="1" applyBorder="1" applyAlignment="1" applyProtection="1">
      <alignment horizontal="center" vertical="center" wrapText="1"/>
      <protection hidden="1"/>
    </xf>
    <xf numFmtId="173" fontId="40" fillId="24" borderId="10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49" xfId="106" applyFont="1" applyFill="1" applyBorder="1" applyAlignment="1" applyProtection="1">
      <alignment horizontal="center" vertical="center" wrapText="1"/>
      <protection hidden="1"/>
    </xf>
    <xf numFmtId="173" fontId="13" fillId="24" borderId="49" xfId="106" applyNumberFormat="1" applyFont="1" applyFill="1" applyBorder="1" applyAlignment="1" applyProtection="1">
      <alignment horizontal="center" vertical="center" wrapText="1"/>
      <protection hidden="1"/>
    </xf>
    <xf numFmtId="173" fontId="40" fillId="24" borderId="25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6" applyFont="1" applyFill="1" applyBorder="1" applyAlignment="1" applyProtection="1">
      <alignment horizontal="center" vertical="center" wrapText="1"/>
      <protection hidden="1"/>
    </xf>
    <xf numFmtId="173" fontId="1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9" fillId="24" borderId="0" xfId="106" applyNumberFormat="1" applyFont="1" applyFill="1" applyAlignment="1" applyProtection="1">
      <alignment horizontal="center" vertical="center" wrapText="1"/>
      <protection hidden="1"/>
    </xf>
    <xf numFmtId="3" fontId="32" fillId="24" borderId="75" xfId="106" applyNumberFormat="1" applyFont="1" applyFill="1" applyBorder="1" applyProtection="1">
      <protection hidden="1"/>
    </xf>
    <xf numFmtId="3" fontId="32" fillId="24" borderId="21" xfId="106" applyNumberFormat="1" applyFont="1" applyFill="1" applyBorder="1" applyProtection="1">
      <protection hidden="1"/>
    </xf>
    <xf numFmtId="3" fontId="57" fillId="24" borderId="0" xfId="106" applyNumberFormat="1" applyFont="1" applyFill="1"/>
    <xf numFmtId="3" fontId="34" fillId="24" borderId="14" xfId="106" applyNumberFormat="1" applyFont="1" applyFill="1" applyBorder="1" applyProtection="1">
      <protection hidden="1"/>
    </xf>
    <xf numFmtId="0" fontId="55" fillId="27" borderId="49" xfId="109" applyFont="1" applyFill="1" applyBorder="1"/>
    <xf numFmtId="43" fontId="55" fillId="27" borderId="49" xfId="110" applyFont="1" applyFill="1" applyBorder="1" applyAlignment="1">
      <alignment horizontal="center" vertical="center"/>
    </xf>
    <xf numFmtId="0" fontId="55" fillId="27" borderId="49" xfId="109" applyFont="1" applyFill="1" applyBorder="1" applyAlignment="1">
      <alignment horizontal="center"/>
    </xf>
    <xf numFmtId="0" fontId="56" fillId="0" borderId="65" xfId="109" applyFont="1" applyBorder="1"/>
    <xf numFmtId="43" fontId="56" fillId="0" borderId="61" xfId="110" applyFont="1" applyBorder="1" applyAlignment="1">
      <alignment horizontal="center"/>
    </xf>
    <xf numFmtId="180" fontId="56" fillId="0" borderId="51" xfId="109" applyNumberFormat="1" applyFont="1" applyBorder="1" applyAlignment="1">
      <alignment horizontal="center"/>
    </xf>
    <xf numFmtId="3" fontId="56" fillId="0" borderId="56" xfId="109" applyNumberFormat="1" applyFont="1" applyBorder="1" applyAlignment="1"/>
    <xf numFmtId="0" fontId="56" fillId="0" borderId="66" xfId="109" applyFont="1" applyBorder="1"/>
    <xf numFmtId="43" fontId="56" fillId="0" borderId="62" xfId="110" applyFont="1" applyBorder="1"/>
    <xf numFmtId="180" fontId="56" fillId="0" borderId="50" xfId="109" applyNumberFormat="1" applyFont="1" applyBorder="1" applyAlignment="1">
      <alignment horizontal="center"/>
    </xf>
    <xf numFmtId="3" fontId="56" fillId="0" borderId="57" xfId="109" applyNumberFormat="1" applyFont="1" applyBorder="1"/>
    <xf numFmtId="0" fontId="56" fillId="0" borderId="66" xfId="109" applyFont="1" applyFill="1" applyBorder="1"/>
    <xf numFmtId="43" fontId="56" fillId="0" borderId="62" xfId="110" applyFont="1" applyFill="1" applyBorder="1" applyAlignment="1" applyProtection="1"/>
    <xf numFmtId="43" fontId="59" fillId="0" borderId="62" xfId="110" applyFont="1" applyBorder="1" applyAlignment="1">
      <alignment vertical="center"/>
    </xf>
    <xf numFmtId="0" fontId="56" fillId="24" borderId="66" xfId="109" applyFont="1" applyFill="1" applyBorder="1"/>
    <xf numFmtId="43" fontId="56" fillId="24" borderId="62" xfId="110" applyFont="1" applyFill="1" applyBorder="1"/>
    <xf numFmtId="43" fontId="51" fillId="0" borderId="62" xfId="110" applyFont="1" applyBorder="1"/>
    <xf numFmtId="0" fontId="53" fillId="0" borderId="66" xfId="109" applyFont="1" applyFill="1" applyBorder="1"/>
    <xf numFmtId="0" fontId="56" fillId="0" borderId="67" xfId="109" applyFont="1" applyBorder="1"/>
    <xf numFmtId="43" fontId="56" fillId="0" borderId="63" xfId="110" applyFont="1" applyBorder="1"/>
    <xf numFmtId="3" fontId="56" fillId="0" borderId="58" xfId="109" applyNumberFormat="1" applyFont="1" applyBorder="1"/>
    <xf numFmtId="0" fontId="55" fillId="28" borderId="60" xfId="109" applyFont="1" applyFill="1" applyBorder="1"/>
    <xf numFmtId="43" fontId="55" fillId="28" borderId="64" xfId="110" applyFont="1" applyFill="1" applyBorder="1"/>
    <xf numFmtId="180" fontId="55" fillId="28" borderId="55" xfId="109" applyNumberFormat="1" applyFont="1" applyFill="1" applyBorder="1"/>
    <xf numFmtId="3" fontId="55" fillId="28" borderId="59" xfId="109" applyNumberFormat="1" applyFont="1" applyFill="1" applyBorder="1"/>
    <xf numFmtId="0" fontId="56" fillId="0" borderId="0" xfId="109" applyFont="1"/>
    <xf numFmtId="43" fontId="56" fillId="0" borderId="0" xfId="110" applyFont="1"/>
    <xf numFmtId="0" fontId="55" fillId="28" borderId="27" xfId="109" applyFont="1" applyFill="1" applyBorder="1"/>
    <xf numFmtId="43" fontId="55" fillId="0" borderId="29" xfId="110" applyFont="1" applyBorder="1"/>
    <xf numFmtId="0" fontId="55" fillId="28" borderId="54" xfId="109" applyFont="1" applyFill="1" applyBorder="1"/>
    <xf numFmtId="43" fontId="55" fillId="0" borderId="54" xfId="110" applyFont="1" applyBorder="1"/>
    <xf numFmtId="44" fontId="56" fillId="24" borderId="0" xfId="114" applyFont="1" applyFill="1" applyAlignment="1">
      <alignment horizontal="left"/>
    </xf>
    <xf numFmtId="176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/>
    </xf>
    <xf numFmtId="176" fontId="13" fillId="0" borderId="78" xfId="51" applyNumberFormat="1" applyFont="1" applyFill="1" applyBorder="1"/>
    <xf numFmtId="176" fontId="13" fillId="0" borderId="79" xfId="51" applyNumberFormat="1" applyFont="1" applyFill="1" applyBorder="1"/>
    <xf numFmtId="38" fontId="13" fillId="0" borderId="79" xfId="51" applyNumberFormat="1" applyFont="1" applyFill="1" applyBorder="1"/>
    <xf numFmtId="176" fontId="13" fillId="0" borderId="80" xfId="51" applyNumberFormat="1" applyFont="1" applyFill="1" applyBorder="1"/>
    <xf numFmtId="176" fontId="13" fillId="0" borderId="27" xfId="51" applyNumberFormat="1" applyFont="1" applyFill="1" applyBorder="1"/>
    <xf numFmtId="176" fontId="13" fillId="0" borderId="81" xfId="51" applyNumberFormat="1" applyFont="1" applyFill="1" applyBorder="1"/>
    <xf numFmtId="176" fontId="13" fillId="0" borderId="28" xfId="51" applyNumberFormat="1" applyFont="1" applyFill="1" applyBorder="1"/>
    <xf numFmtId="38" fontId="0" fillId="24" borderId="42" xfId="51" applyNumberFormat="1" applyFont="1" applyFill="1" applyBorder="1"/>
    <xf numFmtId="184" fontId="9" fillId="24" borderId="42" xfId="106" applyNumberFormat="1" applyFill="1" applyBorder="1"/>
    <xf numFmtId="184" fontId="9" fillId="24" borderId="0" xfId="106" applyNumberFormat="1" applyFill="1" applyBorder="1"/>
    <xf numFmtId="41" fontId="0" fillId="24" borderId="36" xfId="51" applyNumberFormat="1" applyFont="1" applyFill="1" applyBorder="1"/>
    <xf numFmtId="172" fontId="9" fillId="24" borderId="20" xfId="40" applyNumberFormat="1" applyFont="1" applyFill="1" applyBorder="1" applyProtection="1">
      <protection hidden="1"/>
    </xf>
    <xf numFmtId="172" fontId="9" fillId="24" borderId="19" xfId="40" applyNumberFormat="1" applyFont="1" applyFill="1" applyBorder="1" applyProtection="1">
      <protection hidden="1"/>
    </xf>
    <xf numFmtId="172" fontId="13" fillId="24" borderId="15" xfId="40" applyNumberFormat="1" applyFont="1" applyFill="1" applyBorder="1" applyProtection="1">
      <protection hidden="1"/>
    </xf>
    <xf numFmtId="172" fontId="9" fillId="24" borderId="16" xfId="33" applyNumberFormat="1" applyFont="1" applyFill="1" applyBorder="1" applyProtection="1">
      <protection hidden="1"/>
    </xf>
    <xf numFmtId="172" fontId="9" fillId="24" borderId="17" xfId="33" applyNumberFormat="1" applyFont="1" applyFill="1" applyBorder="1" applyProtection="1">
      <protection hidden="1"/>
    </xf>
    <xf numFmtId="172" fontId="13" fillId="24" borderId="18" xfId="40" applyNumberFormat="1" applyFont="1" applyFill="1" applyBorder="1" applyProtection="1">
      <protection hidden="1"/>
    </xf>
    <xf numFmtId="172" fontId="13" fillId="24" borderId="15" xfId="37" applyNumberFormat="1" applyFont="1" applyFill="1" applyBorder="1" applyProtection="1">
      <protection hidden="1"/>
    </xf>
    <xf numFmtId="176" fontId="52" fillId="24" borderId="45" xfId="102" applyNumberFormat="1" applyFont="1" applyFill="1" applyBorder="1" applyAlignment="1">
      <alignment horizontal="center" vertical="center" wrapText="1"/>
    </xf>
    <xf numFmtId="0" fontId="13" fillId="24" borderId="0" xfId="106" applyFont="1" applyFill="1" applyBorder="1" applyAlignment="1">
      <alignment horizontal="center" vertical="center"/>
    </xf>
    <xf numFmtId="9" fontId="45" fillId="24" borderId="0" xfId="115" applyFont="1" applyFill="1" applyAlignment="1">
      <alignment horizontal="center" vertical="center"/>
    </xf>
    <xf numFmtId="179" fontId="0" fillId="24" borderId="42" xfId="115" applyNumberFormat="1" applyFont="1" applyFill="1" applyBorder="1"/>
    <xf numFmtId="179" fontId="0" fillId="24" borderId="0" xfId="115" applyNumberFormat="1" applyFont="1" applyFill="1" applyBorder="1"/>
    <xf numFmtId="0" fontId="13" fillId="24" borderId="82" xfId="106" applyFont="1" applyFill="1" applyBorder="1"/>
    <xf numFmtId="176" fontId="13" fillId="24" borderId="83" xfId="51" applyNumberFormat="1" applyFont="1" applyFill="1" applyBorder="1"/>
    <xf numFmtId="176" fontId="13" fillId="24" borderId="84" xfId="51" applyNumberFormat="1" applyFont="1" applyFill="1" applyBorder="1"/>
    <xf numFmtId="179" fontId="13" fillId="24" borderId="84" xfId="115" applyNumberFormat="1" applyFont="1" applyFill="1" applyBorder="1"/>
    <xf numFmtId="179" fontId="13" fillId="24" borderId="85" xfId="51" applyNumberFormat="1" applyFont="1" applyFill="1" applyBorder="1"/>
    <xf numFmtId="176" fontId="13" fillId="24" borderId="84" xfId="106" applyNumberFormat="1" applyFont="1" applyFill="1" applyBorder="1"/>
    <xf numFmtId="179" fontId="13" fillId="24" borderId="84" xfId="106" applyNumberFormat="1" applyFont="1" applyFill="1" applyBorder="1"/>
    <xf numFmtId="179" fontId="13" fillId="24" borderId="84" xfId="51" applyNumberFormat="1" applyFont="1" applyFill="1" applyBorder="1"/>
    <xf numFmtId="177" fontId="13" fillId="24" borderId="86" xfId="106" applyNumberFormat="1" applyFont="1" applyFill="1" applyBorder="1"/>
    <xf numFmtId="178" fontId="13" fillId="24" borderId="87" xfId="106" applyNumberFormat="1" applyFont="1" applyFill="1" applyBorder="1"/>
    <xf numFmtId="176" fontId="13" fillId="24" borderId="83" xfId="106" applyNumberFormat="1" applyFont="1" applyFill="1" applyBorder="1"/>
    <xf numFmtId="176" fontId="13" fillId="24" borderId="85" xfId="106" applyNumberFormat="1" applyFont="1" applyFill="1" applyBorder="1"/>
    <xf numFmtId="176" fontId="13" fillId="24" borderId="87" xfId="51" applyNumberFormat="1" applyFont="1" applyFill="1" applyBorder="1"/>
    <xf numFmtId="9" fontId="45" fillId="24" borderId="0" xfId="115" applyFont="1" applyFill="1" applyBorder="1" applyAlignment="1">
      <alignment horizontal="center" vertical="center"/>
    </xf>
    <xf numFmtId="179" fontId="13" fillId="24" borderId="0" xfId="115" applyNumberFormat="1" applyFont="1" applyFill="1" applyBorder="1"/>
    <xf numFmtId="172" fontId="13" fillId="24" borderId="20" xfId="37" applyNumberFormat="1" applyFont="1" applyFill="1" applyBorder="1" applyProtection="1">
      <protection hidden="1"/>
    </xf>
    <xf numFmtId="172" fontId="13" fillId="24" borderId="19" xfId="37" applyNumberFormat="1" applyFont="1" applyFill="1" applyBorder="1" applyProtection="1">
      <protection hidden="1"/>
    </xf>
    <xf numFmtId="0" fontId="9" fillId="0" borderId="88" xfId="53" applyFont="1" applyBorder="1" applyAlignment="1">
      <alignment vertical="center" wrapText="1"/>
    </xf>
    <xf numFmtId="185" fontId="13" fillId="24" borderId="39" xfId="106" applyNumberFormat="1" applyFont="1" applyFill="1" applyBorder="1"/>
    <xf numFmtId="185" fontId="13" fillId="24" borderId="34" xfId="106" applyNumberFormat="1" applyFont="1" applyFill="1" applyBorder="1"/>
    <xf numFmtId="185" fontId="13" fillId="24" borderId="86" xfId="106" applyNumberFormat="1" applyFont="1" applyFill="1" applyBorder="1"/>
    <xf numFmtId="38" fontId="13" fillId="0" borderId="35" xfId="51" applyNumberFormat="1" applyFont="1" applyFill="1" applyBorder="1"/>
    <xf numFmtId="164" fontId="61" fillId="24" borderId="10" xfId="33" applyFont="1" applyFill="1" applyBorder="1" applyAlignment="1">
      <alignment horizontal="center" wrapText="1"/>
    </xf>
    <xf numFmtId="164" fontId="9" fillId="24" borderId="75" xfId="33" applyNumberFormat="1" applyFont="1" applyFill="1" applyBorder="1" applyProtection="1">
      <protection hidden="1"/>
    </xf>
    <xf numFmtId="164" fontId="9" fillId="24" borderId="21" xfId="33" applyNumberFormat="1" applyFont="1" applyFill="1" applyBorder="1" applyProtection="1">
      <protection hidden="1"/>
    </xf>
    <xf numFmtId="164" fontId="13" fillId="24" borderId="14" xfId="33" applyNumberFormat="1" applyFont="1" applyFill="1" applyBorder="1" applyProtection="1">
      <protection hidden="1"/>
    </xf>
    <xf numFmtId="164" fontId="0" fillId="24" borderId="0" xfId="33" applyFont="1" applyFill="1"/>
    <xf numFmtId="186" fontId="9" fillId="0" borderId="0" xfId="53" applyNumberFormat="1"/>
    <xf numFmtId="37" fontId="13" fillId="24" borderId="79" xfId="37" applyFont="1" applyFill="1" applyBorder="1" applyAlignment="1" applyProtection="1">
      <alignment horizontal="center" vertical="center" wrapText="1"/>
      <protection hidden="1"/>
    </xf>
    <xf numFmtId="0" fontId="1" fillId="24" borderId="0" xfId="117" applyFill="1"/>
    <xf numFmtId="176" fontId="13" fillId="24" borderId="89" xfId="102" applyNumberFormat="1" applyFont="1" applyFill="1" applyBorder="1" applyAlignment="1">
      <alignment horizontal="center" vertical="center" wrapText="1"/>
    </xf>
    <xf numFmtId="176" fontId="13" fillId="24" borderId="90" xfId="102" applyNumberFormat="1" applyFont="1" applyFill="1" applyBorder="1" applyAlignment="1">
      <alignment horizontal="center" vertical="center" wrapText="1"/>
    </xf>
    <xf numFmtId="176" fontId="13" fillId="24" borderId="91" xfId="102" applyNumberFormat="1" applyFont="1" applyFill="1" applyBorder="1" applyAlignment="1">
      <alignment horizontal="center" vertical="center" wrapText="1"/>
    </xf>
    <xf numFmtId="176" fontId="13" fillId="24" borderId="92" xfId="102" applyNumberFormat="1" applyFont="1" applyFill="1" applyBorder="1" applyAlignment="1">
      <alignment horizontal="center" vertical="center" wrapText="1"/>
    </xf>
    <xf numFmtId="176" fontId="13" fillId="24" borderId="93" xfId="102" applyNumberFormat="1" applyFont="1" applyFill="1" applyBorder="1" applyAlignment="1">
      <alignment horizontal="center" vertical="center" wrapText="1"/>
    </xf>
    <xf numFmtId="176" fontId="13" fillId="24" borderId="33" xfId="102" applyNumberFormat="1" applyFont="1" applyFill="1" applyBorder="1"/>
    <xf numFmtId="187" fontId="9" fillId="24" borderId="38" xfId="102" applyNumberFormat="1" applyFont="1" applyFill="1" applyBorder="1"/>
    <xf numFmtId="187" fontId="9" fillId="24" borderId="0" xfId="102" applyNumberFormat="1" applyFont="1" applyFill="1" applyBorder="1"/>
    <xf numFmtId="187" fontId="9" fillId="24" borderId="37" xfId="102" applyNumberFormat="1" applyFont="1" applyFill="1" applyBorder="1"/>
    <xf numFmtId="187" fontId="13" fillId="24" borderId="0" xfId="102" applyNumberFormat="1" applyFont="1" applyFill="1" applyBorder="1"/>
    <xf numFmtId="188" fontId="13" fillId="24" borderId="94" xfId="102" applyNumberFormat="1" applyFont="1" applyFill="1" applyBorder="1"/>
    <xf numFmtId="176" fontId="13" fillId="24" borderId="82" xfId="102" applyNumberFormat="1" applyFont="1" applyFill="1" applyBorder="1"/>
    <xf numFmtId="187" fontId="13" fillId="24" borderId="83" xfId="102" applyNumberFormat="1" applyFont="1" applyFill="1" applyBorder="1"/>
    <xf numFmtId="187" fontId="13" fillId="24" borderId="84" xfId="102" applyNumberFormat="1" applyFont="1" applyFill="1" applyBorder="1"/>
    <xf numFmtId="187" fontId="13" fillId="24" borderId="85" xfId="102" applyNumberFormat="1" applyFont="1" applyFill="1" applyBorder="1"/>
    <xf numFmtId="188" fontId="13" fillId="24" borderId="95" xfId="102" applyNumberFormat="1" applyFont="1" applyFill="1" applyBorder="1"/>
    <xf numFmtId="0" fontId="61" fillId="24" borderId="88" xfId="118" applyFont="1" applyFill="1" applyBorder="1"/>
    <xf numFmtId="176" fontId="61" fillId="24" borderId="96" xfId="51" applyNumberFormat="1" applyFont="1" applyFill="1" applyBorder="1"/>
    <xf numFmtId="176" fontId="61" fillId="24" borderId="88" xfId="118" applyNumberFormat="1" applyFont="1" applyFill="1" applyBorder="1"/>
    <xf numFmtId="0" fontId="61" fillId="24" borderId="97" xfId="118" applyFont="1" applyFill="1" applyBorder="1"/>
    <xf numFmtId="10" fontId="61" fillId="24" borderId="98" xfId="40" applyNumberFormat="1" applyFont="1" applyFill="1" applyBorder="1"/>
    <xf numFmtId="10" fontId="61" fillId="24" borderId="97" xfId="40" applyNumberFormat="1" applyFont="1" applyFill="1" applyBorder="1"/>
    <xf numFmtId="176" fontId="1" fillId="24" borderId="0" xfId="117" applyNumberFormat="1" applyFill="1"/>
    <xf numFmtId="176" fontId="62" fillId="24" borderId="0" xfId="51" applyNumberFormat="1" applyFont="1" applyFill="1"/>
    <xf numFmtId="0" fontId="62" fillId="24" borderId="0" xfId="106" applyFont="1" applyFill="1"/>
    <xf numFmtId="0" fontId="9" fillId="0" borderId="0" xfId="106"/>
    <xf numFmtId="176" fontId="62" fillId="24" borderId="48" xfId="51" applyNumberFormat="1" applyFont="1" applyFill="1" applyBorder="1"/>
    <xf numFmtId="176" fontId="60" fillId="24" borderId="30" xfId="51" applyNumberFormat="1" applyFont="1" applyFill="1" applyBorder="1" applyAlignment="1">
      <alignment horizontal="center" vertical="center" wrapText="1"/>
    </xf>
    <xf numFmtId="176" fontId="60" fillId="24" borderId="31" xfId="51" applyNumberFormat="1" applyFont="1" applyFill="1" applyBorder="1" applyAlignment="1">
      <alignment horizontal="center" vertical="center" wrapText="1"/>
    </xf>
    <xf numFmtId="176" fontId="60" fillId="24" borderId="32" xfId="51" applyNumberFormat="1" applyFont="1" applyFill="1" applyBorder="1" applyAlignment="1">
      <alignment horizontal="center" vertical="center"/>
    </xf>
    <xf numFmtId="176" fontId="60" fillId="24" borderId="33" xfId="51" applyNumberFormat="1" applyFont="1" applyFill="1" applyBorder="1"/>
    <xf numFmtId="187" fontId="62" fillId="24" borderId="0" xfId="33" applyNumberFormat="1" applyFont="1" applyFill="1" applyBorder="1"/>
    <xf numFmtId="187" fontId="60" fillId="24" borderId="34" xfId="33" applyNumberFormat="1" applyFont="1" applyFill="1" applyBorder="1"/>
    <xf numFmtId="176" fontId="60" fillId="24" borderId="30" xfId="51" applyNumberFormat="1" applyFont="1" applyFill="1" applyBorder="1"/>
    <xf numFmtId="187" fontId="60" fillId="24" borderId="31" xfId="51" applyNumberFormat="1" applyFont="1" applyFill="1" applyBorder="1"/>
    <xf numFmtId="187" fontId="60" fillId="24" borderId="32" xfId="51" applyNumberFormat="1" applyFont="1" applyFill="1" applyBorder="1"/>
    <xf numFmtId="37" fontId="9" fillId="0" borderId="26" xfId="37" applyFont="1" applyBorder="1" applyAlignment="1" applyProtection="1">
      <alignment wrapText="1"/>
      <protection hidden="1"/>
    </xf>
    <xf numFmtId="167" fontId="65" fillId="0" borderId="0" xfId="40" applyNumberFormat="1" applyFont="1" applyProtection="1">
      <protection hidden="1"/>
    </xf>
    <xf numFmtId="49" fontId="66" fillId="0" borderId="10" xfId="54" applyNumberFormat="1" applyFont="1" applyFill="1" applyBorder="1" applyAlignment="1" applyProtection="1">
      <alignment horizontal="center" vertical="center" wrapText="1"/>
      <protection hidden="1"/>
    </xf>
    <xf numFmtId="37" fontId="13" fillId="0" borderId="10" xfId="37" applyFont="1" applyFill="1" applyBorder="1" applyAlignment="1" applyProtection="1">
      <alignment horizontal="center" vertical="center" wrapText="1"/>
      <protection hidden="1"/>
    </xf>
    <xf numFmtId="37" fontId="64" fillId="0" borderId="0" xfId="37" applyFont="1" applyBorder="1" applyAlignment="1" applyProtection="1">
      <alignment horizontal="center" vertical="center" wrapText="1"/>
      <protection hidden="1"/>
    </xf>
    <xf numFmtId="37" fontId="67" fillId="0" borderId="0" xfId="37" applyFont="1" applyBorder="1" applyAlignment="1" applyProtection="1">
      <alignment horizontal="center" vertical="center" wrapText="1"/>
      <protection hidden="1"/>
    </xf>
    <xf numFmtId="37" fontId="9" fillId="0" borderId="11" xfId="37" applyFont="1" applyFill="1" applyBorder="1" applyAlignment="1" applyProtection="1">
      <alignment horizontal="left"/>
      <protection hidden="1"/>
    </xf>
    <xf numFmtId="37" fontId="9" fillId="0" borderId="75" xfId="37" applyFont="1" applyFill="1" applyBorder="1" applyAlignment="1" applyProtection="1">
      <alignment horizontal="right"/>
      <protection hidden="1"/>
    </xf>
    <xf numFmtId="37" fontId="13" fillId="0" borderId="75" xfId="37" applyFont="1" applyFill="1" applyBorder="1" applyAlignment="1" applyProtection="1">
      <alignment horizontal="right"/>
      <protection hidden="1"/>
    </xf>
    <xf numFmtId="37" fontId="13" fillId="0" borderId="23" xfId="37" applyNumberFormat="1" applyFont="1" applyFill="1" applyBorder="1" applyAlignment="1" applyProtection="1">
      <alignment horizontal="right"/>
      <protection hidden="1"/>
    </xf>
    <xf numFmtId="165" fontId="13" fillId="0" borderId="20" xfId="33" applyNumberFormat="1" applyFont="1" applyFill="1" applyBorder="1" applyProtection="1">
      <protection hidden="1"/>
    </xf>
    <xf numFmtId="37" fontId="9" fillId="0" borderId="12" xfId="37" applyFont="1" applyFill="1" applyBorder="1" applyAlignment="1" applyProtection="1">
      <alignment horizontal="left"/>
      <protection hidden="1"/>
    </xf>
    <xf numFmtId="37" fontId="9" fillId="0" borderId="21" xfId="37" applyFont="1" applyFill="1" applyBorder="1" applyAlignment="1" applyProtection="1">
      <alignment horizontal="right"/>
      <protection hidden="1"/>
    </xf>
    <xf numFmtId="37" fontId="9" fillId="0" borderId="99" xfId="37" applyFont="1" applyFill="1" applyBorder="1" applyAlignment="1" applyProtection="1">
      <protection hidden="1"/>
    </xf>
    <xf numFmtId="37" fontId="13" fillId="0" borderId="21" xfId="37" applyFont="1" applyFill="1" applyBorder="1" applyAlignment="1" applyProtection="1">
      <alignment horizontal="right"/>
      <protection hidden="1"/>
    </xf>
    <xf numFmtId="37" fontId="13" fillId="0" borderId="24" xfId="40" applyNumberFormat="1" applyFont="1" applyFill="1" applyBorder="1" applyProtection="1">
      <protection hidden="1"/>
    </xf>
    <xf numFmtId="165" fontId="13" fillId="0" borderId="19" xfId="33" applyNumberFormat="1" applyFont="1" applyFill="1" applyBorder="1" applyProtection="1">
      <protection hidden="1"/>
    </xf>
    <xf numFmtId="37" fontId="13" fillId="0" borderId="13" xfId="37" applyFont="1" applyFill="1" applyBorder="1" applyAlignment="1" applyProtection="1">
      <alignment horizontal="left"/>
      <protection hidden="1"/>
    </xf>
    <xf numFmtId="37" fontId="13" fillId="0" borderId="14" xfId="37" applyFont="1" applyFill="1" applyBorder="1" applyAlignment="1" applyProtection="1">
      <alignment horizontal="right"/>
      <protection hidden="1"/>
    </xf>
    <xf numFmtId="165" fontId="13" fillId="0" borderId="15" xfId="33" applyNumberFormat="1" applyFont="1" applyFill="1" applyBorder="1" applyProtection="1">
      <protection hidden="1"/>
    </xf>
    <xf numFmtId="37" fontId="13" fillId="0" borderId="0" xfId="37" applyFont="1" applyProtection="1">
      <protection hidden="1"/>
    </xf>
    <xf numFmtId="190" fontId="9" fillId="0" borderId="0" xfId="40" applyNumberFormat="1" applyFont="1" applyProtection="1">
      <protection hidden="1"/>
    </xf>
    <xf numFmtId="37" fontId="9" fillId="0" borderId="0" xfId="37" applyFont="1" applyBorder="1" applyProtection="1">
      <protection hidden="1"/>
    </xf>
    <xf numFmtId="164" fontId="9" fillId="0" borderId="0" xfId="33" applyFont="1" applyBorder="1" applyProtection="1">
      <protection hidden="1"/>
    </xf>
    <xf numFmtId="167" fontId="65" fillId="0" borderId="0" xfId="40" applyNumberFormat="1" applyFont="1" applyBorder="1" applyProtection="1">
      <protection hidden="1"/>
    </xf>
    <xf numFmtId="10" fontId="9" fillId="0" borderId="0" xfId="40" applyNumberFormat="1" applyFont="1" applyAlignment="1" applyProtection="1">
      <alignment horizontal="center"/>
      <protection hidden="1"/>
    </xf>
    <xf numFmtId="37" fontId="68" fillId="0" borderId="0" xfId="37" applyFont="1" applyProtection="1">
      <protection hidden="1"/>
    </xf>
    <xf numFmtId="191" fontId="9" fillId="0" borderId="0" xfId="40" applyNumberFormat="1" applyFont="1" applyProtection="1">
      <protection hidden="1"/>
    </xf>
    <xf numFmtId="192" fontId="9" fillId="0" borderId="0" xfId="37" applyNumberFormat="1" applyFont="1" applyProtection="1">
      <protection hidden="1"/>
    </xf>
    <xf numFmtId="193" fontId="9" fillId="0" borderId="0" xfId="37" applyNumberFormat="1" applyFont="1" applyProtection="1">
      <protection hidden="1"/>
    </xf>
    <xf numFmtId="0" fontId="13" fillId="0" borderId="88" xfId="53" applyFont="1" applyBorder="1" applyAlignment="1">
      <alignment horizontal="center" vertical="center" wrapText="1"/>
    </xf>
    <xf numFmtId="182" fontId="9" fillId="0" borderId="88" xfId="33" applyNumberFormat="1" applyFont="1" applyFill="1" applyBorder="1" applyAlignment="1">
      <alignment vertical="center" wrapText="1"/>
    </xf>
    <xf numFmtId="182" fontId="9" fillId="0" borderId="88" xfId="53" applyNumberFormat="1" applyFont="1" applyBorder="1" applyAlignment="1">
      <alignment horizontal="center" vertical="center" wrapText="1"/>
    </xf>
    <xf numFmtId="0" fontId="13" fillId="0" borderId="88" xfId="53" applyFont="1" applyBorder="1" applyAlignment="1">
      <alignment vertical="center" wrapText="1"/>
    </xf>
    <xf numFmtId="182" fontId="13" fillId="0" borderId="88" xfId="33" applyNumberFormat="1" applyFont="1" applyFill="1" applyBorder="1" applyAlignment="1">
      <alignment vertical="center" wrapText="1"/>
    </xf>
    <xf numFmtId="182" fontId="13" fillId="0" borderId="88" xfId="53" applyNumberFormat="1" applyFont="1" applyBorder="1" applyAlignment="1">
      <alignment horizontal="center" vertical="center" wrapText="1"/>
    </xf>
    <xf numFmtId="182" fontId="13" fillId="0" borderId="88" xfId="33" applyNumberFormat="1" applyFont="1" applyFill="1" applyBorder="1" applyAlignment="1">
      <alignment horizontal="center" vertical="center" wrapText="1"/>
    </xf>
    <xf numFmtId="0" fontId="13" fillId="0" borderId="88" xfId="53" applyFont="1" applyBorder="1" applyAlignment="1">
      <alignment horizontal="center" vertical="center"/>
    </xf>
    <xf numFmtId="182" fontId="13" fillId="0" borderId="88" xfId="53" applyNumberFormat="1" applyFont="1" applyBorder="1" applyAlignment="1">
      <alignment vertical="center"/>
    </xf>
    <xf numFmtId="182" fontId="13" fillId="0" borderId="88" xfId="53" applyNumberFormat="1" applyFont="1" applyBorder="1" applyAlignment="1">
      <alignment horizontal="center" vertical="center"/>
    </xf>
    <xf numFmtId="165" fontId="9" fillId="0" borderId="0" xfId="33" applyNumberFormat="1"/>
    <xf numFmtId="165" fontId="9" fillId="0" borderId="0" xfId="53" applyNumberFormat="1"/>
    <xf numFmtId="194" fontId="9" fillId="0" borderId="0" xfId="53" applyNumberFormat="1"/>
    <xf numFmtId="195" fontId="9" fillId="0" borderId="0" xfId="53" applyNumberFormat="1"/>
    <xf numFmtId="194" fontId="9" fillId="0" borderId="0" xfId="33" applyNumberFormat="1"/>
    <xf numFmtId="195" fontId="9" fillId="0" borderId="0" xfId="33" applyNumberFormat="1"/>
    <xf numFmtId="182" fontId="13" fillId="0" borderId="0" xfId="33" applyNumberFormat="1" applyFont="1" applyFill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/>
    </xf>
    <xf numFmtId="38" fontId="9" fillId="0" borderId="75" xfId="37" applyNumberFormat="1" applyFont="1" applyFill="1" applyBorder="1" applyAlignment="1" applyProtection="1">
      <alignment horizontal="right"/>
      <protection hidden="1"/>
    </xf>
    <xf numFmtId="38" fontId="9" fillId="0" borderId="21" xfId="37" applyNumberFormat="1" applyFont="1" applyFill="1" applyBorder="1" applyAlignment="1" applyProtection="1">
      <alignment horizontal="right"/>
      <protection hidden="1"/>
    </xf>
    <xf numFmtId="176" fontId="69" fillId="24" borderId="0" xfId="51" applyNumberFormat="1" applyFont="1" applyFill="1" applyBorder="1" applyAlignment="1">
      <alignment horizontal="center" vertical="center" wrapText="1"/>
    </xf>
    <xf numFmtId="0" fontId="46" fillId="24" borderId="0" xfId="0" applyFont="1" applyFill="1" applyBorder="1" applyAlignment="1">
      <alignment horizontal="center" vertical="center"/>
    </xf>
    <xf numFmtId="187" fontId="70" fillId="24" borderId="0" xfId="33" applyNumberFormat="1" applyFont="1" applyFill="1" applyBorder="1"/>
    <xf numFmtId="172" fontId="46" fillId="24" borderId="0" xfId="0" applyNumberFormat="1" applyFont="1" applyFill="1" applyBorder="1"/>
    <xf numFmtId="187" fontId="69" fillId="24" borderId="0" xfId="51" applyNumberFormat="1" applyFont="1" applyFill="1" applyBorder="1"/>
    <xf numFmtId="189" fontId="69" fillId="24" borderId="0" xfId="51" applyNumberFormat="1" applyFont="1" applyFill="1" applyBorder="1"/>
    <xf numFmtId="176" fontId="13" fillId="0" borderId="0" xfId="51" applyNumberFormat="1" applyFont="1" applyAlignment="1"/>
    <xf numFmtId="0" fontId="41" fillId="0" borderId="26" xfId="0" applyFont="1" applyBorder="1" applyAlignment="1">
      <alignment horizontal="center"/>
    </xf>
    <xf numFmtId="176" fontId="13" fillId="24" borderId="0" xfId="51" applyNumberFormat="1" applyFont="1" applyFill="1" applyAlignment="1"/>
    <xf numFmtId="176" fontId="60" fillId="24" borderId="0" xfId="51" applyNumberFormat="1" applyFont="1" applyFill="1" applyAlignment="1"/>
    <xf numFmtId="9" fontId="13" fillId="24" borderId="79" xfId="40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/>
      <protection hidden="1"/>
    </xf>
    <xf numFmtId="37" fontId="33" fillId="0" borderId="0" xfId="37" applyFont="1" applyFill="1" applyBorder="1" applyAlignment="1" applyProtection="1">
      <alignment horizontal="center" vertical="center" wrapText="1"/>
      <protection hidden="1"/>
    </xf>
    <xf numFmtId="172" fontId="13" fillId="24" borderId="79" xfId="4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Fill="1" applyBorder="1" applyAlignment="1" applyProtection="1">
      <alignment horizontal="center" vertical="center" wrapText="1"/>
      <protection hidden="1"/>
    </xf>
    <xf numFmtId="172" fontId="33" fillId="0" borderId="0" xfId="112" applyNumberFormat="1" applyFont="1" applyFill="1" applyBorder="1" applyAlignment="1" applyProtection="1">
      <alignment horizontal="center" vertical="center" wrapText="1"/>
      <protection hidden="1"/>
    </xf>
    <xf numFmtId="0" fontId="13" fillId="0" borderId="10" xfId="0" applyFont="1" applyFill="1" applyBorder="1" applyAlignment="1" applyProtection="1">
      <alignment horizontal="center" vertical="center" wrapText="1"/>
      <protection hidden="1"/>
    </xf>
    <xf numFmtId="9" fontId="13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40" fillId="0" borderId="10" xfId="0" applyFont="1" applyFill="1" applyBorder="1" applyAlignment="1" applyProtection="1">
      <alignment horizontal="center" vertical="center" wrapText="1"/>
      <protection hidden="1"/>
    </xf>
    <xf numFmtId="9" fontId="13" fillId="0" borderId="10" xfId="40" applyFont="1" applyFill="1" applyBorder="1" applyAlignment="1" applyProtection="1">
      <alignment horizontal="center" vertical="center" wrapText="1"/>
      <protection hidden="1"/>
    </xf>
    <xf numFmtId="173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172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13" fillId="0" borderId="88" xfId="0" applyFont="1" applyFill="1" applyBorder="1" applyAlignment="1" applyProtection="1">
      <alignment horizontal="center" vertical="center" wrapText="1"/>
      <protection hidden="1"/>
    </xf>
    <xf numFmtId="9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69" fontId="33" fillId="0" borderId="0" xfId="112" applyFont="1" applyFill="1" applyBorder="1" applyAlignment="1" applyProtection="1">
      <alignment horizontal="center" vertical="center" wrapText="1"/>
      <protection hidden="1"/>
    </xf>
    <xf numFmtId="172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73" fontId="35" fillId="0" borderId="0" xfId="112" applyNumberFormat="1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Fill="1" applyProtection="1">
      <protection hidden="1"/>
    </xf>
    <xf numFmtId="37" fontId="38" fillId="0" borderId="0" xfId="37" applyFont="1" applyFill="1" applyBorder="1" applyAlignment="1" applyProtection="1">
      <alignment horizontal="center" vertical="center" wrapText="1"/>
      <protection hidden="1"/>
    </xf>
    <xf numFmtId="37" fontId="38" fillId="0" borderId="0" xfId="37" applyFont="1" applyFill="1" applyProtection="1">
      <protection hidden="1"/>
    </xf>
    <xf numFmtId="0" fontId="39" fillId="0" borderId="0" xfId="0" applyFont="1" applyFill="1" applyAlignment="1" applyProtection="1">
      <alignment horizontal="center" vertical="center" wrapText="1"/>
      <protection hidden="1"/>
    </xf>
    <xf numFmtId="172" fontId="38" fillId="0" borderId="0" xfId="37" applyNumberFormat="1" applyFont="1" applyFill="1" applyProtection="1">
      <protection hidden="1"/>
    </xf>
    <xf numFmtId="173" fontId="39" fillId="0" borderId="0" xfId="0" applyNumberFormat="1" applyFont="1" applyFill="1" applyAlignment="1" applyProtection="1">
      <alignment horizontal="center" vertical="center" wrapText="1"/>
      <protection hidden="1"/>
    </xf>
    <xf numFmtId="37" fontId="45" fillId="0" borderId="0" xfId="37" applyFont="1" applyAlignment="1" applyProtection="1">
      <alignment horizontal="center" vertical="center"/>
      <protection hidden="1"/>
    </xf>
    <xf numFmtId="37" fontId="9" fillId="0" borderId="0" xfId="37" applyFont="1" applyFill="1" applyBorder="1" applyAlignment="1" applyProtection="1">
      <alignment horizontal="center" vertical="center" wrapText="1"/>
      <protection hidden="1"/>
    </xf>
    <xf numFmtId="172" fontId="9" fillId="0" borderId="0" xfId="37" applyNumberFormat="1" applyFont="1" applyFill="1" applyBorder="1" applyAlignment="1" applyProtection="1">
      <alignment horizontal="center" vertical="center" wrapText="1"/>
      <protection hidden="1"/>
    </xf>
    <xf numFmtId="172" fontId="71" fillId="0" borderId="0" xfId="0" applyNumberFormat="1" applyFont="1" applyFill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 wrapText="1"/>
      <protection hidden="1"/>
    </xf>
    <xf numFmtId="165" fontId="9" fillId="0" borderId="75" xfId="33" applyNumberFormat="1" applyFont="1" applyFill="1" applyBorder="1" applyProtection="1">
      <protection hidden="1"/>
    </xf>
    <xf numFmtId="171" fontId="9" fillId="0" borderId="75" xfId="33" applyNumberFormat="1" applyFont="1" applyFill="1" applyBorder="1" applyProtection="1">
      <protection hidden="1"/>
    </xf>
    <xf numFmtId="165" fontId="9" fillId="0" borderId="23" xfId="33" applyNumberFormat="1" applyFont="1" applyFill="1" applyBorder="1" applyProtection="1">
      <protection hidden="1"/>
    </xf>
    <xf numFmtId="3" fontId="32" fillId="0" borderId="75" xfId="0" applyNumberFormat="1" applyFont="1" applyBorder="1" applyProtection="1">
      <protection hidden="1"/>
    </xf>
    <xf numFmtId="172" fontId="9" fillId="0" borderId="75" xfId="40" applyNumberFormat="1" applyFont="1" applyFill="1" applyBorder="1" applyProtection="1">
      <protection hidden="1"/>
    </xf>
    <xf numFmtId="172" fontId="9" fillId="0" borderId="23" xfId="40" applyNumberFormat="1" applyFont="1" applyFill="1" applyBorder="1" applyProtection="1">
      <protection hidden="1"/>
    </xf>
    <xf numFmtId="165" fontId="32" fillId="0" borderId="75" xfId="33" applyNumberFormat="1" applyFont="1" applyBorder="1" applyProtection="1">
      <protection hidden="1"/>
    </xf>
    <xf numFmtId="171" fontId="32" fillId="0" borderId="75" xfId="33" applyNumberFormat="1" applyFont="1" applyBorder="1" applyProtection="1">
      <protection hidden="1"/>
    </xf>
    <xf numFmtId="196" fontId="32" fillId="0" borderId="75" xfId="33" applyNumberFormat="1" applyFont="1" applyBorder="1" applyProtection="1">
      <protection hidden="1"/>
    </xf>
    <xf numFmtId="172" fontId="9" fillId="0" borderId="20" xfId="40" applyNumberFormat="1" applyFont="1" applyFill="1" applyBorder="1" applyProtection="1">
      <protection hidden="1"/>
    </xf>
    <xf numFmtId="37" fontId="9" fillId="0" borderId="11" xfId="37" applyFont="1" applyBorder="1" applyProtection="1">
      <protection hidden="1"/>
    </xf>
    <xf numFmtId="37" fontId="9" fillId="0" borderId="75" xfId="37" applyFont="1" applyBorder="1" applyProtection="1">
      <protection hidden="1"/>
    </xf>
    <xf numFmtId="165" fontId="9" fillId="0" borderId="21" xfId="33" applyNumberFormat="1" applyFont="1" applyFill="1" applyBorder="1" applyProtection="1">
      <protection hidden="1"/>
    </xf>
    <xf numFmtId="171" fontId="9" fillId="0" borderId="21" xfId="33" applyNumberFormat="1" applyFont="1" applyFill="1" applyBorder="1" applyProtection="1">
      <protection hidden="1"/>
    </xf>
    <xf numFmtId="165" fontId="9" fillId="0" borderId="24" xfId="33" applyNumberFormat="1" applyFont="1" applyFill="1" applyBorder="1" applyProtection="1">
      <protection hidden="1"/>
    </xf>
    <xf numFmtId="3" fontId="32" fillId="0" borderId="21" xfId="0" applyNumberFormat="1" applyFont="1" applyBorder="1" applyProtection="1">
      <protection hidden="1"/>
    </xf>
    <xf numFmtId="172" fontId="9" fillId="0" borderId="21" xfId="40" applyNumberFormat="1" applyFont="1" applyFill="1" applyBorder="1" applyProtection="1">
      <protection hidden="1"/>
    </xf>
    <xf numFmtId="172" fontId="9" fillId="0" borderId="24" xfId="40" applyNumberFormat="1" applyFont="1" applyFill="1" applyBorder="1" applyProtection="1">
      <protection hidden="1"/>
    </xf>
    <xf numFmtId="165" fontId="32" fillId="0" borderId="21" xfId="33" applyNumberFormat="1" applyFont="1" applyBorder="1" applyProtection="1">
      <protection hidden="1"/>
    </xf>
    <xf numFmtId="171" fontId="32" fillId="0" borderId="21" xfId="33" applyNumberFormat="1" applyFont="1" applyBorder="1" applyProtection="1">
      <protection hidden="1"/>
    </xf>
    <xf numFmtId="196" fontId="32" fillId="0" borderId="21" xfId="33" applyNumberFormat="1" applyFont="1" applyBorder="1" applyProtection="1">
      <protection hidden="1"/>
    </xf>
    <xf numFmtId="172" fontId="9" fillId="0" borderId="19" xfId="40" applyNumberFormat="1" applyFont="1" applyFill="1" applyBorder="1" applyProtection="1">
      <protection hidden="1"/>
    </xf>
    <xf numFmtId="37" fontId="9" fillId="0" borderId="12" xfId="37" applyFont="1" applyBorder="1" applyProtection="1">
      <protection hidden="1"/>
    </xf>
    <xf numFmtId="37" fontId="9" fillId="0" borderId="21" xfId="37" applyFont="1" applyBorder="1" applyProtection="1">
      <protection hidden="1"/>
    </xf>
    <xf numFmtId="165" fontId="34" fillId="0" borderId="14" xfId="33" applyNumberFormat="1" applyFont="1" applyFill="1" applyBorder="1" applyProtection="1">
      <protection hidden="1"/>
    </xf>
    <xf numFmtId="171" fontId="13" fillId="0" borderId="14" xfId="33" applyNumberFormat="1" applyFont="1" applyFill="1" applyBorder="1" applyProtection="1">
      <protection hidden="1"/>
    </xf>
    <xf numFmtId="165" fontId="13" fillId="0" borderId="22" xfId="40" applyNumberFormat="1" applyFont="1" applyFill="1" applyBorder="1" applyProtection="1">
      <protection hidden="1"/>
    </xf>
    <xf numFmtId="3" fontId="34" fillId="0" borderId="14" xfId="0" applyNumberFormat="1" applyFont="1" applyBorder="1" applyProtection="1">
      <protection hidden="1"/>
    </xf>
    <xf numFmtId="172" fontId="13" fillId="0" borderId="14" xfId="40" applyNumberFormat="1" applyFont="1" applyFill="1" applyBorder="1" applyProtection="1">
      <protection hidden="1"/>
    </xf>
    <xf numFmtId="165" fontId="13" fillId="0" borderId="14" xfId="33" applyNumberFormat="1" applyFont="1" applyFill="1" applyBorder="1" applyProtection="1">
      <protection hidden="1"/>
    </xf>
    <xf numFmtId="172" fontId="13" fillId="0" borderId="22" xfId="40" applyNumberFormat="1" applyFont="1" applyFill="1" applyBorder="1" applyProtection="1">
      <protection hidden="1"/>
    </xf>
    <xf numFmtId="165" fontId="13" fillId="0" borderId="13" xfId="33" applyNumberFormat="1" applyFont="1" applyFill="1" applyBorder="1" applyAlignment="1" applyProtection="1">
      <protection hidden="1"/>
    </xf>
    <xf numFmtId="165" fontId="13" fillId="0" borderId="14" xfId="33" applyNumberFormat="1" applyFont="1" applyFill="1" applyBorder="1" applyAlignment="1" applyProtection="1">
      <protection hidden="1"/>
    </xf>
    <xf numFmtId="171" fontId="13" fillId="0" borderId="14" xfId="33" applyNumberFormat="1" applyFont="1" applyFill="1" applyBorder="1" applyAlignment="1" applyProtection="1">
      <protection hidden="1"/>
    </xf>
    <xf numFmtId="165" fontId="13" fillId="0" borderId="15" xfId="33" applyNumberFormat="1" applyFont="1" applyFill="1" applyBorder="1" applyAlignment="1" applyProtection="1">
      <protection hidden="1"/>
    </xf>
    <xf numFmtId="172" fontId="13" fillId="0" borderId="15" xfId="40" applyNumberFormat="1" applyFont="1" applyFill="1" applyBorder="1" applyProtection="1">
      <protection hidden="1"/>
    </xf>
    <xf numFmtId="37" fontId="13" fillId="0" borderId="13" xfId="37" applyFont="1" applyBorder="1" applyProtection="1">
      <protection hidden="1"/>
    </xf>
    <xf numFmtId="37" fontId="13" fillId="0" borderId="14" xfId="37" applyFont="1" applyBorder="1" applyProtection="1">
      <protection hidden="1"/>
    </xf>
    <xf numFmtId="39" fontId="9" fillId="0" borderId="0" xfId="37" applyNumberFormat="1" applyFont="1" applyProtection="1">
      <protection hidden="1"/>
    </xf>
    <xf numFmtId="166" fontId="9" fillId="0" borderId="0" xfId="40" applyNumberFormat="1" applyFont="1" applyProtection="1">
      <protection hidden="1"/>
    </xf>
    <xf numFmtId="172" fontId="9" fillId="0" borderId="0" xfId="37" applyNumberFormat="1" applyFont="1" applyFill="1" applyProtection="1">
      <protection hidden="1"/>
    </xf>
    <xf numFmtId="173" fontId="9" fillId="0" borderId="0" xfId="37" applyNumberFormat="1" applyFont="1" applyFill="1" applyProtection="1">
      <protection hidden="1"/>
    </xf>
    <xf numFmtId="166" fontId="9" fillId="0" borderId="0" xfId="40" applyNumberFormat="1" applyFont="1" applyFill="1" applyProtection="1">
      <protection hidden="1"/>
    </xf>
    <xf numFmtId="38" fontId="13" fillId="0" borderId="14" xfId="37" applyNumberFormat="1" applyFont="1" applyFill="1" applyBorder="1" applyAlignment="1" applyProtection="1">
      <alignment horizontal="right"/>
      <protection hidden="1"/>
    </xf>
    <xf numFmtId="37" fontId="46" fillId="0" borderId="0" xfId="37" applyFont="1" applyProtection="1">
      <protection hidden="1"/>
    </xf>
    <xf numFmtId="172" fontId="9" fillId="0" borderId="20" xfId="40" applyNumberFormat="1" applyFont="1" applyBorder="1" applyProtection="1">
      <protection hidden="1"/>
    </xf>
    <xf numFmtId="172" fontId="9" fillId="0" borderId="19" xfId="40" applyNumberFormat="1" applyFont="1" applyBorder="1" applyProtection="1">
      <protection hidden="1"/>
    </xf>
    <xf numFmtId="172" fontId="13" fillId="0" borderId="15" xfId="40" applyNumberFormat="1" applyFont="1" applyBorder="1" applyProtection="1">
      <protection hidden="1"/>
    </xf>
    <xf numFmtId="197" fontId="9" fillId="0" borderId="75" xfId="40" applyNumberFormat="1" applyFont="1" applyFill="1" applyBorder="1" applyProtection="1">
      <protection hidden="1"/>
    </xf>
    <xf numFmtId="197" fontId="9" fillId="0" borderId="21" xfId="40" applyNumberFormat="1" applyFont="1" applyFill="1" applyBorder="1" applyProtection="1">
      <protection hidden="1"/>
    </xf>
    <xf numFmtId="197" fontId="13" fillId="0" borderId="14" xfId="40" applyNumberFormat="1" applyFont="1" applyFill="1" applyBorder="1" applyProtection="1">
      <protection hidden="1"/>
    </xf>
    <xf numFmtId="0" fontId="13" fillId="0" borderId="0" xfId="53" applyFont="1" applyAlignment="1">
      <alignment horizontal="center" vertical="center"/>
    </xf>
    <xf numFmtId="0" fontId="13" fillId="0" borderId="0" xfId="53" applyFont="1" applyBorder="1" applyAlignment="1">
      <alignment horizontal="center" vertical="center" wrapText="1"/>
    </xf>
    <xf numFmtId="38" fontId="9" fillId="0" borderId="0" xfId="53" applyNumberFormat="1" applyFont="1" applyBorder="1" applyAlignment="1">
      <alignment horizontal="center" vertical="center" wrapText="1"/>
    </xf>
    <xf numFmtId="165" fontId="13" fillId="0" borderId="0" xfId="33" applyNumberFormat="1" applyFont="1" applyFill="1" applyBorder="1" applyAlignment="1">
      <alignment vertical="center" wrapText="1"/>
    </xf>
    <xf numFmtId="165" fontId="13" fillId="0" borderId="0" xfId="33" applyNumberFormat="1" applyFont="1" applyBorder="1" applyAlignment="1">
      <alignment horizontal="center" vertical="center"/>
    </xf>
    <xf numFmtId="165" fontId="9" fillId="0" borderId="88" xfId="33" applyNumberFormat="1" applyFont="1" applyFill="1" applyBorder="1" applyAlignment="1">
      <alignment vertical="center" wrapText="1"/>
    </xf>
    <xf numFmtId="38" fontId="9" fillId="0" borderId="88" xfId="33" applyNumberFormat="1" applyFont="1" applyFill="1" applyBorder="1" applyAlignment="1">
      <alignment vertical="center" wrapText="1"/>
    </xf>
    <xf numFmtId="0" fontId="9" fillId="0" borderId="88" xfId="53" applyFont="1" applyBorder="1" applyAlignment="1">
      <alignment horizontal="center" vertical="center" wrapText="1"/>
    </xf>
    <xf numFmtId="38" fontId="9" fillId="0" borderId="88" xfId="53" applyNumberFormat="1" applyFont="1" applyBorder="1" applyAlignment="1">
      <alignment horizontal="center" vertical="center" wrapText="1"/>
    </xf>
    <xf numFmtId="165" fontId="13" fillId="0" borderId="88" xfId="33" applyNumberFormat="1" applyFont="1" applyFill="1" applyBorder="1" applyAlignment="1">
      <alignment vertical="center" wrapText="1"/>
    </xf>
    <xf numFmtId="38" fontId="13" fillId="0" borderId="88" xfId="33" applyNumberFormat="1" applyFont="1" applyFill="1" applyBorder="1" applyAlignment="1">
      <alignment vertical="center" wrapText="1"/>
    </xf>
    <xf numFmtId="165" fontId="13" fillId="0" borderId="88" xfId="33" applyNumberFormat="1" applyFont="1" applyBorder="1" applyAlignment="1">
      <alignment horizontal="center" vertical="center"/>
    </xf>
    <xf numFmtId="38" fontId="13" fillId="0" borderId="88" xfId="33" applyNumberFormat="1" applyFont="1" applyBorder="1" applyAlignment="1">
      <alignment horizontal="center" vertical="center"/>
    </xf>
    <xf numFmtId="38" fontId="13" fillId="0" borderId="88" xfId="53" applyNumberFormat="1" applyFont="1" applyBorder="1" applyAlignment="1">
      <alignment horizontal="center" vertical="center"/>
    </xf>
    <xf numFmtId="182" fontId="9" fillId="0" borderId="0" xfId="53" applyNumberFormat="1" applyFont="1" applyBorder="1" applyAlignment="1">
      <alignment horizontal="center" vertical="center" wrapText="1"/>
    </xf>
    <xf numFmtId="176" fontId="53" fillId="24" borderId="74" xfId="102" applyNumberFormat="1" applyFont="1" applyFill="1" applyBorder="1"/>
    <xf numFmtId="38" fontId="53" fillId="24" borderId="75" xfId="102" applyNumberFormat="1" applyFont="1" applyFill="1" applyBorder="1"/>
    <xf numFmtId="176" fontId="53" fillId="24" borderId="76" xfId="102" applyNumberFormat="1" applyFont="1" applyFill="1" applyBorder="1"/>
    <xf numFmtId="38" fontId="53" fillId="24" borderId="21" xfId="102" applyNumberFormat="1" applyFont="1" applyFill="1" applyBorder="1"/>
    <xf numFmtId="176" fontId="53" fillId="24" borderId="77" xfId="102" applyNumberFormat="1" applyFont="1" applyFill="1" applyBorder="1"/>
    <xf numFmtId="38" fontId="53" fillId="24" borderId="14" xfId="102" applyNumberFormat="1" applyFont="1" applyFill="1" applyBorder="1"/>
    <xf numFmtId="176" fontId="70" fillId="24" borderId="0" xfId="51" applyNumberFormat="1" applyFont="1" applyFill="1"/>
    <xf numFmtId="176" fontId="62" fillId="24" borderId="0" xfId="51" applyNumberFormat="1" applyFont="1" applyFill="1" applyBorder="1"/>
    <xf numFmtId="176" fontId="60" fillId="24" borderId="0" xfId="51" applyNumberFormat="1" applyFont="1" applyFill="1" applyBorder="1" applyAlignment="1">
      <alignment horizontal="center" vertical="center" wrapText="1"/>
    </xf>
    <xf numFmtId="176" fontId="60" fillId="24" borderId="0" xfId="51" applyNumberFormat="1" applyFont="1" applyFill="1" applyBorder="1" applyAlignment="1">
      <alignment horizontal="center" vertical="center"/>
    </xf>
    <xf numFmtId="176" fontId="60" fillId="24" borderId="0" xfId="51" applyNumberFormat="1" applyFont="1" applyFill="1" applyBorder="1"/>
    <xf numFmtId="187" fontId="60" fillId="24" borderId="0" xfId="33" applyNumberFormat="1" applyFont="1" applyFill="1" applyBorder="1"/>
    <xf numFmtId="187" fontId="60" fillId="24" borderId="0" xfId="51" applyNumberFormat="1" applyFont="1" applyFill="1" applyBorder="1"/>
    <xf numFmtId="14" fontId="32" fillId="0" borderId="0" xfId="51" applyNumberFormat="1" applyFont="1" applyAlignment="1">
      <alignment horizontal="left"/>
    </xf>
    <xf numFmtId="0" fontId="13" fillId="0" borderId="0" xfId="53" applyFont="1" applyAlignment="1">
      <alignment horizontal="center" vertical="center"/>
    </xf>
    <xf numFmtId="0" fontId="13" fillId="0" borderId="0" xfId="53" applyFont="1" applyAlignment="1">
      <alignment horizontal="center"/>
    </xf>
    <xf numFmtId="176" fontId="13" fillId="0" borderId="0" xfId="51" applyNumberFormat="1" applyFont="1" applyAlignment="1">
      <alignment horizontal="center"/>
    </xf>
    <xf numFmtId="0" fontId="48" fillId="29" borderId="68" xfId="0" applyFont="1" applyFill="1" applyBorder="1" applyAlignment="1" applyProtection="1">
      <alignment horizontal="center" vertical="center" wrapText="1"/>
    </xf>
    <xf numFmtId="37" fontId="41" fillId="0" borderId="26" xfId="37" applyFont="1" applyBorder="1" applyAlignment="1" applyProtection="1">
      <alignment horizontal="center"/>
      <protection hidden="1"/>
    </xf>
    <xf numFmtId="0" fontId="41" fillId="0" borderId="26" xfId="0" applyFont="1" applyBorder="1" applyAlignment="1">
      <alignment horizontal="center"/>
    </xf>
    <xf numFmtId="37" fontId="9" fillId="0" borderId="0" xfId="37" applyFont="1" applyAlignment="1" applyProtection="1">
      <alignment horizontal="left" vertical="top" wrapText="1"/>
      <protection hidden="1"/>
    </xf>
    <xf numFmtId="37" fontId="63" fillId="0" borderId="0" xfId="37" applyFont="1" applyAlignment="1" applyProtection="1">
      <alignment horizontal="center" vertical="center" wrapText="1"/>
      <protection hidden="1"/>
    </xf>
    <xf numFmtId="37" fontId="64" fillId="0" borderId="0" xfId="37" applyFont="1" applyAlignment="1" applyProtection="1">
      <alignment horizontal="center" vertical="center" wrapText="1"/>
      <protection hidden="1"/>
    </xf>
    <xf numFmtId="37" fontId="13" fillId="0" borderId="27" xfId="37" applyFont="1" applyFill="1" applyBorder="1" applyAlignment="1" applyProtection="1">
      <alignment horizontal="center" vertical="center" wrapText="1"/>
      <protection hidden="1"/>
    </xf>
    <xf numFmtId="37" fontId="13" fillId="0" borderId="28" xfId="37" applyFont="1" applyFill="1" applyBorder="1" applyAlignment="1" applyProtection="1">
      <alignment horizontal="center" vertical="center" wrapText="1"/>
      <protection hidden="1"/>
    </xf>
    <xf numFmtId="49" fontId="66" fillId="0" borderId="78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79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80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7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8" xfId="54" applyNumberFormat="1" applyFont="1" applyFill="1" applyBorder="1" applyAlignment="1" applyProtection="1">
      <alignment horizontal="center" vertical="center" wrapText="1"/>
      <protection hidden="1"/>
    </xf>
    <xf numFmtId="37" fontId="73" fillId="24" borderId="0" xfId="37" applyFont="1" applyFill="1" applyAlignment="1" applyProtection="1">
      <alignment horizontal="center" wrapText="1"/>
      <protection hidden="1"/>
    </xf>
    <xf numFmtId="37" fontId="41" fillId="24" borderId="26" xfId="37" applyFont="1" applyFill="1" applyBorder="1" applyAlignment="1" applyProtection="1">
      <alignment horizontal="center" vertical="center"/>
      <protection hidden="1"/>
    </xf>
    <xf numFmtId="37" fontId="9" fillId="24" borderId="26" xfId="37" applyFont="1" applyFill="1" applyBorder="1" applyAlignment="1" applyProtection="1">
      <alignment horizontal="center" vertical="center"/>
      <protection hidden="1"/>
    </xf>
    <xf numFmtId="37" fontId="41" fillId="24" borderId="26" xfId="37" applyFont="1" applyFill="1" applyBorder="1" applyAlignment="1" applyProtection="1">
      <alignment horizontal="center" vertical="center" wrapText="1"/>
      <protection hidden="1"/>
    </xf>
    <xf numFmtId="0" fontId="9" fillId="24" borderId="0" xfId="106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/>
    </xf>
    <xf numFmtId="0" fontId="9" fillId="24" borderId="0" xfId="106" applyFill="1" applyAlignment="1">
      <alignment horizontal="center" vertical="center"/>
    </xf>
    <xf numFmtId="0" fontId="13" fillId="24" borderId="0" xfId="106" applyFont="1" applyFill="1" applyBorder="1" applyAlignment="1">
      <alignment horizontal="center" vertical="center"/>
    </xf>
    <xf numFmtId="0" fontId="13" fillId="24" borderId="0" xfId="106" applyFont="1" applyFill="1" applyBorder="1" applyAlignment="1">
      <alignment horizontal="center"/>
    </xf>
    <xf numFmtId="0" fontId="55" fillId="27" borderId="49" xfId="109" applyNumberFormat="1" applyFont="1" applyFill="1" applyBorder="1" applyAlignment="1">
      <alignment horizontal="center"/>
    </xf>
    <xf numFmtId="0" fontId="58" fillId="27" borderId="52" xfId="108" applyNumberFormat="1" applyFont="1" applyFill="1" applyBorder="1" applyAlignment="1">
      <alignment horizontal="center"/>
    </xf>
    <xf numFmtId="0" fontId="58" fillId="27" borderId="53" xfId="108" applyNumberFormat="1" applyFont="1" applyFill="1" applyBorder="1" applyAlignment="1">
      <alignment horizontal="center"/>
    </xf>
    <xf numFmtId="176" fontId="13" fillId="24" borderId="0" xfId="102" applyNumberFormat="1" applyFont="1" applyFill="1" applyAlignment="1">
      <alignment horizontal="center"/>
    </xf>
    <xf numFmtId="176" fontId="13" fillId="24" borderId="0" xfId="51" applyNumberFormat="1" applyFont="1" applyFill="1" applyAlignment="1">
      <alignment horizontal="center"/>
    </xf>
    <xf numFmtId="176" fontId="60" fillId="24" borderId="0" xfId="51" applyNumberFormat="1" applyFont="1" applyFill="1" applyAlignment="1">
      <alignment horizontal="center"/>
    </xf>
    <xf numFmtId="176" fontId="60" fillId="24" borderId="0" xfId="51" applyNumberFormat="1" applyFont="1" applyFill="1" applyBorder="1" applyAlignment="1">
      <alignment horizontal="center"/>
    </xf>
    <xf numFmtId="176" fontId="13" fillId="24" borderId="0" xfId="102" applyNumberFormat="1" applyFont="1" applyFill="1" applyAlignment="1">
      <alignment horizontal="center" wrapText="1"/>
    </xf>
    <xf numFmtId="49" fontId="13" fillId="24" borderId="48" xfId="102" applyNumberFormat="1" applyFont="1" applyFill="1" applyBorder="1" applyAlignment="1">
      <alignment horizontal="center" vertical="center" wrapText="1"/>
    </xf>
  </cellXfs>
  <cellStyles count="119">
    <cellStyle name="=C:\WINNT\SYSTEM32\COMMAND.COM" xfId="57"/>
    <cellStyle name="20% - Énfasis1" xfId="1" builtinId="30" customBuiltin="1"/>
    <cellStyle name="20% - Énfasis1 2" xfId="58"/>
    <cellStyle name="20% - Énfasis2" xfId="2" builtinId="34" customBuiltin="1"/>
    <cellStyle name="20% - Énfasis2 2" xfId="59"/>
    <cellStyle name="20% - Énfasis3" xfId="3" builtinId="38" customBuiltin="1"/>
    <cellStyle name="20% - Énfasis3 2" xfId="60"/>
    <cellStyle name="20% - Énfasis4" xfId="4" builtinId="42" customBuiltin="1"/>
    <cellStyle name="20% - Énfasis4 2" xfId="61"/>
    <cellStyle name="20% - Énfasis5" xfId="5" builtinId="46" customBuiltin="1"/>
    <cellStyle name="20% - Énfasis5 2" xfId="62"/>
    <cellStyle name="20% - Énfasis6" xfId="6" builtinId="50" customBuiltin="1"/>
    <cellStyle name="20% - Énfasis6 2" xfId="63"/>
    <cellStyle name="40% - Énfasis1" xfId="7" builtinId="31" customBuiltin="1"/>
    <cellStyle name="40% - Énfasis1 2" xfId="64"/>
    <cellStyle name="40% - Énfasis2" xfId="8" builtinId="35" customBuiltin="1"/>
    <cellStyle name="40% - Énfasis2 2" xfId="65"/>
    <cellStyle name="40% - Énfasis3" xfId="9" builtinId="39" customBuiltin="1"/>
    <cellStyle name="40% - Énfasis3 2" xfId="66"/>
    <cellStyle name="40% - Énfasis4" xfId="10" builtinId="43" customBuiltin="1"/>
    <cellStyle name="40% - Énfasis4 2" xfId="67"/>
    <cellStyle name="40% - Énfasis5" xfId="11" builtinId="47" customBuiltin="1"/>
    <cellStyle name="40% - Énfasis5 2" xfId="68"/>
    <cellStyle name="40% - Énfasis6" xfId="12" builtinId="51" customBuiltin="1"/>
    <cellStyle name="40% - Énfasis6 2" xfId="69"/>
    <cellStyle name="60% - Énfasis1" xfId="13" builtinId="32" customBuiltin="1"/>
    <cellStyle name="60% - Énfasis1 2" xfId="70"/>
    <cellStyle name="60% - Énfasis2" xfId="14" builtinId="36" customBuiltin="1"/>
    <cellStyle name="60% - Énfasis2 2" xfId="71"/>
    <cellStyle name="60% - Énfasis3" xfId="15" builtinId="40" customBuiltin="1"/>
    <cellStyle name="60% - Énfasis3 2" xfId="72"/>
    <cellStyle name="60% - Énfasis4" xfId="16" builtinId="44" customBuiltin="1"/>
    <cellStyle name="60% - Énfasis4 2" xfId="73"/>
    <cellStyle name="60% - Énfasis5" xfId="17" builtinId="48" customBuiltin="1"/>
    <cellStyle name="60% - Énfasis5 2" xfId="74"/>
    <cellStyle name="60% - Énfasis6" xfId="18" builtinId="52" customBuiltin="1"/>
    <cellStyle name="60% - Énfasis6 2" xfId="75"/>
    <cellStyle name="Buena" xfId="19" builtinId="26" customBuiltin="1"/>
    <cellStyle name="Buena 2" xfId="76"/>
    <cellStyle name="Buena 3" xfId="108"/>
    <cellStyle name="Cálculo" xfId="20" builtinId="22" customBuiltin="1"/>
    <cellStyle name="Cálculo 2" xfId="77"/>
    <cellStyle name="Celda de comprobación" xfId="21" builtinId="23" customBuiltin="1"/>
    <cellStyle name="Celda de comprobación 2" xfId="78"/>
    <cellStyle name="Celda vinculada" xfId="22" builtinId="24" customBuiltin="1"/>
    <cellStyle name="Celda vinculada 2" xfId="79"/>
    <cellStyle name="Encabezado 1" xfId="46" builtinId="16" customBuiltin="1"/>
    <cellStyle name="Encabezado 4" xfId="23" builtinId="19" customBuiltin="1"/>
    <cellStyle name="Encabezado 4 2" xfId="80"/>
    <cellStyle name="Énfasis1" xfId="24" builtinId="29" customBuiltin="1"/>
    <cellStyle name="Énfasis1 2" xfId="81"/>
    <cellStyle name="Énfasis2" xfId="25" builtinId="33" customBuiltin="1"/>
    <cellStyle name="Énfasis2 2" xfId="82"/>
    <cellStyle name="Énfasis3" xfId="26" builtinId="37" customBuiltin="1"/>
    <cellStyle name="Énfasis3 2" xfId="83"/>
    <cellStyle name="Énfasis4" xfId="27" builtinId="41" customBuiltin="1"/>
    <cellStyle name="Énfasis4 2" xfId="84"/>
    <cellStyle name="Énfasis5" xfId="28" builtinId="45" customBuiltin="1"/>
    <cellStyle name="Énfasis5 2" xfId="85"/>
    <cellStyle name="Énfasis6" xfId="29" builtinId="49" customBuiltin="1"/>
    <cellStyle name="Énfasis6 2" xfId="86"/>
    <cellStyle name="Entrada" xfId="30" builtinId="20" customBuiltin="1"/>
    <cellStyle name="Entrada 2" xfId="87"/>
    <cellStyle name="Euro" xfId="31"/>
    <cellStyle name="Euro 2" xfId="88"/>
    <cellStyle name="Incorrecto" xfId="32" builtinId="27" customBuiltin="1"/>
    <cellStyle name="Incorrecto 2" xfId="89"/>
    <cellStyle name="Millares" xfId="33" builtinId="3"/>
    <cellStyle name="Millares [0] 2" xfId="90"/>
    <cellStyle name="Millares 12" xfId="105"/>
    <cellStyle name="Millares 2" xfId="51"/>
    <cellStyle name="Millares 2 2" xfId="54"/>
    <cellStyle name="Millares 2 2 2" xfId="102"/>
    <cellStyle name="Millares 3" xfId="52"/>
    <cellStyle name="Millares 4" xfId="110"/>
    <cellStyle name="Moneda 2" xfId="114"/>
    <cellStyle name="Neutral" xfId="34" builtinId="28" customBuiltin="1"/>
    <cellStyle name="Neutral 2" xfId="91"/>
    <cellStyle name="Normal" xfId="0" builtinId="0"/>
    <cellStyle name="Normal 10" xfId="118"/>
    <cellStyle name="Normal 2" xfId="35"/>
    <cellStyle name="Normal 2 2" xfId="103"/>
    <cellStyle name="Normal 2 3" xfId="106"/>
    <cellStyle name="Normal 3" xfId="36"/>
    <cellStyle name="Normal 3 2" xfId="116"/>
    <cellStyle name="Normal 4" xfId="53"/>
    <cellStyle name="Normal 5" xfId="101"/>
    <cellStyle name="Normal 6" xfId="104"/>
    <cellStyle name="Normal 7" xfId="109"/>
    <cellStyle name="Normal 8" xfId="111"/>
    <cellStyle name="Normal 8 2" xfId="117"/>
    <cellStyle name="Normal 9" xfId="113"/>
    <cellStyle name="Normal_FGPAGO95" xfId="37"/>
    <cellStyle name="Notas" xfId="38" builtinId="10" customBuiltin="1"/>
    <cellStyle name="Notas 2" xfId="92"/>
    <cellStyle name="PESOS" xfId="39"/>
    <cellStyle name="PESOS 2" xfId="112"/>
    <cellStyle name="Porcentaje" xfId="40" builtinId="5"/>
    <cellStyle name="Porcentaje 2" xfId="107"/>
    <cellStyle name="Porcentaje 2 2" xfId="115"/>
    <cellStyle name="Porcentual 2" xfId="41"/>
    <cellStyle name="Porcentual 3" xfId="55"/>
    <cellStyle name="Porcentual 4" xfId="56"/>
    <cellStyle name="Salida" xfId="42" builtinId="21" customBuiltin="1"/>
    <cellStyle name="Salida 2" xfId="93"/>
    <cellStyle name="Texto de advertencia" xfId="43" builtinId="11" customBuiltin="1"/>
    <cellStyle name="Texto de advertencia 2" xfId="94"/>
    <cellStyle name="Texto explicativo" xfId="44" builtinId="53" customBuiltin="1"/>
    <cellStyle name="Texto explicativo 2" xfId="95"/>
    <cellStyle name="Título" xfId="45" builtinId="15" customBuiltin="1"/>
    <cellStyle name="Título 1 2" xfId="96"/>
    <cellStyle name="Título 2" xfId="47" builtinId="17" customBuiltin="1"/>
    <cellStyle name="Título 2 2" xfId="97"/>
    <cellStyle name="Título 3" xfId="48" builtinId="18" customBuiltin="1"/>
    <cellStyle name="Título 3 2" xfId="98"/>
    <cellStyle name="Título 4" xfId="99"/>
    <cellStyle name="Total" xfId="49" builtinId="25" customBuiltin="1"/>
    <cellStyle name="Total 2" xfId="100"/>
    <cellStyle name="UDI´s" xfId="50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I~1/CONFIG~1/Temp/C.Lotus.Notes.Data/CUADERNOS/2002/SEPTIEMBRE/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924/AppData/Local/Microsoft/Windows/Temporary%20Internet%20Files/Content.Outlook/HC2V6S0S/Base%20de%20formatos%202019_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924/AppData/Local/Microsoft/Windows/Temporary%20Internet%20Files/Content.Outlook/HC2V6S0S/PREDIAL2018INFORMACIONCOMPLETARORDEN%20NL%20(002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664017/Desktop/AJUSTE%20SEMESTRAL%202020/ajuste%20semest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juste Semestral"/>
      <sheetName val="1er Sem coef act"/>
      <sheetName val="1er Sem distribuido"/>
      <sheetName val="Estado"/>
      <sheetName val="DIST ENE 1"/>
      <sheetName val="FOFIR 4 AJ"/>
      <sheetName val="DIST FEB"/>
      <sheetName val="FEIEF 2019"/>
      <sheetName val="3ER AJ"/>
      <sheetName val="DIST MAR"/>
      <sheetName val="DIST ABR"/>
      <sheetName val="FEIEF 1 TRIM"/>
      <sheetName val="FOFIR 1 AJ"/>
      <sheetName val="DIST MAY"/>
      <sheetName val="AJ DEF"/>
      <sheetName val="DIST JUN"/>
      <sheetName val="1er Aj Cuat"/>
      <sheetName val="II TRIM 20"/>
      <sheetName val="PART PEF 2020"/>
      <sheetName val="COEF Art 14 F I 2do Sem"/>
      <sheetName val="CALCULO GARANTIA 2do Sem"/>
      <sheetName val="COEF Art 14 F II 1er Sem"/>
      <sheetName val="Art.14 Frac.III 1er Sem"/>
      <sheetName val="Hoja1"/>
    </sheetNames>
    <sheetDataSet>
      <sheetData sheetId="0"/>
      <sheetData sheetId="1">
        <row r="2">
          <cell r="B2" t="e">
            <v>#REF!</v>
          </cell>
          <cell r="C2" t="e">
            <v>#REF!</v>
          </cell>
          <cell r="D2" t="e">
            <v>#REF!</v>
          </cell>
          <cell r="E2" t="e">
            <v>#REF!</v>
          </cell>
          <cell r="F2" t="e">
            <v>#REF!</v>
          </cell>
          <cell r="G2" t="e">
            <v>#REF!</v>
          </cell>
          <cell r="H2" t="e">
            <v>#REF!</v>
          </cell>
          <cell r="I2" t="e">
            <v>#REF!</v>
          </cell>
          <cell r="J2" t="e">
            <v>#REF!</v>
          </cell>
        </row>
        <row r="3">
          <cell r="B3" t="e">
            <v>#REF!</v>
          </cell>
          <cell r="C3" t="e">
            <v>#REF!</v>
          </cell>
          <cell r="D3" t="e">
            <v>#REF!</v>
          </cell>
          <cell r="E3" t="e">
            <v>#REF!</v>
          </cell>
          <cell r="F3" t="e">
            <v>#REF!</v>
          </cell>
          <cell r="G3" t="e">
            <v>#REF!</v>
          </cell>
          <cell r="H3" t="e">
            <v>#REF!</v>
          </cell>
          <cell r="I3" t="e">
            <v>#REF!</v>
          </cell>
          <cell r="J3" t="e">
            <v>#REF!</v>
          </cell>
        </row>
        <row r="4">
          <cell r="B4" t="e">
            <v>#REF!</v>
          </cell>
          <cell r="C4" t="e">
            <v>#REF!</v>
          </cell>
          <cell r="D4" t="e">
            <v>#REF!</v>
          </cell>
          <cell r="E4" t="e">
            <v>#REF!</v>
          </cell>
          <cell r="F4" t="e">
            <v>#REF!</v>
          </cell>
          <cell r="G4" t="e">
            <v>#REF!</v>
          </cell>
          <cell r="H4" t="e">
            <v>#REF!</v>
          </cell>
          <cell r="I4" t="e">
            <v>#REF!</v>
          </cell>
          <cell r="J4" t="e">
            <v>#REF!</v>
          </cell>
        </row>
        <row r="5">
          <cell r="B5" t="e">
            <v>#REF!</v>
          </cell>
          <cell r="C5" t="e">
            <v>#REF!</v>
          </cell>
          <cell r="D5" t="e">
            <v>#REF!</v>
          </cell>
          <cell r="E5" t="e">
            <v>#REF!</v>
          </cell>
          <cell r="F5" t="e">
            <v>#REF!</v>
          </cell>
          <cell r="G5" t="e">
            <v>#REF!</v>
          </cell>
          <cell r="H5" t="e">
            <v>#REF!</v>
          </cell>
          <cell r="I5" t="e">
            <v>#REF!</v>
          </cell>
          <cell r="J5" t="e">
            <v>#REF!</v>
          </cell>
        </row>
        <row r="6">
          <cell r="B6" t="e">
            <v>#REF!</v>
          </cell>
          <cell r="C6" t="e">
            <v>#REF!</v>
          </cell>
          <cell r="D6" t="e">
            <v>#REF!</v>
          </cell>
          <cell r="E6" t="e">
            <v>#REF!</v>
          </cell>
          <cell r="F6" t="e">
            <v>#REF!</v>
          </cell>
          <cell r="G6" t="e">
            <v>#REF!</v>
          </cell>
          <cell r="H6" t="e">
            <v>#REF!</v>
          </cell>
          <cell r="I6" t="e">
            <v>#REF!</v>
          </cell>
          <cell r="J6" t="e">
            <v>#REF!</v>
          </cell>
        </row>
        <row r="7">
          <cell r="B7" t="e">
            <v>#REF!</v>
          </cell>
          <cell r="C7" t="e">
            <v>#REF!</v>
          </cell>
          <cell r="D7" t="e">
            <v>#REF!</v>
          </cell>
          <cell r="E7" t="e">
            <v>#REF!</v>
          </cell>
          <cell r="F7" t="e">
            <v>#REF!</v>
          </cell>
          <cell r="G7" t="e">
            <v>#REF!</v>
          </cell>
          <cell r="H7" t="e">
            <v>#REF!</v>
          </cell>
          <cell r="I7" t="e">
            <v>#REF!</v>
          </cell>
          <cell r="J7" t="e">
            <v>#REF!</v>
          </cell>
        </row>
        <row r="8">
          <cell r="B8" t="e">
            <v>#REF!</v>
          </cell>
          <cell r="C8" t="e">
            <v>#REF!</v>
          </cell>
          <cell r="D8" t="e">
            <v>#REF!</v>
          </cell>
          <cell r="E8" t="e">
            <v>#REF!</v>
          </cell>
          <cell r="F8" t="e">
            <v>#REF!</v>
          </cell>
          <cell r="G8" t="e">
            <v>#REF!</v>
          </cell>
          <cell r="H8" t="e">
            <v>#REF!</v>
          </cell>
          <cell r="I8" t="e">
            <v>#REF!</v>
          </cell>
          <cell r="J8" t="e">
            <v>#REF!</v>
          </cell>
        </row>
        <row r="9">
          <cell r="B9" t="e">
            <v>#REF!</v>
          </cell>
          <cell r="C9" t="e">
            <v>#REF!</v>
          </cell>
          <cell r="D9" t="e">
            <v>#REF!</v>
          </cell>
          <cell r="E9" t="e">
            <v>#REF!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</row>
        <row r="10">
          <cell r="B10" t="e">
            <v>#REF!</v>
          </cell>
          <cell r="C10" t="e">
            <v>#REF!</v>
          </cell>
          <cell r="D10" t="e">
            <v>#REF!</v>
          </cell>
          <cell r="E10" t="e">
            <v>#REF!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</row>
        <row r="11">
          <cell r="B11" t="e">
            <v>#REF!</v>
          </cell>
          <cell r="C11" t="e">
            <v>#REF!</v>
          </cell>
          <cell r="D11" t="e">
            <v>#REF!</v>
          </cell>
          <cell r="E11" t="e">
            <v>#REF!</v>
          </cell>
          <cell r="F11" t="e">
            <v>#REF!</v>
          </cell>
          <cell r="G11" t="e">
            <v>#REF!</v>
          </cell>
          <cell r="H11" t="e">
            <v>#REF!</v>
          </cell>
          <cell r="I11" t="e">
            <v>#REF!</v>
          </cell>
          <cell r="J11" t="e">
            <v>#REF!</v>
          </cell>
        </row>
        <row r="12">
          <cell r="B12" t="e">
            <v>#REF!</v>
          </cell>
          <cell r="C12" t="e">
            <v>#REF!</v>
          </cell>
          <cell r="D12" t="e">
            <v>#REF!</v>
          </cell>
          <cell r="E12" t="e">
            <v>#REF!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</row>
        <row r="13">
          <cell r="B13" t="e">
            <v>#REF!</v>
          </cell>
          <cell r="C13" t="e">
            <v>#REF!</v>
          </cell>
          <cell r="D13" t="e">
            <v>#REF!</v>
          </cell>
          <cell r="E13" t="e">
            <v>#REF!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</row>
        <row r="14">
          <cell r="B14" t="e">
            <v>#REF!</v>
          </cell>
          <cell r="C14" t="e">
            <v>#REF!</v>
          </cell>
          <cell r="D14" t="e">
            <v>#REF!</v>
          </cell>
          <cell r="E14" t="e">
            <v>#REF!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</row>
        <row r="15">
          <cell r="B15" t="e">
            <v>#REF!</v>
          </cell>
          <cell r="C15" t="e">
            <v>#REF!</v>
          </cell>
          <cell r="D15" t="e">
            <v>#REF!</v>
          </cell>
          <cell r="E15" t="e">
            <v>#REF!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</row>
        <row r="16">
          <cell r="B16" t="e">
            <v>#REF!</v>
          </cell>
          <cell r="C16" t="e">
            <v>#REF!</v>
          </cell>
          <cell r="D16" t="e">
            <v>#REF!</v>
          </cell>
          <cell r="E16" t="e">
            <v>#REF!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</row>
        <row r="17"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</row>
        <row r="18"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</row>
        <row r="19"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</row>
        <row r="20"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</row>
        <row r="21"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</row>
        <row r="22"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</row>
        <row r="23"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</row>
        <row r="24"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</row>
        <row r="25"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</row>
        <row r="26"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</row>
        <row r="27"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</row>
        <row r="28"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</row>
        <row r="29"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</row>
        <row r="30">
          <cell r="B30" t="e">
            <v>#REF!</v>
          </cell>
          <cell r="C30" t="e">
            <v>#REF!</v>
          </cell>
          <cell r="D30" t="e">
            <v>#REF!</v>
          </cell>
          <cell r="E30" t="e">
            <v>#REF!</v>
          </cell>
          <cell r="F30" t="e">
            <v>#REF!</v>
          </cell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</row>
        <row r="31">
          <cell r="B31" t="e">
            <v>#REF!</v>
          </cell>
          <cell r="C31" t="e">
            <v>#REF!</v>
          </cell>
          <cell r="D31" t="e">
            <v>#REF!</v>
          </cell>
          <cell r="E31" t="e">
            <v>#REF!</v>
          </cell>
          <cell r="F31" t="e">
            <v>#REF!</v>
          </cell>
          <cell r="G31" t="e">
            <v>#REF!</v>
          </cell>
          <cell r="H31" t="e">
            <v>#REF!</v>
          </cell>
          <cell r="I31" t="e">
            <v>#REF!</v>
          </cell>
          <cell r="J31" t="e">
            <v>#REF!</v>
          </cell>
        </row>
        <row r="32">
          <cell r="B32" t="e">
            <v>#REF!</v>
          </cell>
          <cell r="C32" t="e">
            <v>#REF!</v>
          </cell>
          <cell r="D32" t="e">
            <v>#REF!</v>
          </cell>
          <cell r="E32" t="e">
            <v>#REF!</v>
          </cell>
          <cell r="F32" t="e">
            <v>#REF!</v>
          </cell>
          <cell r="G32" t="e">
            <v>#REF!</v>
          </cell>
          <cell r="H32" t="e">
            <v>#REF!</v>
          </cell>
          <cell r="I32" t="e">
            <v>#REF!</v>
          </cell>
          <cell r="J32" t="e">
            <v>#REF!</v>
          </cell>
        </row>
        <row r="33">
          <cell r="B33" t="e">
            <v>#REF!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 t="e">
            <v>#REF!</v>
          </cell>
          <cell r="H33" t="e">
            <v>#REF!</v>
          </cell>
          <cell r="I33" t="e">
            <v>#REF!</v>
          </cell>
          <cell r="J33" t="e">
            <v>#REF!</v>
          </cell>
        </row>
        <row r="34">
          <cell r="B34" t="e">
            <v>#REF!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</row>
        <row r="35">
          <cell r="B35" t="e">
            <v>#REF!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</row>
        <row r="36">
          <cell r="B36" t="e">
            <v>#REF!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</row>
        <row r="37">
          <cell r="B37" t="e">
            <v>#REF!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</row>
      </sheetData>
      <sheetData sheetId="2">
        <row r="2">
          <cell r="B2">
            <v>3927817.5198464976</v>
          </cell>
          <cell r="C2">
            <v>534858.19811553764</v>
          </cell>
          <cell r="D2">
            <v>1447429.2042262175</v>
          </cell>
          <cell r="E2">
            <v>113762.86914220151</v>
          </cell>
          <cell r="F2">
            <v>201941.85333767594</v>
          </cell>
          <cell r="G2">
            <v>10300.939818711136</v>
          </cell>
          <cell r="H2">
            <v>97334.805107226843</v>
          </cell>
          <cell r="I2">
            <v>23760.562785618138</v>
          </cell>
          <cell r="J2">
            <v>43961.390939837816</v>
          </cell>
        </row>
        <row r="3">
          <cell r="B3">
            <v>7780132.0688939113</v>
          </cell>
          <cell r="C3">
            <v>1059435.016632884</v>
          </cell>
          <cell r="D3">
            <v>1435268.999109854</v>
          </cell>
          <cell r="E3">
            <v>225338.9170933821</v>
          </cell>
          <cell r="F3">
            <v>400001.85376883933</v>
          </cell>
          <cell r="G3">
            <v>20403.868514348094</v>
          </cell>
          <cell r="H3">
            <v>192798.57956941688</v>
          </cell>
          <cell r="I3">
            <v>47064.385137367448</v>
          </cell>
          <cell r="J3">
            <v>93812.716186512014</v>
          </cell>
        </row>
        <row r="4">
          <cell r="B4">
            <v>8093633.1145895608</v>
          </cell>
          <cell r="C4">
            <v>1102125.0355965616</v>
          </cell>
          <cell r="D4">
            <v>63100.633002878742</v>
          </cell>
          <cell r="E4">
            <v>234418.96683021696</v>
          </cell>
          <cell r="F4">
            <v>416119.96054727049</v>
          </cell>
          <cell r="G4">
            <v>21226.044032558035</v>
          </cell>
          <cell r="H4">
            <v>200567.41379593418</v>
          </cell>
          <cell r="I4">
            <v>48960.848311119858</v>
          </cell>
          <cell r="J4">
            <v>86296.691488275232</v>
          </cell>
        </row>
        <row r="5">
          <cell r="B5">
            <v>22386457.951926947</v>
          </cell>
          <cell r="C5">
            <v>3048405.5081114946</v>
          </cell>
          <cell r="D5">
            <v>2695175.1936243954</v>
          </cell>
          <cell r="E5">
            <v>648387.47565899906</v>
          </cell>
          <cell r="F5">
            <v>1150960.4979446081</v>
          </cell>
          <cell r="G5">
            <v>58709.84457697488</v>
          </cell>
          <cell r="H5">
            <v>554756.30188570824</v>
          </cell>
          <cell r="I5">
            <v>135422.49277790997</v>
          </cell>
          <cell r="J5">
            <v>611516.81830575038</v>
          </cell>
        </row>
        <row r="6">
          <cell r="B6">
            <v>28273562.715367682</v>
          </cell>
          <cell r="C6">
            <v>3850063.4848329723</v>
          </cell>
          <cell r="D6">
            <v>894011.86531774979</v>
          </cell>
          <cell r="E6">
            <v>818897.9246413426</v>
          </cell>
          <cell r="F6">
            <v>1453635.6707893857</v>
          </cell>
          <cell r="G6">
            <v>74149.134097996415</v>
          </cell>
          <cell r="H6">
            <v>700643.98426911118</v>
          </cell>
          <cell r="I6">
            <v>171035.37999847313</v>
          </cell>
          <cell r="J6">
            <v>413037.38453904208</v>
          </cell>
        </row>
        <row r="7">
          <cell r="B7">
            <v>192894611.37429264</v>
          </cell>
          <cell r="C7">
            <v>26266817.066868994</v>
          </cell>
          <cell r="D7">
            <v>5221117.3654384464</v>
          </cell>
          <cell r="E7">
            <v>5586879.8184053767</v>
          </cell>
          <cell r="F7">
            <v>9917338.3495926075</v>
          </cell>
          <cell r="G7">
            <v>505877.82479210349</v>
          </cell>
          <cell r="H7">
            <v>4780099.714277152</v>
          </cell>
          <cell r="I7">
            <v>1166878.1712510434</v>
          </cell>
          <cell r="J7">
            <v>8915218.7684686668</v>
          </cell>
        </row>
        <row r="8">
          <cell r="B8">
            <v>32274454.451264828</v>
          </cell>
          <cell r="C8">
            <v>4394872.3345070584</v>
          </cell>
          <cell r="D8">
            <v>0</v>
          </cell>
          <cell r="E8">
            <v>934777.27002925402</v>
          </cell>
          <cell r="F8">
            <v>1659334.5068651605</v>
          </cell>
          <cell r="G8">
            <v>84641.71548305676</v>
          </cell>
          <cell r="H8">
            <v>799789.63332255371</v>
          </cell>
          <cell r="I8">
            <v>195237.99094180434</v>
          </cell>
          <cell r="J8">
            <v>471100.39338677446</v>
          </cell>
        </row>
        <row r="9">
          <cell r="B9">
            <v>5131809.3015379841</v>
          </cell>
          <cell r="C9">
            <v>698807.9925363824</v>
          </cell>
          <cell r="D9">
            <v>1340844.5294942742</v>
          </cell>
          <cell r="E9">
            <v>148634.53994074912</v>
          </cell>
          <cell r="F9">
            <v>263842.98050806735</v>
          </cell>
          <cell r="G9">
            <v>13458.481334517481</v>
          </cell>
          <cell r="H9">
            <v>127170.79031517095</v>
          </cell>
          <cell r="I9">
            <v>31043.875255635041</v>
          </cell>
          <cell r="J9">
            <v>84045.574381136714</v>
          </cell>
        </row>
        <row r="10">
          <cell r="B10">
            <v>51011188.633551836</v>
          </cell>
          <cell r="C10">
            <v>6946288.1863563769</v>
          </cell>
          <cell r="D10">
            <v>2024278.0852009193</v>
          </cell>
          <cell r="E10">
            <v>1477456.4113491983</v>
          </cell>
          <cell r="F10">
            <v>2622650.8542127553</v>
          </cell>
          <cell r="G10">
            <v>133779.93797829861</v>
          </cell>
          <cell r="H10">
            <v>1264102.5401120968</v>
          </cell>
          <cell r="I10">
            <v>308582.1946086454</v>
          </cell>
          <cell r="J10">
            <v>1486688.5552352129</v>
          </cell>
        </row>
        <row r="11">
          <cell r="B11">
            <v>8475448.573979605</v>
          </cell>
          <cell r="C11">
            <v>1154117.5550020956</v>
          </cell>
          <cell r="D11">
            <v>1371570.5103516467</v>
          </cell>
          <cell r="E11">
            <v>245477.63285112637</v>
          </cell>
          <cell r="F11">
            <v>435750.33316835272</v>
          </cell>
          <cell r="G11">
            <v>22227.378246573178</v>
          </cell>
          <cell r="H11">
            <v>210029.13984070945</v>
          </cell>
          <cell r="I11">
            <v>51270.566150484068</v>
          </cell>
          <cell r="J11">
            <v>563373.7569699419</v>
          </cell>
        </row>
        <row r="12">
          <cell r="B12">
            <v>12313568.638764504</v>
          </cell>
          <cell r="C12">
            <v>1676761.4842654304</v>
          </cell>
          <cell r="D12">
            <v>4891506.057704594</v>
          </cell>
          <cell r="E12">
            <v>356642.56056885951</v>
          </cell>
          <cell r="F12">
            <v>633080.54907040752</v>
          </cell>
          <cell r="G12">
            <v>32293.08104579131</v>
          </cell>
          <cell r="H12">
            <v>305141.1623815567</v>
          </cell>
          <cell r="I12">
            <v>74488.521749813008</v>
          </cell>
          <cell r="J12">
            <v>204731.55147685186</v>
          </cell>
        </row>
        <row r="13">
          <cell r="B13">
            <v>25897236.518100638</v>
          </cell>
          <cell r="C13">
            <v>3526474.7382624159</v>
          </cell>
          <cell r="D13">
            <v>1303802.9642958471</v>
          </cell>
          <cell r="E13">
            <v>750071.4873506811</v>
          </cell>
          <cell r="F13">
            <v>1331461.0244403025</v>
          </cell>
          <cell r="G13">
            <v>67917.074430257271</v>
          </cell>
          <cell r="H13">
            <v>641756.51148976875</v>
          </cell>
          <cell r="I13">
            <v>156660.2600943592</v>
          </cell>
          <cell r="J13">
            <v>318306.03954924521</v>
          </cell>
        </row>
        <row r="14">
          <cell r="B14">
            <v>13176761.314206276</v>
          </cell>
          <cell r="C14">
            <v>1794304.0321767097</v>
          </cell>
          <cell r="D14">
            <v>1602259.0660879791</v>
          </cell>
          <cell r="E14">
            <v>381643.53754515946</v>
          </cell>
          <cell r="F14">
            <v>677460.08752539952</v>
          </cell>
          <cell r="G14">
            <v>34556.856222909388</v>
          </cell>
          <cell r="H14">
            <v>326531.84318828484</v>
          </cell>
          <cell r="I14">
            <v>79710.23677534239</v>
          </cell>
          <cell r="J14">
            <v>633597.19326051173</v>
          </cell>
        </row>
        <row r="15">
          <cell r="B15">
            <v>72174034.558933616</v>
          </cell>
          <cell r="C15">
            <v>9828072.1749080662</v>
          </cell>
          <cell r="D15">
            <v>425882.10254613054</v>
          </cell>
          <cell r="E15">
            <v>2090403.9476135275</v>
          </cell>
          <cell r="F15">
            <v>3710701.4844870209</v>
          </cell>
          <cell r="G15">
            <v>189280.78575661738</v>
          </cell>
          <cell r="H15">
            <v>1788536.6497042878</v>
          </cell>
          <cell r="I15">
            <v>436602.68608810916</v>
          </cell>
          <cell r="J15">
            <v>1038312.2139325847</v>
          </cell>
        </row>
        <row r="16">
          <cell r="B16">
            <v>9213795.7202674188</v>
          </cell>
          <cell r="C16">
            <v>1254659.6556093262</v>
          </cell>
          <cell r="D16">
            <v>3762592.6679118001</v>
          </cell>
          <cell r="E16">
            <v>266862.66139693861</v>
          </cell>
          <cell r="F16">
            <v>473711.15756372141</v>
          </cell>
          <cell r="G16">
            <v>24163.738446811076</v>
          </cell>
          <cell r="H16">
            <v>228326.03760194001</v>
          </cell>
          <cell r="I16">
            <v>55737.052599589588</v>
          </cell>
          <cell r="J16">
            <v>100029.78886889147</v>
          </cell>
        </row>
        <row r="17">
          <cell r="B17">
            <v>6416240.394779155</v>
          </cell>
          <cell r="C17">
            <v>873711.35723276215</v>
          </cell>
          <cell r="D17">
            <v>2480383.8443762218</v>
          </cell>
          <cell r="E17">
            <v>185836.00504045177</v>
          </cell>
          <cell r="F17">
            <v>329879.75389253866</v>
          </cell>
          <cell r="G17">
            <v>16826.979826595012</v>
          </cell>
          <cell r="H17">
            <v>159000.13307424533</v>
          </cell>
          <cell r="I17">
            <v>38813.789586061896</v>
          </cell>
          <cell r="J17">
            <v>65388.885865779281</v>
          </cell>
        </row>
        <row r="18">
          <cell r="B18">
            <v>56271288.960216083</v>
          </cell>
          <cell r="C18">
            <v>7662565.8057750463</v>
          </cell>
          <cell r="D18">
            <v>2566552.0350718969</v>
          </cell>
          <cell r="E18">
            <v>1629806.6929275901</v>
          </cell>
          <cell r="F18">
            <v>2893089.6929168021</v>
          </cell>
          <cell r="G18">
            <v>147574.8703119852</v>
          </cell>
          <cell r="H18">
            <v>1394452.4959217377</v>
          </cell>
          <cell r="I18">
            <v>340402.14129375538</v>
          </cell>
          <cell r="J18">
            <v>960107.19995759591</v>
          </cell>
        </row>
        <row r="19">
          <cell r="B19">
            <v>69018668.201164618</v>
          </cell>
          <cell r="C19">
            <v>9398400.0844957139</v>
          </cell>
          <cell r="D19">
            <v>3415202.8011871483</v>
          </cell>
          <cell r="E19">
            <v>1999013.8745663946</v>
          </cell>
          <cell r="F19">
            <v>3548473.853741047</v>
          </cell>
          <cell r="G19">
            <v>181005.6459892703</v>
          </cell>
          <cell r="H19">
            <v>1710343.8701457942</v>
          </cell>
          <cell r="I19">
            <v>417514.91531551786</v>
          </cell>
          <cell r="J19">
            <v>3735426.4564223443</v>
          </cell>
        </row>
        <row r="20">
          <cell r="B20">
            <v>10815361.274795752</v>
          </cell>
          <cell r="C20">
            <v>1472747.8082107776</v>
          </cell>
          <cell r="D20">
            <v>1751340.4831700823</v>
          </cell>
          <cell r="E20">
            <v>313249.41222786432</v>
          </cell>
          <cell r="F20">
            <v>556052.8434208266</v>
          </cell>
          <cell r="G20">
            <v>28363.941309993435</v>
          </cell>
          <cell r="H20">
            <v>268014.25385149621</v>
          </cell>
          <cell r="I20">
            <v>65425.409739750467</v>
          </cell>
          <cell r="J20">
            <v>138854.65820942464</v>
          </cell>
        </row>
        <row r="21">
          <cell r="B21">
            <v>147839587.50940788</v>
          </cell>
          <cell r="C21">
            <v>20131590.886257995</v>
          </cell>
          <cell r="D21">
            <v>3739062.6153755668</v>
          </cell>
          <cell r="E21">
            <v>4281934.0671730349</v>
          </cell>
          <cell r="F21">
            <v>7600913.2673490671</v>
          </cell>
          <cell r="G21">
            <v>387718.29038967297</v>
          </cell>
          <cell r="H21">
            <v>3663596.2247867859</v>
          </cell>
          <cell r="I21">
            <v>894326.62883851468</v>
          </cell>
          <cell r="J21">
            <v>6332277.4294343395</v>
          </cell>
        </row>
        <row r="22">
          <cell r="B22">
            <v>21827956.340249706</v>
          </cell>
          <cell r="C22">
            <v>2972353.3075810629</v>
          </cell>
          <cell r="D22">
            <v>1206429.9083991791</v>
          </cell>
          <cell r="E22">
            <v>632211.38157012977</v>
          </cell>
          <cell r="F22">
            <v>1122246.1164886723</v>
          </cell>
          <cell r="G22">
            <v>57245.140205788826</v>
          </cell>
          <cell r="H22">
            <v>540916.13613208127</v>
          </cell>
          <cell r="I22">
            <v>132043.94666596016</v>
          </cell>
          <cell r="J22">
            <v>346712.42935125704</v>
          </cell>
        </row>
        <row r="23">
          <cell r="B23">
            <v>3501213.4871678986</v>
          </cell>
          <cell r="C23">
            <v>476766.73559866007</v>
          </cell>
          <cell r="D23">
            <v>1552659.4418051925</v>
          </cell>
          <cell r="E23">
            <v>101406.97467920018</v>
          </cell>
          <cell r="F23">
            <v>180008.75472371347</v>
          </cell>
          <cell r="G23">
            <v>9182.1448531004462</v>
          </cell>
          <cell r="H23">
            <v>86763.178454787223</v>
          </cell>
          <cell r="I23">
            <v>21179.905244416001</v>
          </cell>
          <cell r="J23">
            <v>26935.136781647016</v>
          </cell>
        </row>
        <row r="24">
          <cell r="B24">
            <v>16214089.732939178</v>
          </cell>
          <cell r="C24">
            <v>2207902.6774600288</v>
          </cell>
          <cell r="D24">
            <v>0</v>
          </cell>
          <cell r="E24">
            <v>469614.83297736302</v>
          </cell>
          <cell r="F24">
            <v>833619.00452572037</v>
          </cell>
          <cell r="G24">
            <v>42522.434331602031</v>
          </cell>
          <cell r="H24">
            <v>401799.53782791836</v>
          </cell>
          <cell r="I24">
            <v>98083.960154595974</v>
          </cell>
          <cell r="J24">
            <v>210333.87230489787</v>
          </cell>
        </row>
        <row r="25">
          <cell r="B25">
            <v>15798593.30763546</v>
          </cell>
          <cell r="C25">
            <v>2151323.7584449518</v>
          </cell>
          <cell r="D25">
            <v>18628.620486811571</v>
          </cell>
          <cell r="E25">
            <v>457580.6523612719</v>
          </cell>
          <cell r="F25">
            <v>812256.98407618306</v>
          </cell>
          <cell r="G25">
            <v>41432.769740434756</v>
          </cell>
          <cell r="H25">
            <v>391503.16754713521</v>
          </cell>
          <cell r="I25">
            <v>95570.495908676865</v>
          </cell>
          <cell r="J25">
            <v>1036807.1485529329</v>
          </cell>
        </row>
        <row r="26">
          <cell r="B26">
            <v>252852208.35666531</v>
          </cell>
          <cell r="C26">
            <v>34431354.274438344</v>
          </cell>
          <cell r="D26">
            <v>5585800.5581319546</v>
          </cell>
          <cell r="E26">
            <v>7323454.4492586702</v>
          </cell>
          <cell r="F26">
            <v>12999953.10832686</v>
          </cell>
          <cell r="G26">
            <v>663120.26160828595</v>
          </cell>
          <cell r="H26">
            <v>6265902.1955505116</v>
          </cell>
          <cell r="I26">
            <v>1529579.910926091</v>
          </cell>
          <cell r="J26">
            <v>10205823.5043869</v>
          </cell>
        </row>
        <row r="27">
          <cell r="B27">
            <v>6510840.5531982584</v>
          </cell>
          <cell r="C27">
            <v>886593.236296091</v>
          </cell>
          <cell r="D27">
            <v>2291723.3554156045</v>
          </cell>
          <cell r="E27">
            <v>188575.94532247499</v>
          </cell>
          <cell r="F27">
            <v>334743.45522811852</v>
          </cell>
          <cell r="G27">
            <v>17075.074483180233</v>
          </cell>
          <cell r="H27">
            <v>161344.40898225547</v>
          </cell>
          <cell r="I27">
            <v>39386.054716070874</v>
          </cell>
          <cell r="J27">
            <v>58147.770108937875</v>
          </cell>
        </row>
        <row r="28">
          <cell r="B28">
            <v>11207405.200372936</v>
          </cell>
          <cell r="C28">
            <v>1526133.1568316952</v>
          </cell>
          <cell r="D28">
            <v>978131.26940221305</v>
          </cell>
          <cell r="E28">
            <v>324604.32919589465</v>
          </cell>
          <cell r="F28">
            <v>576209.09470307245</v>
          </cell>
          <cell r="G28">
            <v>29392.100297333462</v>
          </cell>
          <cell r="H28">
            <v>277729.45036882785</v>
          </cell>
          <cell r="I28">
            <v>67797.002681970669</v>
          </cell>
          <cell r="J28">
            <v>257086.47905853955</v>
          </cell>
        </row>
        <row r="29">
          <cell r="B29">
            <v>6432197.3478406202</v>
          </cell>
          <cell r="C29">
            <v>875884.24513265677</v>
          </cell>
          <cell r="D29">
            <v>1614100.8712708279</v>
          </cell>
          <cell r="E29">
            <v>186298.17232644893</v>
          </cell>
          <cell r="F29">
            <v>330700.15266579436</v>
          </cell>
          <cell r="G29">
            <v>16868.827904400459</v>
          </cell>
          <cell r="H29">
            <v>159395.56053707804</v>
          </cell>
          <cell r="I29">
            <v>38910.31804828508</v>
          </cell>
          <cell r="J29">
            <v>74274.905982813274</v>
          </cell>
        </row>
        <row r="30">
          <cell r="B30">
            <v>8972205.1528674122</v>
          </cell>
          <cell r="C30">
            <v>1221761.8198752648</v>
          </cell>
          <cell r="D30">
            <v>1994474.1242609848</v>
          </cell>
          <cell r="E30">
            <v>259865.38212766341</v>
          </cell>
          <cell r="F30">
            <v>461290.2019864457</v>
          </cell>
          <cell r="G30">
            <v>23530.152522062457</v>
          </cell>
          <cell r="H30">
            <v>222339.20886694748</v>
          </cell>
          <cell r="I30">
            <v>54275.597779930526</v>
          </cell>
          <cell r="J30">
            <v>146179.85451393813</v>
          </cell>
        </row>
        <row r="31">
          <cell r="B31">
            <v>8444968.357938081</v>
          </cell>
          <cell r="C31">
            <v>1149967.007440309</v>
          </cell>
          <cell r="D31">
            <v>7041837.4780092556</v>
          </cell>
          <cell r="E31">
            <v>244594.82278893859</v>
          </cell>
          <cell r="F31">
            <v>434183.24628448993</v>
          </cell>
          <cell r="G31">
            <v>22147.442030209106</v>
          </cell>
          <cell r="H31">
            <v>209273.81302803621</v>
          </cell>
          <cell r="I31">
            <v>51086.182053383222</v>
          </cell>
          <cell r="J31">
            <v>115594.12906556389</v>
          </cell>
        </row>
        <row r="32">
          <cell r="B32">
            <v>78448820.116284013</v>
          </cell>
          <cell r="C32">
            <v>10682521.364517314</v>
          </cell>
          <cell r="D32">
            <v>0</v>
          </cell>
          <cell r="E32">
            <v>2272142.9425259307</v>
          </cell>
          <cell r="F32">
            <v>4033308.5858467976</v>
          </cell>
          <cell r="G32">
            <v>205736.79168738943</v>
          </cell>
          <cell r="H32">
            <v>1944031.4063288809</v>
          </cell>
          <cell r="I32">
            <v>474560.77234043099</v>
          </cell>
          <cell r="J32">
            <v>4811493.3589947587</v>
          </cell>
        </row>
        <row r="33">
          <cell r="B33">
            <v>15287895.269626115</v>
          </cell>
          <cell r="C33">
            <v>2081781.0592206013</v>
          </cell>
          <cell r="D33">
            <v>1238643.3600070628</v>
          </cell>
          <cell r="E33">
            <v>442789.11131444992</v>
          </cell>
          <cell r="F33">
            <v>786000.33957311744</v>
          </cell>
          <cell r="G33">
            <v>40093.433142314556</v>
          </cell>
          <cell r="H33">
            <v>378847.61678717379</v>
          </cell>
          <cell r="I33">
            <v>92481.128152842997</v>
          </cell>
          <cell r="J33">
            <v>180422.29632475256</v>
          </cell>
        </row>
        <row r="34">
          <cell r="B34">
            <v>56051651.358995952</v>
          </cell>
          <cell r="C34">
            <v>7632657.3461703323</v>
          </cell>
          <cell r="D34">
            <v>1123469.5087661173</v>
          </cell>
          <cell r="E34">
            <v>1623445.2457473029</v>
          </cell>
          <cell r="F34">
            <v>2881797.4106178107</v>
          </cell>
          <cell r="G34">
            <v>146998.85737333348</v>
          </cell>
          <cell r="H34">
            <v>1389009.681177682</v>
          </cell>
          <cell r="I34">
            <v>339073.48664330272</v>
          </cell>
          <cell r="J34">
            <v>1419756.267374184</v>
          </cell>
        </row>
        <row r="35">
          <cell r="B35">
            <v>11959530.725034978</v>
          </cell>
          <cell r="C35">
            <v>1628551.4847822173</v>
          </cell>
          <cell r="D35">
            <v>268768.31370974256</v>
          </cell>
          <cell r="E35">
            <v>346388.42614243046</v>
          </cell>
          <cell r="F35">
            <v>614878.31027262902</v>
          </cell>
          <cell r="G35">
            <v>31364.595131045364</v>
          </cell>
          <cell r="H35">
            <v>296367.78857808665</v>
          </cell>
          <cell r="I35">
            <v>72346.838732423683</v>
          </cell>
          <cell r="J35">
            <v>172096.21240872963</v>
          </cell>
        </row>
        <row r="36">
          <cell r="B36">
            <v>11495540.675940575</v>
          </cell>
          <cell r="C36">
            <v>1565369.0990557354</v>
          </cell>
          <cell r="D36">
            <v>2990938.5755694434</v>
          </cell>
          <cell r="E36">
            <v>332949.70630076289</v>
          </cell>
          <cell r="F36">
            <v>591023.07515263662</v>
          </cell>
          <cell r="G36">
            <v>30147.753068487145</v>
          </cell>
          <cell r="H36">
            <v>284869.70324899483</v>
          </cell>
          <cell r="I36">
            <v>69540.021807323617</v>
          </cell>
          <cell r="J36">
            <v>112421.05207906541</v>
          </cell>
        </row>
        <row r="37">
          <cell r="B37">
            <v>12070178.177360734</v>
          </cell>
          <cell r="C37">
            <v>1643618.5536259201</v>
          </cell>
          <cell r="D37">
            <v>1596932.9645806688</v>
          </cell>
          <cell r="E37">
            <v>349593.1502866277</v>
          </cell>
          <cell r="F37">
            <v>620567.055097676</v>
          </cell>
          <cell r="G37">
            <v>31654.774789785177</v>
          </cell>
          <cell r="H37">
            <v>299109.73067527433</v>
          </cell>
          <cell r="I37">
            <v>73016.178823904702</v>
          </cell>
          <cell r="J37">
            <v>185953.53518131684</v>
          </cell>
        </row>
        <row r="38">
          <cell r="B38">
            <v>17001369.166516367</v>
          </cell>
          <cell r="C38">
            <v>2315107.9784010388</v>
          </cell>
          <cell r="D38">
            <v>609657.47423477494</v>
          </cell>
          <cell r="E38">
            <v>492417.1059261043</v>
          </cell>
          <cell r="F38">
            <v>874095.59670646582</v>
          </cell>
          <cell r="G38">
            <v>44587.122424877947</v>
          </cell>
          <cell r="H38">
            <v>421309.02110838355</v>
          </cell>
          <cell r="I38">
            <v>102846.45289180128</v>
          </cell>
          <cell r="J38">
            <v>193164.96068740217</v>
          </cell>
        </row>
        <row r="39">
          <cell r="B39">
            <v>39886782.0533114</v>
          </cell>
          <cell r="C39">
            <v>5431457.1055976776</v>
          </cell>
          <cell r="D39">
            <v>1700204.1967246344</v>
          </cell>
          <cell r="E39">
            <v>1155256.0026800106</v>
          </cell>
          <cell r="F39">
            <v>2050708.9880887456</v>
          </cell>
          <cell r="G39">
            <v>104605.50659931509</v>
          </cell>
          <cell r="H39">
            <v>988429.86923313746</v>
          </cell>
          <cell r="I39">
            <v>241287.27582309139</v>
          </cell>
          <cell r="J39">
            <v>1056600.1041625477</v>
          </cell>
        </row>
        <row r="40">
          <cell r="B40">
            <v>825465357.40625024</v>
          </cell>
          <cell r="C40">
            <v>112405149.0269741</v>
          </cell>
          <cell r="D40">
            <v>0</v>
          </cell>
          <cell r="E40">
            <v>23908266.349323131</v>
          </cell>
          <cell r="F40">
            <v>42439854.52439753</v>
          </cell>
          <cell r="G40">
            <v>2164832.9959597951</v>
          </cell>
          <cell r="H40">
            <v>20455764.372944891</v>
          </cell>
          <cell r="I40">
            <v>4993491.0043301713</v>
          </cell>
          <cell r="J40">
            <v>20228838.788856879</v>
          </cell>
        </row>
        <row r="41">
          <cell r="B41">
            <v>4263200.2536111744</v>
          </cell>
          <cell r="C41">
            <v>580527.887135981</v>
          </cell>
          <cell r="D41">
            <v>1419791.229791702</v>
          </cell>
          <cell r="E41">
            <v>123476.6865130543</v>
          </cell>
          <cell r="F41">
            <v>219184.96875525321</v>
          </cell>
          <cell r="G41">
            <v>11180.501391846485</v>
          </cell>
          <cell r="H41">
            <v>105645.88698981632</v>
          </cell>
          <cell r="I41">
            <v>25789.394945605884</v>
          </cell>
          <cell r="J41">
            <v>39307.184838375819</v>
          </cell>
        </row>
        <row r="42">
          <cell r="B42">
            <v>17949050.420696057</v>
          </cell>
          <cell r="C42">
            <v>2444155.4928126112</v>
          </cell>
          <cell r="D42">
            <v>31821.793798102466</v>
          </cell>
          <cell r="E42">
            <v>519865.15766552795</v>
          </cell>
          <cell r="F42">
            <v>922818.96735070518</v>
          </cell>
          <cell r="G42">
            <v>47072.474027211836</v>
          </cell>
          <cell r="H42">
            <v>444793.40390194987</v>
          </cell>
          <cell r="I42">
            <v>108579.265026508</v>
          </cell>
          <cell r="J42">
            <v>1312778.1886425877</v>
          </cell>
        </row>
        <row r="43">
          <cell r="B43">
            <v>9042118.1570718233</v>
          </cell>
          <cell r="C43">
            <v>1231282.0033523925</v>
          </cell>
          <cell r="D43">
            <v>556857.96092559386</v>
          </cell>
          <cell r="E43">
            <v>261890.29899522601</v>
          </cell>
          <cell r="F43">
            <v>464884.65655825473</v>
          </cell>
          <cell r="G43">
            <v>23713.503618496055</v>
          </cell>
          <cell r="H43">
            <v>224071.71517721089</v>
          </cell>
          <cell r="I43">
            <v>54698.52280573341</v>
          </cell>
          <cell r="J43">
            <v>106104.01641160598</v>
          </cell>
        </row>
        <row r="44">
          <cell r="B44">
            <v>10132365.544054925</v>
          </cell>
          <cell r="C44">
            <v>1379743.0125401989</v>
          </cell>
          <cell r="D44">
            <v>4231981.3035503644</v>
          </cell>
          <cell r="E44">
            <v>293467.54773228877</v>
          </cell>
          <cell r="F44">
            <v>520937.81503913307</v>
          </cell>
          <cell r="G44">
            <v>26572.743556215701</v>
          </cell>
          <cell r="H44">
            <v>251089.01330637932</v>
          </cell>
          <cell r="I44">
            <v>61293.760837891416</v>
          </cell>
          <cell r="J44">
            <v>119399.69543599804</v>
          </cell>
        </row>
        <row r="45">
          <cell r="B45">
            <v>29152404.523080256</v>
          </cell>
          <cell r="C45">
            <v>3969737.0041160462</v>
          </cell>
          <cell r="D45">
            <v>1457150.5701858625</v>
          </cell>
          <cell r="E45">
            <v>844352.15337328427</v>
          </cell>
          <cell r="F45">
            <v>1498819.7819512112</v>
          </cell>
          <cell r="G45">
            <v>76453.950074215245</v>
          </cell>
          <cell r="H45">
            <v>722422.46446620789</v>
          </cell>
          <cell r="I45">
            <v>176351.76138464219</v>
          </cell>
          <cell r="J45">
            <v>576875.26345190546</v>
          </cell>
        </row>
        <row r="46">
          <cell r="B46">
            <v>25087172.453008395</v>
          </cell>
          <cell r="C46">
            <v>3416166.8117805566</v>
          </cell>
          <cell r="D46">
            <v>441197.57924215542</v>
          </cell>
          <cell r="E46">
            <v>726609.29447429441</v>
          </cell>
          <cell r="F46">
            <v>1289813.000365759</v>
          </cell>
          <cell r="G46">
            <v>65792.632258070546</v>
          </cell>
          <cell r="H46">
            <v>621682.40481304028</v>
          </cell>
          <cell r="I46">
            <v>151759.93619139193</v>
          </cell>
          <cell r="J46">
            <v>874267.78060306201</v>
          </cell>
        </row>
        <row r="47">
          <cell r="B47">
            <v>227002539.70222384</v>
          </cell>
          <cell r="C47">
            <v>30911356.940412857</v>
          </cell>
          <cell r="D47">
            <v>5416905.3420475209</v>
          </cell>
          <cell r="E47">
            <v>6574760.6879916182</v>
          </cell>
          <cell r="F47">
            <v>11670937.702222468</v>
          </cell>
          <cell r="G47">
            <v>595327.9367872919</v>
          </cell>
          <cell r="H47">
            <v>5625324.4579511378</v>
          </cell>
          <cell r="I47">
            <v>1373207.4033063161</v>
          </cell>
          <cell r="J47">
            <v>7052476.4702315545</v>
          </cell>
        </row>
        <row r="48">
          <cell r="B48">
            <v>438626758.76234585</v>
          </cell>
          <cell r="C48">
            <v>59728619.430888288</v>
          </cell>
          <cell r="D48">
            <v>10346430.654805433</v>
          </cell>
          <cell r="E48">
            <v>12704113.240296066</v>
          </cell>
          <cell r="F48">
            <v>22551226.002838209</v>
          </cell>
          <cell r="G48">
            <v>1150325.2944051819</v>
          </cell>
          <cell r="H48">
            <v>10869560.478108987</v>
          </cell>
          <cell r="I48">
            <v>2653386.6678796737</v>
          </cell>
          <cell r="J48">
            <v>5447250.0405576834</v>
          </cell>
        </row>
        <row r="49">
          <cell r="B49">
            <v>118194481.33510803</v>
          </cell>
          <cell r="C49">
            <v>16094761.784291599</v>
          </cell>
          <cell r="D49">
            <v>2715276.5969098071</v>
          </cell>
          <cell r="E49">
            <v>3423311.608931812</v>
          </cell>
          <cell r="F49">
            <v>6076762.0935785882</v>
          </cell>
          <cell r="G49">
            <v>309972.20033386536</v>
          </cell>
          <cell r="H49">
            <v>2928964.1760017672</v>
          </cell>
          <cell r="I49">
            <v>714994.36531515827</v>
          </cell>
          <cell r="J49">
            <v>4498678.9158758903</v>
          </cell>
        </row>
        <row r="50">
          <cell r="B50">
            <v>37674118.091050237</v>
          </cell>
          <cell r="C50">
            <v>5130154.5491753407</v>
          </cell>
          <cell r="D50">
            <v>2924616.8962597083</v>
          </cell>
          <cell r="E50">
            <v>1091169.7767994814</v>
          </cell>
          <cell r="F50">
            <v>1936948.7486950459</v>
          </cell>
          <cell r="G50">
            <v>98802.661075276104</v>
          </cell>
          <cell r="H50">
            <v>933598.09193028242</v>
          </cell>
          <cell r="I50">
            <v>227902.1985548287</v>
          </cell>
          <cell r="J50">
            <v>861372.33287796925</v>
          </cell>
        </row>
        <row r="51">
          <cell r="B51">
            <v>7569708.3308103792</v>
          </cell>
          <cell r="C51">
            <v>1030781.2258639863</v>
          </cell>
          <cell r="D51">
            <v>51786.538394713039</v>
          </cell>
          <cell r="E51">
            <v>219244.3345270959</v>
          </cell>
          <cell r="F51">
            <v>389183.28609350312</v>
          </cell>
          <cell r="G51">
            <v>19852.019490946564</v>
          </cell>
          <cell r="H51">
            <v>187584.09253359982</v>
          </cell>
          <cell r="I51">
            <v>45791.46794733627</v>
          </cell>
          <cell r="J51">
            <v>67152.646343271481</v>
          </cell>
        </row>
        <row r="52">
          <cell r="B52">
            <v>10428871.043167474</v>
          </cell>
          <cell r="C52">
            <v>1420118.7163974601</v>
          </cell>
          <cell r="D52">
            <v>654686.42056883266</v>
          </cell>
          <cell r="E52">
            <v>302055.34900489013</v>
          </cell>
          <cell r="F52">
            <v>536182.12557877868</v>
          </cell>
          <cell r="G52">
            <v>27350.347222079126</v>
          </cell>
          <cell r="H52">
            <v>258436.68280057429</v>
          </cell>
          <cell r="I52">
            <v>63087.412781329971</v>
          </cell>
          <cell r="J52">
            <v>82319.609856129988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showGridLines="0" zoomScaleNormal="100" zoomScaleSheetLayoutView="100" workbookViewId="0">
      <selection activeCell="I2" sqref="I2"/>
    </sheetView>
  </sheetViews>
  <sheetFormatPr baseColWidth="10" defaultColWidth="11.42578125" defaultRowHeight="12.75"/>
  <cols>
    <col min="1" max="1" width="50.5703125" style="11" customWidth="1"/>
    <col min="2" max="3" width="14.28515625" style="11" customWidth="1"/>
    <col min="4" max="4" width="14.85546875" style="11" customWidth="1"/>
    <col min="5" max="10" width="17.28515625" style="11" customWidth="1"/>
    <col min="11" max="11" width="11.42578125" style="11"/>
    <col min="12" max="12" width="16.28515625" style="11" customWidth="1"/>
    <col min="13" max="13" width="12.7109375" style="11" customWidth="1"/>
    <col min="14" max="14" width="16.5703125" style="11" customWidth="1"/>
    <col min="15" max="15" width="11.42578125" style="11"/>
    <col min="16" max="16" width="20" style="11" customWidth="1"/>
    <col min="17" max="17" width="15" style="11" customWidth="1"/>
    <col min="18" max="18" width="16.28515625" style="11" customWidth="1"/>
    <col min="19" max="16384" width="11.42578125" style="11"/>
  </cols>
  <sheetData>
    <row r="1" spans="1:18" ht="27.75" customHeight="1">
      <c r="A1" s="462" t="s">
        <v>430</v>
      </c>
      <c r="B1" s="462"/>
      <c r="C1" s="462"/>
      <c r="D1" s="462"/>
      <c r="E1" s="462"/>
      <c r="F1" s="462"/>
      <c r="G1" s="433"/>
      <c r="H1" s="433"/>
      <c r="I1" s="433" t="s">
        <v>436</v>
      </c>
      <c r="J1" s="433"/>
      <c r="L1" s="463" t="s">
        <v>327</v>
      </c>
      <c r="M1" s="463"/>
      <c r="N1" s="463"/>
    </row>
    <row r="3" spans="1:18" ht="49.5" customHeight="1">
      <c r="A3" s="323" t="s">
        <v>104</v>
      </c>
      <c r="B3" s="323" t="s">
        <v>157</v>
      </c>
      <c r="C3" s="323" t="s">
        <v>434</v>
      </c>
      <c r="D3" s="323" t="s">
        <v>105</v>
      </c>
      <c r="E3" s="323" t="s">
        <v>106</v>
      </c>
      <c r="F3" s="323" t="s">
        <v>118</v>
      </c>
      <c r="G3" s="434"/>
      <c r="H3" s="323" t="s">
        <v>348</v>
      </c>
      <c r="I3" s="323" t="s">
        <v>348</v>
      </c>
      <c r="J3" s="323" t="s">
        <v>349</v>
      </c>
      <c r="L3" s="323" t="s">
        <v>435</v>
      </c>
      <c r="M3" s="323" t="s">
        <v>106</v>
      </c>
      <c r="N3" s="323" t="s">
        <v>118</v>
      </c>
      <c r="P3" s="434"/>
      <c r="Q3" s="434"/>
      <c r="R3" s="434"/>
    </row>
    <row r="4" spans="1:18" ht="25.5" customHeight="1">
      <c r="A4" s="244" t="s">
        <v>107</v>
      </c>
      <c r="B4" s="438">
        <v>3433609640.2800002</v>
      </c>
      <c r="C4" s="438"/>
      <c r="D4" s="439">
        <f>+B4+C4</f>
        <v>3433609640.2800002</v>
      </c>
      <c r="E4" s="440">
        <v>20</v>
      </c>
      <c r="F4" s="441">
        <f t="shared" ref="F4:F13" si="0">+E4/100*D4</f>
        <v>686721928.05600011</v>
      </c>
      <c r="G4" s="435"/>
      <c r="H4" s="325">
        <v>6575127028.2700005</v>
      </c>
      <c r="I4" s="325">
        <f>+H4/12</f>
        <v>547927252.35583341</v>
      </c>
      <c r="J4" s="325">
        <f>+F4-I4</f>
        <v>138794675.7001667</v>
      </c>
      <c r="L4" s="439">
        <v>-15075436.279999999</v>
      </c>
      <c r="M4" s="440">
        <v>20</v>
      </c>
      <c r="N4" s="441">
        <f t="shared" ref="N4" si="1">+M4/100*L4</f>
        <v>-3015087.2560000001</v>
      </c>
      <c r="P4" s="447"/>
      <c r="Q4" s="447"/>
      <c r="R4" s="447"/>
    </row>
    <row r="5" spans="1:18" ht="25.5" customHeight="1">
      <c r="A5" s="244" t="s">
        <v>130</v>
      </c>
      <c r="B5" s="438">
        <v>97927143.599999994</v>
      </c>
      <c r="C5" s="438"/>
      <c r="D5" s="439">
        <f t="shared" ref="D5:D13" si="2">+B5+C5</f>
        <v>97927143.599999994</v>
      </c>
      <c r="E5" s="440">
        <v>100</v>
      </c>
      <c r="F5" s="441">
        <f t="shared" si="0"/>
        <v>97927143.599999994</v>
      </c>
      <c r="G5" s="435"/>
      <c r="H5" s="325">
        <v>897976680.16000021</v>
      </c>
      <c r="I5" s="325">
        <f t="shared" ref="I5:I9" si="3">+H5/12</f>
        <v>74831390.01333335</v>
      </c>
      <c r="J5" s="325">
        <f t="shared" ref="J5:J9" si="4">+F5-I5</f>
        <v>23095753.586666644</v>
      </c>
      <c r="L5" s="439"/>
      <c r="M5" s="440"/>
      <c r="N5" s="441"/>
      <c r="P5" s="447"/>
      <c r="Q5" s="447"/>
      <c r="R5" s="447"/>
    </row>
    <row r="6" spans="1:18" ht="25.5" customHeight="1">
      <c r="A6" s="244" t="s">
        <v>108</v>
      </c>
      <c r="B6" s="438">
        <v>83435339.629999995</v>
      </c>
      <c r="C6" s="438"/>
      <c r="D6" s="439">
        <f t="shared" si="2"/>
        <v>83435339.629999995</v>
      </c>
      <c r="E6" s="440">
        <v>20</v>
      </c>
      <c r="F6" s="441">
        <f t="shared" si="0"/>
        <v>16687067.925999999</v>
      </c>
      <c r="G6" s="435"/>
      <c r="H6" s="325">
        <v>220792307.32999998</v>
      </c>
      <c r="I6" s="325">
        <f t="shared" si="3"/>
        <v>18399358.944166664</v>
      </c>
      <c r="J6" s="325">
        <f t="shared" si="4"/>
        <v>-1712291.018166665</v>
      </c>
      <c r="L6" s="439"/>
      <c r="M6" s="440"/>
      <c r="N6" s="441"/>
      <c r="P6" s="447"/>
      <c r="Q6" s="447"/>
      <c r="R6" s="447"/>
    </row>
    <row r="7" spans="1:18" ht="25.5" customHeight="1">
      <c r="A7" s="244" t="s">
        <v>117</v>
      </c>
      <c r="B7" s="438">
        <v>75298111</v>
      </c>
      <c r="C7" s="438">
        <v>260964445.36885917</v>
      </c>
      <c r="D7" s="439">
        <f t="shared" si="2"/>
        <v>336262556.36885917</v>
      </c>
      <c r="E7" s="440">
        <v>20</v>
      </c>
      <c r="F7" s="441">
        <f t="shared" si="0"/>
        <v>67252511.273771837</v>
      </c>
      <c r="G7" s="435"/>
      <c r="H7" s="325">
        <v>372200568.05000001</v>
      </c>
      <c r="I7" s="325">
        <f t="shared" si="3"/>
        <v>31016714.004166666</v>
      </c>
      <c r="J7" s="325">
        <f t="shared" si="4"/>
        <v>36235797.269605175</v>
      </c>
      <c r="L7" s="439"/>
      <c r="M7" s="440"/>
      <c r="N7" s="441"/>
      <c r="P7" s="447"/>
      <c r="Q7" s="447"/>
      <c r="R7" s="447"/>
    </row>
    <row r="8" spans="1:18" ht="25.5" customHeight="1">
      <c r="A8" s="244" t="s">
        <v>123</v>
      </c>
      <c r="B8" s="438">
        <v>84072240</v>
      </c>
      <c r="C8" s="438"/>
      <c r="D8" s="439">
        <f t="shared" si="2"/>
        <v>84072240</v>
      </c>
      <c r="E8" s="440">
        <v>20</v>
      </c>
      <c r="F8" s="441">
        <f t="shared" si="0"/>
        <v>16814448</v>
      </c>
      <c r="G8" s="435"/>
      <c r="H8" s="325">
        <v>183055003.22</v>
      </c>
      <c r="I8" s="325">
        <f t="shared" si="3"/>
        <v>15254583.601666667</v>
      </c>
      <c r="J8" s="325">
        <f t="shared" si="4"/>
        <v>1559864.3983333334</v>
      </c>
      <c r="L8" s="439"/>
      <c r="M8" s="440"/>
      <c r="N8" s="441"/>
      <c r="P8" s="447"/>
      <c r="Q8" s="447"/>
      <c r="R8" s="447"/>
    </row>
    <row r="9" spans="1:18" ht="25.5" customHeight="1">
      <c r="A9" s="244" t="s">
        <v>122</v>
      </c>
      <c r="B9" s="438">
        <v>17306482</v>
      </c>
      <c r="C9" s="438"/>
      <c r="D9" s="439">
        <f t="shared" si="2"/>
        <v>17306482</v>
      </c>
      <c r="E9" s="440">
        <v>20</v>
      </c>
      <c r="F9" s="441">
        <f t="shared" si="0"/>
        <v>3461296.4000000004</v>
      </c>
      <c r="G9" s="435"/>
      <c r="H9" s="325">
        <v>39228897.590000004</v>
      </c>
      <c r="I9" s="325">
        <f t="shared" si="3"/>
        <v>3269074.7991666668</v>
      </c>
      <c r="J9" s="325">
        <f t="shared" si="4"/>
        <v>192221.60083333356</v>
      </c>
      <c r="L9" s="439"/>
      <c r="M9" s="440"/>
      <c r="N9" s="441"/>
      <c r="P9" s="447"/>
      <c r="Q9" s="447"/>
      <c r="R9" s="447"/>
    </row>
    <row r="10" spans="1:18" ht="25.5" customHeight="1">
      <c r="A10" s="326" t="s">
        <v>291</v>
      </c>
      <c r="B10" s="442">
        <f>SUM(B4:B9)</f>
        <v>3791648956.5100002</v>
      </c>
      <c r="C10" s="442">
        <f>SUM(C4:C9)</f>
        <v>260964445.36885917</v>
      </c>
      <c r="D10" s="443">
        <f t="shared" si="2"/>
        <v>4052613401.8788595</v>
      </c>
      <c r="E10" s="323">
        <v>20</v>
      </c>
      <c r="F10" s="442">
        <f>SUM(F4:F9)</f>
        <v>888864395.25577199</v>
      </c>
      <c r="G10" s="436"/>
      <c r="H10" s="328">
        <f>SUM(H4:H9)</f>
        <v>8288380484.6200008</v>
      </c>
      <c r="I10" s="328">
        <f>SUM(I4:I9)</f>
        <v>690698373.71833348</v>
      </c>
      <c r="J10" s="328">
        <f>SUM(J4:J9)</f>
        <v>198166021.53743851</v>
      </c>
      <c r="L10" s="439"/>
      <c r="M10" s="440"/>
      <c r="N10" s="441"/>
      <c r="P10" s="340"/>
      <c r="Q10" s="340"/>
      <c r="R10" s="340"/>
    </row>
    <row r="11" spans="1:18" ht="25.5" customHeight="1">
      <c r="A11" s="244" t="s">
        <v>129</v>
      </c>
      <c r="B11" s="438">
        <v>37442872.310000002</v>
      </c>
      <c r="C11" s="438"/>
      <c r="D11" s="439">
        <f t="shared" si="2"/>
        <v>37442872.310000002</v>
      </c>
      <c r="E11" s="440">
        <v>100</v>
      </c>
      <c r="F11" s="441">
        <f t="shared" si="0"/>
        <v>37442872.310000002</v>
      </c>
      <c r="G11" s="435"/>
      <c r="H11" s="325"/>
      <c r="I11" s="325"/>
      <c r="J11" s="325"/>
      <c r="L11" s="439"/>
      <c r="M11" s="440"/>
      <c r="N11" s="441"/>
      <c r="P11" s="447"/>
      <c r="Q11" s="447"/>
      <c r="R11" s="447"/>
    </row>
    <row r="12" spans="1:18" ht="25.5" customHeight="1">
      <c r="A12" s="244" t="s">
        <v>116</v>
      </c>
      <c r="B12" s="438">
        <v>66336709.899999999</v>
      </c>
      <c r="C12" s="438"/>
      <c r="D12" s="439">
        <f t="shared" si="2"/>
        <v>66336709.899999999</v>
      </c>
      <c r="E12" s="440">
        <v>20</v>
      </c>
      <c r="F12" s="441">
        <f t="shared" si="0"/>
        <v>13267341.98</v>
      </c>
      <c r="G12" s="435"/>
      <c r="H12" s="325"/>
      <c r="I12" s="325"/>
      <c r="J12" s="325"/>
      <c r="L12" s="439"/>
      <c r="M12" s="440"/>
      <c r="N12" s="441"/>
      <c r="P12" s="447"/>
      <c r="Q12" s="447"/>
      <c r="R12" s="447"/>
    </row>
    <row r="13" spans="1:18" ht="25.5" customHeight="1">
      <c r="A13" s="244" t="s">
        <v>222</v>
      </c>
      <c r="B13" s="438">
        <v>101045354</v>
      </c>
      <c r="C13" s="438"/>
      <c r="D13" s="439">
        <f t="shared" si="2"/>
        <v>101045354</v>
      </c>
      <c r="E13" s="440">
        <v>20</v>
      </c>
      <c r="F13" s="441">
        <f t="shared" si="0"/>
        <v>20209070.800000001</v>
      </c>
      <c r="G13" s="435"/>
      <c r="H13" s="325"/>
      <c r="I13" s="325"/>
      <c r="J13" s="325"/>
      <c r="L13" s="439"/>
      <c r="M13" s="440"/>
      <c r="N13" s="441"/>
      <c r="P13" s="447"/>
      <c r="Q13" s="447"/>
      <c r="R13" s="447"/>
    </row>
    <row r="14" spans="1:18" ht="25.5" customHeight="1">
      <c r="A14" s="326" t="s">
        <v>291</v>
      </c>
      <c r="B14" s="442">
        <f>SUM(B11:B13)</f>
        <v>204824936.21000001</v>
      </c>
      <c r="C14" s="442">
        <f>SUM(C11:C13)</f>
        <v>0</v>
      </c>
      <c r="D14" s="442">
        <f>SUM(D11:D13)</f>
        <v>204824936.21000001</v>
      </c>
      <c r="E14" s="323"/>
      <c r="F14" s="442">
        <f>SUM(F11:F13)</f>
        <v>70919285.090000004</v>
      </c>
      <c r="G14" s="436"/>
      <c r="H14" s="325"/>
      <c r="I14" s="325"/>
      <c r="J14" s="325"/>
      <c r="L14" s="439"/>
      <c r="M14" s="440"/>
      <c r="N14" s="441"/>
      <c r="P14" s="447"/>
      <c r="Q14" s="447"/>
      <c r="R14" s="447"/>
    </row>
    <row r="15" spans="1:18" ht="25.5" customHeight="1">
      <c r="A15" s="330" t="s">
        <v>53</v>
      </c>
      <c r="B15" s="444">
        <f>+B10+B14</f>
        <v>3996473892.7200003</v>
      </c>
      <c r="C15" s="444">
        <f>+C10+C14</f>
        <v>260964445.36885917</v>
      </c>
      <c r="D15" s="444">
        <f>+D10+D14</f>
        <v>4257438338.0888596</v>
      </c>
      <c r="E15" s="330"/>
      <c r="F15" s="444">
        <f>+F10+F14</f>
        <v>959783680.34577203</v>
      </c>
      <c r="G15" s="437"/>
      <c r="H15" s="328"/>
      <c r="I15" s="328">
        <f>+I10+I14</f>
        <v>690698373.71833348</v>
      </c>
      <c r="J15" s="328">
        <f>+J10+J14</f>
        <v>198166021.53743851</v>
      </c>
      <c r="L15" s="445">
        <f>SUM(L4:L13)</f>
        <v>-15075436.279999999</v>
      </c>
      <c r="M15" s="446"/>
      <c r="N15" s="446">
        <f>SUM(N4:N13)</f>
        <v>-3015087.2560000001</v>
      </c>
      <c r="P15" s="340"/>
      <c r="Q15" s="340"/>
      <c r="R15" s="340"/>
    </row>
    <row r="16" spans="1:18">
      <c r="A16" s="12"/>
      <c r="B16" s="12"/>
      <c r="C16" s="12"/>
      <c r="D16" s="13"/>
      <c r="E16" s="14"/>
      <c r="F16" s="13"/>
      <c r="G16" s="13"/>
      <c r="H16" s="13"/>
      <c r="I16" s="13"/>
      <c r="J16" s="13"/>
      <c r="P16" s="339"/>
      <c r="Q16" s="340"/>
      <c r="R16" s="340"/>
    </row>
    <row r="17" spans="1:18">
      <c r="A17" s="15" t="s">
        <v>109</v>
      </c>
      <c r="B17" s="15"/>
      <c r="C17" s="15"/>
      <c r="F17" s="254" t="s">
        <v>158</v>
      </c>
      <c r="G17" s="254"/>
      <c r="H17" s="254"/>
      <c r="I17" s="254"/>
      <c r="J17" s="254"/>
      <c r="P17" s="341"/>
      <c r="Q17" s="341" t="s">
        <v>158</v>
      </c>
      <c r="R17" s="341" t="s">
        <v>158</v>
      </c>
    </row>
  </sheetData>
  <mergeCells count="2">
    <mergeCell ref="A1:F1"/>
    <mergeCell ref="L1:N1"/>
  </mergeCells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"/>
  <sheetViews>
    <sheetView showGridLines="0" tabSelected="1" zoomScaleNormal="100" zoomScaleSheetLayoutView="100" workbookViewId="0">
      <selection activeCell="A2" sqref="A2:N2"/>
    </sheetView>
  </sheetViews>
  <sheetFormatPr baseColWidth="10" defaultColWidth="11.42578125" defaultRowHeight="12.75"/>
  <cols>
    <col min="1" max="1" width="31" style="16" customWidth="1"/>
    <col min="2" max="2" width="17.85546875" style="58" customWidth="1"/>
    <col min="3" max="4" width="14.140625" style="58" bestFit="1" customWidth="1"/>
    <col min="5" max="5" width="15.42578125" style="58" customWidth="1"/>
    <col min="6" max="6" width="14.140625" style="58" bestFit="1" customWidth="1"/>
    <col min="7" max="7" width="14.140625" style="58" customWidth="1"/>
    <col min="8" max="8" width="14.140625" style="58" bestFit="1" customWidth="1"/>
    <col min="9" max="9" width="13.140625" style="58" bestFit="1" customWidth="1"/>
    <col min="10" max="11" width="14.140625" style="58" bestFit="1" customWidth="1"/>
    <col min="12" max="13" width="14.140625" style="58" customWidth="1"/>
    <col min="14" max="14" width="15" style="58" bestFit="1" customWidth="1"/>
    <col min="15" max="15" width="12.5703125" style="16" bestFit="1" customWidth="1"/>
    <col min="16" max="16384" width="11.42578125" style="16"/>
  </cols>
  <sheetData>
    <row r="1" spans="1:22">
      <c r="A1" s="464" t="s">
        <v>110</v>
      </c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4"/>
      <c r="O1" s="350"/>
      <c r="P1" s="350"/>
      <c r="Q1" s="350"/>
      <c r="R1" s="350"/>
      <c r="S1" s="350"/>
      <c r="T1" s="350"/>
      <c r="U1" s="350"/>
      <c r="V1" s="350"/>
    </row>
    <row r="2" spans="1:22">
      <c r="A2" s="464" t="s">
        <v>354</v>
      </c>
      <c r="B2" s="464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350"/>
      <c r="P2" s="350"/>
      <c r="Q2" s="350"/>
      <c r="R2" s="350"/>
      <c r="S2" s="350"/>
      <c r="T2" s="350"/>
      <c r="U2" s="350"/>
      <c r="V2" s="350"/>
    </row>
    <row r="3" spans="1:22" ht="13.5" thickBot="1">
      <c r="A3" s="464" t="s">
        <v>429</v>
      </c>
      <c r="B3" s="464"/>
      <c r="C3" s="464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350"/>
      <c r="P3" s="350"/>
      <c r="Q3" s="350"/>
      <c r="R3" s="350"/>
      <c r="S3" s="350"/>
      <c r="T3" s="350"/>
      <c r="U3" s="350"/>
      <c r="V3" s="350"/>
    </row>
    <row r="4" spans="1:22" ht="26.25" thickBot="1">
      <c r="A4" s="201" t="s">
        <v>0</v>
      </c>
      <c r="B4" s="202" t="s">
        <v>96</v>
      </c>
      <c r="C4" s="202" t="s">
        <v>128</v>
      </c>
      <c r="D4" s="202" t="s">
        <v>127</v>
      </c>
      <c r="E4" s="202" t="s">
        <v>98</v>
      </c>
      <c r="F4" s="202" t="s">
        <v>112</v>
      </c>
      <c r="G4" s="202" t="s">
        <v>111</v>
      </c>
      <c r="H4" s="202" t="s">
        <v>124</v>
      </c>
      <c r="I4" s="202" t="s">
        <v>125</v>
      </c>
      <c r="J4" s="202" t="s">
        <v>154</v>
      </c>
      <c r="K4" s="202" t="s">
        <v>219</v>
      </c>
      <c r="L4" s="202" t="s">
        <v>220</v>
      </c>
      <c r="M4" s="202" t="s">
        <v>328</v>
      </c>
      <c r="N4" s="203" t="s">
        <v>53</v>
      </c>
    </row>
    <row r="5" spans="1:22">
      <c r="A5" s="208" t="s">
        <v>1</v>
      </c>
      <c r="B5" s="61">
        <f>ROUND(+'CALCULO GARANTIA'!B6+'CALCULO GARANTIA'!I6+'Ajuste 2021'!AL7,2)</f>
        <v>878459.86</v>
      </c>
      <c r="C5" s="61">
        <f>ROUND(+'CALCULO GARANTIA'!C6+'CALCULO GARANTIA'!J6+'Ajuste 2021'!AM7,2)</f>
        <v>122903.57</v>
      </c>
      <c r="D5" s="61">
        <f>+'Art.14 Frac.III'!P5+'Ajuste 2021'!AN7</f>
        <v>1562123.8438598572</v>
      </c>
      <c r="E5" s="61">
        <f>ROUND(+'PART MES'!$F$6*'CALCULO GARANTIA'!S6+'Ajuste 2021'!AO7,2)</f>
        <v>23997.21</v>
      </c>
      <c r="F5" s="61">
        <f>ROUND(+'CALCULO GARANTIA'!E6+'CALCULO GARANTIA'!L6+'Ajuste 2021'!AP7,2)</f>
        <v>69815.570000000007</v>
      </c>
      <c r="G5" s="61">
        <f>+'Ajuste 2021'!AQ7</f>
        <v>-95.128062509803087</v>
      </c>
      <c r="H5" s="61">
        <f>ROUND(+'CALCULO GARANTIA'!F6+'CALCULO GARANTIA'!M6+'Ajuste 2021'!AR7,2)</f>
        <v>22825.7</v>
      </c>
      <c r="I5" s="61">
        <f>ROUND(+'CALCULO GARANTIA'!G6+'CALCULO GARANTIA'!N6+'Ajuste 2021'!AS7,2)</f>
        <v>4791.0200000000004</v>
      </c>
      <c r="J5" s="61">
        <f>ROUND(+'PART MES'!F$12*'COEF Art 14 F II'!L7+'Ajuste 2021'!AT7,2)</f>
        <v>7590.75</v>
      </c>
      <c r="K5" s="61">
        <f>+'ISR ENERO '!D6</f>
        <v>503725</v>
      </c>
      <c r="L5" s="61">
        <f>+ISAI!D4</f>
        <v>2839.331836227675</v>
      </c>
      <c r="M5" s="61">
        <f>+'PART MES'!$N$4*'COEF Art 14 F I '!AF7</f>
        <v>-2134.2517635046652</v>
      </c>
      <c r="N5" s="248">
        <f t="shared" ref="N5:N36" si="0">SUM(B5:M5)</f>
        <v>3196842.4758700705</v>
      </c>
    </row>
    <row r="6" spans="1:22">
      <c r="A6" s="209" t="s">
        <v>2</v>
      </c>
      <c r="B6" s="61">
        <f>ROUND(+'CALCULO GARANTIA'!B7+'CALCULO GARANTIA'!I7+'Ajuste 2021'!AL8,2)</f>
        <v>1520941.15</v>
      </c>
      <c r="C6" s="61">
        <f>ROUND(+'CALCULO GARANTIA'!C7+'CALCULO GARANTIA'!J7+'Ajuste 2021'!AM8,2)</f>
        <v>212960.22</v>
      </c>
      <c r="D6" s="61">
        <f>+'Art.14 Frac.III'!P6+'Ajuste 2021'!AN8</f>
        <v>410639.20765331719</v>
      </c>
      <c r="E6" s="61">
        <f>ROUND(+'PART MES'!$F$6*'CALCULO GARANTIA'!S7+'Ajuste 2021'!AO8,2)</f>
        <v>40934.46</v>
      </c>
      <c r="F6" s="61">
        <f>ROUND(+'CALCULO GARANTIA'!E7+'CALCULO GARANTIA'!L7+'Ajuste 2021'!AP8,2)</f>
        <v>122030.84</v>
      </c>
      <c r="G6" s="61">
        <f>+'Ajuste 2021'!AQ8</f>
        <v>13.431916131494896</v>
      </c>
      <c r="H6" s="61">
        <f>ROUND(+'CALCULO GARANTIA'!F7+'CALCULO GARANTIA'!M7+'Ajuste 2021'!AR8,2)</f>
        <v>39426.089999999997</v>
      </c>
      <c r="I6" s="61">
        <f>ROUND(+'CALCULO GARANTIA'!G7+'CALCULO GARANTIA'!N7+'Ajuste 2021'!AS8,2)</f>
        <v>8269.18</v>
      </c>
      <c r="J6" s="61">
        <f>ROUND(+'PART MES'!F$12*'COEF Art 14 F II'!L8+'Ajuste 2021'!AT8,2)</f>
        <v>9895.41</v>
      </c>
      <c r="K6" s="61">
        <f>+'ISR ENERO '!D7</f>
        <v>230270</v>
      </c>
      <c r="L6" s="61">
        <f>+ISAI!D5</f>
        <v>965.14926083648209</v>
      </c>
      <c r="M6" s="61">
        <f>+'PART MES'!$N$4*'COEF Art 14 F I '!AF8</f>
        <v>-3817.7984037778342</v>
      </c>
      <c r="N6" s="248">
        <f t="shared" si="0"/>
        <v>2592527.3404265079</v>
      </c>
    </row>
    <row r="7" spans="1:22">
      <c r="A7" s="209" t="s">
        <v>3</v>
      </c>
      <c r="B7" s="61">
        <f>ROUND(+'CALCULO GARANTIA'!B8+'CALCULO GARANTIA'!I8+'Ajuste 2021'!AL9,2)</f>
        <v>1682966.07</v>
      </c>
      <c r="C7" s="61">
        <f>ROUND(+'CALCULO GARANTIA'!C8+'CALCULO GARANTIA'!J8+'Ajuste 2021'!AM9,2)</f>
        <v>236469.58</v>
      </c>
      <c r="D7" s="61">
        <f>+'Art.14 Frac.III'!P7+'Ajuste 2021'!AN9</f>
        <v>334296.46121427167</v>
      </c>
      <c r="E7" s="61">
        <f>ROUND(+'PART MES'!$F$6*'CALCULO GARANTIA'!S8+'Ajuste 2021'!AO9,2)</f>
        <v>44611.12</v>
      </c>
      <c r="F7" s="61">
        <f>ROUND(+'CALCULO GARANTIA'!E8+'CALCULO GARANTIA'!L8+'Ajuste 2021'!AP9,2)</f>
        <v>140670.72</v>
      </c>
      <c r="G7" s="61">
        <f>+'Ajuste 2021'!AQ9</f>
        <v>-48.040522359903356</v>
      </c>
      <c r="H7" s="61">
        <f>ROUND(+'CALCULO GARANTIA'!F8+'CALCULO GARANTIA'!M8+'Ajuste 2021'!AR9,2)</f>
        <v>43168.18</v>
      </c>
      <c r="I7" s="61">
        <f>ROUND(+'CALCULO GARANTIA'!G8+'CALCULO GARANTIA'!N8+'Ajuste 2021'!AS9,2)</f>
        <v>9023.7199999999993</v>
      </c>
      <c r="J7" s="61">
        <f>ROUND(+'PART MES'!F$12*'COEF Art 14 F II'!L9+'Ajuste 2021'!AT9,2)</f>
        <v>8739.36</v>
      </c>
      <c r="K7" s="61">
        <f>+'ISR ENERO '!D8</f>
        <v>0</v>
      </c>
      <c r="L7" s="61">
        <f>+ISAI!D6</f>
        <v>372.26420702650569</v>
      </c>
      <c r="M7" s="61">
        <f>+'PART MES'!$N$4*'COEF Art 14 F I '!AF9</f>
        <v>-4823.7214328948185</v>
      </c>
      <c r="N7" s="248">
        <f t="shared" si="0"/>
        <v>2495445.713466044</v>
      </c>
    </row>
    <row r="8" spans="1:22">
      <c r="A8" s="209" t="s">
        <v>4</v>
      </c>
      <c r="B8" s="61">
        <f>ROUND(+'CALCULO GARANTIA'!B9+'CALCULO GARANTIA'!I9+'Ajuste 2021'!AL10,2)</f>
        <v>5033026.92</v>
      </c>
      <c r="C8" s="61">
        <f>ROUND(+'CALCULO GARANTIA'!C9+'CALCULO GARANTIA'!J9+'Ajuste 2021'!AM10,2)</f>
        <v>718510.71</v>
      </c>
      <c r="D8" s="61">
        <f>+'Art.14 Frac.III'!P8+'Ajuste 2021'!AN10</f>
        <v>1730857.5804069256</v>
      </c>
      <c r="E8" s="61">
        <f>ROUND(+'PART MES'!$F$6*'CALCULO GARANTIA'!S9+'Ajuste 2021'!AO10,2)</f>
        <v>121687.42</v>
      </c>
      <c r="F8" s="61">
        <f>ROUND(+'CALCULO GARANTIA'!E9+'CALCULO GARANTIA'!L9+'Ajuste 2021'!AP10,2)</f>
        <v>498358.54</v>
      </c>
      <c r="G8" s="61">
        <f>+'Ajuste 2021'!AQ10</f>
        <v>-80.750157151075356</v>
      </c>
      <c r="H8" s="61">
        <f>ROUND(+'CALCULO GARANTIA'!F9+'CALCULO GARANTIA'!M9+'Ajuste 2021'!AR10,2)</f>
        <v>122790.72</v>
      </c>
      <c r="I8" s="61">
        <f>ROUND(+'CALCULO GARANTIA'!G9+'CALCULO GARANTIA'!N9+'Ajuste 2021'!AS10,2)</f>
        <v>25245.7</v>
      </c>
      <c r="J8" s="61">
        <f>ROUND(+'PART MES'!F$12*'COEF Art 14 F II'!L10+'Ajuste 2021'!AT10,2)</f>
        <v>89952.05</v>
      </c>
      <c r="K8" s="61">
        <f>+'ISR ENERO '!D9</f>
        <v>2895399</v>
      </c>
      <c r="L8" s="61">
        <f>+ISAI!D7</f>
        <v>267335.31010227127</v>
      </c>
      <c r="M8" s="61">
        <f>+'PART MES'!$N$4*'COEF Art 14 F I '!AF10</f>
        <v>-22677.931963297062</v>
      </c>
      <c r="N8" s="248">
        <f t="shared" si="0"/>
        <v>11480405.268388748</v>
      </c>
    </row>
    <row r="9" spans="1:22">
      <c r="A9" s="209" t="s">
        <v>5</v>
      </c>
      <c r="B9" s="61">
        <f>ROUND(+'CALCULO GARANTIA'!B10+'CALCULO GARANTIA'!I10+'Ajuste 2021'!AL11,2)</f>
        <v>5608600.9400000004</v>
      </c>
      <c r="C9" s="61">
        <f>ROUND(+'CALCULO GARANTIA'!C10+'CALCULO GARANTIA'!J10+'Ajuste 2021'!AM11,2)</f>
        <v>787456.44</v>
      </c>
      <c r="D9" s="61">
        <f>+'Art.14 Frac.III'!P9+'Ajuste 2021'!AN11</f>
        <v>2066032.5311413335</v>
      </c>
      <c r="E9" s="61">
        <f>ROUND(+'PART MES'!$F$6*'CALCULO GARANTIA'!S10+'Ajuste 2021'!AO11,2)</f>
        <v>148758.81</v>
      </c>
      <c r="F9" s="61">
        <f>ROUND(+'CALCULO GARANTIA'!E10+'CALCULO GARANTIA'!L10+'Ajuste 2021'!AP11,2)</f>
        <v>464717.98</v>
      </c>
      <c r="G9" s="61">
        <f>+'Ajuste 2021'!AQ11</f>
        <v>48.812556240794947</v>
      </c>
      <c r="H9" s="61">
        <f>ROUND(+'CALCULO GARANTIA'!F10+'CALCULO GARANTIA'!M10+'Ajuste 2021'!AR11,2)</f>
        <v>144191.97</v>
      </c>
      <c r="I9" s="61">
        <f>ROUND(+'CALCULO GARANTIA'!G10+'CALCULO GARANTIA'!N10+'Ajuste 2021'!AS11,2)</f>
        <v>30163.5</v>
      </c>
      <c r="J9" s="61">
        <f>ROUND(+'PART MES'!F$12*'COEF Art 14 F II'!L11+'Ajuste 2021'!AT11,2)</f>
        <v>51351.01</v>
      </c>
      <c r="K9" s="61">
        <f>+'ISR ENERO '!D10</f>
        <v>0</v>
      </c>
      <c r="L9" s="61">
        <f>+ISAI!D8</f>
        <v>9598.3936581696671</v>
      </c>
      <c r="M9" s="61">
        <f>+'PART MES'!$N$4*'COEF Art 14 F I '!AF11</f>
        <v>-15642.236539977379</v>
      </c>
      <c r="N9" s="248">
        <f t="shared" si="0"/>
        <v>9295278.15081577</v>
      </c>
    </row>
    <row r="10" spans="1:22">
      <c r="A10" s="209" t="s">
        <v>6</v>
      </c>
      <c r="B10" s="61">
        <f>ROUND(+'CALCULO GARANTIA'!B11+'CALCULO GARANTIA'!I11+'Ajuste 2021'!AL12,2)</f>
        <v>45892838.229999997</v>
      </c>
      <c r="C10" s="61">
        <f>ROUND(+'CALCULO GARANTIA'!C11+'CALCULO GARANTIA'!J11+'Ajuste 2021'!AM12,2)</f>
        <v>6609494.3600000003</v>
      </c>
      <c r="D10" s="61">
        <f>+'Art.14 Frac.III'!P10+'Ajuste 2021'!AN12</f>
        <v>1769783.2096413008</v>
      </c>
      <c r="E10" s="61">
        <f>ROUND(+'PART MES'!$F$6*'CALCULO GARANTIA'!S11+'Ajuste 2021'!AO12,2)</f>
        <v>1050557.96</v>
      </c>
      <c r="F10" s="61">
        <f>ROUND(+'CALCULO GARANTIA'!E11+'CALCULO GARANTIA'!L11+'Ajuste 2021'!AP12,2)</f>
        <v>4940868.13</v>
      </c>
      <c r="G10" s="61">
        <f>+'Ajuste 2021'!AQ12</f>
        <v>-757.86106966270984</v>
      </c>
      <c r="H10" s="61">
        <f>ROUND(+'CALCULO GARANTIA'!F11+'CALCULO GARANTIA'!M11+'Ajuste 2021'!AR12,2)</f>
        <v>1087439.6299999999</v>
      </c>
      <c r="I10" s="61">
        <f>ROUND(+'CALCULO GARANTIA'!G11+'CALCULO GARANTIA'!N11+'Ajuste 2021'!AS12,2)</f>
        <v>221311.03</v>
      </c>
      <c r="J10" s="61">
        <f>ROUND(+'PART MES'!F$12*'COEF Art 14 F II'!L12+'Ajuste 2021'!AT12,2)</f>
        <v>1407624.59</v>
      </c>
      <c r="K10" s="61">
        <f>+'ISR ENERO '!D11</f>
        <v>7396744</v>
      </c>
      <c r="L10" s="61">
        <f>+ISAI!D9</f>
        <v>2231428.6322022169</v>
      </c>
      <c r="M10" s="61">
        <f>+'PART MES'!$N$4*'COEF Art 14 F I '!AF12</f>
        <v>-248928.34366404076</v>
      </c>
      <c r="N10" s="248">
        <f t="shared" si="0"/>
        <v>72358403.567109823</v>
      </c>
    </row>
    <row r="11" spans="1:22">
      <c r="A11" s="209" t="s">
        <v>7</v>
      </c>
      <c r="B11" s="61">
        <f>ROUND(+'CALCULO GARANTIA'!B12+'CALCULO GARANTIA'!I12+'Ajuste 2021'!AL13,2)</f>
        <v>6230029.4100000001</v>
      </c>
      <c r="C11" s="61">
        <f>ROUND(+'CALCULO GARANTIA'!C12+'CALCULO GARANTIA'!J12+'Ajuste 2021'!AM13,2)</f>
        <v>870228.01</v>
      </c>
      <c r="D11" s="61">
        <f>+'Art.14 Frac.III'!P11+'Ajuste 2021'!AN13</f>
        <v>0</v>
      </c>
      <c r="E11" s="61">
        <f>ROUND(+'PART MES'!$F$6*'CALCULO GARANTIA'!S12+'Ajuste 2021'!AO13,2)</f>
        <v>169809.14</v>
      </c>
      <c r="F11" s="61">
        <f>ROUND(+'CALCULO GARANTIA'!E12+'CALCULO GARANTIA'!L12+'Ajuste 2021'!AP13,2)</f>
        <v>485515.01</v>
      </c>
      <c r="G11" s="61">
        <f>+'Ajuste 2021'!AQ13</f>
        <v>55.719847692807285</v>
      </c>
      <c r="H11" s="61">
        <f>ROUND(+'CALCULO GARANTIA'!F12+'CALCULO GARANTIA'!M12+'Ajuste 2021'!AR13,2)</f>
        <v>162660.49</v>
      </c>
      <c r="I11" s="61">
        <f>ROUND(+'CALCULO GARANTIA'!G12+'CALCULO GARANTIA'!N12+'Ajuste 2021'!AS13,2)</f>
        <v>34193.31</v>
      </c>
      <c r="J11" s="61">
        <f>ROUND(+'PART MES'!F$12*'COEF Art 14 F II'!L13+'Ajuste 2021'!AT13,2)</f>
        <v>45588.5</v>
      </c>
      <c r="K11" s="61">
        <f>+'ISR ENERO '!D12</f>
        <v>0</v>
      </c>
      <c r="L11" s="61">
        <f>+ISAI!D10</f>
        <v>429.8834948665193</v>
      </c>
      <c r="M11" s="61">
        <f>+'PART MES'!$N$4*'COEF Art 14 F I '!AF13</f>
        <v>-14114.412126468013</v>
      </c>
      <c r="N11" s="248">
        <f t="shared" si="0"/>
        <v>7984395.0612160908</v>
      </c>
    </row>
    <row r="12" spans="1:22">
      <c r="A12" s="209" t="s">
        <v>8</v>
      </c>
      <c r="B12" s="61">
        <f>ROUND(+'CALCULO GARANTIA'!B13+'CALCULO GARANTIA'!I13+'Ajuste 2021'!AL14,2)</f>
        <v>1070964.49</v>
      </c>
      <c r="C12" s="61">
        <f>ROUND(+'CALCULO GARANTIA'!C13+'CALCULO GARANTIA'!J13+'Ajuste 2021'!AM14,2)</f>
        <v>151742.42000000001</v>
      </c>
      <c r="D12" s="61">
        <f>+'Art.14 Frac.III'!P12+'Ajuste 2021'!AN14</f>
        <v>507393.79339025402</v>
      </c>
      <c r="E12" s="61">
        <f>ROUND(+'PART MES'!$F$6*'CALCULO GARANTIA'!S13+'Ajuste 2021'!AO14,2)</f>
        <v>27000.55</v>
      </c>
      <c r="F12" s="61">
        <f>ROUND(+'CALCULO GARANTIA'!E13+'CALCULO GARANTIA'!L13+'Ajuste 2021'!AP14,2)</f>
        <v>98178.6</v>
      </c>
      <c r="G12" s="61">
        <f>+'Ajuste 2021'!AQ14</f>
        <v>8.8597511403313547</v>
      </c>
      <c r="H12" s="61">
        <f>ROUND(+'CALCULO GARANTIA'!F13+'CALCULO GARANTIA'!M13+'Ajuste 2021'!AR14,2)</f>
        <v>26766.98</v>
      </c>
      <c r="I12" s="61">
        <f>ROUND(+'CALCULO GARANTIA'!G13+'CALCULO GARANTIA'!N13+'Ajuste 2021'!AS14,2)</f>
        <v>5548.21</v>
      </c>
      <c r="J12" s="61">
        <f>ROUND(+'PART MES'!F$12*'COEF Art 14 F II'!L14+'Ajuste 2021'!AT14,2)</f>
        <v>11844.25</v>
      </c>
      <c r="K12" s="61">
        <f>+'ISR ENERO '!D13</f>
        <v>96586</v>
      </c>
      <c r="L12" s="61">
        <f>+ISAI!D11</f>
        <v>8630.7454018340341</v>
      </c>
      <c r="M12" s="61">
        <f>+'PART MES'!$N$4*'COEF Art 14 F I '!AF14</f>
        <v>-3989.8863292794626</v>
      </c>
      <c r="N12" s="248">
        <f t="shared" si="0"/>
        <v>2000675.0122139489</v>
      </c>
    </row>
    <row r="13" spans="1:22">
      <c r="A13" s="209" t="s">
        <v>9</v>
      </c>
      <c r="B13" s="61">
        <f>ROUND(+'CALCULO GARANTIA'!B14+'CALCULO GARANTIA'!I14+'Ajuste 2021'!AL15,2)</f>
        <v>10613915.109999999</v>
      </c>
      <c r="C13" s="61">
        <f>ROUND(+'CALCULO GARANTIA'!C14+'CALCULO GARANTIA'!J14+'Ajuste 2021'!AM15,2)</f>
        <v>1503077.49</v>
      </c>
      <c r="D13" s="61">
        <f>+'Art.14 Frac.III'!P13+'Ajuste 2021'!AN15</f>
        <v>443665.96627815079</v>
      </c>
      <c r="E13" s="61">
        <f>ROUND(+'PART MES'!$F$6*'CALCULO GARANTIA'!S14+'Ajuste 2021'!AO15,2)</f>
        <v>268390.78000000003</v>
      </c>
      <c r="F13" s="61">
        <f>ROUND(+'CALCULO GARANTIA'!E14+'CALCULO GARANTIA'!L14+'Ajuste 2021'!AP15,2)</f>
        <v>967643.24</v>
      </c>
      <c r="G13" s="61">
        <f>+'Ajuste 2021'!AQ15</f>
        <v>88.06765987205047</v>
      </c>
      <c r="H13" s="61">
        <f>ROUND(+'CALCULO GARANTIA'!F14+'CALCULO GARANTIA'!M14+'Ajuste 2021'!AR15,2)</f>
        <v>265712.99</v>
      </c>
      <c r="I13" s="61">
        <f>ROUND(+'CALCULO GARANTIA'!G14+'CALCULO GARANTIA'!N14+'Ajuste 2021'!AS15,2)</f>
        <v>55106.39</v>
      </c>
      <c r="J13" s="61">
        <f>ROUND(+'PART MES'!F$12*'COEF Art 14 F II'!L15+'Ajuste 2021'!AT15,2)</f>
        <v>236660.15</v>
      </c>
      <c r="K13" s="61">
        <f>+'ISR ENERO '!D14</f>
        <v>0</v>
      </c>
      <c r="L13" s="61">
        <f>+ISAI!D12</f>
        <v>198398.10050482413</v>
      </c>
      <c r="M13" s="61">
        <f>+'PART MES'!$N$4*'COEF Art 14 F I '!AF15</f>
        <v>-38972.022050600375</v>
      </c>
      <c r="N13" s="248">
        <f t="shared" si="0"/>
        <v>14513686.262392247</v>
      </c>
    </row>
    <row r="14" spans="1:22">
      <c r="A14" s="209" t="s">
        <v>10</v>
      </c>
      <c r="B14" s="61">
        <f>ROUND(+'CALCULO GARANTIA'!B15+'CALCULO GARANTIA'!I15+'Ajuste 2021'!AL16,2)</f>
        <v>3105231.61</v>
      </c>
      <c r="C14" s="61">
        <f>ROUND(+'CALCULO GARANTIA'!C15+'CALCULO GARANTIA'!J15+'Ajuste 2021'!AM16,2)</f>
        <v>463735.62</v>
      </c>
      <c r="D14" s="61">
        <f>+'Art.14 Frac.III'!P14+'Ajuste 2021'!AN16</f>
        <v>225950.62489812938</v>
      </c>
      <c r="E14" s="61">
        <f>ROUND(+'PART MES'!$F$6*'CALCULO GARANTIA'!S15+'Ajuste 2021'!AO16,2)</f>
        <v>54831.42</v>
      </c>
      <c r="F14" s="61">
        <f>ROUND(+'CALCULO GARANTIA'!E15+'CALCULO GARANTIA'!L15+'Ajuste 2021'!AP16,2)</f>
        <v>447542.84</v>
      </c>
      <c r="G14" s="61">
        <f>+'Ajuste 2021'!AQ16</f>
        <v>-298.5761186025872</v>
      </c>
      <c r="H14" s="61">
        <f>ROUND(+'CALCULO GARANTIA'!F15+'CALCULO GARANTIA'!M15+'Ajuste 2021'!AR16,2)</f>
        <v>64385.23</v>
      </c>
      <c r="I14" s="61">
        <f>ROUND(+'CALCULO GARANTIA'!G15+'CALCULO GARANTIA'!N15+'Ajuste 2021'!AS16,2)</f>
        <v>12437.44</v>
      </c>
      <c r="J14" s="61">
        <f>ROUND(+'PART MES'!F$12*'COEF Art 14 F II'!L16+'Ajuste 2021'!AT16,2)</f>
        <v>161770.35999999999</v>
      </c>
      <c r="K14" s="61">
        <f>+'ISR ENERO '!D15</f>
        <v>0</v>
      </c>
      <c r="L14" s="61">
        <f>+ISAI!D13</f>
        <v>112038.44413143754</v>
      </c>
      <c r="M14" s="61">
        <f>+'PART MES'!$N$4*'COEF Art 14 F I '!AF16</f>
        <v>-28873.177079397145</v>
      </c>
      <c r="N14" s="248">
        <f t="shared" si="0"/>
        <v>4618751.8358315686</v>
      </c>
    </row>
    <row r="15" spans="1:22">
      <c r="A15" s="209" t="s">
        <v>11</v>
      </c>
      <c r="B15" s="61">
        <f>ROUND(+'CALCULO GARANTIA'!B16+'CALCULO GARANTIA'!I16+'Ajuste 2021'!AL17,2)</f>
        <v>2637881.69</v>
      </c>
      <c r="C15" s="61">
        <f>ROUND(+'CALCULO GARANTIA'!C16+'CALCULO GARANTIA'!J16+'Ajuste 2021'!AM17,2)</f>
        <v>375439.41</v>
      </c>
      <c r="D15" s="61">
        <f>+'Art.14 Frac.III'!P15+'Ajuste 2021'!AN17</f>
        <v>2470093.9223393835</v>
      </c>
      <c r="E15" s="61">
        <f>ROUND(+'PART MES'!$F$6*'CALCULO GARANTIA'!S16+'Ajuste 2021'!AO17,2)</f>
        <v>64786.73</v>
      </c>
      <c r="F15" s="61">
        <f>ROUND(+'CALCULO GARANTIA'!E16+'CALCULO GARANTIA'!L16+'Ajuste 2021'!AP17,2)</f>
        <v>253366.71</v>
      </c>
      <c r="G15" s="61">
        <f>+'Ajuste 2021'!AQ17</f>
        <v>21.258614050646429</v>
      </c>
      <c r="H15" s="61">
        <f>ROUND(+'CALCULO GARANTIA'!F16+'CALCULO GARANTIA'!M16+'Ajuste 2021'!AR17,2)</f>
        <v>64992.160000000003</v>
      </c>
      <c r="I15" s="61">
        <f>ROUND(+'CALCULO GARANTIA'!G16+'CALCULO GARANTIA'!N16+'Ajuste 2021'!AS17,2)</f>
        <v>13407.08</v>
      </c>
      <c r="J15" s="61">
        <f>ROUND(+'PART MES'!F$12*'COEF Art 14 F II'!L17+'Ajuste 2021'!AT17,2)</f>
        <v>27316.65</v>
      </c>
      <c r="K15" s="61">
        <f>+'ISR ENERO '!D16</f>
        <v>0</v>
      </c>
      <c r="L15" s="61">
        <f>+ISAI!D14</f>
        <v>6806.4485627249351</v>
      </c>
      <c r="M15" s="61">
        <f>+'PART MES'!$N$4*'COEF Art 14 F I '!AF17</f>
        <v>-11053.925856820249</v>
      </c>
      <c r="N15" s="248">
        <f t="shared" si="0"/>
        <v>5903058.1336593386</v>
      </c>
    </row>
    <row r="16" spans="1:22">
      <c r="A16" s="209" t="s">
        <v>12</v>
      </c>
      <c r="B16" s="61">
        <f>ROUND(+'CALCULO GARANTIA'!B17+'CALCULO GARANTIA'!I17+'Ajuste 2021'!AL18,2)</f>
        <v>5110906.0999999996</v>
      </c>
      <c r="C16" s="61">
        <f>ROUND(+'CALCULO GARANTIA'!C17+'CALCULO GARANTIA'!J17+'Ajuste 2021'!AM18,2)</f>
        <v>716895.35</v>
      </c>
      <c r="D16" s="61">
        <f>+'Art.14 Frac.III'!P16+'Ajuste 2021'!AN18</f>
        <v>415776.24563668971</v>
      </c>
      <c r="E16" s="61">
        <f>ROUND(+'PART MES'!$F$6*'CALCULO GARANTIA'!S17+'Ajuste 2021'!AO18,2)</f>
        <v>136255.98000000001</v>
      </c>
      <c r="F16" s="61">
        <f>ROUND(+'CALCULO GARANTIA'!E17+'CALCULO GARANTIA'!L17+'Ajuste 2021'!AP18,2)</f>
        <v>418791.91</v>
      </c>
      <c r="G16" s="61">
        <f>+'Ajuste 2021'!AQ18</f>
        <v>44.709975914282644</v>
      </c>
      <c r="H16" s="61">
        <f>ROUND(+'CALCULO GARANTIA'!F17+'CALCULO GARANTIA'!M17+'Ajuste 2021'!AR18,2)</f>
        <v>131777.34</v>
      </c>
      <c r="I16" s="61">
        <f>ROUND(+'CALCULO GARANTIA'!G17+'CALCULO GARANTIA'!N17+'Ajuste 2021'!AS18,2)</f>
        <v>27591.9</v>
      </c>
      <c r="J16" s="61">
        <f>ROUND(+'PART MES'!F$12*'COEF Art 14 F II'!L18+'Ajuste 2021'!AT18,2)</f>
        <v>35838.07</v>
      </c>
      <c r="K16" s="61">
        <f>+'ISR ENERO '!D17</f>
        <v>0</v>
      </c>
      <c r="L16" s="61">
        <f>+ISAI!D15</f>
        <v>9027.6985879605945</v>
      </c>
      <c r="M16" s="61">
        <f>+'PART MES'!$N$4*'COEF Art 14 F I '!AF18</f>
        <v>-13756.106775146924</v>
      </c>
      <c r="N16" s="248">
        <f t="shared" si="0"/>
        <v>6989149.1974254176</v>
      </c>
    </row>
    <row r="17" spans="1:14">
      <c r="A17" s="209" t="s">
        <v>13</v>
      </c>
      <c r="B17" s="61">
        <f>ROUND(+'CALCULO GARANTIA'!B18+'CALCULO GARANTIA'!I18+'Ajuste 2021'!AL19,2)</f>
        <v>3361416.75</v>
      </c>
      <c r="C17" s="61">
        <f>ROUND(+'CALCULO GARANTIA'!C18+'CALCULO GARANTIA'!J18+'Ajuste 2021'!AM19,2)</f>
        <v>488809.82</v>
      </c>
      <c r="D17" s="61">
        <f>+'Art.14 Frac.III'!P17+'Ajuste 2021'!AN19</f>
        <v>406557.5454959519</v>
      </c>
      <c r="E17" s="61">
        <f>ROUND(+'PART MES'!$F$6*'CALCULO GARANTIA'!S18+'Ajuste 2021'!AO19,2)</f>
        <v>72173.45</v>
      </c>
      <c r="F17" s="61">
        <f>ROUND(+'CALCULO GARANTIA'!E18+'CALCULO GARANTIA'!L18+'Ajuste 2021'!AP19,2)</f>
        <v>394094.99</v>
      </c>
      <c r="G17" s="61">
        <f>+'Ajuste 2021'!AQ19</f>
        <v>-64.285465036319991</v>
      </c>
      <c r="H17" s="61">
        <f>ROUND(+'CALCULO GARANTIA'!F18+'CALCULO GARANTIA'!M18+'Ajuste 2021'!AR19,2)</f>
        <v>77034.789999999994</v>
      </c>
      <c r="I17" s="61">
        <f>ROUND(+'CALCULO GARANTIA'!G18+'CALCULO GARANTIA'!N18+'Ajuste 2021'!AS19,2)</f>
        <v>15488.39</v>
      </c>
      <c r="J17" s="61">
        <f>ROUND(+'PART MES'!F$12*'COEF Art 14 F II'!L19+'Ajuste 2021'!AT19,2)</f>
        <v>126073.49</v>
      </c>
      <c r="K17" s="61">
        <f>+'ISR ENERO '!D18</f>
        <v>0</v>
      </c>
      <c r="L17" s="61">
        <f>+ISAI!D16</f>
        <v>269229.91326316865</v>
      </c>
      <c r="M17" s="61">
        <f>+'PART MES'!$N$4*'COEF Art 14 F I '!AF19</f>
        <v>-21653.94317938323</v>
      </c>
      <c r="N17" s="248">
        <f t="shared" si="0"/>
        <v>5189160.9101147009</v>
      </c>
    </row>
    <row r="18" spans="1:14">
      <c r="A18" s="209" t="s">
        <v>14</v>
      </c>
      <c r="B18" s="61">
        <f>ROUND(+'CALCULO GARANTIA'!B19+'CALCULO GARANTIA'!I19+'Ajuste 2021'!AL20,2)</f>
        <v>14320148.800000001</v>
      </c>
      <c r="C18" s="61">
        <f>ROUND(+'CALCULO GARANTIA'!C19+'CALCULO GARANTIA'!J19+'Ajuste 2021'!AM20,2)</f>
        <v>1998472.09</v>
      </c>
      <c r="D18" s="61">
        <f>+'Art.14 Frac.III'!P18+'Ajuste 2021'!AN20</f>
        <v>144668.94619942349</v>
      </c>
      <c r="E18" s="61">
        <f>ROUND(+'PART MES'!$F$6*'CALCULO GARANTIA'!S19+'Ajuste 2021'!AO20,2)</f>
        <v>393191.54</v>
      </c>
      <c r="F18" s="61">
        <f>ROUND(+'CALCULO GARANTIA'!E19+'CALCULO GARANTIA'!L19+'Ajuste 2021'!AP20,2)</f>
        <v>1103606.98</v>
      </c>
      <c r="G18" s="61">
        <f>+'Ajuste 2021'!AQ20</f>
        <v>-286.97692961081822</v>
      </c>
      <c r="H18" s="61">
        <f>ROUND(+'CALCULO GARANTIA'!F19+'CALCULO GARANTIA'!M19+'Ajuste 2021'!AR20,2)</f>
        <v>374891.68</v>
      </c>
      <c r="I18" s="61">
        <f>ROUND(+'CALCULO GARANTIA'!G19+'CALCULO GARANTIA'!N19+'Ajuste 2021'!AS20,2)</f>
        <v>78873.119999999995</v>
      </c>
      <c r="J18" s="61">
        <f>ROUND(+'PART MES'!F$12*'COEF Art 14 F II'!L20+'Ajuste 2021'!AT20,2)</f>
        <v>101073.03</v>
      </c>
      <c r="K18" s="61">
        <f>+'ISR ENERO '!D19</f>
        <v>0</v>
      </c>
      <c r="L18" s="61">
        <f>+ISAI!D17</f>
        <v>1588.3566179836862</v>
      </c>
      <c r="M18" s="61">
        <f>+'PART MES'!$N$4*'COEF Art 14 F I '!AF20</f>
        <v>-31127.381454237002</v>
      </c>
      <c r="N18" s="248">
        <f t="shared" si="0"/>
        <v>18485100.184433561</v>
      </c>
    </row>
    <row r="19" spans="1:14">
      <c r="A19" s="209" t="s">
        <v>15</v>
      </c>
      <c r="B19" s="61">
        <f>ROUND(+'CALCULO GARANTIA'!B20+'CALCULO GARANTIA'!I20+'Ajuste 2021'!AL21,2)</f>
        <v>1800727.27</v>
      </c>
      <c r="C19" s="61">
        <f>ROUND(+'CALCULO GARANTIA'!C20+'CALCULO GARANTIA'!J20+'Ajuste 2021'!AM21,2)</f>
        <v>252122.81</v>
      </c>
      <c r="D19" s="61">
        <f>+'Art.14 Frac.III'!P19+'Ajuste 2021'!AN21</f>
        <v>302406.99328337499</v>
      </c>
      <c r="E19" s="61">
        <f>ROUND(+'PART MES'!$F$6*'CALCULO GARANTIA'!S20+'Ajuste 2021'!AO21,2)</f>
        <v>48477.56</v>
      </c>
      <c r="F19" s="61">
        <f>ROUND(+'CALCULO GARANTIA'!E20+'CALCULO GARANTIA'!L20+'Ajuste 2021'!AP21,2)</f>
        <v>144392.07999999999</v>
      </c>
      <c r="G19" s="61">
        <f>+'Ajuste 2021'!AQ21</f>
        <v>15.90704798499913</v>
      </c>
      <c r="H19" s="61">
        <f>ROUND(+'CALCULO GARANTIA'!F20+'CALCULO GARANTIA'!M20+'Ajuste 2021'!AR21,2)</f>
        <v>46685.82</v>
      </c>
      <c r="I19" s="61">
        <f>ROUND(+'CALCULO GARANTIA'!G20+'CALCULO GARANTIA'!N20+'Ajuste 2021'!AS21,2)</f>
        <v>9792.2900000000009</v>
      </c>
      <c r="J19" s="61">
        <f>ROUND(+'PART MES'!F$12*'COEF Art 14 F II'!L21+'Ajuste 2021'!AT21,2)</f>
        <v>8581.98</v>
      </c>
      <c r="K19" s="61">
        <f>+'ISR ENERO '!D20</f>
        <v>0</v>
      </c>
      <c r="L19" s="61">
        <f>+ISAI!D18</f>
        <v>740.11482469547457</v>
      </c>
      <c r="M19" s="61">
        <f>+'PART MES'!$N$4*'COEF Art 14 F I '!AF21</f>
        <v>-4510.8562223342351</v>
      </c>
      <c r="N19" s="248">
        <f t="shared" si="0"/>
        <v>2609431.9689337215</v>
      </c>
    </row>
    <row r="20" spans="1:14">
      <c r="A20" s="209" t="s">
        <v>16</v>
      </c>
      <c r="B20" s="61">
        <f>ROUND(+'CALCULO GARANTIA'!B21+'CALCULO GARANTIA'!I21+'Ajuste 2021'!AL22,2)</f>
        <v>1285199.98</v>
      </c>
      <c r="C20" s="61">
        <f>ROUND(+'CALCULO GARANTIA'!C21+'CALCULO GARANTIA'!J21+'Ajuste 2021'!AM22,2)</f>
        <v>179675.67</v>
      </c>
      <c r="D20" s="61">
        <f>+'Art.14 Frac.III'!P20+'Ajuste 2021'!AN22</f>
        <v>399897.6834187705</v>
      </c>
      <c r="E20" s="61">
        <f>ROUND(+'PART MES'!$F$6*'CALCULO GARANTIA'!S21+'Ajuste 2021'!AO22,2)</f>
        <v>34964.03</v>
      </c>
      <c r="F20" s="61">
        <f>ROUND(+'CALCULO GARANTIA'!E21+'CALCULO GARANTIA'!L21+'Ajuste 2021'!AP22,2)</f>
        <v>101222.14</v>
      </c>
      <c r="G20" s="61">
        <f>+'Ajuste 2021'!AQ22</f>
        <v>-25.801965837381431</v>
      </c>
      <c r="H20" s="61">
        <f>ROUND(+'CALCULO GARANTIA'!F21+'CALCULO GARANTIA'!M21+'Ajuste 2021'!AR22,2)</f>
        <v>33468.97</v>
      </c>
      <c r="I20" s="61">
        <f>ROUND(+'CALCULO GARANTIA'!G21+'CALCULO GARANTIA'!N21+'Ajuste 2021'!AS22,2)</f>
        <v>7029.92</v>
      </c>
      <c r="J20" s="61">
        <f>ROUND(+'PART MES'!F$12*'COEF Art 14 F II'!L22+'Ajuste 2021'!AT22,2)</f>
        <v>9309.86</v>
      </c>
      <c r="K20" s="61">
        <f>+'ISR ENERO '!D21</f>
        <v>277927</v>
      </c>
      <c r="L20" s="61">
        <f>+ISAI!D19</f>
        <v>22502.699180493666</v>
      </c>
      <c r="M20" s="61">
        <f>+'PART MES'!$N$4*'COEF Art 14 F I '!AF22</f>
        <v>-3024.7945000229156</v>
      </c>
      <c r="N20" s="248">
        <f t="shared" si="0"/>
        <v>2348147.3561334037</v>
      </c>
    </row>
    <row r="21" spans="1:14">
      <c r="A21" s="209" t="s">
        <v>17</v>
      </c>
      <c r="B21" s="61">
        <f>ROUND(+'CALCULO GARANTIA'!B22+'CALCULO GARANTIA'!I22+'Ajuste 2021'!AL23,2)</f>
        <v>11067910.720000001</v>
      </c>
      <c r="C21" s="61">
        <f>ROUND(+'CALCULO GARANTIA'!C22+'CALCULO GARANTIA'!J22+'Ajuste 2021'!AM23,2)</f>
        <v>1551493.18</v>
      </c>
      <c r="D21" s="61">
        <f>+'Art.14 Frac.III'!P21+'Ajuste 2021'!AN23</f>
        <v>168144.61905378115</v>
      </c>
      <c r="E21" s="61">
        <f>ROUND(+'PART MES'!$F$6*'CALCULO GARANTIA'!S22+'Ajuste 2021'!AO23,2)</f>
        <v>296066.32</v>
      </c>
      <c r="F21" s="61">
        <f>ROUND(+'CALCULO GARANTIA'!E22+'CALCULO GARANTIA'!L22+'Ajuste 2021'!AP23,2)</f>
        <v>900211.35</v>
      </c>
      <c r="G21" s="61">
        <f>+'Ajuste 2021'!AQ23</f>
        <v>97.148896979216559</v>
      </c>
      <c r="H21" s="61">
        <f>ROUND(+'CALCULO GARANTIA'!F22+'CALCULO GARANTIA'!M22+'Ajuste 2021'!AR23,2)</f>
        <v>285914.33</v>
      </c>
      <c r="I21" s="61">
        <f>ROUND(+'CALCULO GARANTIA'!G22+'CALCULO GARANTIA'!N22+'Ajuste 2021'!AS23,2)</f>
        <v>59901.760000000002</v>
      </c>
      <c r="J21" s="61">
        <f>ROUND(+'PART MES'!F$12*'COEF Art 14 F II'!L23+'Ajuste 2021'!AT23,2)</f>
        <v>108842.17</v>
      </c>
      <c r="K21" s="61">
        <f>+'ISR ENERO '!D22</f>
        <v>232392</v>
      </c>
      <c r="L21" s="61">
        <f>+ISAI!D20</f>
        <v>8320.4938079234162</v>
      </c>
      <c r="M21" s="61">
        <f>+'PART MES'!$N$4*'COEF Art 14 F I '!AF23</f>
        <v>-29077.408196667835</v>
      </c>
      <c r="N21" s="248">
        <f t="shared" si="0"/>
        <v>14650216.683562016</v>
      </c>
    </row>
    <row r="22" spans="1:14">
      <c r="A22" s="209" t="s">
        <v>18</v>
      </c>
      <c r="B22" s="61">
        <f>ROUND(+'CALCULO GARANTIA'!B23+'CALCULO GARANTIA'!I23+'Ajuste 2021'!AL24,2)</f>
        <v>17880028</v>
      </c>
      <c r="C22" s="61">
        <f>ROUND(+'CALCULO GARANTIA'!C23+'CALCULO GARANTIA'!J23+'Ajuste 2021'!AM24,2)</f>
        <v>2602517.88</v>
      </c>
      <c r="D22" s="61">
        <f>+'Art.14 Frac.III'!P22+'Ajuste 2021'!AN24</f>
        <v>630864.65090769017</v>
      </c>
      <c r="E22" s="61">
        <f>ROUND(+'PART MES'!$F$6*'CALCULO GARANTIA'!S23+'Ajuste 2021'!AO24,2)</f>
        <v>381672.61</v>
      </c>
      <c r="F22" s="61">
        <f>ROUND(+'CALCULO GARANTIA'!E23+'CALCULO GARANTIA'!L23+'Ajuste 2021'!AP24,2)</f>
        <v>2113016.9</v>
      </c>
      <c r="G22" s="61">
        <f>+'Ajuste 2021'!AQ24</f>
        <v>-447.91013831132051</v>
      </c>
      <c r="H22" s="61">
        <f>ROUND(+'CALCULO GARANTIA'!F23+'CALCULO GARANTIA'!M23+'Ajuste 2021'!AR24,2)</f>
        <v>408403.03</v>
      </c>
      <c r="I22" s="61">
        <f>ROUND(+'CALCULO GARANTIA'!G23+'CALCULO GARANTIA'!N23+'Ajuste 2021'!AS24,2)</f>
        <v>82010.490000000005</v>
      </c>
      <c r="J22" s="61">
        <f>ROUND(+'PART MES'!F$12*'COEF Art 14 F II'!L24+'Ajuste 2021'!AT24,2)</f>
        <v>725937.02</v>
      </c>
      <c r="K22" s="61">
        <f>+'ISR ENERO '!D23</f>
        <v>0</v>
      </c>
      <c r="L22" s="61">
        <f>+ISAI!D21</f>
        <v>1837331.331857308</v>
      </c>
      <c r="M22" s="61">
        <f>+'PART MES'!$N$4*'COEF Art 14 F I '!AF24</f>
        <v>-116961.01930630261</v>
      </c>
      <c r="N22" s="248">
        <f t="shared" si="0"/>
        <v>26544372.983320381</v>
      </c>
    </row>
    <row r="23" spans="1:14">
      <c r="A23" s="209" t="s">
        <v>19</v>
      </c>
      <c r="B23" s="61">
        <f>ROUND(+'CALCULO GARANTIA'!B24+'CALCULO GARANTIA'!I24+'Ajuste 2021'!AL25,2)</f>
        <v>2252050.59</v>
      </c>
      <c r="C23" s="61">
        <f>ROUND(+'CALCULO GARANTIA'!C24+'CALCULO GARANTIA'!J24+'Ajuste 2021'!AM25,2)</f>
        <v>318963.59000000003</v>
      </c>
      <c r="D23" s="61">
        <f>+'Art.14 Frac.III'!P23+'Ajuste 2021'!AN25</f>
        <v>221528.46124505703</v>
      </c>
      <c r="E23" s="61">
        <f>ROUND(+'PART MES'!$F$6*'CALCULO GARANTIA'!S24+'Ajuste 2021'!AO25,2)</f>
        <v>56904.05</v>
      </c>
      <c r="F23" s="61">
        <f>ROUND(+'CALCULO GARANTIA'!E24+'CALCULO GARANTIA'!L24+'Ajuste 2021'!AP25,2)</f>
        <v>205601.59</v>
      </c>
      <c r="G23" s="61">
        <f>+'Ajuste 2021'!AQ25</f>
        <v>18.672051732165226</v>
      </c>
      <c r="H23" s="61">
        <f>ROUND(+'CALCULO GARANTIA'!F24+'CALCULO GARANTIA'!M24+'Ajuste 2021'!AR25,2)</f>
        <v>56355.35</v>
      </c>
      <c r="I23" s="61">
        <f>ROUND(+'CALCULO GARANTIA'!G24+'CALCULO GARANTIA'!N24+'Ajuste 2021'!AS25,2)</f>
        <v>11685.97</v>
      </c>
      <c r="J23" s="61">
        <f>ROUND(+'PART MES'!F$12*'COEF Art 14 F II'!L25+'Ajuste 2021'!AT25,2)</f>
        <v>20411.150000000001</v>
      </c>
      <c r="K23" s="61">
        <f>+'ISR ENERO '!D24</f>
        <v>0</v>
      </c>
      <c r="L23" s="61">
        <f>+ISAI!D22</f>
        <v>9084.6345962970936</v>
      </c>
      <c r="M23" s="61">
        <f>+'PART MES'!$N$4*'COEF Art 14 F I '!AF25</f>
        <v>-8299.6401003440224</v>
      </c>
      <c r="N23" s="248">
        <f t="shared" si="0"/>
        <v>3144304.4177927417</v>
      </c>
    </row>
    <row r="24" spans="1:14">
      <c r="A24" s="209" t="s">
        <v>20</v>
      </c>
      <c r="B24" s="61">
        <f>ROUND(+'CALCULO GARANTIA'!B25+'CALCULO GARANTIA'!I25+'Ajuste 2021'!AL26,2)</f>
        <v>33014172.260000002</v>
      </c>
      <c r="C24" s="61">
        <f>ROUND(+'CALCULO GARANTIA'!C25+'CALCULO GARANTIA'!J25+'Ajuste 2021'!AM26,2)</f>
        <v>4731116.21</v>
      </c>
      <c r="D24" s="61">
        <f>+'Art.14 Frac.III'!P24+'Ajuste 2021'!AN26</f>
        <v>870626.61931214237</v>
      </c>
      <c r="E24" s="61">
        <f>ROUND(+'PART MES'!$F$6*'CALCULO GARANTIA'!S25+'Ajuste 2021'!AO26,2)</f>
        <v>777844.68</v>
      </c>
      <c r="F24" s="61">
        <f>ROUND(+'CALCULO GARANTIA'!E25+'CALCULO GARANTIA'!L25+'Ajuste 2021'!AP26,2)</f>
        <v>3392642.01</v>
      </c>
      <c r="G24" s="61">
        <f>+'Ajuste 2021'!AQ26</f>
        <v>255.23589683130072</v>
      </c>
      <c r="H24" s="61">
        <f>ROUND(+'CALCULO GARANTIA'!F25+'CALCULO GARANTIA'!M25+'Ajuste 2021'!AR26,2)</f>
        <v>795406.2</v>
      </c>
      <c r="I24" s="61">
        <f>ROUND(+'CALCULO GARANTIA'!G25+'CALCULO GARANTIA'!N25+'Ajuste 2021'!AS26,2)</f>
        <v>162828.66</v>
      </c>
      <c r="J24" s="61">
        <f>ROUND(+'PART MES'!F$12*'COEF Art 14 F II'!L26+'Ajuste 2021'!AT26,2)</f>
        <v>986192.67</v>
      </c>
      <c r="K24" s="61">
        <f>+'ISR ENERO '!D25</f>
        <v>0</v>
      </c>
      <c r="L24" s="61">
        <f>+ISAI!D23</f>
        <v>687851.14836692112</v>
      </c>
      <c r="M24" s="61">
        <f>+'PART MES'!$N$4*'COEF Art 14 F I '!AF26</f>
        <v>-161893.69575112939</v>
      </c>
      <c r="N24" s="248">
        <f t="shared" si="0"/>
        <v>45257041.997824766</v>
      </c>
    </row>
    <row r="25" spans="1:14">
      <c r="A25" s="209" t="s">
        <v>21</v>
      </c>
      <c r="B25" s="61">
        <f>ROUND(+'CALCULO GARANTIA'!B26+'CALCULO GARANTIA'!I26+'Ajuste 2021'!AL27,2)</f>
        <v>4383086.3</v>
      </c>
      <c r="C25" s="61">
        <f>ROUND(+'CALCULO GARANTIA'!C26+'CALCULO GARANTIA'!J26+'Ajuste 2021'!AM27,2)</f>
        <v>616772.74</v>
      </c>
      <c r="D25" s="61">
        <f>+'Art.14 Frac.III'!P25+'Ajuste 2021'!AN27</f>
        <v>415754.41095184849</v>
      </c>
      <c r="E25" s="61">
        <f>ROUND(+'PART MES'!$F$6*'CALCULO GARANTIA'!S26+'Ajuste 2021'!AO27,2)</f>
        <v>114845.83</v>
      </c>
      <c r="F25" s="61">
        <f>ROUND(+'CALCULO GARANTIA'!E26+'CALCULO GARANTIA'!L26+'Ajuste 2021'!AP27,2)</f>
        <v>372636.49</v>
      </c>
      <c r="G25" s="61">
        <f>+'Ajuste 2021'!AQ27</f>
        <v>37.684615330076973</v>
      </c>
      <c r="H25" s="61">
        <f>ROUND(+'CALCULO GARANTIA'!F26+'CALCULO GARANTIA'!M26+'Ajuste 2021'!AR27,2)</f>
        <v>111916.82</v>
      </c>
      <c r="I25" s="61">
        <f>ROUND(+'CALCULO GARANTIA'!G26+'CALCULO GARANTIA'!N26+'Ajuste 2021'!AS27,2)</f>
        <v>23360.57</v>
      </c>
      <c r="J25" s="61">
        <f>ROUND(+'PART MES'!F$12*'COEF Art 14 F II'!L27+'Ajuste 2021'!AT27,2)</f>
        <v>42264.27</v>
      </c>
      <c r="K25" s="61">
        <f>+'ISR ENERO '!D26</f>
        <v>0</v>
      </c>
      <c r="L25" s="61">
        <f>+ISAI!D24</f>
        <v>16861.608372165654</v>
      </c>
      <c r="M25" s="61">
        <f>+'PART MES'!$N$4*'COEF Art 14 F I '!AF27</f>
        <v>-13229.620380393084</v>
      </c>
      <c r="N25" s="248">
        <f t="shared" si="0"/>
        <v>6084307.1035589511</v>
      </c>
    </row>
    <row r="26" spans="1:14">
      <c r="A26" s="209" t="s">
        <v>22</v>
      </c>
      <c r="B26" s="61">
        <f>ROUND(+'CALCULO GARANTIA'!B27+'CALCULO GARANTIA'!I27+'Ajuste 2021'!AL28,2)</f>
        <v>772652.46</v>
      </c>
      <c r="C26" s="61">
        <f>ROUND(+'CALCULO GARANTIA'!C27+'CALCULO GARANTIA'!J27+'Ajuste 2021'!AM28,2)</f>
        <v>109137.21</v>
      </c>
      <c r="D26" s="61">
        <f>+'Art.14 Frac.III'!P26+'Ajuste 2021'!AN28</f>
        <v>379897.28631003475</v>
      </c>
      <c r="E26" s="61">
        <f>ROUND(+'PART MES'!$F$6*'CALCULO GARANTIA'!S27+'Ajuste 2021'!AO28,2)</f>
        <v>19940.990000000002</v>
      </c>
      <c r="F26" s="61">
        <f>ROUND(+'CALCULO GARANTIA'!E27+'CALCULO GARANTIA'!L27+'Ajuste 2021'!AP28,2)</f>
        <v>68514.05</v>
      </c>
      <c r="G26" s="61">
        <f>+'Ajuste 2021'!AQ28</f>
        <v>-40.443484525992972</v>
      </c>
      <c r="H26" s="61">
        <f>ROUND(+'CALCULO GARANTIA'!F27+'CALCULO GARANTIA'!M27+'Ajuste 2021'!AR28,2)</f>
        <v>19499.330000000002</v>
      </c>
      <c r="I26" s="61">
        <f>ROUND(+'CALCULO GARANTIA'!G27+'CALCULO GARANTIA'!N27+'Ajuste 2021'!AS28,2)</f>
        <v>4054.7</v>
      </c>
      <c r="J26" s="61">
        <f>ROUND(+'PART MES'!F$12*'COEF Art 14 F II'!L28+'Ajuste 2021'!AT28,2)</f>
        <v>5907.26</v>
      </c>
      <c r="K26" s="61">
        <f>+'ISR ENERO '!D27</f>
        <v>0</v>
      </c>
      <c r="L26" s="61">
        <f>+ISAI!D25</f>
        <v>847.95230640733701</v>
      </c>
      <c r="M26" s="61">
        <f>+'PART MES'!$N$4*'COEF Art 14 F I '!AF28</f>
        <v>-2632.3169827376805</v>
      </c>
      <c r="N26" s="248">
        <f t="shared" si="0"/>
        <v>1377778.4781491784</v>
      </c>
    </row>
    <row r="27" spans="1:14">
      <c r="A27" s="209" t="s">
        <v>23</v>
      </c>
      <c r="B27" s="61">
        <f>ROUND(+'CALCULO GARANTIA'!B28+'CALCULO GARANTIA'!I28+'Ajuste 2021'!AL29,2)</f>
        <v>3169888.55</v>
      </c>
      <c r="C27" s="61">
        <f>ROUND(+'CALCULO GARANTIA'!C28+'CALCULO GARANTIA'!J28+'Ajuste 2021'!AM29,2)</f>
        <v>443279.55</v>
      </c>
      <c r="D27" s="61">
        <f>+'Art.14 Frac.III'!P27+'Ajuste 2021'!AN29</f>
        <v>111385.21621814718</v>
      </c>
      <c r="E27" s="61">
        <f>ROUND(+'PART MES'!$F$6*'CALCULO GARANTIA'!S28+'Ajuste 2021'!AO29,2)</f>
        <v>85937.73</v>
      </c>
      <c r="F27" s="61">
        <f>ROUND(+'CALCULO GARANTIA'!E28+'CALCULO GARANTIA'!L28+'Ajuste 2021'!AP29,2)</f>
        <v>250465.26</v>
      </c>
      <c r="G27" s="61">
        <f>+'Ajuste 2021'!AQ29</f>
        <v>8.758218672912335</v>
      </c>
      <c r="H27" s="61">
        <f>ROUND(+'CALCULO GARANTIA'!F28+'CALCULO GARANTIA'!M28+'Ajuste 2021'!AR29,2)</f>
        <v>82484.34</v>
      </c>
      <c r="I27" s="61">
        <f>ROUND(+'CALCULO GARANTIA'!G28+'CALCULO GARANTIA'!N28+'Ajuste 2021'!AS29,2)</f>
        <v>17320.95</v>
      </c>
      <c r="J27" s="61">
        <f>ROUND(+'PART MES'!F$12*'COEF Art 14 F II'!L29+'Ajuste 2021'!AT29,2)</f>
        <v>20405.310000000001</v>
      </c>
      <c r="K27" s="61">
        <f>+'ISR ENERO '!D28</f>
        <v>0</v>
      </c>
      <c r="L27" s="61">
        <f>+ISAI!D26</f>
        <v>146.50750111771546</v>
      </c>
      <c r="M27" s="61">
        <f>+'PART MES'!$N$4*'COEF Art 14 F I '!AF29</f>
        <v>-7546.0850015738079</v>
      </c>
      <c r="N27" s="248">
        <f t="shared" si="0"/>
        <v>4173776.0869363635</v>
      </c>
    </row>
    <row r="28" spans="1:14">
      <c r="A28" s="209" t="s">
        <v>24</v>
      </c>
      <c r="B28" s="61">
        <f>ROUND(+'CALCULO GARANTIA'!B29+'CALCULO GARANTIA'!I29+'Ajuste 2021'!AL30,2)</f>
        <v>4292186.04</v>
      </c>
      <c r="C28" s="61">
        <f>ROUND(+'CALCULO GARANTIA'!C29+'CALCULO GARANTIA'!J29+'Ajuste 2021'!AM30,2)</f>
        <v>623687.77</v>
      </c>
      <c r="D28" s="61">
        <f>+'Art.14 Frac.III'!P28+'Ajuste 2021'!AN30</f>
        <v>1346665.8456339578</v>
      </c>
      <c r="E28" s="61">
        <f>ROUND(+'PART MES'!$F$6*'CALCULO GARANTIA'!S29+'Ajuste 2021'!AO30,2)</f>
        <v>93128.31</v>
      </c>
      <c r="F28" s="61">
        <f>ROUND(+'CALCULO GARANTIA'!E29+'CALCULO GARANTIA'!L29+'Ajuste 2021'!AP30,2)</f>
        <v>499980.64</v>
      </c>
      <c r="G28" s="61">
        <f>+'Ajuste 2021'!AQ30</f>
        <v>-278.79995003231789</v>
      </c>
      <c r="H28" s="61">
        <f>ROUND(+'CALCULO GARANTIA'!F29+'CALCULO GARANTIA'!M29+'Ajuste 2021'!AR30,2)</f>
        <v>98628.51</v>
      </c>
      <c r="I28" s="61">
        <f>ROUND(+'CALCULO GARANTIA'!G29+'CALCULO GARANTIA'!N29+'Ajuste 2021'!AS30,2)</f>
        <v>19849.66</v>
      </c>
      <c r="J28" s="61">
        <f>ROUND(+'PART MES'!F$12*'COEF Art 14 F II'!L30+'Ajuste 2021'!AT30,2)</f>
        <v>195236.57</v>
      </c>
      <c r="K28" s="61">
        <f>+'ISR ENERO '!D29</f>
        <v>0</v>
      </c>
      <c r="L28" s="61">
        <f>+ISAI!D27</f>
        <v>44056.601309404963</v>
      </c>
      <c r="M28" s="61">
        <f>+'PART MES'!$N$4*'COEF Art 14 F I '!AF30</f>
        <v>-27305.81246266613</v>
      </c>
      <c r="N28" s="248">
        <f t="shared" si="0"/>
        <v>7185835.3345306637</v>
      </c>
    </row>
    <row r="29" spans="1:14">
      <c r="A29" s="209" t="s">
        <v>25</v>
      </c>
      <c r="B29" s="61">
        <f>ROUND(+'CALCULO GARANTIA'!B30+'CALCULO GARANTIA'!I30+'Ajuste 2021'!AL31,2)</f>
        <v>53373862.149999999</v>
      </c>
      <c r="C29" s="61">
        <f>ROUND(+'CALCULO GARANTIA'!C30+'CALCULO GARANTIA'!J30+'Ajuste 2021'!AM31,2)</f>
        <v>7577387.7599999998</v>
      </c>
      <c r="D29" s="61">
        <f>+'Art.14 Frac.III'!P29+'Ajuste 2021'!AN31</f>
        <v>1348675.632127631</v>
      </c>
      <c r="E29" s="61">
        <f>ROUND(+'PART MES'!$F$6*'CALCULO GARANTIA'!S30+'Ajuste 2021'!AO31,2)</f>
        <v>1330359.1299999999</v>
      </c>
      <c r="F29" s="61">
        <f>ROUND(+'CALCULO GARANTIA'!E30+'CALCULO GARANTIA'!L30+'Ajuste 2021'!AP31,2)</f>
        <v>4995565.7300000004</v>
      </c>
      <c r="G29" s="61">
        <f>+'Ajuste 2021'!AQ31</f>
        <v>436.53368614559685</v>
      </c>
      <c r="H29" s="61">
        <f>ROUND(+'CALCULO GARANTIA'!F30+'CALCULO GARANTIA'!M30+'Ajuste 2021'!AR31,2)</f>
        <v>1325658.8999999999</v>
      </c>
      <c r="I29" s="61">
        <f>ROUND(+'CALCULO GARANTIA'!G30+'CALCULO GARANTIA'!N30+'Ajuste 2021'!AS31,2)</f>
        <v>274207.75</v>
      </c>
      <c r="J29" s="61">
        <f>ROUND(+'PART MES'!F$12*'COEF Art 14 F II'!L31+'Ajuste 2021'!AT31,2)</f>
        <v>1377476.69</v>
      </c>
      <c r="K29" s="61">
        <f>+'ISR ENERO '!D30</f>
        <v>5111492</v>
      </c>
      <c r="L29" s="61">
        <f>+ISAI!D28</f>
        <v>1367299.6682606428</v>
      </c>
      <c r="M29" s="61">
        <f>+'PART MES'!$N$4*'COEF Art 14 F I '!AF31</f>
        <v>-209747.46315980208</v>
      </c>
      <c r="N29" s="248">
        <f t="shared" si="0"/>
        <v>77872674.480914623</v>
      </c>
    </row>
    <row r="30" spans="1:14">
      <c r="A30" s="209" t="s">
        <v>26</v>
      </c>
      <c r="B30" s="61">
        <f>ROUND(+'CALCULO GARANTIA'!B31+'CALCULO GARANTIA'!I31+'Ajuste 2021'!AL32,2)</f>
        <v>1252608.52</v>
      </c>
      <c r="C30" s="61">
        <f>ROUND(+'CALCULO GARANTIA'!C31+'CALCULO GARANTIA'!J31+'Ajuste 2021'!AM32,2)</f>
        <v>174855.72</v>
      </c>
      <c r="D30" s="61">
        <f>+'Art.14 Frac.III'!P30+'Ajuste 2021'!AN32</f>
        <v>399695.0603958423</v>
      </c>
      <c r="E30" s="61">
        <f>ROUND(+'PART MES'!$F$6*'CALCULO GARANTIA'!S31+'Ajuste 2021'!AO32,2)</f>
        <v>34256.199999999997</v>
      </c>
      <c r="F30" s="61">
        <f>ROUND(+'CALCULO GARANTIA'!E31+'CALCULO GARANTIA'!L31+'Ajuste 2021'!AP32,2)</f>
        <v>96848.81</v>
      </c>
      <c r="G30" s="61">
        <f>+'Ajuste 2021'!AQ32</f>
        <v>11.240563418716192</v>
      </c>
      <c r="H30" s="61">
        <f>ROUND(+'CALCULO GARANTIA'!F31+'CALCULO GARANTIA'!M31+'Ajuste 2021'!AR32,2)</f>
        <v>32766.91</v>
      </c>
      <c r="I30" s="61">
        <f>ROUND(+'CALCULO GARANTIA'!G31+'CALCULO GARANTIA'!N31+'Ajuste 2021'!AS32,2)</f>
        <v>6892.13</v>
      </c>
      <c r="J30" s="61">
        <f>ROUND(+'PART MES'!F$12*'COEF Art 14 F II'!L32+'Ajuste 2021'!AT32,2)</f>
        <v>6858.61</v>
      </c>
      <c r="K30" s="61">
        <f>+'ISR ENERO '!D31</f>
        <v>0</v>
      </c>
      <c r="L30" s="61">
        <f>+ISAI!D29</f>
        <v>60.074317519132208</v>
      </c>
      <c r="M30" s="61">
        <f>+'PART MES'!$N$4*'COEF Art 14 F I '!AF32</f>
        <v>-2756.1671867720984</v>
      </c>
      <c r="N30" s="248">
        <f t="shared" si="0"/>
        <v>2002097.1080900079</v>
      </c>
    </row>
    <row r="31" spans="1:14">
      <c r="A31" s="209" t="s">
        <v>27</v>
      </c>
      <c r="B31" s="61">
        <f>ROUND(+'CALCULO GARANTIA'!B32+'CALCULO GARANTIA'!I32+'Ajuste 2021'!AL33,2)</f>
        <v>2178391.58</v>
      </c>
      <c r="C31" s="61">
        <f>ROUND(+'CALCULO GARANTIA'!C32+'CALCULO GARANTIA'!J32+'Ajuste 2021'!AM33,2)</f>
        <v>304684.5</v>
      </c>
      <c r="D31" s="61">
        <f>+'Art.14 Frac.III'!P31+'Ajuste 2021'!AN33</f>
        <v>440741.01270343311</v>
      </c>
      <c r="E31" s="61">
        <f>ROUND(+'PART MES'!$F$6*'CALCULO GARANTIA'!S32+'Ajuste 2021'!AO33,2)</f>
        <v>58966.75</v>
      </c>
      <c r="F31" s="61">
        <f>ROUND(+'CALCULO GARANTIA'!E32+'CALCULO GARANTIA'!L32+'Ajuste 2021'!AP33,2)</f>
        <v>172511.26</v>
      </c>
      <c r="G31" s="61">
        <f>+'Ajuste 2021'!AQ33</f>
        <v>19.348891314216115</v>
      </c>
      <c r="H31" s="61">
        <f>ROUND(+'CALCULO GARANTIA'!F32+'CALCULO GARANTIA'!M32+'Ajuste 2021'!AR33,2)</f>
        <v>56652.88</v>
      </c>
      <c r="I31" s="61">
        <f>ROUND(+'CALCULO GARANTIA'!G32+'CALCULO GARANTIA'!N32+'Ajuste 2021'!AS33,2)</f>
        <v>11894.5</v>
      </c>
      <c r="J31" s="61">
        <f>ROUND(+'PART MES'!F$12*'COEF Art 14 F II'!L33+'Ajuste 2021'!AT33,2)</f>
        <v>32852.54</v>
      </c>
      <c r="K31" s="61">
        <f>+'ISR ENERO '!D32</f>
        <v>847995</v>
      </c>
      <c r="L31" s="61">
        <f>+ISAI!D30</f>
        <v>18.092930054673104</v>
      </c>
      <c r="M31" s="61">
        <f>+'PART MES'!$N$4*'COEF Art 14 F I '!AF33</f>
        <v>-5227.0024195262258</v>
      </c>
      <c r="N31" s="248">
        <f t="shared" si="0"/>
        <v>4099500.4621052761</v>
      </c>
    </row>
    <row r="32" spans="1:14">
      <c r="A32" s="209" t="s">
        <v>28</v>
      </c>
      <c r="B32" s="61">
        <f>ROUND(+'CALCULO GARANTIA'!B33+'CALCULO GARANTIA'!I33+'Ajuste 2021'!AL34,2)</f>
        <v>1291352.49</v>
      </c>
      <c r="C32" s="61">
        <f>ROUND(+'CALCULO GARANTIA'!C33+'CALCULO GARANTIA'!J33+'Ajuste 2021'!AM34,2)</f>
        <v>181708.43</v>
      </c>
      <c r="D32" s="61">
        <f>+'Art.14 Frac.III'!P32+'Ajuste 2021'!AN34</f>
        <v>938946.48539045069</v>
      </c>
      <c r="E32" s="61">
        <f>ROUND(+'PART MES'!$F$6*'CALCULO GARANTIA'!S33+'Ajuste 2021'!AO34,2)</f>
        <v>33842.43</v>
      </c>
      <c r="F32" s="61">
        <f>ROUND(+'CALCULO GARANTIA'!E33+'CALCULO GARANTIA'!L33+'Ajuste 2021'!AP34,2)</f>
        <v>109744.14</v>
      </c>
      <c r="G32" s="61">
        <f>+'Ajuste 2021'!AQ34</f>
        <v>11.104790610905184</v>
      </c>
      <c r="H32" s="61">
        <f>ROUND(+'CALCULO GARANTIA'!F33+'CALCULO GARANTIA'!M33+'Ajuste 2021'!AR34,2)</f>
        <v>32976.589999999997</v>
      </c>
      <c r="I32" s="61">
        <f>ROUND(+'CALCULO GARANTIA'!G33+'CALCULO GARANTIA'!N33+'Ajuste 2021'!AS34,2)</f>
        <v>6883.49</v>
      </c>
      <c r="J32" s="61">
        <f>ROUND(+'PART MES'!F$12*'COEF Art 14 F II'!L34+'Ajuste 2021'!AT34,2)</f>
        <v>7663.06</v>
      </c>
      <c r="K32" s="61">
        <f>+'ISR ENERO '!D33</f>
        <v>60079</v>
      </c>
      <c r="L32" s="61">
        <f>+ISAI!D31</f>
        <v>2698.00994979293</v>
      </c>
      <c r="M32" s="61">
        <f>+'PART MES'!$N$4*'COEF Art 14 F I '!AF34</f>
        <v>-3893.2001891935884</v>
      </c>
      <c r="N32" s="248">
        <f t="shared" si="0"/>
        <v>2662012.0299416613</v>
      </c>
    </row>
    <row r="33" spans="1:14">
      <c r="A33" s="209" t="s">
        <v>29</v>
      </c>
      <c r="B33" s="61">
        <f>ROUND(+'CALCULO GARANTIA'!B34+'CALCULO GARANTIA'!I34+'Ajuste 2021'!AL35,2)</f>
        <v>1764642.62</v>
      </c>
      <c r="C33" s="61">
        <f>ROUND(+'CALCULO GARANTIA'!C34+'CALCULO GARANTIA'!J34+'Ajuste 2021'!AM35,2)</f>
        <v>247364.3</v>
      </c>
      <c r="D33" s="61">
        <f>+'Art.14 Frac.III'!P33+'Ajuste 2021'!AN35</f>
        <v>728273.25825523736</v>
      </c>
      <c r="E33" s="61">
        <f>ROUND(+'PART MES'!$F$6*'CALCULO GARANTIA'!S34+'Ajuste 2021'!AO35,2)</f>
        <v>47206.45</v>
      </c>
      <c r="F33" s="61">
        <f>ROUND(+'CALCULO GARANTIA'!E34+'CALCULO GARANTIA'!L34+'Ajuste 2021'!AP35,2)</f>
        <v>143512.17000000001</v>
      </c>
      <c r="G33" s="61">
        <f>+'Ajuste 2021'!AQ35</f>
        <v>15.489956669229286</v>
      </c>
      <c r="H33" s="61">
        <f>ROUND(+'CALCULO GARANTIA'!F34+'CALCULO GARANTIA'!M34+'Ajuste 2021'!AR35,2)</f>
        <v>45586.79</v>
      </c>
      <c r="I33" s="61">
        <f>ROUND(+'CALCULO GARANTIA'!G34+'CALCULO GARANTIA'!N34+'Ajuste 2021'!AS35,2)</f>
        <v>9550.9500000000007</v>
      </c>
      <c r="J33" s="61">
        <f>ROUND(+'PART MES'!F$12*'COEF Art 14 F II'!L35+'Ajuste 2021'!AT35,2)</f>
        <v>18156.11</v>
      </c>
      <c r="K33" s="61">
        <f>+'ISR ENERO '!D34</f>
        <v>0</v>
      </c>
      <c r="L33" s="61">
        <f>+ISAI!D32</f>
        <v>5102.377525000783</v>
      </c>
      <c r="M33" s="61">
        <f>+'PART MES'!$N$4*'COEF Art 14 F I '!AF35</f>
        <v>-4634.3899424897909</v>
      </c>
      <c r="N33" s="248">
        <f t="shared" si="0"/>
        <v>3004776.1257944182</v>
      </c>
    </row>
    <row r="34" spans="1:14">
      <c r="A34" s="209" t="s">
        <v>30</v>
      </c>
      <c r="B34" s="61">
        <f>ROUND(+'CALCULO GARANTIA'!B35+'CALCULO GARANTIA'!I35+'Ajuste 2021'!AL36,2)</f>
        <v>1773512.11</v>
      </c>
      <c r="C34" s="61">
        <f>ROUND(+'CALCULO GARANTIA'!C35+'CALCULO GARANTIA'!J35+'Ajuste 2021'!AM36,2)</f>
        <v>248813.18</v>
      </c>
      <c r="D34" s="61">
        <f>+'Art.14 Frac.III'!P34+'Ajuste 2021'!AN36</f>
        <v>460418.60907946073</v>
      </c>
      <c r="E34" s="61">
        <f>ROUND(+'PART MES'!$F$6*'CALCULO GARANTIA'!S35+'Ajuste 2021'!AO36,2)</f>
        <v>47466.46</v>
      </c>
      <c r="F34" s="61">
        <f>ROUND(+'CALCULO GARANTIA'!E35+'CALCULO GARANTIA'!L35+'Ajuste 2021'!AP36,2)</f>
        <v>145642.56</v>
      </c>
      <c r="G34" s="61">
        <f>+'Ajuste 2021'!AQ36</f>
        <v>-78.233667969189511</v>
      </c>
      <c r="H34" s="61">
        <f>ROUND(+'CALCULO GARANTIA'!F35+'CALCULO GARANTIA'!M35+'Ajuste 2021'!AR36,2)</f>
        <v>45701.51</v>
      </c>
      <c r="I34" s="61">
        <f>ROUND(+'CALCULO GARANTIA'!G35+'CALCULO GARANTIA'!N35+'Ajuste 2021'!AS36,2)</f>
        <v>9567.3799999999992</v>
      </c>
      <c r="J34" s="61">
        <f>ROUND(+'PART MES'!F$12*'COEF Art 14 F II'!L36+'Ajuste 2021'!AT36,2)</f>
        <v>12274.82</v>
      </c>
      <c r="K34" s="61">
        <f>+'ISR ENERO '!D35</f>
        <v>15726</v>
      </c>
      <c r="L34" s="61">
        <f>+ISAI!D33</f>
        <v>384.83806969730136</v>
      </c>
      <c r="M34" s="61">
        <f>+'PART MES'!$N$4*'COEF Art 14 F I '!AF36</f>
        <v>-4807.3882404899059</v>
      </c>
      <c r="N34" s="248">
        <f t="shared" si="0"/>
        <v>2754621.8452406982</v>
      </c>
    </row>
    <row r="35" spans="1:14">
      <c r="A35" s="209" t="s">
        <v>31</v>
      </c>
      <c r="B35" s="61">
        <f>ROUND(+'CALCULO GARANTIA'!B36+'CALCULO GARANTIA'!I36+'Ajuste 2021'!AL37,2)</f>
        <v>21100428.039999999</v>
      </c>
      <c r="C35" s="61">
        <f>ROUND(+'CALCULO GARANTIA'!C36+'CALCULO GARANTIA'!J36+'Ajuste 2021'!AM37,2)</f>
        <v>3084463.01</v>
      </c>
      <c r="D35" s="61">
        <f>+'Art.14 Frac.III'!P35+'Ajuste 2021'!AN37</f>
        <v>0</v>
      </c>
      <c r="E35" s="61">
        <f>ROUND(+'PART MES'!$F$6*'CALCULO GARANTIA'!S36+'Ajuste 2021'!AO37,2)</f>
        <v>437142.05</v>
      </c>
      <c r="F35" s="61">
        <f>ROUND(+'CALCULO GARANTIA'!E36+'CALCULO GARANTIA'!L36+'Ajuste 2021'!AP37,2)</f>
        <v>2584082.9300000002</v>
      </c>
      <c r="G35" s="61">
        <f>+'Ajuste 2021'!AQ37</f>
        <v>-610.69495657813002</v>
      </c>
      <c r="H35" s="61">
        <f>ROUND(+'CALCULO GARANTIA'!F36+'CALCULO GARANTIA'!M36+'Ajuste 2021'!AR37,2)</f>
        <v>474613.97</v>
      </c>
      <c r="I35" s="61">
        <f>ROUND(+'CALCULO GARANTIA'!G36+'CALCULO GARANTIA'!N36+'Ajuste 2021'!AS37,2)</f>
        <v>94754.06</v>
      </c>
      <c r="J35" s="61">
        <f>ROUND(+'PART MES'!F$12*'COEF Art 14 F II'!L37+'Ajuste 2021'!AT37,2)</f>
        <v>905478.2</v>
      </c>
      <c r="K35" s="61">
        <f>+'ISR ENERO '!D36</f>
        <v>0</v>
      </c>
      <c r="L35" s="61">
        <f>+ISAI!D34</f>
        <v>547357.41351686034</v>
      </c>
      <c r="M35" s="61">
        <f>+'PART MES'!$N$4*'COEF Art 14 F I '!AF37</f>
        <v>-147640.74284033332</v>
      </c>
      <c r="N35" s="248">
        <f t="shared" si="0"/>
        <v>29080068.235719942</v>
      </c>
    </row>
    <row r="36" spans="1:14">
      <c r="A36" s="209" t="s">
        <v>32</v>
      </c>
      <c r="B36" s="61">
        <f>ROUND(+'CALCULO GARANTIA'!B37+'CALCULO GARANTIA'!I37+'Ajuste 2021'!AL38,2)</f>
        <v>3172677.44</v>
      </c>
      <c r="C36" s="61">
        <f>ROUND(+'CALCULO GARANTIA'!C37+'CALCULO GARANTIA'!J37+'Ajuste 2021'!AM38,2)</f>
        <v>449089.85</v>
      </c>
      <c r="D36" s="61">
        <f>+'Art.14 Frac.III'!P36+'Ajuste 2021'!AN38</f>
        <v>439031.08521946374</v>
      </c>
      <c r="E36" s="61">
        <f>ROUND(+'PART MES'!$F$6*'CALCULO GARANTIA'!S37+'Ajuste 2021'!AO38,2)</f>
        <v>80435.88</v>
      </c>
      <c r="F36" s="61">
        <f>ROUND(+'CALCULO GARANTIA'!E37+'CALCULO GARANTIA'!L37+'Ajuste 2021'!AP38,2)</f>
        <v>287837.96999999997</v>
      </c>
      <c r="G36" s="61">
        <f>+'Ajuste 2021'!AQ38</f>
        <v>26.393604497912747</v>
      </c>
      <c r="H36" s="61">
        <f>ROUND(+'CALCULO GARANTIA'!F37+'CALCULO GARANTIA'!M37+'Ajuste 2021'!AR38,2)</f>
        <v>79540.3</v>
      </c>
      <c r="I36" s="61">
        <f>ROUND(+'CALCULO GARANTIA'!G37+'CALCULO GARANTIA'!N37+'Ajuste 2021'!AS38,2)</f>
        <v>16503.75</v>
      </c>
      <c r="J36" s="61">
        <f>ROUND(+'PART MES'!F$12*'COEF Art 14 F II'!L38+'Ajuste 2021'!AT38,2)</f>
        <v>24278.41</v>
      </c>
      <c r="K36" s="61">
        <f>+'ISR ENERO '!D37</f>
        <v>98093</v>
      </c>
      <c r="L36" s="61">
        <f>+ISAI!D35</f>
        <v>2020.2964648155694</v>
      </c>
      <c r="M36" s="61">
        <f>+'PART MES'!$N$4*'COEF Art 14 F I '!AF38</f>
        <v>-11499.923784389252</v>
      </c>
      <c r="N36" s="248">
        <f t="shared" si="0"/>
        <v>4638034.4515043888</v>
      </c>
    </row>
    <row r="37" spans="1:14">
      <c r="A37" s="209" t="s">
        <v>33</v>
      </c>
      <c r="B37" s="61">
        <f>ROUND(+'CALCULO GARANTIA'!B38+'CALCULO GARANTIA'!I38+'Ajuste 2021'!AL39,2)</f>
        <v>11146871.720000001</v>
      </c>
      <c r="C37" s="61">
        <f>ROUND(+'CALCULO GARANTIA'!C38+'CALCULO GARANTIA'!J38+'Ajuste 2021'!AM39,2)</f>
        <v>1565765.31</v>
      </c>
      <c r="D37" s="61">
        <f>+'Art.14 Frac.III'!P37+'Ajuste 2021'!AN39</f>
        <v>397004.54422464687</v>
      </c>
      <c r="E37" s="61">
        <f>ROUND(+'PART MES'!$F$6*'CALCULO GARANTIA'!S38+'Ajuste 2021'!AO39,2)</f>
        <v>294910.71999999997</v>
      </c>
      <c r="F37" s="61">
        <f>ROUND(+'CALCULO GARANTIA'!E38+'CALCULO GARANTIA'!L38+'Ajuste 2021'!AP39,2)</f>
        <v>928590.87</v>
      </c>
      <c r="G37" s="61">
        <f>+'Ajuste 2021'!AQ39</f>
        <v>96.769706801162101</v>
      </c>
      <c r="H37" s="61">
        <f>ROUND(+'CALCULO GARANTIA'!F38+'CALCULO GARANTIA'!M38+'Ajuste 2021'!AR39,2)</f>
        <v>286171.28000000003</v>
      </c>
      <c r="I37" s="61">
        <f>ROUND(+'CALCULO GARANTIA'!G38+'CALCULO GARANTIA'!N38+'Ajuste 2021'!AS39,2)</f>
        <v>59837.13</v>
      </c>
      <c r="J37" s="61">
        <f>ROUND(+'PART MES'!F$12*'COEF Art 14 F II'!L39+'Ajuste 2021'!AT39,2)</f>
        <v>182787.38</v>
      </c>
      <c r="K37" s="61">
        <f>+'ISR ENERO '!D38</f>
        <v>2812109</v>
      </c>
      <c r="L37" s="61">
        <f>+ISAI!D36</f>
        <v>64695.931696942527</v>
      </c>
      <c r="M37" s="61">
        <f>+'PART MES'!$N$4*'COEF Art 14 F I '!AF39</f>
        <v>-31617.665117174653</v>
      </c>
      <c r="N37" s="248">
        <f t="shared" ref="N37:N55" si="1">SUM(B37:M37)</f>
        <v>17707222.990511216</v>
      </c>
    </row>
    <row r="38" spans="1:14">
      <c r="A38" s="209" t="s">
        <v>34</v>
      </c>
      <c r="B38" s="61">
        <f>ROUND(+'CALCULO GARANTIA'!B39+'CALCULO GARANTIA'!I39+'Ajuste 2021'!AL40,2)</f>
        <v>2338879.0499999998</v>
      </c>
      <c r="C38" s="61">
        <f>ROUND(+'CALCULO GARANTIA'!C39+'CALCULO GARANTIA'!J39+'Ajuste 2021'!AM40,2)</f>
        <v>327510.71999999997</v>
      </c>
      <c r="D38" s="61">
        <f>+'Art.14 Frac.III'!P38+'Ajuste 2021'!AN40</f>
        <v>595542.29545710492</v>
      </c>
      <c r="E38" s="61">
        <f>ROUND(+'PART MES'!$F$6*'CALCULO GARANTIA'!S39+'Ajuste 2021'!AO40,2)</f>
        <v>62923.99</v>
      </c>
      <c r="F38" s="61">
        <f>ROUND(+'CALCULO GARANTIA'!E39+'CALCULO GARANTIA'!L39+'Ajuste 2021'!AP40,2)</f>
        <v>187820.84</v>
      </c>
      <c r="G38" s="61">
        <f>+'Ajuste 2021'!AQ40</f>
        <v>20.647389578914346</v>
      </c>
      <c r="H38" s="61">
        <f>ROUND(+'CALCULO GARANTIA'!F39+'CALCULO GARANTIA'!M39+'Ajuste 2021'!AR40,2)</f>
        <v>60615.51</v>
      </c>
      <c r="I38" s="61">
        <f>ROUND(+'CALCULO GARANTIA'!G39+'CALCULO GARANTIA'!N39+'Ajuste 2021'!AS40,2)</f>
        <v>12712.54</v>
      </c>
      <c r="J38" s="61">
        <f>ROUND(+'PART MES'!F$12*'COEF Art 14 F II'!L40+'Ajuste 2021'!AT40,2)</f>
        <v>16992.080000000002</v>
      </c>
      <c r="K38" s="61">
        <f>+'ISR ENERO '!D39</f>
        <v>53309</v>
      </c>
      <c r="L38" s="61">
        <f>+ISAI!D37</f>
        <v>4019.477123287581</v>
      </c>
      <c r="M38" s="61">
        <f>+'PART MES'!$N$4*'COEF Art 14 F I '!AF40</f>
        <v>-5888.3481704553733</v>
      </c>
      <c r="N38" s="248">
        <f t="shared" si="1"/>
        <v>3654457.8017995157</v>
      </c>
    </row>
    <row r="39" spans="1:14">
      <c r="A39" s="209" t="s">
        <v>35</v>
      </c>
      <c r="B39" s="61">
        <f>ROUND(+'CALCULO GARANTIA'!B40+'CALCULO GARANTIA'!I40+'Ajuste 2021'!AL41,2)</f>
        <v>2037579.26</v>
      </c>
      <c r="C39" s="61">
        <f>ROUND(+'CALCULO GARANTIA'!C40+'CALCULO GARANTIA'!J40+'Ajuste 2021'!AM41,2)</f>
        <v>279766.88</v>
      </c>
      <c r="D39" s="61">
        <f>+'Art.14 Frac.III'!P39+'Ajuste 2021'!AN41</f>
        <v>563629.21837727062</v>
      </c>
      <c r="E39" s="61">
        <f>ROUND(+'PART MES'!$F$6*'CALCULO GARANTIA'!S40+'Ajuste 2021'!AO41,2)</f>
        <v>60482.75</v>
      </c>
      <c r="F39" s="61">
        <f>ROUND(+'CALCULO GARANTIA'!E40+'CALCULO GARANTIA'!L40+'Ajuste 2021'!AP41,2)</f>
        <v>125562.35</v>
      </c>
      <c r="G39" s="61">
        <f>+'Ajuste 2021'!AQ41</f>
        <v>19.846339385219228</v>
      </c>
      <c r="H39" s="61">
        <f>ROUND(+'CALCULO GARANTIA'!F40+'CALCULO GARANTIA'!M40+'Ajuste 2021'!AR41,2)</f>
        <v>55897.43</v>
      </c>
      <c r="I39" s="61">
        <f>ROUND(+'CALCULO GARANTIA'!G40+'CALCULO GARANTIA'!N40+'Ajuste 2021'!AS41,2)</f>
        <v>11927.72</v>
      </c>
      <c r="J39" s="61">
        <f>ROUND(+'PART MES'!F$12*'COEF Art 14 F II'!L41+'Ajuste 2021'!AT41,2)</f>
        <v>3513.04</v>
      </c>
      <c r="K39" s="61">
        <f>+'ISR ENERO '!D40</f>
        <v>72095</v>
      </c>
      <c r="L39" s="61">
        <f>+ISAI!D38</f>
        <v>512.30330472037497</v>
      </c>
      <c r="M39" s="61">
        <f>+'PART MES'!$N$4*'COEF Art 14 F I '!AF41</f>
        <v>-1085.848937676267</v>
      </c>
      <c r="N39" s="248">
        <f t="shared" si="1"/>
        <v>3209899.9490837003</v>
      </c>
    </row>
    <row r="40" spans="1:14">
      <c r="A40" s="209" t="s">
        <v>36</v>
      </c>
      <c r="B40" s="61">
        <f>ROUND(+'CALCULO GARANTIA'!B41+'CALCULO GARANTIA'!I41+'Ajuste 2021'!AL42,2)</f>
        <v>2730902.74</v>
      </c>
      <c r="C40" s="61">
        <f>ROUND(+'CALCULO GARANTIA'!C41+'CALCULO GARANTIA'!J41+'Ajuste 2021'!AM42,2)</f>
        <v>384369.74</v>
      </c>
      <c r="D40" s="61">
        <f>+'Art.14 Frac.III'!P40+'Ajuste 2021'!AN42</f>
        <v>106377.63214714013</v>
      </c>
      <c r="E40" s="61">
        <f>ROUND(+'PART MES'!$F$6*'CALCULO GARANTIA'!S41+'Ajuste 2021'!AO42,2)</f>
        <v>72127.45</v>
      </c>
      <c r="F40" s="61">
        <f>ROUND(+'CALCULO GARANTIA'!E41+'CALCULO GARANTIA'!L41+'Ajuste 2021'!AP42,2)</f>
        <v>232766.22</v>
      </c>
      <c r="G40" s="61">
        <f>+'Ajuste 2021'!AQ42</f>
        <v>-242.89468654468388</v>
      </c>
      <c r="H40" s="61">
        <f>ROUND(+'CALCULO GARANTIA'!F41+'CALCULO GARANTIA'!M41+'Ajuste 2021'!AR42,2)</f>
        <v>69682.13</v>
      </c>
      <c r="I40" s="61">
        <f>ROUND(+'CALCULO GARANTIA'!G41+'CALCULO GARANTIA'!N41+'Ajuste 2021'!AS42,2)</f>
        <v>14541.62</v>
      </c>
      <c r="J40" s="61">
        <f>ROUND(+'PART MES'!F$12*'COEF Art 14 F II'!L42+'Ajuste 2021'!AT42,2)</f>
        <v>23306.44</v>
      </c>
      <c r="K40" s="61">
        <f>+'ISR ENERO '!D41</f>
        <v>0</v>
      </c>
      <c r="L40" s="61">
        <f>+ISAI!D39</f>
        <v>46.175328651132318</v>
      </c>
      <c r="M40" s="61">
        <f>+'PART MES'!$N$4*'COEF Art 14 F I '!AF42</f>
        <v>-8305.8109490068819</v>
      </c>
      <c r="N40" s="248">
        <f t="shared" si="1"/>
        <v>3625571.4418402403</v>
      </c>
    </row>
    <row r="41" spans="1:14">
      <c r="A41" s="209" t="s">
        <v>37</v>
      </c>
      <c r="B41" s="61">
        <f>ROUND(+'CALCULO GARANTIA'!B42+'CALCULO GARANTIA'!I42+'Ajuste 2021'!AL43,2)</f>
        <v>3443978.83</v>
      </c>
      <c r="C41" s="61">
        <f>ROUND(+'CALCULO GARANTIA'!C42+'CALCULO GARANTIA'!J42+'Ajuste 2021'!AM43,2)</f>
        <v>485397.37</v>
      </c>
      <c r="D41" s="61">
        <f>+'Art.14 Frac.III'!P41+'Ajuste 2021'!AN43</f>
        <v>1353459.5296774001</v>
      </c>
      <c r="E41" s="61">
        <f>ROUND(+'PART MES'!$F$6*'CALCULO GARANTIA'!S42+'Ajuste 2021'!AO43,2)</f>
        <v>89451.17</v>
      </c>
      <c r="F41" s="61">
        <f>ROUND(+'CALCULO GARANTIA'!E42+'CALCULO GARANTIA'!L42+'Ajuste 2021'!AP43,2)</f>
        <v>298092.02</v>
      </c>
      <c r="G41" s="61">
        <f>+'Ajuste 2021'!AQ43</f>
        <v>29.351811232423643</v>
      </c>
      <c r="H41" s="61">
        <f>ROUND(+'CALCULO GARANTIA'!F42+'CALCULO GARANTIA'!M42+'Ajuste 2021'!AR43,2)</f>
        <v>87507.87</v>
      </c>
      <c r="I41" s="61">
        <f>ROUND(+'CALCULO GARANTIA'!G42+'CALCULO GARANTIA'!N42+'Ajuste 2021'!AS43,2)</f>
        <v>18236.75</v>
      </c>
      <c r="J41" s="61">
        <f>ROUND(+'PART MES'!F$12*'COEF Art 14 F II'!L43+'Ajuste 2021'!AT43,2)</f>
        <v>24095.38</v>
      </c>
      <c r="K41" s="61">
        <f>+'ISR ENERO '!D42</f>
        <v>0</v>
      </c>
      <c r="L41" s="61">
        <f>+ISAI!D40</f>
        <v>24980.416851112921</v>
      </c>
      <c r="M41" s="61">
        <f>+'PART MES'!$N$4*'COEF Art 14 F I '!AF43</f>
        <v>-10957.698144835376</v>
      </c>
      <c r="N41" s="248">
        <f t="shared" si="1"/>
        <v>5814270.9901949102</v>
      </c>
    </row>
    <row r="42" spans="1:14">
      <c r="A42" s="209" t="s">
        <v>38</v>
      </c>
      <c r="B42" s="61">
        <f>ROUND(+'CALCULO GARANTIA'!B43+'CALCULO GARANTIA'!I43+'Ajuste 2021'!AL44,2)</f>
        <v>7990989.4299999997</v>
      </c>
      <c r="C42" s="61">
        <f>ROUND(+'CALCULO GARANTIA'!C43+'CALCULO GARANTIA'!J43+'Ajuste 2021'!AM44,2)</f>
        <v>1123993.4099999999</v>
      </c>
      <c r="D42" s="61">
        <f>+'Art.14 Frac.III'!P42+'Ajuste 2021'!AN44</f>
        <v>910629.79863414087</v>
      </c>
      <c r="E42" s="61">
        <f>ROUND(+'PART MES'!$F$6*'CALCULO GARANTIA'!S43+'Ajuste 2021'!AO44,2)</f>
        <v>209860.71</v>
      </c>
      <c r="F42" s="61">
        <f>ROUND(+'CALCULO GARANTIA'!E43+'CALCULO GARANTIA'!L43+'Ajuste 2021'!AP44,2)</f>
        <v>676141.08</v>
      </c>
      <c r="G42" s="61">
        <f>+'Ajuste 2021'!AQ44</f>
        <v>68.862060052822926</v>
      </c>
      <c r="H42" s="61">
        <f>ROUND(+'CALCULO GARANTIA'!F43+'CALCULO GARANTIA'!M43+'Ajuste 2021'!AR44,2)</f>
        <v>204302.39</v>
      </c>
      <c r="I42" s="61">
        <f>ROUND(+'CALCULO GARANTIA'!G43+'CALCULO GARANTIA'!N43+'Ajuste 2021'!AS44,2)</f>
        <v>42661.98</v>
      </c>
      <c r="J42" s="61">
        <f>ROUND(+'PART MES'!F$12*'COEF Art 14 F II'!L44+'Ajuste 2021'!AT44,2)</f>
        <v>141485.34</v>
      </c>
      <c r="K42" s="61">
        <f>+'ISR ENERO '!D43</f>
        <v>0</v>
      </c>
      <c r="L42" s="61">
        <f>+ISAI!D41</f>
        <v>248574.88508765705</v>
      </c>
      <c r="M42" s="61">
        <f>+'PART MES'!$N$4*'COEF Art 14 F I '!AF44</f>
        <v>-23776.501067844889</v>
      </c>
      <c r="N42" s="248">
        <f t="shared" si="1"/>
        <v>11524931.384714009</v>
      </c>
    </row>
    <row r="43" spans="1:14">
      <c r="A43" s="209" t="s">
        <v>39</v>
      </c>
      <c r="B43" s="61">
        <f>ROUND(+'CALCULO GARANTIA'!B44+'CALCULO GARANTIA'!I44+'Ajuste 2021'!AL45,2)</f>
        <v>180547336.22</v>
      </c>
      <c r="C43" s="61">
        <f>ROUND(+'CALCULO GARANTIA'!C44+'CALCULO GARANTIA'!J44+'Ajuste 2021'!AM45,2)</f>
        <v>25785957.25</v>
      </c>
      <c r="D43" s="61">
        <f>+'Art.14 Frac.III'!P43+'Ajuste 2021'!AN45</f>
        <v>0</v>
      </c>
      <c r="E43" s="61">
        <f>ROUND(+'PART MES'!$F$6*'CALCULO GARANTIA'!S44+'Ajuste 2021'!AO45,2)</f>
        <v>4343111.6500000004</v>
      </c>
      <c r="F43" s="61">
        <f>ROUND(+'CALCULO GARANTIA'!E44+'CALCULO GARANTIA'!L44+'Ajuste 2021'!AP45,2)</f>
        <v>17953942.579999998</v>
      </c>
      <c r="G43" s="61">
        <f>+'Ajuste 2021'!AQ45</f>
        <v>1425.1148426001891</v>
      </c>
      <c r="H43" s="61">
        <f>ROUND(+'CALCULO GARANTIA'!F44+'CALCULO GARANTIA'!M44+'Ajuste 2021'!AR45,2)</f>
        <v>4398595.13</v>
      </c>
      <c r="I43" s="61">
        <f>ROUND(+'CALCULO GARANTIA'!G44+'CALCULO GARANTIA'!N44+'Ajuste 2021'!AS45,2)</f>
        <v>903911.09</v>
      </c>
      <c r="J43" s="61">
        <f>ROUND(+'PART MES'!F$12*'COEF Art 14 F II'!L45+'Ajuste 2021'!AT45,2)</f>
        <v>2930227.42</v>
      </c>
      <c r="K43" s="61">
        <f>+'ISR ENERO '!D44</f>
        <v>10081713</v>
      </c>
      <c r="L43" s="61">
        <f>+ISAI!D42</f>
        <v>5473735.3395568049</v>
      </c>
      <c r="M43" s="61">
        <f>+'PART MES'!$N$4*'COEF Art 14 F I '!AF45</f>
        <v>-821649.32654129539</v>
      </c>
      <c r="N43" s="248">
        <f t="shared" si="1"/>
        <v>251598305.46785808</v>
      </c>
    </row>
    <row r="44" spans="1:14">
      <c r="A44" s="209" t="s">
        <v>40</v>
      </c>
      <c r="B44" s="61">
        <f>ROUND(+'CALCULO GARANTIA'!B45+'CALCULO GARANTIA'!I45+'Ajuste 2021'!AL46,2)</f>
        <v>1096784.96</v>
      </c>
      <c r="C44" s="61">
        <f>ROUND(+'CALCULO GARANTIA'!C45+'CALCULO GARANTIA'!J45+'Ajuste 2021'!AM46,2)</f>
        <v>157361.26999999999</v>
      </c>
      <c r="D44" s="61">
        <f>+'Art.14 Frac.III'!P44+'Ajuste 2021'!AN46</f>
        <v>464177.93980917771</v>
      </c>
      <c r="E44" s="61">
        <f>ROUND(+'PART MES'!$F$6*'CALCULO GARANTIA'!S45+'Ajuste 2021'!AO46,2)</f>
        <v>25918.98</v>
      </c>
      <c r="F44" s="61">
        <f>ROUND(+'CALCULO GARANTIA'!E45+'CALCULO GARANTIA'!L45+'Ajuste 2021'!AP46,2)</f>
        <v>113982.89</v>
      </c>
      <c r="G44" s="61">
        <f>+'Ajuste 2021'!AQ46</f>
        <v>-99.35719077624708</v>
      </c>
      <c r="H44" s="61">
        <f>ROUND(+'CALCULO GARANTIA'!F45+'CALCULO GARANTIA'!M45+'Ajuste 2021'!AR46,2)</f>
        <v>26321.279999999999</v>
      </c>
      <c r="I44" s="61">
        <f>ROUND(+'CALCULO GARANTIA'!G45+'CALCULO GARANTIA'!N45+'Ajuste 2021'!AS46,2)</f>
        <v>5380.9</v>
      </c>
      <c r="J44" s="61">
        <f>ROUND(+'PART MES'!F$12*'COEF Art 14 F II'!L46+'Ajuste 2021'!AT46,2)</f>
        <v>8896.3700000000008</v>
      </c>
      <c r="K44" s="61">
        <f>+'ISR ENERO '!D45</f>
        <v>25949</v>
      </c>
      <c r="L44" s="61">
        <f>+ISAI!D43</f>
        <v>1674.8272539474829</v>
      </c>
      <c r="M44" s="61">
        <f>+'PART MES'!$N$4*'COEF Art 14 F I '!AF46</f>
        <v>-5513.7025741065299</v>
      </c>
      <c r="N44" s="248">
        <f t="shared" si="1"/>
        <v>1920835.3572982424</v>
      </c>
    </row>
    <row r="45" spans="1:14">
      <c r="A45" s="209" t="s">
        <v>41</v>
      </c>
      <c r="B45" s="61">
        <f>ROUND(+'CALCULO GARANTIA'!B46+'CALCULO GARANTIA'!I46+'Ajuste 2021'!AL47,2)</f>
        <v>5243068.2</v>
      </c>
      <c r="C45" s="61">
        <f>ROUND(+'CALCULO GARANTIA'!C46+'CALCULO GARANTIA'!J46+'Ajuste 2021'!AM47,2)</f>
        <v>770879.09</v>
      </c>
      <c r="D45" s="61">
        <f>+'Art.14 Frac.III'!P45+'Ajuste 2021'!AN47</f>
        <v>633621.91663823347</v>
      </c>
      <c r="E45" s="61">
        <f>ROUND(+'PART MES'!$F$6*'CALCULO GARANTIA'!S46+'Ajuste 2021'!AO47,2)</f>
        <v>104383.28</v>
      </c>
      <c r="F45" s="61">
        <f>ROUND(+'CALCULO GARANTIA'!E46+'CALCULO GARANTIA'!L46+'Ajuste 2021'!AP47,2)</f>
        <v>672576.57</v>
      </c>
      <c r="G45" s="61">
        <f>+'Ajuste 2021'!AQ47</f>
        <v>-273.26808101828402</v>
      </c>
      <c r="H45" s="61">
        <f>ROUND(+'CALCULO GARANTIA'!F46+'CALCULO GARANTIA'!M46+'Ajuste 2021'!AR47,2)</f>
        <v>115458.04</v>
      </c>
      <c r="I45" s="61">
        <f>ROUND(+'CALCULO GARANTIA'!G46+'CALCULO GARANTIA'!N46+'Ajuste 2021'!AS47,2)</f>
        <v>22861.71</v>
      </c>
      <c r="J45" s="61">
        <f>ROUND(+'PART MES'!F$12*'COEF Art 14 F II'!L47+'Ajuste 2021'!AT47,2)</f>
        <v>266018.59999999998</v>
      </c>
      <c r="K45" s="61">
        <f>+'ISR ENERO '!D46</f>
        <v>602026</v>
      </c>
      <c r="L45" s="61">
        <f>+ISAI!D44</f>
        <v>159057.06516437695</v>
      </c>
      <c r="M45" s="61">
        <f>+'PART MES'!$N$4*'COEF Art 14 F I '!AF47</f>
        <v>-39924.261098583025</v>
      </c>
      <c r="N45" s="248">
        <f t="shared" si="1"/>
        <v>8549752.942623008</v>
      </c>
    </row>
    <row r="46" spans="1:14">
      <c r="A46" s="209" t="s">
        <v>42</v>
      </c>
      <c r="B46" s="61">
        <f>ROUND(+'CALCULO GARANTIA'!B47+'CALCULO GARANTIA'!I47+'Ajuste 2021'!AL48,2)</f>
        <v>1844562.11</v>
      </c>
      <c r="C46" s="61">
        <f>ROUND(+'CALCULO GARANTIA'!C47+'CALCULO GARANTIA'!J47+'Ajuste 2021'!AM48,2)</f>
        <v>260302.49</v>
      </c>
      <c r="D46" s="61">
        <f>+'Art.14 Frac.III'!P46+'Ajuste 2021'!AN48</f>
        <v>194669.93855429252</v>
      </c>
      <c r="E46" s="61">
        <f>ROUND(+'PART MES'!$F$6*'CALCULO GARANTIA'!S47+'Ajuste 2021'!AO48,2)</f>
        <v>47574.29</v>
      </c>
      <c r="F46" s="61">
        <f>ROUND(+'CALCULO GARANTIA'!E47+'CALCULO GARANTIA'!L47+'Ajuste 2021'!AP48,2)</f>
        <v>161905.51999999999</v>
      </c>
      <c r="G46" s="61">
        <f>+'Ajuste 2021'!AQ48</f>
        <v>15.610657535915379</v>
      </c>
      <c r="H46" s="61">
        <f>ROUND(+'CALCULO GARANTIA'!F47+'CALCULO GARANTIA'!M47+'Ajuste 2021'!AR48,2)</f>
        <v>46685.66</v>
      </c>
      <c r="I46" s="61">
        <f>ROUND(+'CALCULO GARANTIA'!G47+'CALCULO GARANTIA'!N47+'Ajuste 2021'!AS48,2)</f>
        <v>9717.01</v>
      </c>
      <c r="J46" s="61">
        <f>ROUND(+'PART MES'!F$12*'COEF Art 14 F II'!L48+'Ajuste 2021'!AT48,2)</f>
        <v>16658.61</v>
      </c>
      <c r="K46" s="61">
        <f>+'ISR ENERO '!D47</f>
        <v>0</v>
      </c>
      <c r="L46" s="61">
        <f>+ISAI!D45</f>
        <v>14366.010363419871</v>
      </c>
      <c r="M46" s="61">
        <f>+'PART MES'!$N$4*'COEF Art 14 F I '!AF48</f>
        <v>-6107.9170879416024</v>
      </c>
      <c r="N46" s="248">
        <f t="shared" si="1"/>
        <v>2590349.332487307</v>
      </c>
    </row>
    <row r="47" spans="1:14">
      <c r="A47" s="209" t="s">
        <v>43</v>
      </c>
      <c r="B47" s="61">
        <f>ROUND(+'CALCULO GARANTIA'!B48+'CALCULO GARANTIA'!I48+'Ajuste 2021'!AL49,2)</f>
        <v>2010553.08</v>
      </c>
      <c r="C47" s="61">
        <f>ROUND(+'CALCULO GARANTIA'!C48+'CALCULO GARANTIA'!J48+'Ajuste 2021'!AM49,2)</f>
        <v>282300.56</v>
      </c>
      <c r="D47" s="61">
        <f>+'Art.14 Frac.III'!P47+'Ajuste 2021'!AN49</f>
        <v>327771.2399792184</v>
      </c>
      <c r="E47" s="61">
        <f>ROUND(+'PART MES'!$F$6*'CALCULO GARANTIA'!S48+'Ajuste 2021'!AO49,2)</f>
        <v>53310.53</v>
      </c>
      <c r="F47" s="61">
        <f>ROUND(+'CALCULO GARANTIA'!E48+'CALCULO GARANTIA'!L48+'Ajuste 2021'!AP49,2)</f>
        <v>166698.4</v>
      </c>
      <c r="G47" s="61">
        <f>+'Ajuste 2021'!AQ49</f>
        <v>17.492901799931133</v>
      </c>
      <c r="H47" s="61">
        <f>ROUND(+'CALCULO GARANTIA'!F48+'CALCULO GARANTIA'!M48+'Ajuste 2021'!AR49,2)</f>
        <v>51680.72</v>
      </c>
      <c r="I47" s="61">
        <f>ROUND(+'CALCULO GARANTIA'!G48+'CALCULO GARANTIA'!N48+'Ajuste 2021'!AS49,2)</f>
        <v>10810.5</v>
      </c>
      <c r="J47" s="61">
        <f>ROUND(+'PART MES'!F$12*'COEF Art 14 F II'!L49+'Ajuste 2021'!AT49,2)</f>
        <v>11873.26</v>
      </c>
      <c r="K47" s="61">
        <f>+'ISR ENERO '!D48</f>
        <v>9442</v>
      </c>
      <c r="L47" s="61">
        <f>+ISAI!D46</f>
        <v>167.31111395317967</v>
      </c>
      <c r="M47" s="61">
        <f>+'PART MES'!$N$4*'COEF Art 14 F I '!AF49</f>
        <v>-5618.8321128156558</v>
      </c>
      <c r="N47" s="248">
        <f t="shared" si="1"/>
        <v>2919006.2618821552</v>
      </c>
    </row>
    <row r="48" spans="1:14">
      <c r="A48" s="209" t="s">
        <v>44</v>
      </c>
      <c r="B48" s="61">
        <f>ROUND(+'CALCULO GARANTIA'!B49+'CALCULO GARANTIA'!I49+'Ajuste 2021'!AL50,2)</f>
        <v>5749819.5700000003</v>
      </c>
      <c r="C48" s="61">
        <f>ROUND(+'CALCULO GARANTIA'!C49+'CALCULO GARANTIA'!J49+'Ajuste 2021'!AM50,2)</f>
        <v>806422.71</v>
      </c>
      <c r="D48" s="61">
        <f>+'Art.14 Frac.III'!P48+'Ajuste 2021'!AN50</f>
        <v>591347.11504314153</v>
      </c>
      <c r="E48" s="61">
        <f>ROUND(+'PART MES'!$F$6*'CALCULO GARANTIA'!S49+'Ajuste 2021'!AO50,2)</f>
        <v>153382.75</v>
      </c>
      <c r="F48" s="61">
        <f>ROUND(+'CALCULO GARANTIA'!E49+'CALCULO GARANTIA'!L49+'Ajuste 2021'!AP50,2)</f>
        <v>470517.18</v>
      </c>
      <c r="G48" s="61">
        <f>+'Ajuste 2021'!AQ50</f>
        <v>50.329821986684692</v>
      </c>
      <c r="H48" s="61">
        <f>ROUND(+'CALCULO GARANTIA'!F49+'CALCULO GARANTIA'!M49+'Ajuste 2021'!AR50,2)</f>
        <v>148301.78</v>
      </c>
      <c r="I48" s="61">
        <f>ROUND(+'CALCULO GARANTIA'!G49+'CALCULO GARANTIA'!N49+'Ajuste 2021'!AS50,2)</f>
        <v>31055.23</v>
      </c>
      <c r="J48" s="61">
        <f>ROUND(+'PART MES'!F$12*'COEF Art 14 F II'!L50+'Ajuste 2021'!AT50,2)</f>
        <v>80484.92</v>
      </c>
      <c r="K48" s="61">
        <f>+'ISR ENERO '!D49</f>
        <v>1184767</v>
      </c>
      <c r="L48" s="61">
        <f>+ISAI!D47</f>
        <v>33114.644667840679</v>
      </c>
      <c r="M48" s="61">
        <f>+'PART MES'!$N$4*'COEF Art 14 F I '!AF50</f>
        <v>-15409.052293900049</v>
      </c>
      <c r="N48" s="248">
        <f t="shared" si="1"/>
        <v>9233854.1772390716</v>
      </c>
    </row>
    <row r="49" spans="1:15">
      <c r="A49" s="209" t="s">
        <v>45</v>
      </c>
      <c r="B49" s="61">
        <f>ROUND(+'CALCULO GARANTIA'!B50+'CALCULO GARANTIA'!I50+'Ajuste 2021'!AL51,2)</f>
        <v>5847394.1799999997</v>
      </c>
      <c r="C49" s="61">
        <f>ROUND(+'CALCULO GARANTIA'!C50+'CALCULO GARANTIA'!J50+'Ajuste 2021'!AM51,2)</f>
        <v>839609.99</v>
      </c>
      <c r="D49" s="61">
        <f>+'Art.14 Frac.III'!P49+'Ajuste 2021'!AN51</f>
        <v>277868.98576475057</v>
      </c>
      <c r="E49" s="61">
        <f>ROUND(+'PART MES'!$F$6*'CALCULO GARANTIA'!S50+'Ajuste 2021'!AO51,2)</f>
        <v>136431.37</v>
      </c>
      <c r="F49" s="61">
        <f>ROUND(+'CALCULO GARANTIA'!E50+'CALCULO GARANTIA'!L50+'Ajuste 2021'!AP51,2)</f>
        <v>612176.27</v>
      </c>
      <c r="G49" s="61">
        <f>+'Ajuste 2021'!AQ51</f>
        <v>-92.434722097566308</v>
      </c>
      <c r="H49" s="61">
        <f>ROUND(+'CALCULO GARANTIA'!F50+'CALCULO GARANTIA'!M50+'Ajuste 2021'!AR51,2)</f>
        <v>139964.68</v>
      </c>
      <c r="I49" s="61">
        <f>ROUND(+'CALCULO GARANTIA'!G50+'CALCULO GARANTIA'!N50+'Ajuste 2021'!AS51,2)</f>
        <v>28587.11</v>
      </c>
      <c r="J49" s="61">
        <f>ROUND(+'PART MES'!F$12*'COEF Art 14 F II'!L51+'Ajuste 2021'!AT51,2)</f>
        <v>160794.56</v>
      </c>
      <c r="K49" s="61">
        <f>+'ISR ENERO '!D50</f>
        <v>573553</v>
      </c>
      <c r="L49" s="61">
        <f>+ISAI!D48</f>
        <v>121407.78708485264</v>
      </c>
      <c r="M49" s="61">
        <f>+'PART MES'!$N$4*'COEF Art 14 F I '!AF51</f>
        <v>-29872.595241965377</v>
      </c>
      <c r="N49" s="248">
        <f t="shared" si="1"/>
        <v>8707822.9028855395</v>
      </c>
    </row>
    <row r="50" spans="1:15">
      <c r="A50" s="209" t="s">
        <v>46</v>
      </c>
      <c r="B50" s="61">
        <f>ROUND(+'CALCULO GARANTIA'!B51+'CALCULO GARANTIA'!I51+'Ajuste 2021'!AL52,2)</f>
        <v>48824552.460000001</v>
      </c>
      <c r="C50" s="61">
        <f>ROUND(+'CALCULO GARANTIA'!C51+'CALCULO GARANTIA'!J51+'Ajuste 2021'!AM52,2)</f>
        <v>6953698</v>
      </c>
      <c r="D50" s="61">
        <f>+'Art.14 Frac.III'!P50+'Ajuste 2021'!AN52</f>
        <v>1943207.0032444424</v>
      </c>
      <c r="E50" s="61">
        <f>ROUND(+'PART MES'!$F$6*'CALCULO GARANTIA'!S51+'Ajuste 2021'!AO52,2)</f>
        <v>1194353.42</v>
      </c>
      <c r="F50" s="61">
        <f>ROUND(+'CALCULO GARANTIA'!E51+'CALCULO GARANTIA'!L51+'Ajuste 2021'!AP52,2)</f>
        <v>4721710.8600000003</v>
      </c>
      <c r="G50" s="61">
        <f>+'Ajuste 2021'!AQ52</f>
        <v>391.90583291137591</v>
      </c>
      <c r="H50" s="61">
        <f>ROUND(+'CALCULO GARANTIA'!F51+'CALCULO GARANTIA'!M51+'Ajuste 2021'!AR52,2)</f>
        <v>1200329.69</v>
      </c>
      <c r="I50" s="61">
        <f>ROUND(+'CALCULO GARANTIA'!G51+'CALCULO GARANTIA'!N51+'Ajuste 2021'!AS52,2)</f>
        <v>247431.3</v>
      </c>
      <c r="J50" s="61">
        <f>ROUND(+'PART MES'!F$12*'COEF Art 14 F II'!L52+'Ajuste 2021'!AT52,2)</f>
        <v>994280.11</v>
      </c>
      <c r="K50" s="61">
        <f>+'ISR ENERO '!D51</f>
        <v>19665660</v>
      </c>
      <c r="L50" s="61">
        <f>+ISAI!D49</f>
        <v>945959.37036415027</v>
      </c>
      <c r="M50" s="61">
        <f>+'PART MES'!$N$4*'COEF Art 14 F I '!AF52</f>
        <v>-208012.45494783521</v>
      </c>
      <c r="N50" s="248">
        <f t="shared" si="1"/>
        <v>86483561.664493665</v>
      </c>
    </row>
    <row r="51" spans="1:15">
      <c r="A51" s="209" t="s">
        <v>47</v>
      </c>
      <c r="B51" s="61">
        <f>ROUND(+'CALCULO GARANTIA'!B52+'CALCULO GARANTIA'!I52+'Ajuste 2021'!AL53,2)</f>
        <v>94281817.75</v>
      </c>
      <c r="C51" s="61">
        <f>ROUND(+'CALCULO GARANTIA'!C52+'CALCULO GARANTIA'!J52+'Ajuste 2021'!AM53,2)</f>
        <v>13426389.039999999</v>
      </c>
      <c r="D51" s="61">
        <f>+'Art.14 Frac.III'!P51+'Ajuste 2021'!AN53</f>
        <v>3224565.7045668932</v>
      </c>
      <c r="E51" s="61">
        <f>ROUND(+'PART MES'!$F$6*'CALCULO GARANTIA'!S52+'Ajuste 2021'!AO53,2)</f>
        <v>2307795.2000000002</v>
      </c>
      <c r="F51" s="61">
        <f>ROUND(+'CALCULO GARANTIA'!E52+'CALCULO GARANTIA'!L52+'Ajuste 2021'!AP53,2)</f>
        <v>9107972.8200000003</v>
      </c>
      <c r="G51" s="61">
        <f>+'Ajuste 2021'!AQ53</f>
        <v>757.26194781592733</v>
      </c>
      <c r="H51" s="61">
        <f>ROUND(+'CALCULO GARANTIA'!F52+'CALCULO GARANTIA'!M52+'Ajuste 2021'!AR53,2)</f>
        <v>2318672.36</v>
      </c>
      <c r="I51" s="61">
        <f>ROUND(+'CALCULO GARANTIA'!G52+'CALCULO GARANTIA'!N52+'Ajuste 2021'!AS53,2)</f>
        <v>478017.7</v>
      </c>
      <c r="J51" s="61">
        <f>ROUND(+'PART MES'!F$12*'COEF Art 14 F II'!L53+'Ajuste 2021'!AT53,2)</f>
        <v>748445.89</v>
      </c>
      <c r="K51" s="61">
        <f>+'ISR ENERO '!D52</f>
        <v>9370149</v>
      </c>
      <c r="L51" s="61">
        <f>+ISAI!D50</f>
        <v>3292307.1951506855</v>
      </c>
      <c r="M51" s="61">
        <f>+'PART MES'!$N$4*'COEF Art 14 F I '!AF53</f>
        <v>-400637.0453625861</v>
      </c>
      <c r="N51" s="248">
        <f t="shared" si="1"/>
        <v>138156252.87630278</v>
      </c>
    </row>
    <row r="52" spans="1:15">
      <c r="A52" s="209" t="s">
        <v>48</v>
      </c>
      <c r="B52" s="61">
        <f>ROUND(+'CALCULO GARANTIA'!B53+'CALCULO GARANTIA'!I53+'Ajuste 2021'!AL54,2)</f>
        <v>25369214.609999999</v>
      </c>
      <c r="C52" s="61">
        <f>ROUND(+'CALCULO GARANTIA'!C53+'CALCULO GARANTIA'!J53+'Ajuste 2021'!AM54,2)</f>
        <v>3611879.39</v>
      </c>
      <c r="D52" s="61">
        <f>+'Art.14 Frac.III'!P52+'Ajuste 2021'!AN54</f>
        <v>936574.75083609007</v>
      </c>
      <c r="E52" s="61">
        <f>ROUND(+'PART MES'!$F$6*'CALCULO GARANTIA'!S53+'Ajuste 2021'!AO54,2)</f>
        <v>621869.62</v>
      </c>
      <c r="F52" s="61">
        <f>ROUND(+'CALCULO GARANTIA'!E53+'CALCULO GARANTIA'!L53+'Ajuste 2021'!AP54,2)</f>
        <v>2444770.29</v>
      </c>
      <c r="G52" s="61">
        <f>+'Ajuste 2021'!AQ54</f>
        <v>204.05545572071182</v>
      </c>
      <c r="H52" s="61">
        <f>ROUND(+'CALCULO GARANTIA'!F53+'CALCULO GARANTIA'!M53+'Ajuste 2021'!AR54,2)</f>
        <v>624391.34</v>
      </c>
      <c r="I52" s="61">
        <f>ROUND(+'CALCULO GARANTIA'!G53+'CALCULO GARANTIA'!N53+'Ajuste 2021'!AS54,2)</f>
        <v>128758.52</v>
      </c>
      <c r="J52" s="61">
        <f>ROUND(+'PART MES'!F$12*'COEF Art 14 F II'!L54+'Ajuste 2021'!AT54,2)</f>
        <v>653413.97</v>
      </c>
      <c r="K52" s="61">
        <f>+'ISR ENERO '!D53</f>
        <v>16314261</v>
      </c>
      <c r="L52" s="61">
        <f>+ISAI!D51</f>
        <v>1159248.6310602413</v>
      </c>
      <c r="M52" s="61">
        <f>+'PART MES'!$N$4*'COEF Art 14 F I '!AF54</f>
        <v>-107166.4555074925</v>
      </c>
      <c r="N52" s="248">
        <f t="shared" si="1"/>
        <v>51757419.721844561</v>
      </c>
    </row>
    <row r="53" spans="1:15">
      <c r="A53" s="209" t="s">
        <v>49</v>
      </c>
      <c r="B53" s="61">
        <f>ROUND(+'CALCULO GARANTIA'!B54+'CALCULO GARANTIA'!I54+'Ajuste 2021'!AL55,2)</f>
        <v>9364229.3499999996</v>
      </c>
      <c r="C53" s="61">
        <f>ROUND(+'CALCULO GARANTIA'!C54+'CALCULO GARANTIA'!J54+'Ajuste 2021'!AM55,2)</f>
        <v>1349366.57</v>
      </c>
      <c r="D53" s="61">
        <f>+'Art.14 Frac.III'!P53+'Ajuste 2021'!AN55</f>
        <v>1282772.6440995971</v>
      </c>
      <c r="E53" s="61">
        <f>ROUND(+'PART MES'!$F$6*'CALCULO GARANTIA'!S54+'Ajuste 2021'!AO55,2)</f>
        <v>214292.33</v>
      </c>
      <c r="F53" s="61">
        <f>ROUND(+'CALCULO GARANTIA'!E54+'CALCULO GARANTIA'!L54+'Ajuste 2021'!AP55,2)</f>
        <v>1013156.65</v>
      </c>
      <c r="G53" s="61">
        <f>+'Ajuste 2021'!AQ55</f>
        <v>-426.65632924100402</v>
      </c>
      <c r="H53" s="61">
        <f>ROUND(+'CALCULO GARANTIA'!F54+'CALCULO GARANTIA'!M54+'Ajuste 2021'!AR55,2)</f>
        <v>221481.68</v>
      </c>
      <c r="I53" s="61">
        <f>ROUND(+'CALCULO GARANTIA'!G54+'CALCULO GARANTIA'!N54+'Ajuste 2021'!AS55,2)</f>
        <v>45045.62</v>
      </c>
      <c r="J53" s="61">
        <f>ROUND(+'PART MES'!F$12*'COEF Art 14 F II'!L55+'Ajuste 2021'!AT55,2)</f>
        <v>144052.59</v>
      </c>
      <c r="K53" s="61">
        <f>+'ISR ENERO '!D54</f>
        <v>1501572</v>
      </c>
      <c r="L53" s="61">
        <f>+ISAI!D52</f>
        <v>983524.29875143641</v>
      </c>
      <c r="M53" s="61">
        <f>+'PART MES'!$N$4*'COEF Art 14 F I '!AF55</f>
        <v>-51323.353950938035</v>
      </c>
      <c r="N53" s="248">
        <f t="shared" si="1"/>
        <v>16067743.722570853</v>
      </c>
    </row>
    <row r="54" spans="1:15">
      <c r="A54" s="209" t="s">
        <v>50</v>
      </c>
      <c r="B54" s="61">
        <f>ROUND(+'CALCULO GARANTIA'!B55+'CALCULO GARANTIA'!I55+'Ajuste 2021'!AL56,2)</f>
        <v>1822463.91</v>
      </c>
      <c r="C54" s="61">
        <f>ROUND(+'CALCULO GARANTIA'!C55+'CALCULO GARANTIA'!J55+'Ajuste 2021'!AM56,2)</f>
        <v>260828.94</v>
      </c>
      <c r="D54" s="61">
        <f>+'Art.14 Frac.III'!P54+'Ajuste 2021'!AN56</f>
        <v>840395.12588606065</v>
      </c>
      <c r="E54" s="61">
        <f>ROUND(+'PART MES'!$F$6*'CALCULO GARANTIA'!S55+'Ajuste 2021'!AO56,2)</f>
        <v>43573.13</v>
      </c>
      <c r="F54" s="61">
        <f>ROUND(+'CALCULO GARANTIA'!E55+'CALCULO GARANTIA'!L55+'Ajuste 2021'!AP56,2)</f>
        <v>184949.26</v>
      </c>
      <c r="G54" s="61">
        <f>+'Ajuste 2021'!AQ56</f>
        <v>-101.51861130801626</v>
      </c>
      <c r="H54" s="61">
        <f>ROUND(+'CALCULO GARANTIA'!F55+'CALCULO GARANTIA'!M55+'Ajuste 2021'!AR56,2)</f>
        <v>44097.81</v>
      </c>
      <c r="I54" s="61">
        <f>ROUND(+'CALCULO GARANTIA'!G55+'CALCULO GARANTIA'!N55+'Ajuste 2021'!AS56,2)</f>
        <v>9040.82</v>
      </c>
      <c r="J54" s="61">
        <f>ROUND(+'PART MES'!F$12*'COEF Art 14 F II'!L56+'Ajuste 2021'!AT56,2)</f>
        <v>14322.2</v>
      </c>
      <c r="K54" s="61">
        <f>+'ISR ENERO '!D55</f>
        <v>145956</v>
      </c>
      <c r="L54" s="61">
        <f>+ISAI!D53</f>
        <v>5866.3562007211685</v>
      </c>
      <c r="M54" s="61">
        <f>+'PART MES'!$N$4*'COEF Art 14 F I '!AF56</f>
        <v>-8689.0693585824938</v>
      </c>
      <c r="N54" s="248">
        <f t="shared" si="1"/>
        <v>3362702.9641168909</v>
      </c>
    </row>
    <row r="55" spans="1:15" ht="13.5" thickBot="1">
      <c r="A55" s="210" t="s">
        <v>51</v>
      </c>
      <c r="B55" s="61">
        <f>ROUND(+'CALCULO GARANTIA'!B56+'CALCULO GARANTIA'!I56+'Ajuste 2021'!AL57,2)</f>
        <v>2138226.4</v>
      </c>
      <c r="C55" s="61">
        <f>ROUND(+'CALCULO GARANTIA'!C56+'CALCULO GARANTIA'!J56+'Ajuste 2021'!AM57,2)</f>
        <v>302016.40000000002</v>
      </c>
      <c r="D55" s="61">
        <f>+'Art.14 Frac.III'!P55+'Ajuste 2021'!AN57</f>
        <v>708464.11939908937</v>
      </c>
      <c r="E55" s="61">
        <f>ROUND(+'PART MES'!$F$6*'CALCULO GARANTIA'!S56+'Ajuste 2021'!AO57,2)</f>
        <v>54870.57</v>
      </c>
      <c r="F55" s="61">
        <f>ROUND(+'CALCULO GARANTIA'!E56+'CALCULO GARANTIA'!L56+'Ajuste 2021'!AP57,2)</f>
        <v>189548.43</v>
      </c>
      <c r="G55" s="61">
        <f>+'Ajuste 2021'!AQ57</f>
        <v>18.00480052313651</v>
      </c>
      <c r="H55" s="61">
        <f>ROUND(+'CALCULO GARANTIA'!F56+'CALCULO GARANTIA'!M56+'Ajuste 2021'!AR57,2)</f>
        <v>53966.71</v>
      </c>
      <c r="I55" s="61">
        <f>ROUND(+'CALCULO GARANTIA'!G56+'CALCULO GARANTIA'!N56+'Ajuste 2021'!AS57,2)</f>
        <v>11222.19</v>
      </c>
      <c r="J55" s="61">
        <f>ROUND(+'PART MES'!F$12*'COEF Art 14 F II'!L57+'Ajuste 2021'!AT57,2)</f>
        <v>16249.44</v>
      </c>
      <c r="K55" s="61">
        <f>+'ISR ENERO '!D56</f>
        <v>0</v>
      </c>
      <c r="L55" s="61">
        <f>+ISAI!D54</f>
        <v>4440.2388865377361</v>
      </c>
      <c r="M55" s="61">
        <f>+'PART MES'!$N$4*'COEF Art 14 F I '!AF57</f>
        <v>-7278.652248971367</v>
      </c>
      <c r="N55" s="248">
        <f t="shared" si="1"/>
        <v>3471743.850837179</v>
      </c>
    </row>
    <row r="56" spans="1:15" ht="13.5" thickBot="1">
      <c r="A56" s="204" t="s">
        <v>52</v>
      </c>
      <c r="B56" s="205">
        <f t="shared" ref="B56:G56" si="2">SUM(B5:B55)</f>
        <v>686721928.08000004</v>
      </c>
      <c r="C56" s="205">
        <f t="shared" si="2"/>
        <v>97927143.579999968</v>
      </c>
      <c r="D56" s="206">
        <f t="shared" si="2"/>
        <v>37442872.310000002</v>
      </c>
      <c r="E56" s="205">
        <f t="shared" si="2"/>
        <v>16687067.939999996</v>
      </c>
      <c r="F56" s="205">
        <f t="shared" si="2"/>
        <v>67252511.24000001</v>
      </c>
      <c r="G56" s="205">
        <f t="shared" si="2"/>
        <v>7.1833028414403088E-10</v>
      </c>
      <c r="H56" s="205">
        <f t="shared" ref="H56:N56" si="3">SUM(H5:H55)</f>
        <v>16814447.989999995</v>
      </c>
      <c r="I56" s="205">
        <f t="shared" si="3"/>
        <v>3461296.4099999992</v>
      </c>
      <c r="J56" s="205">
        <f t="shared" si="3"/>
        <v>13267341.969999997</v>
      </c>
      <c r="K56" s="205">
        <f t="shared" si="3"/>
        <v>80178989</v>
      </c>
      <c r="L56" s="205">
        <f t="shared" si="3"/>
        <v>20209070.800000008</v>
      </c>
      <c r="M56" s="206">
        <f t="shared" si="3"/>
        <v>-3015087.2559999996</v>
      </c>
      <c r="N56" s="207">
        <f t="shared" si="3"/>
        <v>1036947582.0640001</v>
      </c>
      <c r="O56" s="16" t="s">
        <v>158</v>
      </c>
    </row>
    <row r="57" spans="1:15">
      <c r="A57" s="461" t="s">
        <v>433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 t="s">
        <v>158</v>
      </c>
    </row>
    <row r="58" spans="1:15" ht="16.5" customHeight="1">
      <c r="A58" s="15" t="s">
        <v>109</v>
      </c>
      <c r="B58" s="57"/>
      <c r="C58" s="57"/>
      <c r="D58" s="57"/>
      <c r="E58" s="57"/>
    </row>
    <row r="59" spans="1:15">
      <c r="A59" s="17"/>
    </row>
    <row r="60" spans="1:15">
      <c r="A60" s="17"/>
    </row>
    <row r="61" spans="1:15" ht="16.5" customHeight="1"/>
  </sheetData>
  <mergeCells count="3">
    <mergeCell ref="A1:N1"/>
    <mergeCell ref="A2:N2"/>
    <mergeCell ref="A3:N3"/>
  </mergeCells>
  <printOptions horizontalCentered="1"/>
  <pageMargins left="0.39370078740157483" right="0.39370078740157483" top="0.15748031496062992" bottom="0.15748031496062992" header="0.15748031496062992" footer="0.15748031496062992"/>
  <pageSetup scale="69" orientation="landscape" r:id="rId1"/>
  <headerFooter alignWithMargins="0">
    <oddFooter>&amp;R&amp;D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95"/>
  <sheetViews>
    <sheetView workbookViewId="0">
      <selection activeCell="A56" sqref="A56"/>
    </sheetView>
  </sheetViews>
  <sheetFormatPr baseColWidth="10" defaultRowHeight="12.75"/>
  <cols>
    <col min="1" max="1" width="24.5703125" customWidth="1"/>
    <col min="2" max="2" width="28.7109375" customWidth="1"/>
    <col min="3" max="3" width="18.5703125" customWidth="1"/>
    <col min="4" max="4" width="17.28515625" customWidth="1"/>
    <col min="5" max="5" width="18.28515625" customWidth="1"/>
  </cols>
  <sheetData>
    <row r="1" spans="1:49" ht="15.75">
      <c r="A1" s="465" t="s">
        <v>224</v>
      </c>
      <c r="B1" s="465" t="s">
        <v>225</v>
      </c>
      <c r="C1" s="465" t="s">
        <v>281</v>
      </c>
      <c r="D1" s="465"/>
      <c r="E1" s="46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</row>
    <row r="2" spans="1:49" ht="15.75">
      <c r="A2" s="465"/>
      <c r="B2" s="465"/>
      <c r="C2" s="106" t="s">
        <v>226</v>
      </c>
      <c r="D2" s="106" t="s">
        <v>227</v>
      </c>
      <c r="E2" s="106" t="s">
        <v>228</v>
      </c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</row>
    <row r="3" spans="1:49" ht="15.75">
      <c r="A3" s="107"/>
      <c r="B3" s="108"/>
      <c r="C3" s="108"/>
      <c r="D3" s="108"/>
      <c r="E3" s="109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</row>
    <row r="4" spans="1:49" ht="15.75">
      <c r="A4" s="110" t="s">
        <v>229</v>
      </c>
      <c r="B4" s="111" t="s">
        <v>226</v>
      </c>
      <c r="C4" s="112">
        <f>SUM(C5:C55)</f>
        <v>5784442</v>
      </c>
      <c r="D4" s="112">
        <f>SUM(D5:D55)</f>
        <v>2890950</v>
      </c>
      <c r="E4" s="112">
        <f>SUM(E5:E55)</f>
        <v>2893492</v>
      </c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</row>
    <row r="5" spans="1:49" ht="15.75">
      <c r="A5" s="113" t="s">
        <v>229</v>
      </c>
      <c r="B5" s="114" t="s">
        <v>230</v>
      </c>
      <c r="C5" s="115">
        <v>2974</v>
      </c>
      <c r="D5" s="115">
        <v>1442</v>
      </c>
      <c r="E5" s="116">
        <v>1532</v>
      </c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</row>
    <row r="6" spans="1:49" ht="15.75">
      <c r="A6" s="117" t="s">
        <v>229</v>
      </c>
      <c r="B6" s="118" t="s">
        <v>231</v>
      </c>
      <c r="C6" s="119">
        <v>3382</v>
      </c>
      <c r="D6" s="119">
        <v>1690</v>
      </c>
      <c r="E6" s="120">
        <v>1692</v>
      </c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</row>
    <row r="7" spans="1:49" ht="15.75">
      <c r="A7" s="113" t="s">
        <v>229</v>
      </c>
      <c r="B7" s="114" t="s">
        <v>232</v>
      </c>
      <c r="C7" s="115">
        <v>35289</v>
      </c>
      <c r="D7" s="115">
        <v>17829</v>
      </c>
      <c r="E7" s="116">
        <v>17460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</row>
    <row r="8" spans="1:49" ht="15.75">
      <c r="A8" s="117" t="s">
        <v>229</v>
      </c>
      <c r="B8" s="118" t="s">
        <v>233</v>
      </c>
      <c r="C8" s="119">
        <v>18030</v>
      </c>
      <c r="D8" s="119">
        <v>8852</v>
      </c>
      <c r="E8" s="120">
        <v>9178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</row>
    <row r="9" spans="1:49" ht="15.75">
      <c r="A9" s="113" t="s">
        <v>229</v>
      </c>
      <c r="B9" s="114" t="s">
        <v>234</v>
      </c>
      <c r="C9" s="115">
        <v>656464</v>
      </c>
      <c r="D9" s="115">
        <v>331513</v>
      </c>
      <c r="E9" s="116">
        <v>324951</v>
      </c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</row>
    <row r="10" spans="1:49" ht="15.75">
      <c r="A10" s="117" t="s">
        <v>229</v>
      </c>
      <c r="B10" s="118" t="s">
        <v>235</v>
      </c>
      <c r="C10" s="119">
        <v>14992</v>
      </c>
      <c r="D10" s="119">
        <v>7667</v>
      </c>
      <c r="E10" s="120">
        <v>7325</v>
      </c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</row>
    <row r="11" spans="1:49" ht="15.75">
      <c r="A11" s="113" t="s">
        <v>229</v>
      </c>
      <c r="B11" s="114" t="s">
        <v>236</v>
      </c>
      <c r="C11" s="115">
        <v>3661</v>
      </c>
      <c r="D11" s="115">
        <v>1824</v>
      </c>
      <c r="E11" s="116">
        <v>1837</v>
      </c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</row>
    <row r="12" spans="1:49" ht="15.75">
      <c r="A12" s="117" t="s">
        <v>229</v>
      </c>
      <c r="B12" s="118" t="s">
        <v>237</v>
      </c>
      <c r="C12" s="119">
        <v>122337</v>
      </c>
      <c r="D12" s="119">
        <v>62377</v>
      </c>
      <c r="E12" s="120">
        <v>59960</v>
      </c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</row>
    <row r="13" spans="1:49" ht="15.75">
      <c r="A13" s="113" t="s">
        <v>229</v>
      </c>
      <c r="B13" s="114" t="s">
        <v>238</v>
      </c>
      <c r="C13" s="115">
        <v>7340</v>
      </c>
      <c r="D13" s="115">
        <v>3707</v>
      </c>
      <c r="E13" s="116">
        <v>3633</v>
      </c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</row>
    <row r="14" spans="1:49" ht="15.75">
      <c r="A14" s="117" t="s">
        <v>229</v>
      </c>
      <c r="B14" s="118" t="s">
        <v>239</v>
      </c>
      <c r="C14" s="119">
        <v>9930</v>
      </c>
      <c r="D14" s="119">
        <v>4961</v>
      </c>
      <c r="E14" s="120">
        <v>4969</v>
      </c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</row>
    <row r="15" spans="1:49" ht="15.75">
      <c r="A15" s="113" t="s">
        <v>229</v>
      </c>
      <c r="B15" s="114" t="s">
        <v>240</v>
      </c>
      <c r="C15" s="115">
        <v>68747</v>
      </c>
      <c r="D15" s="115">
        <v>35206</v>
      </c>
      <c r="E15" s="116">
        <v>33541</v>
      </c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</row>
    <row r="16" spans="1:49" ht="15.75">
      <c r="A16" s="117" t="s">
        <v>229</v>
      </c>
      <c r="B16" s="118" t="s">
        <v>241</v>
      </c>
      <c r="C16" s="119">
        <v>36088</v>
      </c>
      <c r="D16" s="119">
        <v>18060</v>
      </c>
      <c r="E16" s="120">
        <v>18028</v>
      </c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</row>
    <row r="17" spans="1:49" ht="15.75">
      <c r="A17" s="113" t="s">
        <v>229</v>
      </c>
      <c r="B17" s="114" t="s">
        <v>242</v>
      </c>
      <c r="C17" s="115">
        <v>1360</v>
      </c>
      <c r="D17" s="115">
        <v>657</v>
      </c>
      <c r="E17" s="116">
        <v>703</v>
      </c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</row>
    <row r="18" spans="1:49" ht="15.75">
      <c r="A18" s="117" t="s">
        <v>229</v>
      </c>
      <c r="B18" s="118" t="s">
        <v>243</v>
      </c>
      <c r="C18" s="119">
        <v>3256</v>
      </c>
      <c r="D18" s="119">
        <v>1672</v>
      </c>
      <c r="E18" s="120">
        <v>1584</v>
      </c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</row>
    <row r="19" spans="1:49" ht="15.75">
      <c r="A19" s="113" t="s">
        <v>229</v>
      </c>
      <c r="B19" s="114" t="s">
        <v>244</v>
      </c>
      <c r="C19" s="115">
        <v>104478</v>
      </c>
      <c r="D19" s="115">
        <v>52883</v>
      </c>
      <c r="E19" s="116">
        <v>51595</v>
      </c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</row>
    <row r="20" spans="1:49" ht="15.75">
      <c r="A20" s="117" t="s">
        <v>229</v>
      </c>
      <c r="B20" s="118" t="s">
        <v>245</v>
      </c>
      <c r="C20" s="119">
        <v>40903</v>
      </c>
      <c r="D20" s="119">
        <v>20444</v>
      </c>
      <c r="E20" s="120">
        <v>20459</v>
      </c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</row>
    <row r="21" spans="1:49" ht="15.75">
      <c r="A21" s="113" t="s">
        <v>229</v>
      </c>
      <c r="B21" s="114" t="s">
        <v>246</v>
      </c>
      <c r="C21" s="115">
        <v>397205</v>
      </c>
      <c r="D21" s="115">
        <v>200708</v>
      </c>
      <c r="E21" s="116">
        <v>196497</v>
      </c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</row>
    <row r="22" spans="1:49" ht="15.75">
      <c r="A22" s="117" t="s">
        <v>229</v>
      </c>
      <c r="B22" s="118" t="s">
        <v>247</v>
      </c>
      <c r="C22" s="119">
        <v>5506</v>
      </c>
      <c r="D22" s="119">
        <v>2796</v>
      </c>
      <c r="E22" s="120">
        <v>2710</v>
      </c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</row>
    <row r="23" spans="1:49" ht="15.75">
      <c r="A23" s="113" t="s">
        <v>229</v>
      </c>
      <c r="B23" s="114" t="s">
        <v>248</v>
      </c>
      <c r="C23" s="115">
        <v>481213</v>
      </c>
      <c r="D23" s="115">
        <v>242161</v>
      </c>
      <c r="E23" s="116">
        <v>239052</v>
      </c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</row>
    <row r="24" spans="1:49" ht="15.75">
      <c r="A24" s="117" t="s">
        <v>229</v>
      </c>
      <c r="B24" s="118" t="s">
        <v>249</v>
      </c>
      <c r="C24" s="119">
        <v>14109</v>
      </c>
      <c r="D24" s="119">
        <v>7115</v>
      </c>
      <c r="E24" s="120">
        <v>6994</v>
      </c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</row>
    <row r="25" spans="1:49" ht="15.75">
      <c r="A25" s="113" t="s">
        <v>229</v>
      </c>
      <c r="B25" s="114" t="s">
        <v>250</v>
      </c>
      <c r="C25" s="115">
        <v>1808</v>
      </c>
      <c r="D25" s="115">
        <v>890</v>
      </c>
      <c r="E25" s="116">
        <v>918</v>
      </c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</row>
    <row r="26" spans="1:49" ht="15.75">
      <c r="A26" s="117" t="s">
        <v>229</v>
      </c>
      <c r="B26" s="118" t="s">
        <v>251</v>
      </c>
      <c r="C26" s="119">
        <v>6282</v>
      </c>
      <c r="D26" s="119">
        <v>3224</v>
      </c>
      <c r="E26" s="120">
        <v>3058</v>
      </c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</row>
    <row r="27" spans="1:49" ht="15.75">
      <c r="A27" s="113" t="s">
        <v>229</v>
      </c>
      <c r="B27" s="114" t="s">
        <v>252</v>
      </c>
      <c r="C27" s="115">
        <v>102149</v>
      </c>
      <c r="D27" s="115">
        <v>51844</v>
      </c>
      <c r="E27" s="116">
        <v>50305</v>
      </c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</row>
    <row r="28" spans="1:49" ht="15.75">
      <c r="A28" s="117" t="s">
        <v>229</v>
      </c>
      <c r="B28" s="118" t="s">
        <v>253</v>
      </c>
      <c r="C28" s="119">
        <v>643143</v>
      </c>
      <c r="D28" s="119">
        <v>318993</v>
      </c>
      <c r="E28" s="120">
        <v>324150</v>
      </c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</row>
    <row r="29" spans="1:49" ht="15.75">
      <c r="A29" s="113" t="s">
        <v>229</v>
      </c>
      <c r="B29" s="114" t="s">
        <v>254</v>
      </c>
      <c r="C29" s="115">
        <v>16086</v>
      </c>
      <c r="D29" s="115">
        <v>8082</v>
      </c>
      <c r="E29" s="116">
        <v>8004</v>
      </c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</row>
    <row r="30" spans="1:49" ht="15.75">
      <c r="A30" s="117" t="s">
        <v>229</v>
      </c>
      <c r="B30" s="118" t="s">
        <v>255</v>
      </c>
      <c r="C30" s="119">
        <v>1386</v>
      </c>
      <c r="D30" s="119">
        <v>724</v>
      </c>
      <c r="E30" s="120">
        <v>662</v>
      </c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</row>
    <row r="31" spans="1:49" ht="15.75">
      <c r="A31" s="113" t="s">
        <v>229</v>
      </c>
      <c r="B31" s="114" t="s">
        <v>256</v>
      </c>
      <c r="C31" s="115">
        <v>7026</v>
      </c>
      <c r="D31" s="115">
        <v>3480</v>
      </c>
      <c r="E31" s="116">
        <v>3546</v>
      </c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</row>
    <row r="32" spans="1:49" ht="15.75">
      <c r="A32" s="117" t="s">
        <v>229</v>
      </c>
      <c r="B32" s="118" t="s">
        <v>257</v>
      </c>
      <c r="C32" s="119">
        <v>3298</v>
      </c>
      <c r="D32" s="119">
        <v>1716</v>
      </c>
      <c r="E32" s="120">
        <v>1582</v>
      </c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</row>
    <row r="33" spans="1:49" ht="15.75">
      <c r="A33" s="113" t="s">
        <v>229</v>
      </c>
      <c r="B33" s="114" t="s">
        <v>258</v>
      </c>
      <c r="C33" s="115">
        <v>471523</v>
      </c>
      <c r="D33" s="115">
        <v>237717</v>
      </c>
      <c r="E33" s="116">
        <v>233806</v>
      </c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</row>
    <row r="34" spans="1:49" ht="15.75">
      <c r="A34" s="117" t="s">
        <v>229</v>
      </c>
      <c r="B34" s="118" t="s">
        <v>259</v>
      </c>
      <c r="C34" s="119">
        <v>5351</v>
      </c>
      <c r="D34" s="119">
        <v>2657</v>
      </c>
      <c r="E34" s="120">
        <v>2694</v>
      </c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</row>
    <row r="35" spans="1:49" ht="15.75">
      <c r="A35" s="113" t="s">
        <v>229</v>
      </c>
      <c r="B35" s="114" t="s">
        <v>260</v>
      </c>
      <c r="C35" s="115">
        <v>84666</v>
      </c>
      <c r="D35" s="115">
        <v>41878</v>
      </c>
      <c r="E35" s="116">
        <v>42788</v>
      </c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</row>
    <row r="36" spans="1:49" ht="15.75">
      <c r="A36" s="117" t="s">
        <v>229</v>
      </c>
      <c r="B36" s="118" t="s">
        <v>261</v>
      </c>
      <c r="C36" s="119">
        <v>1407</v>
      </c>
      <c r="D36" s="119">
        <v>699</v>
      </c>
      <c r="E36" s="120">
        <v>708</v>
      </c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</row>
    <row r="37" spans="1:49" ht="15.75">
      <c r="A37" s="113" t="s">
        <v>229</v>
      </c>
      <c r="B37" s="114" t="s">
        <v>262</v>
      </c>
      <c r="C37" s="115">
        <v>1959</v>
      </c>
      <c r="D37" s="115">
        <v>989</v>
      </c>
      <c r="E37" s="116">
        <v>970</v>
      </c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</row>
    <row r="38" spans="1:49" ht="15.75">
      <c r="A38" s="117" t="s">
        <v>229</v>
      </c>
      <c r="B38" s="118" t="s">
        <v>263</v>
      </c>
      <c r="C38" s="119">
        <v>5389</v>
      </c>
      <c r="D38" s="119">
        <v>2776</v>
      </c>
      <c r="E38" s="120">
        <v>2613</v>
      </c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</row>
    <row r="39" spans="1:49" ht="15.75">
      <c r="A39" s="113" t="s">
        <v>229</v>
      </c>
      <c r="B39" s="114" t="s">
        <v>264</v>
      </c>
      <c r="C39" s="115">
        <v>5119</v>
      </c>
      <c r="D39" s="115">
        <v>2639</v>
      </c>
      <c r="E39" s="116">
        <v>2480</v>
      </c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</row>
    <row r="40" spans="1:49" ht="15.75">
      <c r="A40" s="117" t="s">
        <v>229</v>
      </c>
      <c r="B40" s="118" t="s">
        <v>265</v>
      </c>
      <c r="C40" s="119">
        <v>1483</v>
      </c>
      <c r="D40" s="119">
        <v>764</v>
      </c>
      <c r="E40" s="120">
        <v>719</v>
      </c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</row>
    <row r="41" spans="1:49" ht="15.75">
      <c r="A41" s="113" t="s">
        <v>229</v>
      </c>
      <c r="B41" s="114" t="s">
        <v>266</v>
      </c>
      <c r="C41" s="115">
        <v>7652</v>
      </c>
      <c r="D41" s="115">
        <v>3795</v>
      </c>
      <c r="E41" s="116">
        <v>3857</v>
      </c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</row>
    <row r="42" spans="1:49" ht="15.75">
      <c r="A42" s="117" t="s">
        <v>229</v>
      </c>
      <c r="B42" s="118" t="s">
        <v>267</v>
      </c>
      <c r="C42" s="119">
        <v>6048</v>
      </c>
      <c r="D42" s="119">
        <v>3056</v>
      </c>
      <c r="E42" s="120">
        <v>2992</v>
      </c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</row>
    <row r="43" spans="1:49" ht="15.75">
      <c r="A43" s="113" t="s">
        <v>229</v>
      </c>
      <c r="B43" s="114" t="s">
        <v>268</v>
      </c>
      <c r="C43" s="115">
        <v>67428</v>
      </c>
      <c r="D43" s="115">
        <v>33569</v>
      </c>
      <c r="E43" s="116">
        <v>33859</v>
      </c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</row>
    <row r="44" spans="1:49" ht="15.75">
      <c r="A44" s="117" t="s">
        <v>229</v>
      </c>
      <c r="B44" s="118" t="s">
        <v>269</v>
      </c>
      <c r="C44" s="119">
        <v>1142994</v>
      </c>
      <c r="D44" s="119">
        <v>564805</v>
      </c>
      <c r="E44" s="120">
        <v>578189</v>
      </c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</row>
    <row r="45" spans="1:49" ht="15.75">
      <c r="A45" s="113" t="s">
        <v>229</v>
      </c>
      <c r="B45" s="114" t="s">
        <v>270</v>
      </c>
      <c r="C45" s="115">
        <v>906</v>
      </c>
      <c r="D45" s="115">
        <v>457</v>
      </c>
      <c r="E45" s="116">
        <v>449</v>
      </c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</row>
    <row r="46" spans="1:49" ht="15.75">
      <c r="A46" s="117" t="s">
        <v>229</v>
      </c>
      <c r="B46" s="118" t="s">
        <v>271</v>
      </c>
      <c r="C46" s="119">
        <v>147624</v>
      </c>
      <c r="D46" s="119">
        <v>76004</v>
      </c>
      <c r="E46" s="120">
        <v>71620</v>
      </c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</row>
    <row r="47" spans="1:49" ht="15.75">
      <c r="A47" s="113" t="s">
        <v>229</v>
      </c>
      <c r="B47" s="114" t="s">
        <v>272</v>
      </c>
      <c r="C47" s="115">
        <v>2377</v>
      </c>
      <c r="D47" s="115">
        <v>1230</v>
      </c>
      <c r="E47" s="116">
        <v>1147</v>
      </c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</row>
    <row r="48" spans="1:49" ht="15.75">
      <c r="A48" s="117" t="s">
        <v>229</v>
      </c>
      <c r="B48" s="118" t="s">
        <v>273</v>
      </c>
      <c r="C48" s="119">
        <v>34709</v>
      </c>
      <c r="D48" s="119">
        <v>17035</v>
      </c>
      <c r="E48" s="120">
        <v>17674</v>
      </c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</row>
    <row r="49" spans="1:49" ht="15.75">
      <c r="A49" s="113" t="s">
        <v>229</v>
      </c>
      <c r="B49" s="114" t="s">
        <v>274</v>
      </c>
      <c r="C49" s="115">
        <v>86766</v>
      </c>
      <c r="D49" s="115">
        <v>44135</v>
      </c>
      <c r="E49" s="116">
        <v>42631</v>
      </c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</row>
    <row r="50" spans="1:49" ht="15.75">
      <c r="A50" s="117" t="s">
        <v>229</v>
      </c>
      <c r="B50" s="118" t="s">
        <v>275</v>
      </c>
      <c r="C50" s="119">
        <v>412199</v>
      </c>
      <c r="D50" s="119">
        <v>202958</v>
      </c>
      <c r="E50" s="120">
        <v>209241</v>
      </c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</row>
    <row r="51" spans="1:49" ht="15.75">
      <c r="A51" s="113" t="s">
        <v>229</v>
      </c>
      <c r="B51" s="114" t="s">
        <v>276</v>
      </c>
      <c r="C51" s="115">
        <v>132169</v>
      </c>
      <c r="D51" s="115">
        <v>62586</v>
      </c>
      <c r="E51" s="116">
        <v>69583</v>
      </c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</row>
    <row r="52" spans="1:49" ht="15.75">
      <c r="A52" s="117" t="s">
        <v>229</v>
      </c>
      <c r="B52" s="118" t="s">
        <v>277</v>
      </c>
      <c r="C52" s="119">
        <v>306322</v>
      </c>
      <c r="D52" s="119">
        <v>152617</v>
      </c>
      <c r="E52" s="120">
        <v>153705</v>
      </c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</row>
    <row r="53" spans="1:49" ht="15.75">
      <c r="A53" s="113" t="s">
        <v>229</v>
      </c>
      <c r="B53" s="114" t="s">
        <v>278</v>
      </c>
      <c r="C53" s="115">
        <v>46784</v>
      </c>
      <c r="D53" s="115">
        <v>23460</v>
      </c>
      <c r="E53" s="116">
        <v>23324</v>
      </c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</row>
    <row r="54" spans="1:49" ht="15.75">
      <c r="A54" s="117" t="s">
        <v>229</v>
      </c>
      <c r="B54" s="118" t="s">
        <v>279</v>
      </c>
      <c r="C54" s="119">
        <v>1552</v>
      </c>
      <c r="D54" s="119">
        <v>820</v>
      </c>
      <c r="E54" s="120">
        <v>732</v>
      </c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</row>
    <row r="55" spans="1:49" ht="15.75">
      <c r="A55" s="121" t="s">
        <v>229</v>
      </c>
      <c r="B55" s="122" t="s">
        <v>280</v>
      </c>
      <c r="C55" s="123">
        <v>3573</v>
      </c>
      <c r="D55" s="123">
        <v>1787</v>
      </c>
      <c r="E55" s="124">
        <v>1786</v>
      </c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</row>
    <row r="56" spans="1:49">
      <c r="A56" s="126" t="s">
        <v>282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</row>
    <row r="57" spans="1:49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</row>
    <row r="58" spans="1:49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</row>
    <row r="59" spans="1:49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</row>
    <row r="60" spans="1:49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</row>
    <row r="61" spans="1:49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</row>
    <row r="62" spans="1:49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</row>
    <row r="63" spans="1:49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</row>
    <row r="64" spans="1:49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</row>
    <row r="65" spans="1:49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</row>
    <row r="66" spans="1:49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</row>
    <row r="67" spans="1:49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</row>
    <row r="68" spans="1:49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</row>
    <row r="69" spans="1:49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</row>
    <row r="70" spans="1:49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</row>
    <row r="71" spans="1:49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</row>
    <row r="72" spans="1:49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</row>
    <row r="73" spans="1:49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</row>
    <row r="74" spans="1:49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</row>
    <row r="75" spans="1:49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</row>
    <row r="76" spans="1:49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</row>
    <row r="77" spans="1:49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</row>
    <row r="78" spans="1:49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</row>
    <row r="79" spans="1:49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</row>
    <row r="80" spans="1:49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</row>
    <row r="81" spans="1:49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</row>
    <row r="82" spans="1:49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</row>
    <row r="83" spans="1:49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</row>
    <row r="84" spans="1:49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</row>
    <row r="85" spans="1:49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</row>
    <row r="86" spans="1:49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</row>
    <row r="87" spans="1:49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</row>
    <row r="88" spans="1:49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</row>
    <row r="89" spans="1:49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</row>
    <row r="90" spans="1:49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</row>
    <row r="91" spans="1:49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</row>
    <row r="92" spans="1:49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</row>
    <row r="93" spans="1:49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</row>
    <row r="94" spans="1:49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</row>
    <row r="95" spans="1:49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</row>
    <row r="96" spans="1:49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</row>
    <row r="97" spans="1:49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</row>
    <row r="98" spans="1:49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</row>
    <row r="99" spans="1:49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</row>
    <row r="100" spans="1:49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</row>
    <row r="101" spans="1:49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</row>
    <row r="102" spans="1:49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</row>
    <row r="103" spans="1:49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</row>
    <row r="104" spans="1:49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</row>
    <row r="105" spans="1:49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</row>
    <row r="106" spans="1:49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</row>
    <row r="107" spans="1:49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</row>
    <row r="108" spans="1:49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</row>
    <row r="109" spans="1:49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</row>
    <row r="110" spans="1:49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</row>
    <row r="111" spans="1:49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</row>
    <row r="112" spans="1:49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</row>
    <row r="113" spans="1:49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</row>
    <row r="114" spans="1:49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</row>
    <row r="115" spans="1:49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</row>
    <row r="116" spans="1:49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</row>
    <row r="117" spans="1:49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</row>
    <row r="118" spans="1:49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</row>
    <row r="119" spans="1:49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</row>
    <row r="120" spans="1:49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</row>
    <row r="121" spans="1:49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</row>
    <row r="122" spans="1:49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</row>
    <row r="123" spans="1:49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</row>
    <row r="124" spans="1:49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</row>
    <row r="125" spans="1:49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</row>
    <row r="126" spans="1:49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</row>
    <row r="127" spans="1:49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</row>
    <row r="128" spans="1:49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</row>
    <row r="129" spans="1:49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</row>
    <row r="130" spans="1:49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</row>
    <row r="131" spans="1:49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</row>
    <row r="132" spans="1:49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</row>
    <row r="133" spans="1:49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</row>
    <row r="134" spans="1:49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</row>
    <row r="135" spans="1:49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</row>
    <row r="136" spans="1:49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</row>
    <row r="137" spans="1:49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</row>
    <row r="138" spans="1:49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</row>
    <row r="139" spans="1:49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</row>
    <row r="140" spans="1:49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</row>
    <row r="141" spans="1:49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</row>
    <row r="142" spans="1:49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</row>
    <row r="143" spans="1:49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</row>
    <row r="144" spans="1:49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</row>
    <row r="145" spans="1:49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</row>
    <row r="146" spans="1:49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</row>
    <row r="147" spans="1:49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</row>
    <row r="148" spans="1:49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</row>
    <row r="149" spans="1:49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</row>
    <row r="150" spans="1:49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</row>
    <row r="151" spans="1:49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</row>
    <row r="152" spans="1:49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</row>
    <row r="153" spans="1:49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</row>
    <row r="154" spans="1:49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</row>
    <row r="155" spans="1:49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</row>
    <row r="156" spans="1:49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</row>
    <row r="157" spans="1:49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</row>
    <row r="158" spans="1:49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</row>
    <row r="159" spans="1:49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</row>
    <row r="160" spans="1:49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</row>
    <row r="161" spans="1:49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</row>
    <row r="162" spans="1:49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</row>
    <row r="163" spans="1:49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</row>
    <row r="164" spans="1:49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</row>
    <row r="165" spans="1:49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</row>
    <row r="166" spans="1:49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</row>
    <row r="167" spans="1:49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</row>
    <row r="168" spans="1:49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</row>
    <row r="169" spans="1:49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</row>
    <row r="170" spans="1:49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</row>
    <row r="171" spans="1:49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</row>
    <row r="172" spans="1:49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</row>
    <row r="173" spans="1:49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</row>
    <row r="174" spans="1:49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</row>
    <row r="175" spans="1:49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</row>
    <row r="176" spans="1:49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</row>
    <row r="177" spans="1:49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</row>
    <row r="178" spans="1:49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</row>
    <row r="179" spans="1:49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</row>
    <row r="180" spans="1:49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</row>
    <row r="181" spans="1:49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</row>
    <row r="182" spans="1:49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</row>
    <row r="183" spans="1:49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</row>
    <row r="184" spans="1:49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</row>
    <row r="185" spans="1:49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</row>
    <row r="186" spans="1:49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</row>
    <row r="187" spans="1:49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</row>
    <row r="188" spans="1:49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</row>
    <row r="189" spans="1:49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</row>
    <row r="190" spans="1:49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</row>
    <row r="191" spans="1:49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</row>
    <row r="192" spans="1:49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</row>
    <row r="193" spans="1:49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</row>
    <row r="194" spans="1:49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</row>
    <row r="195" spans="1:49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</row>
    <row r="196" spans="1:49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</row>
    <row r="197" spans="1:49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</row>
    <row r="198" spans="1:49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</row>
    <row r="199" spans="1:49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</row>
    <row r="200" spans="1:49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</row>
    <row r="201" spans="1:49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</row>
    <row r="202" spans="1:49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</row>
    <row r="203" spans="1:49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</row>
    <row r="204" spans="1:49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</row>
    <row r="205" spans="1:49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</row>
    <row r="206" spans="1:49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</row>
    <row r="207" spans="1:49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</row>
    <row r="208" spans="1:49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</row>
    <row r="209" spans="1:49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</row>
    <row r="210" spans="1:49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</row>
    <row r="211" spans="1:49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</row>
    <row r="212" spans="1:49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</row>
    <row r="213" spans="1:49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</row>
    <row r="214" spans="1:49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</row>
    <row r="215" spans="1:49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</row>
    <row r="216" spans="1:49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</row>
    <row r="217" spans="1:49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</row>
    <row r="218" spans="1:49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</row>
    <row r="219" spans="1:49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</row>
    <row r="220" spans="1:49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</row>
    <row r="221" spans="1:49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</row>
    <row r="222" spans="1:49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</row>
    <row r="223" spans="1:49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</row>
    <row r="224" spans="1:49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</row>
    <row r="225" spans="1:49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</row>
    <row r="226" spans="1:49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</row>
    <row r="227" spans="1:49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</row>
    <row r="228" spans="1:49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</row>
    <row r="229" spans="1:49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</row>
    <row r="230" spans="1:49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</row>
    <row r="231" spans="1:49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</row>
    <row r="232" spans="1:49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</row>
    <row r="233" spans="1:49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</row>
    <row r="234" spans="1:49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</row>
    <row r="235" spans="1:49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</row>
    <row r="236" spans="1:49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</row>
    <row r="237" spans="1:49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</row>
    <row r="238" spans="1:49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</row>
    <row r="239" spans="1:49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</row>
    <row r="240" spans="1:49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</row>
    <row r="241" spans="1:49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</row>
    <row r="242" spans="1:49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</row>
    <row r="243" spans="1:49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</row>
    <row r="244" spans="1:49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</row>
    <row r="245" spans="1:49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</row>
    <row r="246" spans="1:49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</row>
    <row r="247" spans="1:49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</row>
    <row r="248" spans="1:49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</row>
    <row r="249" spans="1:49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</row>
    <row r="250" spans="1:49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</row>
    <row r="251" spans="1:49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</row>
    <row r="252" spans="1:49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</row>
    <row r="253" spans="1:49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</row>
    <row r="254" spans="1:49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</row>
    <row r="255" spans="1:49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</row>
    <row r="256" spans="1:49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</row>
    <row r="257" spans="1:49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</row>
    <row r="258" spans="1:49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</row>
    <row r="259" spans="1:49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</row>
    <row r="260" spans="1:49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</row>
    <row r="261" spans="1:49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</row>
    <row r="262" spans="1:49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</row>
    <row r="263" spans="1:49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</row>
    <row r="264" spans="1:49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</row>
    <row r="265" spans="1:49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</row>
    <row r="266" spans="1:49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</row>
    <row r="267" spans="1:49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</row>
    <row r="268" spans="1:49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</row>
    <row r="269" spans="1:49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</row>
    <row r="270" spans="1:49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</row>
    <row r="271" spans="1:49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</row>
    <row r="272" spans="1:49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</row>
    <row r="273" spans="1:49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</row>
    <row r="274" spans="1:49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</row>
    <row r="275" spans="1:49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</row>
    <row r="276" spans="1:49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</row>
    <row r="277" spans="1:49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</row>
    <row r="278" spans="1:49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</row>
    <row r="279" spans="1:49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</row>
    <row r="280" spans="1:49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</row>
    <row r="281" spans="1:49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</row>
    <row r="282" spans="1:49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</row>
    <row r="283" spans="1:49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</row>
    <row r="284" spans="1:49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</row>
    <row r="285" spans="1:49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</row>
    <row r="286" spans="1:49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</row>
    <row r="287" spans="1:49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</row>
    <row r="288" spans="1:49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</row>
    <row r="289" spans="1:49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</row>
    <row r="290" spans="1:49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</row>
    <row r="291" spans="1:49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</row>
    <row r="292" spans="1:49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</row>
    <row r="293" spans="1:49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</row>
    <row r="294" spans="1:49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</row>
    <row r="295" spans="1:49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</row>
    <row r="296" spans="1:49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</row>
    <row r="297" spans="1:49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</row>
    <row r="298" spans="1:49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</row>
    <row r="299" spans="1:49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</row>
    <row r="300" spans="1:49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</row>
    <row r="301" spans="1:49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</row>
    <row r="302" spans="1:49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</row>
    <row r="303" spans="1:49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</row>
    <row r="304" spans="1:49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</row>
    <row r="305" spans="1:49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</row>
    <row r="306" spans="1:49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</row>
    <row r="307" spans="1:49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</row>
    <row r="308" spans="1:49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</row>
    <row r="309" spans="1:49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</row>
    <row r="310" spans="1:49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</row>
    <row r="311" spans="1:49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</row>
    <row r="312" spans="1:49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</row>
    <row r="313" spans="1:49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</row>
    <row r="314" spans="1:49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</row>
    <row r="315" spans="1:49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</row>
    <row r="316" spans="1:49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</row>
    <row r="317" spans="1:49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</row>
    <row r="318" spans="1:49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</row>
    <row r="319" spans="1:49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</row>
    <row r="320" spans="1:49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</row>
    <row r="321" spans="1:49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</row>
    <row r="322" spans="1:49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</row>
    <row r="323" spans="1:49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</row>
    <row r="324" spans="1:49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</row>
    <row r="325" spans="1:49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</row>
    <row r="326" spans="1:49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</row>
    <row r="327" spans="1:49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</row>
    <row r="328" spans="1:49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</row>
    <row r="329" spans="1:49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</row>
    <row r="330" spans="1:49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</row>
    <row r="331" spans="1:49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</row>
    <row r="332" spans="1:49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</row>
    <row r="333" spans="1:49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</row>
    <row r="334" spans="1:49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</row>
    <row r="335" spans="1:49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</row>
    <row r="336" spans="1:49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</row>
    <row r="337" spans="1:49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</row>
    <row r="338" spans="1:49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</row>
    <row r="339" spans="1:49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</row>
    <row r="340" spans="1:49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</row>
    <row r="341" spans="1:49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</row>
    <row r="342" spans="1:49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</row>
    <row r="343" spans="1:49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</row>
    <row r="344" spans="1:49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</row>
    <row r="345" spans="1:49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</row>
    <row r="346" spans="1:49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</row>
    <row r="347" spans="1:49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</row>
    <row r="348" spans="1:49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</row>
    <row r="349" spans="1:49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</row>
    <row r="350" spans="1:49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</row>
    <row r="351" spans="1:49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</row>
    <row r="352" spans="1:49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</row>
    <row r="353" spans="1:49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</row>
    <row r="354" spans="1:49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</row>
    <row r="355" spans="1:49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</row>
    <row r="356" spans="1:49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</row>
    <row r="357" spans="1:49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</row>
    <row r="358" spans="1:49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</row>
    <row r="359" spans="1:49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</row>
    <row r="360" spans="1:49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</row>
    <row r="361" spans="1:49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</row>
    <row r="362" spans="1:49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</row>
    <row r="363" spans="1:49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</row>
    <row r="364" spans="1:49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</row>
    <row r="365" spans="1:49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</row>
    <row r="366" spans="1:49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</row>
    <row r="367" spans="1:49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</row>
    <row r="368" spans="1:49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</row>
    <row r="369" spans="1:49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</row>
    <row r="370" spans="1:49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</row>
    <row r="371" spans="1:49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</row>
    <row r="372" spans="1:49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</row>
    <row r="373" spans="1:49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</row>
    <row r="374" spans="1:49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</row>
    <row r="375" spans="1:49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</row>
    <row r="376" spans="1:49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</row>
    <row r="377" spans="1:49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</row>
    <row r="378" spans="1:49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</row>
    <row r="379" spans="1:49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</row>
    <row r="380" spans="1:49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</row>
    <row r="381" spans="1:49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</row>
    <row r="382" spans="1:49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</row>
    <row r="383" spans="1:49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</row>
    <row r="384" spans="1:49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</row>
    <row r="385" spans="1:49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</row>
    <row r="386" spans="1:49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</row>
    <row r="387" spans="1:49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</row>
    <row r="388" spans="1:49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</row>
    <row r="389" spans="1:49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</row>
    <row r="390" spans="1:49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</row>
    <row r="391" spans="1:49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</row>
    <row r="392" spans="1:49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</row>
    <row r="393" spans="1:49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</row>
    <row r="394" spans="1:49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</row>
    <row r="395" spans="1:49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</row>
    <row r="396" spans="1:49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</row>
    <row r="397" spans="1:49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</row>
    <row r="398" spans="1:49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</row>
    <row r="399" spans="1:49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</row>
    <row r="400" spans="1:49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</row>
    <row r="401" spans="1:49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</row>
    <row r="402" spans="1:49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</row>
    <row r="403" spans="1:49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</row>
    <row r="404" spans="1:49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</row>
    <row r="405" spans="1:49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</row>
    <row r="406" spans="1:49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</row>
    <row r="407" spans="1:49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</row>
    <row r="408" spans="1:49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</row>
    <row r="409" spans="1:4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</row>
    <row r="410" spans="1:49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</row>
    <row r="411" spans="1:49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</row>
    <row r="412" spans="1:49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</row>
    <row r="413" spans="1:49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</row>
    <row r="414" spans="1:49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</row>
    <row r="415" spans="1:49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</row>
    <row r="416" spans="1:49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</row>
    <row r="417" spans="1:49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</row>
    <row r="418" spans="1:49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</row>
    <row r="419" spans="1:4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</row>
    <row r="420" spans="1:49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</row>
    <row r="421" spans="1:49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</row>
    <row r="422" spans="1:49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</row>
    <row r="423" spans="1:49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</row>
    <row r="424" spans="1:49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</row>
    <row r="425" spans="1:49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</row>
    <row r="426" spans="1:49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</row>
    <row r="427" spans="1:49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</row>
    <row r="428" spans="1:49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</row>
    <row r="429" spans="1:4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</row>
    <row r="430" spans="1:49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</row>
    <row r="431" spans="1:49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</row>
    <row r="432" spans="1:49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</row>
    <row r="433" spans="1:49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</row>
    <row r="434" spans="1:49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</row>
    <row r="435" spans="1:49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</row>
    <row r="436" spans="1:49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</row>
    <row r="437" spans="1:49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</row>
    <row r="438" spans="1:49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</row>
    <row r="439" spans="1:4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</row>
    <row r="440" spans="1:49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</row>
    <row r="441" spans="1:49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</row>
    <row r="442" spans="1:49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</row>
    <row r="443" spans="1:49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</row>
    <row r="444" spans="1:49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</row>
    <row r="445" spans="1:49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</row>
    <row r="446" spans="1:49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</row>
    <row r="447" spans="1:49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</row>
    <row r="448" spans="1:49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</row>
    <row r="449" spans="1:49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</row>
    <row r="450" spans="1:49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</row>
    <row r="451" spans="1:49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</row>
    <row r="452" spans="1:49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</row>
    <row r="453" spans="1:49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</row>
    <row r="454" spans="1:49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</row>
    <row r="455" spans="1:49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</row>
    <row r="456" spans="1:49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</row>
    <row r="457" spans="1:49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</row>
    <row r="458" spans="1:49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</row>
    <row r="459" spans="1:49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</row>
    <row r="460" spans="1:49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</row>
    <row r="461" spans="1:49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</row>
    <row r="462" spans="1:49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</row>
    <row r="463" spans="1:49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</row>
    <row r="464" spans="1:49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</row>
    <row r="465" spans="1:49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</row>
    <row r="466" spans="1:49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</row>
    <row r="467" spans="1:49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</row>
    <row r="468" spans="1:49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</row>
    <row r="469" spans="1:49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</row>
    <row r="470" spans="1:49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</row>
    <row r="471" spans="1:49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</row>
    <row r="472" spans="1:49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</row>
    <row r="473" spans="1:49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</row>
    <row r="474" spans="1:49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</row>
    <row r="475" spans="1:49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</row>
    <row r="476" spans="1:49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</row>
    <row r="477" spans="1:49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</row>
    <row r="478" spans="1:49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</row>
    <row r="479" spans="1:49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</row>
    <row r="480" spans="1:49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</row>
    <row r="481" spans="1:49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</row>
    <row r="482" spans="1:49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</row>
    <row r="483" spans="1:49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</row>
    <row r="484" spans="1:49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</row>
    <row r="485" spans="1:49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</row>
    <row r="486" spans="1:49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</row>
    <row r="487" spans="1:49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</row>
    <row r="488" spans="1:49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</row>
    <row r="489" spans="1:49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</row>
    <row r="490" spans="1:49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</row>
    <row r="491" spans="1:49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</row>
    <row r="492" spans="1:49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</row>
    <row r="493" spans="1:49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</row>
    <row r="494" spans="1:49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</row>
    <row r="495" spans="1:49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</row>
    <row r="496" spans="1:49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</row>
    <row r="497" spans="1:49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</row>
    <row r="498" spans="1:49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</row>
    <row r="499" spans="1:49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</row>
    <row r="500" spans="1:49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</row>
    <row r="501" spans="1:49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</row>
    <row r="502" spans="1:49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</row>
    <row r="503" spans="1:49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</row>
    <row r="504" spans="1:49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</row>
    <row r="505" spans="1:49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</row>
    <row r="506" spans="1:49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</row>
    <row r="507" spans="1:49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</row>
    <row r="508" spans="1:49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</row>
    <row r="509" spans="1:49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</row>
    <row r="510" spans="1:49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</row>
    <row r="511" spans="1:49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</row>
    <row r="512" spans="1:49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</row>
    <row r="513" spans="1:49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</row>
    <row r="514" spans="1:49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</row>
    <row r="515" spans="1:49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</row>
    <row r="516" spans="1:49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</row>
    <row r="517" spans="1:49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</row>
    <row r="518" spans="1:49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</row>
    <row r="519" spans="1:49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</row>
    <row r="520" spans="1:49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</row>
    <row r="521" spans="1:49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</row>
    <row r="522" spans="1:49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</row>
    <row r="523" spans="1:49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</row>
    <row r="524" spans="1:49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</row>
    <row r="525" spans="1:49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</row>
    <row r="526" spans="1:49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</row>
    <row r="527" spans="1:49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</row>
    <row r="528" spans="1:49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</row>
    <row r="529" spans="1:49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</row>
    <row r="530" spans="1:49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</row>
    <row r="531" spans="1:49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</row>
    <row r="532" spans="1:49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</row>
    <row r="533" spans="1:49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</row>
    <row r="534" spans="1:49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</row>
    <row r="535" spans="1:49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</row>
    <row r="536" spans="1:49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</row>
    <row r="537" spans="1:49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</row>
    <row r="538" spans="1:49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</row>
    <row r="539" spans="1:49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</row>
    <row r="540" spans="1:49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</row>
    <row r="541" spans="1:49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</row>
    <row r="542" spans="1:49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</row>
    <row r="543" spans="1:49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</row>
    <row r="544" spans="1:49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</row>
    <row r="545" spans="1:49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</row>
    <row r="546" spans="1:49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</row>
    <row r="547" spans="1:49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</row>
    <row r="548" spans="1:49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</row>
    <row r="549" spans="1:49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</row>
    <row r="550" spans="1:49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</row>
    <row r="551" spans="1:49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</row>
    <row r="552" spans="1:49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</row>
    <row r="553" spans="1:49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</row>
    <row r="554" spans="1:49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</row>
    <row r="555" spans="1:49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</row>
    <row r="556" spans="1:49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</row>
    <row r="557" spans="1:49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</row>
    <row r="558" spans="1:49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</row>
    <row r="559" spans="1:49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</row>
    <row r="560" spans="1:49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</row>
    <row r="561" spans="1:49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</row>
    <row r="562" spans="1:49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</row>
    <row r="563" spans="1:49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</row>
    <row r="564" spans="1:49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</row>
    <row r="565" spans="1:49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</row>
    <row r="566" spans="1:49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</row>
    <row r="567" spans="1:49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</row>
    <row r="568" spans="1:49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</row>
    <row r="569" spans="1:49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</row>
    <row r="570" spans="1:49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</row>
    <row r="571" spans="1:49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</row>
    <row r="572" spans="1:49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</row>
    <row r="573" spans="1:49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</row>
    <row r="574" spans="1:49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</row>
    <row r="575" spans="1:49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</row>
    <row r="576" spans="1:49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</row>
    <row r="577" spans="1:49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</row>
    <row r="578" spans="1:49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</row>
    <row r="579" spans="1:49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</row>
    <row r="580" spans="1:49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</row>
    <row r="581" spans="1:49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</row>
    <row r="582" spans="1:49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</row>
    <row r="583" spans="1:49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</row>
    <row r="584" spans="1:49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</row>
    <row r="585" spans="1:49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</row>
    <row r="586" spans="1:49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</row>
    <row r="587" spans="1:49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</row>
    <row r="588" spans="1:49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</row>
    <row r="589" spans="1:49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</row>
    <row r="590" spans="1:49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</row>
    <row r="591" spans="1:49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</row>
    <row r="592" spans="1:49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</row>
    <row r="593" spans="1:49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</row>
    <row r="594" spans="1:49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</row>
    <row r="595" spans="1:49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</row>
    <row r="596" spans="1:49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</row>
    <row r="597" spans="1:49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</row>
    <row r="598" spans="1:49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</row>
    <row r="599" spans="1:49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</row>
    <row r="600" spans="1:49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</row>
    <row r="601" spans="1:49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</row>
    <row r="602" spans="1:49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</row>
    <row r="603" spans="1:49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</row>
    <row r="604" spans="1:49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</row>
    <row r="605" spans="1:49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</row>
    <row r="606" spans="1:49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</row>
    <row r="607" spans="1:49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</row>
    <row r="608" spans="1:49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</row>
    <row r="609" spans="1:49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</row>
    <row r="610" spans="1:49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</row>
    <row r="611" spans="1:49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</row>
    <row r="612" spans="1:49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</row>
    <row r="613" spans="1:49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</row>
    <row r="614" spans="1:49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</row>
    <row r="615" spans="1:49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</row>
    <row r="616" spans="1:49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</row>
    <row r="617" spans="1:49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</row>
    <row r="618" spans="1:49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</row>
    <row r="619" spans="1:49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</row>
    <row r="620" spans="1:49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</row>
    <row r="621" spans="1:49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</row>
    <row r="622" spans="1:49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</row>
    <row r="623" spans="1:49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</row>
    <row r="624" spans="1:49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</row>
    <row r="625" spans="1:49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</row>
    <row r="626" spans="1:49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</row>
    <row r="627" spans="1:49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</row>
    <row r="628" spans="1:49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</row>
    <row r="629" spans="1:49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</row>
    <row r="630" spans="1:49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</row>
    <row r="631" spans="1:49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</row>
    <row r="632" spans="1:49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</row>
    <row r="633" spans="1:49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</row>
    <row r="634" spans="1:49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</row>
    <row r="635" spans="1:49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</row>
    <row r="636" spans="1:49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</row>
    <row r="637" spans="1:49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</row>
    <row r="638" spans="1:49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</row>
    <row r="639" spans="1:49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</row>
    <row r="640" spans="1:49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</row>
    <row r="641" spans="1:49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</row>
    <row r="642" spans="1:49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</row>
    <row r="643" spans="1:49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</row>
    <row r="644" spans="1:49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</row>
    <row r="645" spans="1:49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</row>
    <row r="646" spans="1:49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</row>
    <row r="647" spans="1:49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</row>
    <row r="648" spans="1:49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</row>
    <row r="649" spans="1:49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</row>
    <row r="650" spans="1:49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</row>
    <row r="651" spans="1:49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</row>
    <row r="652" spans="1:49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</row>
    <row r="653" spans="1:49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</row>
    <row r="654" spans="1:49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</row>
    <row r="655" spans="1:49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</row>
    <row r="656" spans="1:49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</row>
    <row r="657" spans="1:49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</row>
    <row r="658" spans="1:49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</row>
    <row r="659" spans="1:49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</row>
    <row r="660" spans="1:49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</row>
    <row r="661" spans="1:49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</row>
    <row r="662" spans="1:49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</row>
    <row r="663" spans="1:49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</row>
    <row r="664" spans="1:49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</row>
    <row r="665" spans="1:49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</row>
    <row r="666" spans="1:49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</row>
    <row r="667" spans="1:49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</row>
    <row r="668" spans="1:49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</row>
    <row r="669" spans="1:49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</row>
    <row r="670" spans="1:49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</row>
    <row r="671" spans="1:49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</row>
    <row r="672" spans="1:49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</row>
    <row r="673" spans="1:49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</row>
    <row r="674" spans="1:49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</row>
    <row r="675" spans="1:49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</row>
    <row r="676" spans="1:49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</row>
    <row r="677" spans="1:49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</row>
    <row r="678" spans="1:49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</row>
    <row r="679" spans="1:49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</row>
    <row r="680" spans="1:49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</row>
    <row r="681" spans="1:49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</row>
    <row r="682" spans="1:49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</row>
    <row r="683" spans="1:49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</row>
    <row r="684" spans="1:49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</row>
    <row r="685" spans="1:49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</row>
    <row r="686" spans="1:49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</row>
    <row r="687" spans="1:49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</row>
    <row r="688" spans="1:49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</row>
    <row r="689" spans="1:49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</row>
    <row r="690" spans="1:49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</row>
    <row r="691" spans="1:49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</row>
    <row r="692" spans="1:49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</row>
    <row r="693" spans="1:49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</row>
    <row r="694" spans="1:49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</row>
    <row r="695" spans="1:49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71"/>
  <sheetViews>
    <sheetView workbookViewId="0">
      <selection activeCell="B2" sqref="B2"/>
    </sheetView>
  </sheetViews>
  <sheetFormatPr baseColWidth="10" defaultRowHeight="12.75"/>
  <cols>
    <col min="1" max="1" width="28.140625" customWidth="1"/>
    <col min="2" max="2" width="19.85546875" customWidth="1"/>
  </cols>
  <sheetData>
    <row r="1" spans="1:65" ht="56.25" customHeight="1" thickBot="1">
      <c r="A1" s="75" t="s">
        <v>0</v>
      </c>
      <c r="B1" s="249" t="s">
        <v>292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</row>
    <row r="2" spans="1:65" ht="13.5" thickTop="1">
      <c r="A2" s="63" t="s">
        <v>1</v>
      </c>
      <c r="B2" s="250">
        <v>46.9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</row>
    <row r="3" spans="1:65">
      <c r="A3" s="64" t="s">
        <v>2</v>
      </c>
      <c r="B3" s="251">
        <v>980.9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</row>
    <row r="4" spans="1:65">
      <c r="A4" s="64" t="s">
        <v>3</v>
      </c>
      <c r="B4" s="251">
        <v>694.5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</row>
    <row r="5" spans="1:65">
      <c r="A5" s="64" t="s">
        <v>4</v>
      </c>
      <c r="B5" s="251">
        <v>190.5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</row>
    <row r="6" spans="1:65">
      <c r="A6" s="64" t="s">
        <v>5</v>
      </c>
      <c r="B6" s="251">
        <v>4539.2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</row>
    <row r="7" spans="1:65">
      <c r="A7" s="64" t="s">
        <v>6</v>
      </c>
      <c r="B7" s="251">
        <v>224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</row>
    <row r="8" spans="1:65">
      <c r="A8" s="64" t="s">
        <v>7</v>
      </c>
      <c r="B8" s="251">
        <v>2688.6</v>
      </c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</row>
    <row r="9" spans="1:65">
      <c r="A9" s="64" t="s">
        <v>8</v>
      </c>
      <c r="B9" s="251">
        <v>466.7</v>
      </c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</row>
    <row r="10" spans="1:65">
      <c r="A10" s="64" t="s">
        <v>9</v>
      </c>
      <c r="B10" s="251">
        <v>1140.9000000000001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</row>
    <row r="11" spans="1:65">
      <c r="A11" s="64" t="s">
        <v>10</v>
      </c>
      <c r="B11" s="251">
        <v>104.3</v>
      </c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</row>
    <row r="12" spans="1:65">
      <c r="A12" s="64" t="s">
        <v>11</v>
      </c>
      <c r="B12" s="251">
        <v>1007.4</v>
      </c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</row>
    <row r="13" spans="1:65">
      <c r="A13" s="64" t="s">
        <v>12</v>
      </c>
      <c r="B13" s="251">
        <v>4265.7</v>
      </c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</row>
    <row r="14" spans="1:65">
      <c r="A14" s="64" t="s">
        <v>13</v>
      </c>
      <c r="B14" s="251">
        <v>138.69999999999999</v>
      </c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</row>
    <row r="15" spans="1:65">
      <c r="A15" s="64" t="s">
        <v>14</v>
      </c>
      <c r="B15" s="251">
        <v>5053.7</v>
      </c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</row>
    <row r="16" spans="1:65">
      <c r="A16" s="64" t="s">
        <v>15</v>
      </c>
      <c r="B16" s="251">
        <v>720.7</v>
      </c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</row>
    <row r="17" spans="1:65">
      <c r="A17" s="64" t="s">
        <v>16</v>
      </c>
      <c r="B17" s="251">
        <v>614.70000000000005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</row>
    <row r="18" spans="1:65">
      <c r="A18" s="64" t="s">
        <v>17</v>
      </c>
      <c r="B18" s="251">
        <v>7068.3</v>
      </c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</row>
    <row r="19" spans="1:65">
      <c r="A19" s="64" t="s">
        <v>18</v>
      </c>
      <c r="B19" s="251">
        <v>1032</v>
      </c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</row>
    <row r="20" spans="1:65">
      <c r="A20" s="64" t="s">
        <v>19</v>
      </c>
      <c r="B20" s="251">
        <v>1888.6</v>
      </c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</row>
    <row r="21" spans="1:65">
      <c r="A21" s="64" t="s">
        <v>20</v>
      </c>
      <c r="B21" s="251">
        <v>149.4</v>
      </c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</row>
    <row r="22" spans="1:65">
      <c r="A22" s="64" t="s">
        <v>21</v>
      </c>
      <c r="B22" s="251">
        <v>2478.8000000000002</v>
      </c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</row>
    <row r="23" spans="1:65">
      <c r="A23" s="64" t="s">
        <v>22</v>
      </c>
      <c r="B23" s="251">
        <v>387.9</v>
      </c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</row>
    <row r="24" spans="1:65">
      <c r="A24" s="64" t="s">
        <v>23</v>
      </c>
      <c r="B24" s="251">
        <v>1306.7</v>
      </c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</row>
    <row r="25" spans="1:65">
      <c r="A25" s="64" t="s">
        <v>24</v>
      </c>
      <c r="B25" s="251">
        <v>184.5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</row>
    <row r="26" spans="1:65">
      <c r="A26" s="64" t="s">
        <v>25</v>
      </c>
      <c r="B26" s="251">
        <v>118.4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</row>
    <row r="27" spans="1:65">
      <c r="A27" s="64" t="s">
        <v>26</v>
      </c>
      <c r="B27" s="251">
        <v>496.6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</row>
    <row r="28" spans="1:65">
      <c r="A28" s="64" t="s">
        <v>27</v>
      </c>
      <c r="B28" s="251">
        <v>170.6</v>
      </c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</row>
    <row r="29" spans="1:65">
      <c r="A29" s="64" t="s">
        <v>28</v>
      </c>
      <c r="B29" s="251">
        <v>443.2</v>
      </c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</row>
    <row r="30" spans="1:65">
      <c r="A30" s="64" t="s">
        <v>29</v>
      </c>
      <c r="B30" s="251">
        <v>127.8</v>
      </c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</row>
    <row r="31" spans="1:65">
      <c r="A31" s="64" t="s">
        <v>30</v>
      </c>
      <c r="B31" s="251">
        <v>560.5</v>
      </c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</row>
    <row r="32" spans="1:65">
      <c r="A32" s="64" t="s">
        <v>31</v>
      </c>
      <c r="B32" s="251">
        <v>247.3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</row>
    <row r="33" spans="1:65">
      <c r="A33" s="64" t="s">
        <v>32</v>
      </c>
      <c r="B33" s="251">
        <v>3428</v>
      </c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</row>
    <row r="34" spans="1:65">
      <c r="A34" s="64" t="s">
        <v>33</v>
      </c>
      <c r="B34" s="251">
        <v>2509.1999999999998</v>
      </c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</row>
    <row r="35" spans="1:65">
      <c r="A35" s="64" t="s">
        <v>34</v>
      </c>
      <c r="B35" s="251">
        <v>264.89999999999998</v>
      </c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</row>
    <row r="36" spans="1:65">
      <c r="A36" s="64" t="s">
        <v>35</v>
      </c>
      <c r="B36" s="251">
        <v>207.9</v>
      </c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</row>
    <row r="37" spans="1:65">
      <c r="A37" s="64" t="s">
        <v>36</v>
      </c>
      <c r="B37" s="251">
        <v>997.9</v>
      </c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</row>
    <row r="38" spans="1:65">
      <c r="A38" s="64" t="s">
        <v>37</v>
      </c>
      <c r="B38" s="251">
        <v>3860</v>
      </c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</row>
    <row r="39" spans="1:65">
      <c r="A39" s="64" t="s">
        <v>38</v>
      </c>
      <c r="B39" s="251">
        <v>1869</v>
      </c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</row>
    <row r="40" spans="1:65">
      <c r="A40" s="64" t="s">
        <v>39</v>
      </c>
      <c r="B40" s="251">
        <v>324.39999999999998</v>
      </c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</row>
    <row r="41" spans="1:65">
      <c r="A41" s="64" t="s">
        <v>40</v>
      </c>
      <c r="B41" s="251">
        <v>1171.2</v>
      </c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</row>
    <row r="42" spans="1:65">
      <c r="A42" s="64" t="s">
        <v>41</v>
      </c>
      <c r="B42" s="251">
        <v>322.8</v>
      </c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</row>
    <row r="43" spans="1:65">
      <c r="A43" s="64" t="s">
        <v>42</v>
      </c>
      <c r="B43" s="251">
        <v>1341</v>
      </c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</row>
    <row r="44" spans="1:65">
      <c r="A44" s="64" t="s">
        <v>43</v>
      </c>
      <c r="B44" s="251">
        <v>683.1</v>
      </c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</row>
    <row r="45" spans="1:65">
      <c r="A45" s="64" t="s">
        <v>44</v>
      </c>
      <c r="B45" s="251">
        <v>1541.5</v>
      </c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</row>
    <row r="46" spans="1:65">
      <c r="A46" s="64" t="s">
        <v>45</v>
      </c>
      <c r="B46" s="251">
        <v>1667.4</v>
      </c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</row>
    <row r="47" spans="1:65">
      <c r="A47" s="64" t="s">
        <v>46</v>
      </c>
      <c r="B47" s="251">
        <v>60.1</v>
      </c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</row>
    <row r="48" spans="1:65">
      <c r="A48" s="64" t="s">
        <v>47</v>
      </c>
      <c r="B48" s="251">
        <v>70.8</v>
      </c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</row>
    <row r="49" spans="1:65">
      <c r="A49" s="64" t="s">
        <v>48</v>
      </c>
      <c r="B49" s="251">
        <v>915.8</v>
      </c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</row>
    <row r="50" spans="1:65">
      <c r="A50" s="64" t="s">
        <v>49</v>
      </c>
      <c r="B50" s="251">
        <v>739.2</v>
      </c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</row>
    <row r="51" spans="1:65">
      <c r="A51" s="64" t="s">
        <v>50</v>
      </c>
      <c r="B51" s="251">
        <v>1764.9</v>
      </c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</row>
    <row r="52" spans="1:65">
      <c r="A52" s="64" t="s">
        <v>51</v>
      </c>
      <c r="B52" s="251">
        <v>879.3</v>
      </c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</row>
    <row r="53" spans="1:65" ht="13.5" thickBot="1">
      <c r="A53" s="72" t="s">
        <v>52</v>
      </c>
      <c r="B53" s="252">
        <f t="shared" ref="B53" si="0">SUM(B2:B52)</f>
        <v>64156.400000000016</v>
      </c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</row>
    <row r="54" spans="1:65" ht="13.5" thickTop="1">
      <c r="A54" s="71"/>
      <c r="B54" s="253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</row>
    <row r="55" spans="1:65">
      <c r="A55" s="71" t="s">
        <v>293</v>
      </c>
      <c r="B55" s="253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</row>
    <row r="56" spans="1:6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</row>
    <row r="57" spans="1:6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</row>
    <row r="58" spans="1:6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</row>
    <row r="59" spans="1:6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</row>
    <row r="60" spans="1:6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</row>
    <row r="61" spans="1:6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</row>
    <row r="62" spans="1:6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</row>
    <row r="63" spans="1:6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</row>
    <row r="64" spans="1:6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</row>
    <row r="65" spans="1:6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</row>
    <row r="66" spans="1:6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</row>
    <row r="67" spans="1:6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</row>
    <row r="68" spans="1:6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</row>
    <row r="69" spans="1:6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</row>
    <row r="70" spans="1:6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</row>
    <row r="71" spans="1:6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</row>
    <row r="72" spans="1:6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</row>
    <row r="73" spans="1:6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</row>
    <row r="74" spans="1:6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</row>
    <row r="75" spans="1:6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</row>
    <row r="76" spans="1:6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</row>
    <row r="77" spans="1:6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</row>
    <row r="78" spans="1:6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</row>
    <row r="79" spans="1:6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</row>
    <row r="80" spans="1:6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</row>
    <row r="81" spans="1:6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</row>
    <row r="82" spans="1:6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</row>
    <row r="83" spans="1:6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</row>
    <row r="84" spans="1:6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</row>
    <row r="85" spans="1:6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</row>
    <row r="86" spans="1:6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</row>
    <row r="87" spans="1:6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</row>
    <row r="88" spans="1:6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</row>
    <row r="89" spans="1:6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</row>
    <row r="90" spans="1:6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</row>
    <row r="91" spans="1:6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</row>
    <row r="92" spans="1:6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</row>
    <row r="93" spans="1:6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</row>
    <row r="94" spans="1:6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</row>
    <row r="95" spans="1:6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</row>
    <row r="96" spans="1:6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</row>
    <row r="97" spans="1:6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</row>
    <row r="98" spans="1:6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</row>
    <row r="99" spans="1:6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</row>
    <row r="100" spans="1:6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</row>
    <row r="101" spans="1:6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</row>
    <row r="102" spans="1:6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</row>
    <row r="103" spans="1:6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</row>
    <row r="104" spans="1:6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</row>
    <row r="105" spans="1:6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</row>
    <row r="106" spans="1:6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</row>
    <row r="107" spans="1:6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</row>
    <row r="108" spans="1:6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</row>
    <row r="109" spans="1:6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</row>
    <row r="110" spans="1:6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</row>
    <row r="111" spans="1:6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</row>
    <row r="112" spans="1:6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</row>
    <row r="113" spans="1:6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</row>
    <row r="114" spans="1:6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</row>
    <row r="115" spans="1:6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</row>
    <row r="116" spans="1:6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</row>
    <row r="117" spans="1:6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</row>
    <row r="118" spans="1:6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</row>
    <row r="119" spans="1:6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</row>
    <row r="120" spans="1:6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</row>
    <row r="121" spans="1:6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</row>
    <row r="122" spans="1:6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</row>
    <row r="123" spans="1:6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</row>
    <row r="124" spans="1:6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</row>
    <row r="125" spans="1:6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</row>
    <row r="126" spans="1:6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</row>
    <row r="127" spans="1:6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</row>
    <row r="128" spans="1:6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</row>
    <row r="129" spans="1:6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</row>
    <row r="130" spans="1:6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</row>
    <row r="131" spans="1:6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</row>
    <row r="132" spans="1:6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</row>
    <row r="133" spans="1:6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</row>
    <row r="134" spans="1:6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</row>
    <row r="135" spans="1:6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</row>
    <row r="136" spans="1:6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</row>
    <row r="137" spans="1:6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</row>
    <row r="138" spans="1:6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</row>
    <row r="139" spans="1:6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</row>
    <row r="140" spans="1:6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</row>
    <row r="141" spans="1:6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</row>
    <row r="142" spans="1:6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</row>
    <row r="143" spans="1:6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</row>
    <row r="144" spans="1:6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</row>
    <row r="145" spans="1:6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</row>
    <row r="146" spans="1:6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</row>
    <row r="147" spans="1:6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</row>
    <row r="148" spans="1:6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</row>
    <row r="149" spans="1:6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</row>
    <row r="150" spans="1:6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</row>
    <row r="151" spans="1:6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</row>
    <row r="152" spans="1:6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</row>
    <row r="153" spans="1:6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</row>
    <row r="154" spans="1:6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</row>
    <row r="155" spans="1:6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</row>
    <row r="156" spans="1:6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</row>
    <row r="157" spans="1:6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</row>
    <row r="158" spans="1:6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</row>
    <row r="159" spans="1:6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</row>
    <row r="160" spans="1:6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</row>
    <row r="161" spans="1:6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</row>
    <row r="162" spans="1:6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</row>
    <row r="163" spans="1:6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</row>
    <row r="164" spans="1:6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</row>
    <row r="165" spans="1:6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</row>
    <row r="166" spans="1:6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</row>
    <row r="167" spans="1:6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</row>
    <row r="168" spans="1:6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</row>
    <row r="169" spans="1:6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</row>
    <row r="170" spans="1:6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</row>
    <row r="171" spans="1:6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</row>
    <row r="172" spans="1:6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</row>
    <row r="173" spans="1:6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</row>
    <row r="174" spans="1:6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</row>
    <row r="175" spans="1:6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</row>
    <row r="176" spans="1:6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</row>
    <row r="177" spans="1:6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</row>
    <row r="178" spans="1:6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</row>
    <row r="179" spans="1:6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</row>
    <row r="180" spans="1:6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</row>
    <row r="181" spans="1:6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</row>
    <row r="182" spans="1:6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</row>
    <row r="183" spans="1:6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</row>
    <row r="184" spans="1:6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</row>
    <row r="185" spans="1:6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25"/>
      <c r="BM185" s="125"/>
    </row>
    <row r="186" spans="1:6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</row>
    <row r="187" spans="1:6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</row>
    <row r="188" spans="1:6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</row>
    <row r="189" spans="1:6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</row>
    <row r="190" spans="1:6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</row>
    <row r="191" spans="1:6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</row>
    <row r="192" spans="1:6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</row>
    <row r="193" spans="1:6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</row>
    <row r="194" spans="1:6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</row>
    <row r="195" spans="1:6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</row>
    <row r="196" spans="1:6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</row>
    <row r="197" spans="1:6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</row>
    <row r="198" spans="1:6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</row>
    <row r="199" spans="1:6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</row>
    <row r="200" spans="1:6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</row>
    <row r="201" spans="1:6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</row>
    <row r="202" spans="1:6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</row>
    <row r="203" spans="1:6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</row>
    <row r="204" spans="1:6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</row>
    <row r="205" spans="1:6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</row>
    <row r="206" spans="1:6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</row>
    <row r="207" spans="1:6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</row>
    <row r="208" spans="1:6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</row>
    <row r="209" spans="1:6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</row>
    <row r="210" spans="1:6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</row>
    <row r="211" spans="1:6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</row>
    <row r="212" spans="1:6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</row>
    <row r="213" spans="1:6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</row>
    <row r="214" spans="1:6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</row>
    <row r="215" spans="1:6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</row>
    <row r="216" spans="1:6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</row>
    <row r="217" spans="1:6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</row>
    <row r="218" spans="1:6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</row>
    <row r="219" spans="1:6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</row>
    <row r="220" spans="1:6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</row>
    <row r="221" spans="1:6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</row>
    <row r="222" spans="1:6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</row>
    <row r="223" spans="1:6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</row>
    <row r="224" spans="1:6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</row>
    <row r="225" spans="1:6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</row>
    <row r="226" spans="1:6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</row>
    <row r="227" spans="1:6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  <c r="BL227" s="125"/>
      <c r="BM227" s="125"/>
    </row>
    <row r="228" spans="1:6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</row>
    <row r="229" spans="1:6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</row>
    <row r="230" spans="1:6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</row>
    <row r="231" spans="1:6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  <c r="BL231" s="125"/>
      <c r="BM231" s="125"/>
    </row>
    <row r="232" spans="1:6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</row>
    <row r="233" spans="1:6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</row>
    <row r="234" spans="1:6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</row>
    <row r="235" spans="1:6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</row>
    <row r="236" spans="1:6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</row>
    <row r="237" spans="1:6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</row>
    <row r="238" spans="1:6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</row>
    <row r="239" spans="1:6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</row>
    <row r="240" spans="1:6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</row>
    <row r="241" spans="1:6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</row>
    <row r="242" spans="1:6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</row>
    <row r="243" spans="1:6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</row>
    <row r="244" spans="1:6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</row>
    <row r="245" spans="1:6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</row>
    <row r="246" spans="1:6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</row>
    <row r="247" spans="1:6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  <c r="BL247" s="125"/>
      <c r="BM247" s="125"/>
    </row>
    <row r="248" spans="1:6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</row>
    <row r="249" spans="1:6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</row>
    <row r="250" spans="1:6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</row>
    <row r="251" spans="1:6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  <c r="BL251" s="125"/>
      <c r="BM251" s="125"/>
    </row>
    <row r="252" spans="1:6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</row>
    <row r="253" spans="1:6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</row>
    <row r="254" spans="1:6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</row>
    <row r="255" spans="1:6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</row>
    <row r="256" spans="1:6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</row>
    <row r="257" spans="1:6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</row>
    <row r="258" spans="1:6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</row>
    <row r="259" spans="1:6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</row>
    <row r="260" spans="1:6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</row>
    <row r="261" spans="1:6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</row>
    <row r="262" spans="1:6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</row>
    <row r="263" spans="1:6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</row>
    <row r="264" spans="1:6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</row>
    <row r="265" spans="1:6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</row>
    <row r="266" spans="1:6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25"/>
      <c r="BM266" s="125"/>
    </row>
    <row r="267" spans="1:6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  <c r="BL267" s="125"/>
      <c r="BM267" s="125"/>
    </row>
    <row r="268" spans="1:6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</row>
    <row r="269" spans="1:6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</row>
    <row r="270" spans="1:6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25"/>
      <c r="BM270" s="125"/>
    </row>
    <row r="271" spans="1:6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</row>
    <row r="272" spans="1:6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</row>
    <row r="273" spans="1:6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  <c r="BL273" s="125"/>
      <c r="BM273" s="125"/>
    </row>
    <row r="274" spans="1:6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</row>
    <row r="275" spans="1:6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</row>
    <row r="276" spans="1:6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</row>
    <row r="277" spans="1:6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</row>
    <row r="278" spans="1:6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</row>
    <row r="279" spans="1:6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</row>
    <row r="280" spans="1:6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</row>
    <row r="281" spans="1:6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  <c r="BL281" s="125"/>
      <c r="BM281" s="125"/>
    </row>
    <row r="282" spans="1:6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</row>
    <row r="283" spans="1:6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</row>
    <row r="284" spans="1:6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</row>
    <row r="285" spans="1:6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</row>
    <row r="286" spans="1:6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</row>
    <row r="287" spans="1:6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  <c r="BL287" s="125"/>
      <c r="BM287" s="125"/>
    </row>
    <row r="288" spans="1:6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</row>
    <row r="289" spans="1:6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</row>
    <row r="290" spans="1:6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</row>
    <row r="291" spans="1:6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</row>
    <row r="292" spans="1:6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</row>
    <row r="293" spans="1:6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</row>
    <row r="294" spans="1:6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</row>
    <row r="295" spans="1:6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</row>
    <row r="296" spans="1:6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</row>
    <row r="297" spans="1:6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</row>
    <row r="298" spans="1:6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</row>
    <row r="299" spans="1:6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</row>
    <row r="300" spans="1:6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</row>
    <row r="301" spans="1:6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</row>
    <row r="302" spans="1:6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</row>
    <row r="303" spans="1:6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</row>
    <row r="304" spans="1:6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</row>
    <row r="305" spans="1:6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</row>
    <row r="306" spans="1:6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</row>
    <row r="307" spans="1:6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</row>
    <row r="308" spans="1:6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</row>
    <row r="309" spans="1:6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</row>
    <row r="310" spans="1:6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</row>
    <row r="311" spans="1:6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</row>
    <row r="312" spans="1:6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</row>
    <row r="313" spans="1:6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</row>
    <row r="314" spans="1:6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</row>
    <row r="315" spans="1:6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</row>
    <row r="316" spans="1:6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</row>
    <row r="317" spans="1:6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</row>
    <row r="318" spans="1:6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</row>
    <row r="319" spans="1:6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</row>
    <row r="320" spans="1:6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</row>
    <row r="321" spans="1:6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</row>
    <row r="322" spans="1:6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</row>
    <row r="323" spans="1:6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</row>
    <row r="324" spans="1:6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</row>
    <row r="325" spans="1:6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</row>
    <row r="326" spans="1:6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</row>
    <row r="327" spans="1:6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</row>
    <row r="328" spans="1:6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</row>
    <row r="329" spans="1:6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</row>
    <row r="330" spans="1:6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</row>
    <row r="331" spans="1:6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</row>
    <row r="332" spans="1:6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</row>
    <row r="333" spans="1:6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</row>
    <row r="334" spans="1:6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</row>
    <row r="335" spans="1:6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</row>
    <row r="336" spans="1:6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</row>
    <row r="337" spans="1:6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  <c r="BL337" s="125"/>
      <c r="BM337" s="125"/>
    </row>
    <row r="338" spans="1:6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</row>
    <row r="339" spans="1:6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</row>
    <row r="340" spans="1:6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</row>
    <row r="341" spans="1:6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</row>
    <row r="342" spans="1:6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</row>
    <row r="343" spans="1:6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</row>
    <row r="344" spans="1:6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</row>
    <row r="345" spans="1:6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</row>
    <row r="346" spans="1:6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</row>
    <row r="347" spans="1:6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</row>
    <row r="348" spans="1:6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</row>
    <row r="349" spans="1:6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</row>
    <row r="350" spans="1:6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</row>
    <row r="351" spans="1:6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</row>
    <row r="352" spans="1:6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</row>
    <row r="353" spans="1:6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</row>
    <row r="354" spans="1:6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</row>
    <row r="355" spans="1:6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</row>
    <row r="356" spans="1:6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</row>
    <row r="357" spans="1:6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</row>
    <row r="358" spans="1:6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</row>
    <row r="359" spans="1:6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</row>
    <row r="360" spans="1:6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</row>
    <row r="361" spans="1:6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</row>
    <row r="362" spans="1:6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</row>
    <row r="363" spans="1:6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</row>
    <row r="364" spans="1:6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</row>
    <row r="365" spans="1:6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</row>
    <row r="366" spans="1:6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</row>
    <row r="367" spans="1:6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</row>
    <row r="368" spans="1:6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</row>
    <row r="369" spans="1:6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</row>
    <row r="370" spans="1:6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</row>
    <row r="371" spans="1:6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</row>
    <row r="372" spans="1:6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</row>
    <row r="373" spans="1:6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</row>
    <row r="374" spans="1:6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</row>
    <row r="375" spans="1:6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</row>
    <row r="376" spans="1:6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</row>
    <row r="377" spans="1:6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</row>
    <row r="378" spans="1:6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</row>
    <row r="379" spans="1:6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</row>
    <row r="380" spans="1:6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</row>
    <row r="381" spans="1:6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</row>
    <row r="382" spans="1:6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</row>
    <row r="383" spans="1:6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</row>
    <row r="384" spans="1:6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</row>
    <row r="385" spans="1:6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</row>
    <row r="386" spans="1:6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</row>
    <row r="387" spans="1:6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</row>
    <row r="388" spans="1:6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</row>
    <row r="389" spans="1:6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</row>
    <row r="390" spans="1:6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</row>
    <row r="391" spans="1:6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</row>
    <row r="392" spans="1:6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</row>
    <row r="393" spans="1:6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</row>
    <row r="394" spans="1:6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</row>
    <row r="395" spans="1:6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</row>
    <row r="396" spans="1:6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</row>
    <row r="397" spans="1:6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</row>
    <row r="398" spans="1:6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</row>
    <row r="399" spans="1:6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</row>
    <row r="400" spans="1:6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</row>
    <row r="401" spans="1:6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</row>
    <row r="402" spans="1:6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</row>
    <row r="403" spans="1:6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</row>
    <row r="404" spans="1:6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</row>
    <row r="405" spans="1:6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</row>
    <row r="406" spans="1:6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</row>
    <row r="407" spans="1:6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</row>
    <row r="408" spans="1:6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</row>
    <row r="409" spans="1:6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</row>
    <row r="410" spans="1:6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</row>
    <row r="411" spans="1:6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</row>
    <row r="412" spans="1:6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25"/>
      <c r="BM412" s="125"/>
    </row>
    <row r="413" spans="1:6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  <c r="BL413" s="125"/>
      <c r="BM413" s="125"/>
    </row>
    <row r="414" spans="1:6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25"/>
      <c r="BM414" s="125"/>
    </row>
    <row r="415" spans="1:6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  <c r="BL415" s="125"/>
      <c r="BM415" s="125"/>
    </row>
    <row r="416" spans="1:6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25"/>
      <c r="BM416" s="125"/>
    </row>
    <row r="417" spans="1:6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  <c r="BL417" s="125"/>
      <c r="BM417" s="125"/>
    </row>
    <row r="418" spans="1:6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25"/>
      <c r="BM418" s="125"/>
    </row>
    <row r="419" spans="1:6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  <c r="BL419" s="125"/>
      <c r="BM419" s="125"/>
    </row>
    <row r="420" spans="1:6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</row>
    <row r="421" spans="1:6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  <c r="BL421" s="125"/>
      <c r="BM421" s="125"/>
    </row>
    <row r="422" spans="1:6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5"/>
      <c r="BM422" s="125"/>
    </row>
    <row r="423" spans="1:6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  <c r="BL423" s="125"/>
      <c r="BM423" s="125"/>
    </row>
    <row r="424" spans="1:6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</row>
    <row r="425" spans="1:6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  <c r="BL425" s="125"/>
      <c r="BM425" s="125"/>
    </row>
    <row r="426" spans="1:6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</row>
    <row r="427" spans="1:6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  <c r="BL427" s="125"/>
      <c r="BM427" s="125"/>
    </row>
    <row r="428" spans="1:6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25"/>
      <c r="BM428" s="125"/>
    </row>
    <row r="429" spans="1:6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  <c r="BL429" s="125"/>
      <c r="BM429" s="125"/>
    </row>
    <row r="430" spans="1:6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</row>
    <row r="431" spans="1:6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  <c r="BL431" s="125"/>
      <c r="BM431" s="125"/>
    </row>
    <row r="432" spans="1:6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  <c r="BL432" s="125"/>
      <c r="BM432" s="125"/>
    </row>
    <row r="433" spans="1:6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  <c r="BL433" s="125"/>
      <c r="BM433" s="125"/>
    </row>
    <row r="434" spans="1:6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  <c r="BL434" s="125"/>
      <c r="BM434" s="125"/>
    </row>
    <row r="435" spans="1:6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  <c r="BL435" s="125"/>
      <c r="BM435" s="125"/>
    </row>
    <row r="436" spans="1:6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25"/>
      <c r="BM436" s="125"/>
    </row>
    <row r="437" spans="1:6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  <c r="BL437" s="125"/>
      <c r="BM437" s="125"/>
    </row>
    <row r="438" spans="1:6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25"/>
      <c r="BM438" s="125"/>
    </row>
    <row r="439" spans="1:6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  <c r="BL439" s="125"/>
      <c r="BM439" s="125"/>
    </row>
    <row r="440" spans="1:6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</row>
    <row r="441" spans="1:6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  <c r="BL441" s="125"/>
      <c r="BM441" s="125"/>
    </row>
    <row r="442" spans="1:6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25"/>
      <c r="BM442" s="125"/>
    </row>
    <row r="443" spans="1:6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  <c r="BL443" s="125"/>
      <c r="BM443" s="125"/>
    </row>
    <row r="444" spans="1:6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</row>
    <row r="445" spans="1:6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  <c r="BL445" s="125"/>
      <c r="BM445" s="125"/>
    </row>
    <row r="446" spans="1:6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25"/>
      <c r="BM446" s="125"/>
    </row>
    <row r="447" spans="1:6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  <c r="BL447" s="125"/>
      <c r="BM447" s="125"/>
    </row>
    <row r="448" spans="1:6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25"/>
      <c r="BM448" s="125"/>
    </row>
    <row r="449" spans="1:6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  <c r="BL449" s="125"/>
      <c r="BM449" s="125"/>
    </row>
    <row r="450" spans="1:6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25"/>
      <c r="BM450" s="125"/>
    </row>
    <row r="451" spans="1:6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  <c r="BL451" s="125"/>
      <c r="BM451" s="125"/>
    </row>
    <row r="452" spans="1:6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25"/>
      <c r="BM452" s="125"/>
    </row>
    <row r="453" spans="1:6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  <c r="BL453" s="125"/>
      <c r="BM453" s="125"/>
    </row>
    <row r="454" spans="1:6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  <c r="BL454" s="125"/>
      <c r="BM454" s="125"/>
    </row>
    <row r="455" spans="1:6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  <c r="BL455" s="125"/>
      <c r="BM455" s="125"/>
    </row>
    <row r="456" spans="1:6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25"/>
      <c r="BM456" s="125"/>
    </row>
    <row r="457" spans="1:6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  <c r="BL457" s="125"/>
      <c r="BM457" s="125"/>
    </row>
    <row r="458" spans="1:6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</row>
    <row r="459" spans="1:6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  <c r="BL459" s="125"/>
      <c r="BM459" s="125"/>
    </row>
    <row r="460" spans="1:6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</row>
    <row r="461" spans="1:6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  <c r="BL461" s="125"/>
      <c r="BM461" s="125"/>
    </row>
    <row r="462" spans="1:6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</row>
    <row r="463" spans="1:6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  <c r="BL463" s="125"/>
      <c r="BM463" s="125"/>
    </row>
    <row r="464" spans="1:6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</row>
    <row r="465" spans="1:6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  <c r="BL465" s="125"/>
      <c r="BM465" s="125"/>
    </row>
    <row r="466" spans="1:6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25"/>
      <c r="BM466" s="125"/>
    </row>
    <row r="467" spans="1:6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  <c r="BL467" s="125"/>
      <c r="BM467" s="125"/>
    </row>
    <row r="468" spans="1:6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25"/>
      <c r="BM468" s="125"/>
    </row>
    <row r="469" spans="1:6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  <c r="BL469" s="125"/>
      <c r="BM469" s="125"/>
    </row>
    <row r="470" spans="1:6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</row>
    <row r="471" spans="1:6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  <c r="BL471" s="125"/>
      <c r="BM471" s="125"/>
    </row>
    <row r="472" spans="1:6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25"/>
      <c r="BM472" s="125"/>
    </row>
    <row r="473" spans="1:6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  <c r="BL473" s="125"/>
      <c r="BM473" s="125"/>
    </row>
    <row r="474" spans="1:6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25"/>
      <c r="BM474" s="125"/>
    </row>
    <row r="475" spans="1:6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  <c r="BL475" s="125"/>
      <c r="BM475" s="125"/>
    </row>
    <row r="476" spans="1:6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  <c r="BL476" s="125"/>
      <c r="BM476" s="125"/>
    </row>
    <row r="477" spans="1:6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  <c r="BL477" s="125"/>
      <c r="BM477" s="125"/>
    </row>
    <row r="478" spans="1:6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</row>
    <row r="479" spans="1:6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  <c r="BL479" s="125"/>
      <c r="BM479" s="125"/>
    </row>
    <row r="480" spans="1:6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25"/>
      <c r="BM480" s="125"/>
    </row>
    <row r="481" spans="1:6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  <c r="BL481" s="125"/>
      <c r="BM481" s="125"/>
    </row>
    <row r="482" spans="1:6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</row>
    <row r="483" spans="1:6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  <c r="BL483" s="125"/>
      <c r="BM483" s="125"/>
    </row>
    <row r="484" spans="1:6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</row>
    <row r="485" spans="1:6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  <c r="BL485" s="125"/>
      <c r="BM485" s="125"/>
    </row>
    <row r="486" spans="1:6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</row>
    <row r="487" spans="1:6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  <c r="BL487" s="125"/>
      <c r="BM487" s="125"/>
    </row>
    <row r="488" spans="1:6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</row>
    <row r="489" spans="1:6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  <c r="BL489" s="125"/>
      <c r="BM489" s="125"/>
    </row>
    <row r="490" spans="1:6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</row>
    <row r="491" spans="1:6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  <c r="BL491" s="125"/>
      <c r="BM491" s="125"/>
    </row>
    <row r="492" spans="1:6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</row>
    <row r="493" spans="1:6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  <c r="BL493" s="125"/>
      <c r="BM493" s="125"/>
    </row>
    <row r="494" spans="1:6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</row>
    <row r="495" spans="1:6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  <c r="BL495" s="125"/>
      <c r="BM495" s="125"/>
    </row>
    <row r="496" spans="1:6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</row>
    <row r="497" spans="1:6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  <c r="BL497" s="125"/>
      <c r="BM497" s="125"/>
    </row>
    <row r="498" spans="1:6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</row>
    <row r="499" spans="1:6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  <c r="BL499" s="125"/>
      <c r="BM499" s="125"/>
    </row>
    <row r="500" spans="1:6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</row>
    <row r="501" spans="1:6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  <c r="BL501" s="125"/>
      <c r="BM501" s="125"/>
    </row>
    <row r="502" spans="1:6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</row>
    <row r="503" spans="1:6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  <c r="BL503" s="125"/>
      <c r="BM503" s="125"/>
    </row>
    <row r="504" spans="1:6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</row>
    <row r="505" spans="1:6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  <c r="BL505" s="125"/>
      <c r="BM505" s="125"/>
    </row>
    <row r="506" spans="1:6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</row>
    <row r="507" spans="1:6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  <c r="BL507" s="125"/>
      <c r="BM507" s="125"/>
    </row>
    <row r="508" spans="1:6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</row>
    <row r="509" spans="1:6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  <c r="BL509" s="125"/>
      <c r="BM509" s="125"/>
    </row>
    <row r="510" spans="1:6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</row>
    <row r="511" spans="1:6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  <c r="BL511" s="125"/>
      <c r="BM511" s="125"/>
    </row>
    <row r="512" spans="1:6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</row>
    <row r="513" spans="1:6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  <c r="BL513" s="125"/>
      <c r="BM513" s="125"/>
    </row>
    <row r="514" spans="1:6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</row>
    <row r="515" spans="1:6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  <c r="BL515" s="125"/>
      <c r="BM515" s="125"/>
    </row>
    <row r="516" spans="1:6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</row>
    <row r="517" spans="1:6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  <c r="BL517" s="125"/>
      <c r="BM517" s="125"/>
    </row>
    <row r="518" spans="1:6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</row>
    <row r="519" spans="1:6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  <c r="BL519" s="125"/>
      <c r="BM519" s="125"/>
    </row>
    <row r="520" spans="1:6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</row>
    <row r="521" spans="1:6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  <c r="BL521" s="125"/>
      <c r="BM521" s="125"/>
    </row>
    <row r="522" spans="1:6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</row>
    <row r="523" spans="1:6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  <c r="BL523" s="125"/>
      <c r="BM523" s="125"/>
    </row>
    <row r="524" spans="1:6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</row>
    <row r="525" spans="1:6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  <c r="BL525" s="125"/>
      <c r="BM525" s="125"/>
    </row>
    <row r="526" spans="1:6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</row>
    <row r="527" spans="1:6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  <c r="BL527" s="125"/>
      <c r="BM527" s="125"/>
    </row>
    <row r="528" spans="1:6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</row>
    <row r="529" spans="1:6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  <c r="BL529" s="125"/>
      <c r="BM529" s="125"/>
    </row>
    <row r="530" spans="1:6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</row>
    <row r="531" spans="1:6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  <c r="BL531" s="125"/>
      <c r="BM531" s="125"/>
    </row>
    <row r="532" spans="1:6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</row>
    <row r="533" spans="1:6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  <c r="BL533" s="125"/>
      <c r="BM533" s="125"/>
    </row>
    <row r="534" spans="1:6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</row>
    <row r="535" spans="1:6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  <c r="BL535" s="125"/>
      <c r="BM535" s="125"/>
    </row>
    <row r="536" spans="1:6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  <c r="BL536" s="125"/>
      <c r="BM536" s="125"/>
    </row>
    <row r="537" spans="1:6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  <c r="BL537" s="125"/>
      <c r="BM537" s="125"/>
    </row>
    <row r="538" spans="1:6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  <c r="BL538" s="125"/>
      <c r="BM538" s="125"/>
    </row>
    <row r="539" spans="1:6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  <c r="BL539" s="125"/>
      <c r="BM539" s="125"/>
    </row>
    <row r="540" spans="1:6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  <c r="BL540" s="125"/>
      <c r="BM540" s="125"/>
    </row>
    <row r="541" spans="1:6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  <c r="BL541" s="125"/>
      <c r="BM541" s="125"/>
    </row>
    <row r="542" spans="1:6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  <c r="BL542" s="125"/>
      <c r="BM542" s="125"/>
    </row>
    <row r="543" spans="1:6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  <c r="BL543" s="125"/>
      <c r="BM543" s="125"/>
    </row>
    <row r="544" spans="1:6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  <c r="BL544" s="125"/>
      <c r="BM544" s="125"/>
    </row>
    <row r="545" spans="1:6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  <c r="BL545" s="125"/>
      <c r="BM545" s="125"/>
    </row>
    <row r="546" spans="1:6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  <c r="BL546" s="125"/>
      <c r="BM546" s="125"/>
    </row>
    <row r="547" spans="1:6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  <c r="BL547" s="125"/>
      <c r="BM547" s="125"/>
    </row>
    <row r="548" spans="1:6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  <c r="BL548" s="125"/>
      <c r="BM548" s="125"/>
    </row>
    <row r="549" spans="1:6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  <c r="BL549" s="125"/>
      <c r="BM549" s="125"/>
    </row>
    <row r="550" spans="1:6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  <c r="BL550" s="125"/>
      <c r="BM550" s="125"/>
    </row>
    <row r="551" spans="1:6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  <c r="BL551" s="125"/>
      <c r="BM551" s="125"/>
    </row>
    <row r="552" spans="1:6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  <c r="BL552" s="125"/>
      <c r="BM552" s="125"/>
    </row>
    <row r="553" spans="1:6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  <c r="BL553" s="125"/>
      <c r="BM553" s="125"/>
    </row>
    <row r="554" spans="1:6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  <c r="BL554" s="125"/>
      <c r="BM554" s="125"/>
    </row>
    <row r="555" spans="1:6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  <c r="BL555" s="125"/>
      <c r="BM555" s="125"/>
    </row>
    <row r="556" spans="1:6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  <c r="BL556" s="125"/>
      <c r="BM556" s="125"/>
    </row>
    <row r="557" spans="1:6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  <c r="BL557" s="125"/>
      <c r="BM557" s="125"/>
    </row>
    <row r="558" spans="1:6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  <c r="BL558" s="125"/>
      <c r="BM558" s="125"/>
    </row>
    <row r="559" spans="1:6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  <c r="BL559" s="125"/>
      <c r="BM559" s="125"/>
    </row>
    <row r="560" spans="1:6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  <c r="BL560" s="125"/>
      <c r="BM560" s="125"/>
    </row>
    <row r="561" spans="1:6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  <c r="BL561" s="125"/>
      <c r="BM561" s="125"/>
    </row>
    <row r="562" spans="1:6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  <c r="BL562" s="125"/>
      <c r="BM562" s="125"/>
    </row>
    <row r="563" spans="1:6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  <c r="BL563" s="125"/>
      <c r="BM563" s="125"/>
    </row>
    <row r="564" spans="1:6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  <c r="BL564" s="125"/>
      <c r="BM564" s="125"/>
    </row>
    <row r="565" spans="1:6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  <c r="BL565" s="125"/>
      <c r="BM565" s="125"/>
    </row>
    <row r="566" spans="1:6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  <c r="BL566" s="125"/>
      <c r="BM566" s="125"/>
    </row>
    <row r="567" spans="1:6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  <c r="BL567" s="125"/>
      <c r="BM567" s="125"/>
    </row>
    <row r="568" spans="1:6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  <c r="BL568" s="125"/>
      <c r="BM568" s="125"/>
    </row>
    <row r="569" spans="1:6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  <c r="BL569" s="125"/>
      <c r="BM569" s="125"/>
    </row>
    <row r="570" spans="1:6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  <c r="BL570" s="125"/>
      <c r="BM570" s="125"/>
    </row>
    <row r="571" spans="1:6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  <c r="BL571" s="125"/>
      <c r="BM571" s="1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"/>
  <sheetViews>
    <sheetView showGridLines="0" topLeftCell="A4" zoomScaleNormal="100" workbookViewId="0">
      <pane xSplit="2" ySplit="1" topLeftCell="C5" activePane="bottomRight" state="frozen"/>
      <selection activeCell="A4" sqref="A4"/>
      <selection pane="topRight" activeCell="B4" sqref="B4"/>
      <selection pane="bottomLeft" activeCell="A6" sqref="A6"/>
      <selection pane="bottomRight" activeCell="AE5" sqref="AE5"/>
    </sheetView>
  </sheetViews>
  <sheetFormatPr baseColWidth="10" defaultColWidth="9.7109375" defaultRowHeight="12.75"/>
  <cols>
    <col min="1" max="1" width="2.5703125" style="2" customWidth="1"/>
    <col min="2" max="2" width="28.85546875" style="2" customWidth="1"/>
    <col min="3" max="7" width="15.7109375" style="2" customWidth="1"/>
    <col min="8" max="8" width="12.42578125" style="2" customWidth="1"/>
    <col min="9" max="9" width="15.42578125" style="2" customWidth="1"/>
    <col min="10" max="10" width="12.5703125" style="5" customWidth="1"/>
    <col min="11" max="11" width="12.28515625" style="2" customWidth="1"/>
    <col min="12" max="12" width="15.5703125" style="2" customWidth="1"/>
    <col min="13" max="13" width="12" style="5" customWidth="1"/>
    <col min="14" max="14" width="17.7109375" style="6" customWidth="1"/>
    <col min="15" max="15" width="18" style="2" customWidth="1"/>
    <col min="16" max="16" width="16.140625" style="2" customWidth="1"/>
    <col min="17" max="17" width="14.140625" style="2" customWidth="1"/>
    <col min="18" max="18" width="15.5703125" style="2" customWidth="1"/>
    <col min="19" max="19" width="16.140625" style="2" customWidth="1"/>
    <col min="20" max="20" width="15" style="2" customWidth="1"/>
    <col min="21" max="21" width="14" style="2" customWidth="1"/>
    <col min="22" max="22" width="12.85546875" style="2" customWidth="1"/>
    <col min="23" max="23" width="14.42578125" style="2" customWidth="1"/>
    <col min="24" max="24" width="16.85546875" style="2" customWidth="1"/>
    <col min="25" max="25" width="14.140625" style="5" customWidth="1"/>
    <col min="26" max="26" width="18.42578125" style="2" bestFit="1" customWidth="1"/>
    <col min="27" max="27" width="3.7109375" style="1" customWidth="1"/>
    <col min="28" max="30" width="18.42578125" style="2" customWidth="1"/>
    <col min="31" max="31" width="20.140625" style="2" customWidth="1"/>
    <col min="32" max="32" width="16.140625" style="2" bestFit="1" customWidth="1"/>
    <col min="33" max="16384" width="9.7109375" style="2"/>
  </cols>
  <sheetData>
    <row r="1" spans="1:32" ht="33" customHeigh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ht="26.2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8.75" thickBot="1">
      <c r="C3" s="467" t="s">
        <v>100</v>
      </c>
      <c r="D3" s="467"/>
      <c r="E3" s="467"/>
      <c r="F3" s="467"/>
      <c r="G3" s="467"/>
      <c r="H3" s="466" t="s">
        <v>60</v>
      </c>
      <c r="I3" s="466"/>
      <c r="J3" s="466"/>
      <c r="K3" s="466"/>
      <c r="L3" s="466"/>
      <c r="M3" s="466"/>
      <c r="N3" s="466"/>
      <c r="O3" s="466" t="s">
        <v>87</v>
      </c>
      <c r="P3" s="466"/>
      <c r="Q3" s="466"/>
      <c r="R3" s="466"/>
      <c r="S3" s="466"/>
      <c r="T3" s="466"/>
      <c r="U3" s="466"/>
      <c r="V3" s="466"/>
      <c r="W3" s="10"/>
      <c r="X3" s="466"/>
      <c r="Y3" s="466"/>
      <c r="Z3" s="351" t="s">
        <v>87</v>
      </c>
      <c r="AB3" s="467" t="s">
        <v>115</v>
      </c>
      <c r="AC3" s="467"/>
      <c r="AD3" s="467"/>
      <c r="AE3" s="467"/>
      <c r="AF3" s="467"/>
    </row>
    <row r="4" spans="1:32" ht="64.5" thickBot="1">
      <c r="B4" s="296" t="s">
        <v>0</v>
      </c>
      <c r="C4" s="296" t="s">
        <v>290</v>
      </c>
      <c r="D4" s="296" t="s">
        <v>287</v>
      </c>
      <c r="E4" s="360" t="s">
        <v>113</v>
      </c>
      <c r="F4" s="361" t="s">
        <v>114</v>
      </c>
      <c r="G4" s="362" t="s">
        <v>77</v>
      </c>
      <c r="H4" s="296" t="s">
        <v>223</v>
      </c>
      <c r="I4" s="360" t="s">
        <v>73</v>
      </c>
      <c r="J4" s="363">
        <v>0.85</v>
      </c>
      <c r="K4" s="296" t="s">
        <v>58</v>
      </c>
      <c r="L4" s="360" t="s">
        <v>74</v>
      </c>
      <c r="M4" s="363">
        <v>0.15</v>
      </c>
      <c r="N4" s="364" t="s">
        <v>75</v>
      </c>
      <c r="O4" s="255" t="s">
        <v>355</v>
      </c>
      <c r="P4" s="255" t="s">
        <v>356</v>
      </c>
      <c r="Q4" s="255" t="s">
        <v>357</v>
      </c>
      <c r="R4" s="296" t="s">
        <v>358</v>
      </c>
      <c r="S4" s="354" t="s">
        <v>413</v>
      </c>
      <c r="T4" s="354" t="s">
        <v>414</v>
      </c>
      <c r="U4" s="296" t="s">
        <v>415</v>
      </c>
      <c r="V4" s="255" t="s">
        <v>416</v>
      </c>
      <c r="W4" s="357" t="s">
        <v>417</v>
      </c>
      <c r="X4" s="354" t="s">
        <v>418</v>
      </c>
      <c r="Y4" s="296" t="s">
        <v>89</v>
      </c>
      <c r="Z4" s="365" t="s">
        <v>76</v>
      </c>
      <c r="AB4" s="366" t="s">
        <v>90</v>
      </c>
      <c r="AC4" s="366" t="s">
        <v>88</v>
      </c>
      <c r="AD4" s="366" t="s">
        <v>89</v>
      </c>
      <c r="AE4" s="366" t="s">
        <v>121</v>
      </c>
      <c r="AF4" s="366" t="s">
        <v>78</v>
      </c>
    </row>
    <row r="5" spans="1:32" s="3" customFormat="1" ht="22.5">
      <c r="B5" s="356"/>
      <c r="C5" s="367" t="s">
        <v>155</v>
      </c>
      <c r="D5" s="358" t="s">
        <v>156</v>
      </c>
      <c r="E5" s="358" t="s">
        <v>54</v>
      </c>
      <c r="F5" s="358" t="s">
        <v>55</v>
      </c>
      <c r="G5" s="368" t="s">
        <v>68</v>
      </c>
      <c r="H5" s="356" t="s">
        <v>57</v>
      </c>
      <c r="I5" s="358" t="s">
        <v>66</v>
      </c>
      <c r="J5" s="369" t="s">
        <v>69</v>
      </c>
      <c r="K5" s="355" t="s">
        <v>59</v>
      </c>
      <c r="L5" s="358" t="s">
        <v>70</v>
      </c>
      <c r="M5" s="369" t="s">
        <v>71</v>
      </c>
      <c r="N5" s="370" t="s">
        <v>61</v>
      </c>
      <c r="O5" s="355" t="s">
        <v>419</v>
      </c>
      <c r="P5" s="355" t="s">
        <v>420</v>
      </c>
      <c r="Q5" s="355" t="s">
        <v>421</v>
      </c>
      <c r="R5" s="355" t="s">
        <v>422</v>
      </c>
      <c r="S5" s="356" t="s">
        <v>423</v>
      </c>
      <c r="T5" s="356" t="s">
        <v>359</v>
      </c>
      <c r="U5" s="355" t="s">
        <v>424</v>
      </c>
      <c r="V5" s="355" t="s">
        <v>425</v>
      </c>
      <c r="W5" s="355" t="s">
        <v>360</v>
      </c>
      <c r="X5" s="355" t="s">
        <v>426</v>
      </c>
      <c r="Y5" s="358" t="s">
        <v>427</v>
      </c>
      <c r="Z5" s="359" t="s">
        <v>428</v>
      </c>
      <c r="AA5" s="371"/>
      <c r="AB5" s="355">
        <f>+AE5*0.5</f>
        <v>428748290.78999978</v>
      </c>
      <c r="AC5" s="355">
        <f>+AE5*0.25</f>
        <v>214374145.39499989</v>
      </c>
      <c r="AD5" s="355">
        <f>+AE5*0.25</f>
        <v>214374145.39499989</v>
      </c>
      <c r="AE5" s="355">
        <f>+'PART PEF2022 '!F10</f>
        <v>857496581.57999957</v>
      </c>
    </row>
    <row r="6" spans="1:32" s="4" customFormat="1" ht="23.25" customHeight="1" thickBot="1">
      <c r="B6" s="372"/>
      <c r="C6" s="373"/>
      <c r="D6" s="373"/>
      <c r="E6" s="373"/>
      <c r="F6" s="373"/>
      <c r="G6" s="374"/>
      <c r="H6" s="372"/>
      <c r="I6" s="373"/>
      <c r="J6" s="375"/>
      <c r="K6" s="373"/>
      <c r="L6" s="373"/>
      <c r="M6" s="375"/>
      <c r="N6" s="376"/>
      <c r="O6" s="377"/>
      <c r="P6" s="377"/>
      <c r="Q6" s="377"/>
      <c r="R6" s="377"/>
      <c r="S6" s="378"/>
      <c r="T6" s="378"/>
      <c r="U6" s="377"/>
      <c r="V6" s="377"/>
      <c r="W6" s="377"/>
      <c r="X6" s="379"/>
      <c r="Y6" s="1"/>
      <c r="Z6" s="380"/>
      <c r="AA6" s="373"/>
      <c r="AB6" s="355" t="s">
        <v>101</v>
      </c>
      <c r="AC6" s="355" t="s">
        <v>102</v>
      </c>
      <c r="AD6" s="355" t="s">
        <v>65</v>
      </c>
      <c r="AE6" s="381" t="s">
        <v>103</v>
      </c>
      <c r="AF6" s="381" t="s">
        <v>63</v>
      </c>
    </row>
    <row r="7" spans="1:32" ht="13.5" thickTop="1">
      <c r="A7" s="21" t="s">
        <v>361</v>
      </c>
      <c r="B7" s="299" t="s">
        <v>1</v>
      </c>
      <c r="C7" s="382">
        <v>558823</v>
      </c>
      <c r="D7" s="382">
        <v>145672.85</v>
      </c>
      <c r="E7" s="383">
        <f t="shared" ref="E7:E58" si="0">+D7/C7</f>
        <v>0.26067797853703228</v>
      </c>
      <c r="F7" s="384">
        <f>+E7*D7</f>
        <v>37973.704065728321</v>
      </c>
      <c r="G7" s="391">
        <f t="shared" ref="G7:G57" si="1">+F7/F$58</f>
        <v>2.3846074066165529E-5</v>
      </c>
      <c r="H7" s="385">
        <v>2974</v>
      </c>
      <c r="I7" s="386">
        <f t="shared" ref="I7:I57" si="2">+H7/$H$58</f>
        <v>5.141377508841821E-4</v>
      </c>
      <c r="J7" s="386">
        <f>+I7*J$4</f>
        <v>4.3701708825155477E-4</v>
      </c>
      <c r="K7" s="382">
        <v>46.9</v>
      </c>
      <c r="L7" s="430">
        <f t="shared" ref="L7:L58" si="3">+K7/$K$58</f>
        <v>7.3102605507790314E-4</v>
      </c>
      <c r="M7" s="387">
        <f>+L7*M$4</f>
        <v>1.0965390826168547E-4</v>
      </c>
      <c r="N7" s="391">
        <f>+M7+J7</f>
        <v>5.4667099651324028E-4</v>
      </c>
      <c r="O7" s="388">
        <v>296</v>
      </c>
      <c r="P7" s="388">
        <v>291</v>
      </c>
      <c r="Q7" s="389">
        <v>1.7570912812999999</v>
      </c>
      <c r="R7" s="390">
        <f>+P7/P$58</f>
        <v>2.7055597858981759E-4</v>
      </c>
      <c r="S7" s="389">
        <f t="shared" ref="S7:S57" si="4">+Q7*R7</f>
        <v>4.7539155108375792E-4</v>
      </c>
      <c r="T7" s="389">
        <f>+S7/S$58</f>
        <v>2.4656536212427173E-4</v>
      </c>
      <c r="U7" s="388">
        <f>+AD$5*0.85*T7</f>
        <v>44928.652970989511</v>
      </c>
      <c r="V7" s="390">
        <f t="shared" ref="V7:V57" si="5">+O7/P7</f>
        <v>1.0171821305841924</v>
      </c>
      <c r="W7" s="390">
        <f>+V7/V$58</f>
        <v>1.351657209931304E-2</v>
      </c>
      <c r="X7" s="388">
        <f>AD$5*0.15*W7</f>
        <v>434640.53886901983</v>
      </c>
      <c r="Y7" s="382">
        <f t="shared" ref="Y7:Y57" si="6">+X7+U7</f>
        <v>479569.19184000936</v>
      </c>
      <c r="Z7" s="391">
        <f>+Y7/Y$58</f>
        <v>2.2370663727025869E-3</v>
      </c>
      <c r="AB7" s="392">
        <f t="shared" ref="AB7:AB57" si="7">+G7*AB$5</f>
        <v>10223.963497920211</v>
      </c>
      <c r="AC7" s="393">
        <f t="shared" ref="AC7:AC57" si="8">+N7*AC$5</f>
        <v>117192.12768975885</v>
      </c>
      <c r="AD7" s="393">
        <f>+Z7*AD$5</f>
        <v>479569.19184000936</v>
      </c>
      <c r="AE7" s="393">
        <f>SUM(AB7:AD7)</f>
        <v>606985.28302768839</v>
      </c>
      <c r="AF7" s="427">
        <f>+AE7/AE$58</f>
        <v>7.0785737933703942E-4</v>
      </c>
    </row>
    <row r="8" spans="1:32">
      <c r="A8" s="21" t="s">
        <v>362</v>
      </c>
      <c r="B8" s="304" t="s">
        <v>2</v>
      </c>
      <c r="C8" s="394">
        <v>2588435</v>
      </c>
      <c r="D8" s="394">
        <v>768052</v>
      </c>
      <c r="E8" s="395">
        <f t="shared" si="0"/>
        <v>0.2967244686461124</v>
      </c>
      <c r="F8" s="396">
        <f t="shared" ref="F8:F57" si="9">+E8*D8</f>
        <v>227899.82159258393</v>
      </c>
      <c r="G8" s="403">
        <f t="shared" si="1"/>
        <v>1.4311261329566678E-4</v>
      </c>
      <c r="H8" s="397">
        <v>3382</v>
      </c>
      <c r="I8" s="398">
        <f t="shared" si="2"/>
        <v>5.8467177992276519E-4</v>
      </c>
      <c r="J8" s="398">
        <f t="shared" ref="J8:J57" si="10">+I8*J$4</f>
        <v>4.9697101293435045E-4</v>
      </c>
      <c r="K8" s="394">
        <v>980.9</v>
      </c>
      <c r="L8" s="431">
        <f t="shared" si="3"/>
        <v>1.528919951867623E-2</v>
      </c>
      <c r="M8" s="399">
        <f t="shared" ref="M8:M57" si="11">+L8*M$4</f>
        <v>2.2933799278014345E-3</v>
      </c>
      <c r="N8" s="403">
        <f t="shared" ref="N8:N57" si="12">+M8+J8</f>
        <v>2.7903509407357849E-3</v>
      </c>
      <c r="O8" s="400">
        <v>250</v>
      </c>
      <c r="P8" s="400">
        <v>278</v>
      </c>
      <c r="Q8" s="401">
        <v>1.7189329948000001</v>
      </c>
      <c r="R8" s="402">
        <f t="shared" ref="R8:R57" si="13">+P8/P$58</f>
        <v>2.5846928538821062E-4</v>
      </c>
      <c r="S8" s="401">
        <f t="shared" si="4"/>
        <v>4.4429138279617278E-4</v>
      </c>
      <c r="T8" s="401">
        <f t="shared" ref="T8:T57" si="14">+S8/S$58</f>
        <v>2.3043502863712235E-4</v>
      </c>
      <c r="U8" s="400">
        <f t="shared" ref="U8:U57" si="15">+AD$5*0.85*T8</f>
        <v>41989.415483182114</v>
      </c>
      <c r="V8" s="402">
        <f t="shared" si="5"/>
        <v>0.89928057553956831</v>
      </c>
      <c r="W8" s="402">
        <f t="shared" ref="W8:W57" si="16">+V8/V$58</f>
        <v>1.1949866568941082E-2</v>
      </c>
      <c r="X8" s="400">
        <f t="shared" ref="X8:X57" si="17">AD$5*0.15*W8</f>
        <v>384261.36499515356</v>
      </c>
      <c r="Y8" s="394">
        <f t="shared" si="6"/>
        <v>426250.78047833568</v>
      </c>
      <c r="Z8" s="403">
        <f t="shared" ref="Z8:Z57" si="18">+Y8/Y$58</f>
        <v>1.9883497596827164E-3</v>
      </c>
      <c r="AB8" s="404">
        <f t="shared" si="7"/>
        <v>61359.288341007334</v>
      </c>
      <c r="AC8" s="405">
        <f t="shared" si="8"/>
        <v>598179.09827236785</v>
      </c>
      <c r="AD8" s="405">
        <f t="shared" ref="AD8:AD57" si="19">+Z8*AD$5</f>
        <v>426250.78047833574</v>
      </c>
      <c r="AE8" s="405">
        <f t="shared" ref="AE8:AE57" si="20">SUM(AB8:AD8)</f>
        <v>1085789.167091711</v>
      </c>
      <c r="AF8" s="428">
        <f t="shared" ref="AF8:AF57" si="21">+AE8/AE$58</f>
        <v>1.2662314817524585E-3</v>
      </c>
    </row>
    <row r="9" spans="1:32">
      <c r="A9" s="21" t="s">
        <v>363</v>
      </c>
      <c r="B9" s="304" t="s">
        <v>216</v>
      </c>
      <c r="C9" s="394">
        <v>1115974</v>
      </c>
      <c r="D9" s="394">
        <v>272877</v>
      </c>
      <c r="E9" s="395">
        <f t="shared" si="0"/>
        <v>0.24451913754263091</v>
      </c>
      <c r="F9" s="396">
        <f t="shared" si="9"/>
        <v>66723.648695220501</v>
      </c>
      <c r="G9" s="403">
        <f t="shared" si="1"/>
        <v>4.1899970200352918E-5</v>
      </c>
      <c r="H9" s="397">
        <v>1407</v>
      </c>
      <c r="I9" s="398">
        <f t="shared" si="2"/>
        <v>2.4323867366981983E-4</v>
      </c>
      <c r="J9" s="398">
        <f t="shared" si="10"/>
        <v>2.0675287261934686E-4</v>
      </c>
      <c r="K9" s="394">
        <v>694.5</v>
      </c>
      <c r="L9" s="431">
        <f t="shared" si="3"/>
        <v>1.0825108640759142E-2</v>
      </c>
      <c r="M9" s="399">
        <f t="shared" si="11"/>
        <v>1.6237662961138713E-3</v>
      </c>
      <c r="N9" s="403">
        <f t="shared" si="12"/>
        <v>1.8305191687332182E-3</v>
      </c>
      <c r="O9" s="400">
        <v>366</v>
      </c>
      <c r="P9" s="400">
        <v>167</v>
      </c>
      <c r="Q9" s="401">
        <v>1.7050555638</v>
      </c>
      <c r="R9" s="402">
        <f t="shared" si="13"/>
        <v>1.5526752035910496E-4</v>
      </c>
      <c r="S9" s="401">
        <f t="shared" si="4"/>
        <v>2.6473974946572169E-4</v>
      </c>
      <c r="T9" s="401">
        <f t="shared" si="14"/>
        <v>1.3730923918798022E-4</v>
      </c>
      <c r="U9" s="400">
        <f t="shared" si="15"/>
        <v>25020.218184896756</v>
      </c>
      <c r="V9" s="402">
        <f t="shared" si="5"/>
        <v>2.191616766467066</v>
      </c>
      <c r="W9" s="402">
        <f t="shared" si="16"/>
        <v>2.9122755057643529E-2</v>
      </c>
      <c r="X9" s="400">
        <f t="shared" si="17"/>
        <v>936474.85905453633</v>
      </c>
      <c r="Y9" s="394">
        <f t="shared" si="6"/>
        <v>961495.07723943307</v>
      </c>
      <c r="Z9" s="403">
        <f t="shared" si="18"/>
        <v>4.485126111956313E-3</v>
      </c>
      <c r="AB9" s="404">
        <f t="shared" si="7"/>
        <v>17964.540607553237</v>
      </c>
      <c r="AC9" s="405">
        <f t="shared" si="8"/>
        <v>392415.98242634925</v>
      </c>
      <c r="AD9" s="405">
        <f t="shared" si="19"/>
        <v>961495.07723943319</v>
      </c>
      <c r="AE9" s="405">
        <f t="shared" si="20"/>
        <v>1371875.6002733358</v>
      </c>
      <c r="AF9" s="428">
        <f t="shared" si="21"/>
        <v>1.5998613052725591E-3</v>
      </c>
    </row>
    <row r="10" spans="1:32" ht="13.5" customHeight="1">
      <c r="A10" s="21" t="s">
        <v>364</v>
      </c>
      <c r="B10" s="304" t="s">
        <v>4</v>
      </c>
      <c r="C10" s="394">
        <v>37146815</v>
      </c>
      <c r="D10" s="394">
        <v>23142962</v>
      </c>
      <c r="E10" s="395">
        <f t="shared" si="0"/>
        <v>0.62301335928800361</v>
      </c>
      <c r="F10" s="396">
        <f t="shared" si="9"/>
        <v>14418374.499494614</v>
      </c>
      <c r="G10" s="403">
        <f t="shared" si="1"/>
        <v>9.0542030251656077E-3</v>
      </c>
      <c r="H10" s="397">
        <v>35289</v>
      </c>
      <c r="I10" s="398">
        <f t="shared" si="2"/>
        <v>6.1006748792709828E-3</v>
      </c>
      <c r="J10" s="398">
        <f t="shared" si="10"/>
        <v>5.1855736473803348E-3</v>
      </c>
      <c r="K10" s="394">
        <v>190.5</v>
      </c>
      <c r="L10" s="431">
        <f t="shared" si="3"/>
        <v>2.9693062578324213E-3</v>
      </c>
      <c r="M10" s="399">
        <f t="shared" si="11"/>
        <v>4.4539593867486317E-4</v>
      </c>
      <c r="N10" s="403">
        <f t="shared" si="12"/>
        <v>5.6309695860551979E-3</v>
      </c>
      <c r="O10" s="400">
        <v>6372</v>
      </c>
      <c r="P10" s="400">
        <v>6876</v>
      </c>
      <c r="Q10" s="401">
        <v>1.5964581414000001</v>
      </c>
      <c r="R10" s="402">
        <f t="shared" si="13"/>
        <v>6.3929309580191959E-3</v>
      </c>
      <c r="S10" s="401">
        <f t="shared" si="4"/>
        <v>1.0206046675337848E-2</v>
      </c>
      <c r="T10" s="401">
        <f t="shared" si="14"/>
        <v>5.2934419819306551E-3</v>
      </c>
      <c r="U10" s="400">
        <f t="shared" si="15"/>
        <v>964560.53591323877</v>
      </c>
      <c r="V10" s="402">
        <f t="shared" si="5"/>
        <v>0.92670157068062831</v>
      </c>
      <c r="W10" s="402">
        <f t="shared" si="16"/>
        <v>1.2314243652174133E-2</v>
      </c>
      <c r="X10" s="400">
        <f t="shared" si="17"/>
        <v>395978.31886809482</v>
      </c>
      <c r="Y10" s="394">
        <f t="shared" si="6"/>
        <v>1360538.8547813336</v>
      </c>
      <c r="Z10" s="403">
        <f t="shared" si="18"/>
        <v>6.3465622324671775E-3</v>
      </c>
      <c r="AB10" s="404">
        <f t="shared" si="7"/>
        <v>3881974.0715053999</v>
      </c>
      <c r="AC10" s="405">
        <f t="shared" si="8"/>
        <v>1207134.2927558194</v>
      </c>
      <c r="AD10" s="405">
        <f t="shared" si="19"/>
        <v>1360538.8547813338</v>
      </c>
      <c r="AE10" s="405">
        <f t="shared" si="20"/>
        <v>6449647.2190425526</v>
      </c>
      <c r="AF10" s="428">
        <f t="shared" si="21"/>
        <v>7.5214844672133966E-3</v>
      </c>
    </row>
    <row r="11" spans="1:32">
      <c r="A11" s="21" t="s">
        <v>365</v>
      </c>
      <c r="B11" s="304" t="s">
        <v>334</v>
      </c>
      <c r="C11" s="394">
        <v>10240869</v>
      </c>
      <c r="D11" s="394">
        <v>2531264</v>
      </c>
      <c r="E11" s="395">
        <f t="shared" si="0"/>
        <v>0.24717277410735358</v>
      </c>
      <c r="F11" s="396">
        <f t="shared" si="9"/>
        <v>625659.5448780763</v>
      </c>
      <c r="G11" s="403">
        <f t="shared" si="1"/>
        <v>3.9289092845780761E-4</v>
      </c>
      <c r="H11" s="397">
        <v>18030</v>
      </c>
      <c r="I11" s="398">
        <f t="shared" si="2"/>
        <v>3.1169817244256232E-3</v>
      </c>
      <c r="J11" s="398">
        <f t="shared" si="10"/>
        <v>2.6494344657617798E-3</v>
      </c>
      <c r="K11" s="394">
        <v>4539.2</v>
      </c>
      <c r="L11" s="431">
        <f t="shared" si="3"/>
        <v>7.0752099556708276E-2</v>
      </c>
      <c r="M11" s="399">
        <f t="shared" si="11"/>
        <v>1.0612814933506241E-2</v>
      </c>
      <c r="N11" s="403">
        <f t="shared" si="12"/>
        <v>1.3262249399268022E-2</v>
      </c>
      <c r="O11" s="400">
        <v>7349</v>
      </c>
      <c r="P11" s="400">
        <v>5491</v>
      </c>
      <c r="Q11" s="401">
        <v>1.7933312159000001</v>
      </c>
      <c r="R11" s="402">
        <f t="shared" si="13"/>
        <v>5.1052332592326066E-3</v>
      </c>
      <c r="S11" s="401">
        <f t="shared" si="4"/>
        <v>9.1553741682327307E-3</v>
      </c>
      <c r="T11" s="401">
        <f t="shared" si="14"/>
        <v>4.7485028752136602E-3</v>
      </c>
      <c r="U11" s="400">
        <f t="shared" si="15"/>
        <v>865262.80891268386</v>
      </c>
      <c r="V11" s="402">
        <f t="shared" si="5"/>
        <v>1.3383718812602441</v>
      </c>
      <c r="W11" s="402">
        <f t="shared" si="16"/>
        <v>1.7784622325559021E-2</v>
      </c>
      <c r="X11" s="400">
        <f t="shared" si="17"/>
        <v>571884.48183218262</v>
      </c>
      <c r="Y11" s="394">
        <f t="shared" si="6"/>
        <v>1437147.2907448665</v>
      </c>
      <c r="Z11" s="403">
        <f t="shared" si="18"/>
        <v>6.7039207927654648E-3</v>
      </c>
      <c r="AB11" s="404">
        <f t="shared" si="7"/>
        <v>168451.3140431811</v>
      </c>
      <c r="AC11" s="405">
        <f t="shared" si="8"/>
        <v>2843083.3809834328</v>
      </c>
      <c r="AD11" s="405">
        <f t="shared" si="19"/>
        <v>1437147.2907448667</v>
      </c>
      <c r="AE11" s="405">
        <f t="shared" si="20"/>
        <v>4448681.9857714809</v>
      </c>
      <c r="AF11" s="428">
        <f t="shared" si="21"/>
        <v>5.1879880122372747E-3</v>
      </c>
    </row>
    <row r="12" spans="1:32">
      <c r="A12" s="21" t="s">
        <v>366</v>
      </c>
      <c r="B12" s="304" t="s">
        <v>6</v>
      </c>
      <c r="C12" s="394">
        <v>679461530</v>
      </c>
      <c r="D12" s="394">
        <v>299493654.98000002</v>
      </c>
      <c r="E12" s="395">
        <f t="shared" si="0"/>
        <v>0.44078088568163676</v>
      </c>
      <c r="F12" s="396">
        <f t="shared" si="9"/>
        <v>132011078.49811494</v>
      </c>
      <c r="G12" s="403">
        <f t="shared" si="1"/>
        <v>8.2898048343445538E-2</v>
      </c>
      <c r="H12" s="397">
        <v>656464</v>
      </c>
      <c r="I12" s="398">
        <f t="shared" si="2"/>
        <v>0.11348786970290306</v>
      </c>
      <c r="J12" s="398">
        <f t="shared" si="10"/>
        <v>9.6464689247467594E-2</v>
      </c>
      <c r="K12" s="394">
        <v>224</v>
      </c>
      <c r="L12" s="431">
        <f t="shared" si="3"/>
        <v>3.4914677257452094E-3</v>
      </c>
      <c r="M12" s="399">
        <f t="shared" si="11"/>
        <v>5.2372015886178135E-4</v>
      </c>
      <c r="N12" s="403">
        <f t="shared" si="12"/>
        <v>9.6988409406329371E-2</v>
      </c>
      <c r="O12" s="400">
        <v>77936</v>
      </c>
      <c r="P12" s="400">
        <v>87455</v>
      </c>
      <c r="Q12" s="401">
        <v>1.8323297204</v>
      </c>
      <c r="R12" s="402">
        <f t="shared" si="13"/>
        <v>8.1310904149733673E-2</v>
      </c>
      <c r="S12" s="401">
        <f t="shared" si="4"/>
        <v>0.14898838626615271</v>
      </c>
      <c r="T12" s="401">
        <f t="shared" si="14"/>
        <v>7.7273934146028844E-2</v>
      </c>
      <c r="U12" s="400">
        <f t="shared" si="15"/>
        <v>14080703.554784767</v>
      </c>
      <c r="V12" s="402">
        <f t="shared" si="5"/>
        <v>0.89115545137499286</v>
      </c>
      <c r="W12" s="402">
        <f t="shared" si="16"/>
        <v>1.1841897874560577E-2</v>
      </c>
      <c r="X12" s="400">
        <f t="shared" si="17"/>
        <v>380789.51050706836</v>
      </c>
      <c r="Y12" s="394">
        <f t="shared" si="6"/>
        <v>14461493.065291835</v>
      </c>
      <c r="Z12" s="403">
        <f t="shared" si="18"/>
        <v>6.7459128705308596E-2</v>
      </c>
      <c r="AB12" s="404">
        <f t="shared" si="7"/>
        <v>35542396.537079044</v>
      </c>
      <c r="AC12" s="405">
        <f t="shared" si="8"/>
        <v>20791807.379702229</v>
      </c>
      <c r="AD12" s="405">
        <f t="shared" si="19"/>
        <v>14461493.065291835</v>
      </c>
      <c r="AE12" s="405">
        <f t="shared" si="20"/>
        <v>70795696.982073113</v>
      </c>
      <c r="AF12" s="428">
        <f t="shared" si="21"/>
        <v>8.2560908699632257E-2</v>
      </c>
    </row>
    <row r="13" spans="1:32">
      <c r="A13" s="21" t="s">
        <v>367</v>
      </c>
      <c r="B13" s="304" t="s">
        <v>7</v>
      </c>
      <c r="C13" s="394">
        <v>1835394</v>
      </c>
      <c r="D13" s="394">
        <v>788778.4</v>
      </c>
      <c r="E13" s="395">
        <f t="shared" si="0"/>
        <v>0.42975971371814448</v>
      </c>
      <c r="F13" s="396">
        <f t="shared" si="9"/>
        <v>338985.17937105609</v>
      </c>
      <c r="G13" s="403">
        <f t="shared" si="1"/>
        <v>2.1287008716934795E-4</v>
      </c>
      <c r="H13" s="397">
        <v>14992</v>
      </c>
      <c r="I13" s="398">
        <f t="shared" si="2"/>
        <v>2.5917798121236242E-3</v>
      </c>
      <c r="J13" s="398">
        <f t="shared" si="10"/>
        <v>2.2030128403050806E-3</v>
      </c>
      <c r="K13" s="394">
        <v>2688.6</v>
      </c>
      <c r="L13" s="431">
        <f t="shared" si="3"/>
        <v>4.1906964854636471E-2</v>
      </c>
      <c r="M13" s="399">
        <f t="shared" si="11"/>
        <v>6.2860447281954702E-3</v>
      </c>
      <c r="N13" s="403">
        <f t="shared" si="12"/>
        <v>8.48905756850055E-3</v>
      </c>
      <c r="O13" s="400">
        <v>10274</v>
      </c>
      <c r="P13" s="400">
        <v>7471</v>
      </c>
      <c r="Q13" s="401">
        <v>2.3084826450000002</v>
      </c>
      <c r="R13" s="402">
        <f t="shared" si="13"/>
        <v>6.9461296084004373E-3</v>
      </c>
      <c r="S13" s="401">
        <f t="shared" si="4"/>
        <v>1.6035019650913057E-2</v>
      </c>
      <c r="T13" s="401">
        <f t="shared" si="14"/>
        <v>8.3166821494490614E-3</v>
      </c>
      <c r="U13" s="400">
        <f t="shared" si="15"/>
        <v>1515449.3840634942</v>
      </c>
      <c r="V13" s="402">
        <f t="shared" si="5"/>
        <v>1.375184044973899</v>
      </c>
      <c r="W13" s="402">
        <f t="shared" si="16"/>
        <v>1.8273791619834338E-2</v>
      </c>
      <c r="X13" s="400">
        <f t="shared" si="17"/>
        <v>587614.26924424456</v>
      </c>
      <c r="Y13" s="394">
        <f t="shared" si="6"/>
        <v>2103063.6533077387</v>
      </c>
      <c r="Z13" s="403">
        <f t="shared" si="18"/>
        <v>9.8102485700068531E-3</v>
      </c>
      <c r="AB13" s="404">
        <f t="shared" si="7"/>
        <v>91267.686034176193</v>
      </c>
      <c r="AC13" s="405">
        <f t="shared" si="8"/>
        <v>1819834.4614562611</v>
      </c>
      <c r="AD13" s="405">
        <f t="shared" si="19"/>
        <v>2103063.6533077387</v>
      </c>
      <c r="AE13" s="405">
        <f t="shared" si="20"/>
        <v>4014165.8007981759</v>
      </c>
      <c r="AF13" s="428">
        <f t="shared" si="21"/>
        <v>4.6812615782115237E-3</v>
      </c>
    </row>
    <row r="14" spans="1:32">
      <c r="A14" s="21" t="s">
        <v>368</v>
      </c>
      <c r="B14" s="304" t="s">
        <v>8</v>
      </c>
      <c r="C14" s="394">
        <v>2443492</v>
      </c>
      <c r="D14" s="394">
        <v>799410</v>
      </c>
      <c r="E14" s="395">
        <f t="shared" si="0"/>
        <v>0.32715883661579409</v>
      </c>
      <c r="F14" s="396">
        <f t="shared" si="9"/>
        <v>261534.04557903195</v>
      </c>
      <c r="G14" s="403">
        <f t="shared" si="1"/>
        <v>1.6423365523960225E-4</v>
      </c>
      <c r="H14" s="397">
        <v>3661</v>
      </c>
      <c r="I14" s="398">
        <f t="shared" si="2"/>
        <v>6.329046086035611E-4</v>
      </c>
      <c r="J14" s="398">
        <f t="shared" si="10"/>
        <v>5.3796891731302697E-4</v>
      </c>
      <c r="K14" s="394">
        <v>466.7</v>
      </c>
      <c r="L14" s="431">
        <f t="shared" si="3"/>
        <v>7.2744106589521839E-3</v>
      </c>
      <c r="M14" s="399">
        <f t="shared" si="11"/>
        <v>1.0911615988428275E-3</v>
      </c>
      <c r="N14" s="403">
        <f t="shared" si="12"/>
        <v>1.6291305161558545E-3</v>
      </c>
      <c r="O14" s="400">
        <v>1472</v>
      </c>
      <c r="P14" s="400">
        <v>1100</v>
      </c>
      <c r="Q14" s="401">
        <v>1.4822637890000001</v>
      </c>
      <c r="R14" s="402">
        <f t="shared" si="13"/>
        <v>1.0227201939821285E-3</v>
      </c>
      <c r="S14" s="401">
        <f t="shared" si="4"/>
        <v>1.515941109818765E-3</v>
      </c>
      <c r="T14" s="401">
        <f t="shared" si="14"/>
        <v>7.8625412641311154E-4</v>
      </c>
      <c r="U14" s="400">
        <f t="shared" si="15"/>
        <v>143269.67295113753</v>
      </c>
      <c r="V14" s="402">
        <f t="shared" si="5"/>
        <v>1.3381818181818181</v>
      </c>
      <c r="W14" s="402">
        <f t="shared" si="16"/>
        <v>1.7782096719548338E-2</v>
      </c>
      <c r="X14" s="400">
        <f t="shared" si="17"/>
        <v>571803.26813766093</v>
      </c>
      <c r="Y14" s="394">
        <f t="shared" si="6"/>
        <v>715072.94108879846</v>
      </c>
      <c r="Z14" s="403">
        <f t="shared" si="18"/>
        <v>3.3356305153833961E-3</v>
      </c>
      <c r="AB14" s="404">
        <f t="shared" si="7"/>
        <v>70414.898974173557</v>
      </c>
      <c r="AC14" s="405">
        <f t="shared" si="8"/>
        <v>349243.46213782637</v>
      </c>
      <c r="AD14" s="405">
        <f t="shared" si="19"/>
        <v>715072.94108879857</v>
      </c>
      <c r="AE14" s="405">
        <f t="shared" si="20"/>
        <v>1134731.3022007984</v>
      </c>
      <c r="AF14" s="428">
        <f t="shared" si="21"/>
        <v>1.3233070855046135E-3</v>
      </c>
    </row>
    <row r="15" spans="1:32">
      <c r="A15" s="21" t="s">
        <v>369</v>
      </c>
      <c r="B15" s="304" t="s">
        <v>335</v>
      </c>
      <c r="C15" s="394">
        <v>96076042</v>
      </c>
      <c r="D15" s="394">
        <v>27527682</v>
      </c>
      <c r="E15" s="395">
        <f t="shared" si="0"/>
        <v>0.28651973402484671</v>
      </c>
      <c r="F15" s="396">
        <f t="shared" si="9"/>
        <v>7887224.1249605604</v>
      </c>
      <c r="G15" s="403">
        <f t="shared" si="1"/>
        <v>4.9528834567919003E-3</v>
      </c>
      <c r="H15" s="397">
        <v>122337</v>
      </c>
      <c r="I15" s="398">
        <f t="shared" si="2"/>
        <v>2.1149317427679282E-2</v>
      </c>
      <c r="J15" s="398">
        <f t="shared" si="10"/>
        <v>1.7976919813527389E-2</v>
      </c>
      <c r="K15" s="394">
        <v>1140.9000000000001</v>
      </c>
      <c r="L15" s="431">
        <f t="shared" si="3"/>
        <v>1.7783105037065667E-2</v>
      </c>
      <c r="M15" s="399">
        <f t="shared" si="11"/>
        <v>2.6674657555598499E-3</v>
      </c>
      <c r="N15" s="403">
        <f t="shared" si="12"/>
        <v>2.0644385569087237E-2</v>
      </c>
      <c r="O15" s="400">
        <v>26523</v>
      </c>
      <c r="P15" s="400">
        <v>24758</v>
      </c>
      <c r="Q15" s="401">
        <v>1.8739893594999999</v>
      </c>
      <c r="R15" s="402">
        <f t="shared" si="13"/>
        <v>2.3018642329645032E-2</v>
      </c>
      <c r="S15" s="401">
        <f t="shared" si="4"/>
        <v>4.3136690795891081E-2</v>
      </c>
      <c r="T15" s="401">
        <f t="shared" si="14"/>
        <v>2.2373165367967789E-2</v>
      </c>
      <c r="U15" s="400">
        <f t="shared" si="15"/>
        <v>4076793.9747082372</v>
      </c>
      <c r="V15" s="402">
        <f t="shared" si="5"/>
        <v>1.0712900880523468</v>
      </c>
      <c r="W15" s="402">
        <f t="shared" si="16"/>
        <v>1.4235572253046412E-2</v>
      </c>
      <c r="X15" s="400">
        <f t="shared" si="17"/>
        <v>457760.79539333965</v>
      </c>
      <c r="Y15" s="394">
        <f t="shared" si="6"/>
        <v>4534554.770101577</v>
      </c>
      <c r="Z15" s="403">
        <f t="shared" si="18"/>
        <v>2.1152526400729583E-2</v>
      </c>
      <c r="AB15" s="404">
        <f t="shared" si="7"/>
        <v>2123540.3165815929</v>
      </c>
      <c r="AC15" s="405">
        <f t="shared" si="8"/>
        <v>4425622.5135779446</v>
      </c>
      <c r="AD15" s="405">
        <f t="shared" si="19"/>
        <v>4534554.770101577</v>
      </c>
      <c r="AE15" s="405">
        <f t="shared" si="20"/>
        <v>11083717.600261115</v>
      </c>
      <c r="AF15" s="428">
        <f t="shared" si="21"/>
        <v>1.2925669720850153E-2</v>
      </c>
    </row>
    <row r="16" spans="1:32">
      <c r="A16" s="21" t="s">
        <v>370</v>
      </c>
      <c r="B16" s="304" t="s">
        <v>336</v>
      </c>
      <c r="C16" s="394">
        <v>25918809</v>
      </c>
      <c r="D16" s="394">
        <v>4946842.92</v>
      </c>
      <c r="E16" s="395">
        <f t="shared" si="0"/>
        <v>0.19085919109940583</v>
      </c>
      <c r="F16" s="396">
        <f t="shared" si="9"/>
        <v>944150.43820702273</v>
      </c>
      <c r="G16" s="403">
        <f t="shared" si="1"/>
        <v>5.9289136609158675E-4</v>
      </c>
      <c r="H16" s="397">
        <v>104478</v>
      </c>
      <c r="I16" s="398">
        <f t="shared" si="2"/>
        <v>1.8061897759541888E-2</v>
      </c>
      <c r="J16" s="398">
        <f t="shared" si="10"/>
        <v>1.5352613095610604E-2</v>
      </c>
      <c r="K16" s="394">
        <v>104.3</v>
      </c>
      <c r="L16" s="431">
        <f t="shared" si="3"/>
        <v>1.6257146598001131E-3</v>
      </c>
      <c r="M16" s="399">
        <f t="shared" si="11"/>
        <v>2.4385719897001694E-4</v>
      </c>
      <c r="N16" s="403">
        <f t="shared" si="12"/>
        <v>1.5596470294580621E-2</v>
      </c>
      <c r="O16" s="400">
        <v>8234</v>
      </c>
      <c r="P16" s="400">
        <v>27842</v>
      </c>
      <c r="Q16" s="401">
        <v>1.8343045897000001</v>
      </c>
      <c r="R16" s="402">
        <f t="shared" si="13"/>
        <v>2.5885977855318563E-2</v>
      </c>
      <c r="S16" s="401">
        <f t="shared" si="4"/>
        <v>4.7482767988883408E-2</v>
      </c>
      <c r="T16" s="401">
        <f t="shared" si="14"/>
        <v>2.4627290613709465E-2</v>
      </c>
      <c r="U16" s="400">
        <f t="shared" si="15"/>
        <v>4487536.2219020287</v>
      </c>
      <c r="V16" s="402">
        <f t="shared" si="5"/>
        <v>0.29574024854536313</v>
      </c>
      <c r="W16" s="402">
        <f t="shared" si="16"/>
        <v>3.9298708382110078E-3</v>
      </c>
      <c r="X16" s="400">
        <f t="shared" si="17"/>
        <v>126369.4053681325</v>
      </c>
      <c r="Y16" s="394">
        <f t="shared" si="6"/>
        <v>4613905.6272701612</v>
      </c>
      <c r="Z16" s="403">
        <f t="shared" si="18"/>
        <v>2.1522677647384698E-2</v>
      </c>
      <c r="AB16" s="404">
        <f t="shared" si="7"/>
        <v>254201.15983591584</v>
      </c>
      <c r="AC16" s="405">
        <f t="shared" si="8"/>
        <v>3343479.9905792228</v>
      </c>
      <c r="AD16" s="405">
        <f t="shared" si="19"/>
        <v>4613905.6272701612</v>
      </c>
      <c r="AE16" s="405">
        <f t="shared" si="20"/>
        <v>8211586.7776852995</v>
      </c>
      <c r="AF16" s="428">
        <f t="shared" si="21"/>
        <v>9.5762326685371203E-3</v>
      </c>
    </row>
    <row r="17" spans="1:32">
      <c r="A17" s="21" t="s">
        <v>371</v>
      </c>
      <c r="B17" s="304" t="s">
        <v>311</v>
      </c>
      <c r="C17" s="394">
        <v>2065528</v>
      </c>
      <c r="D17" s="394">
        <v>1221813</v>
      </c>
      <c r="E17" s="395">
        <f t="shared" si="0"/>
        <v>0.59152575031662602</v>
      </c>
      <c r="F17" s="396">
        <f t="shared" si="9"/>
        <v>722733.85157160775</v>
      </c>
      <c r="G17" s="403">
        <f t="shared" si="1"/>
        <v>4.5384998326396719E-4</v>
      </c>
      <c r="H17" s="397">
        <v>7340</v>
      </c>
      <c r="I17" s="398">
        <f t="shared" si="2"/>
        <v>1.2689210126058832E-3</v>
      </c>
      <c r="J17" s="398">
        <f t="shared" si="10"/>
        <v>1.0785828607150008E-3</v>
      </c>
      <c r="K17" s="394">
        <v>1007.4</v>
      </c>
      <c r="L17" s="431">
        <f t="shared" si="3"/>
        <v>1.5702252620159483E-2</v>
      </c>
      <c r="M17" s="399">
        <f t="shared" si="11"/>
        <v>2.3553378930239225E-3</v>
      </c>
      <c r="N17" s="403">
        <f t="shared" si="12"/>
        <v>3.4339207537389233E-3</v>
      </c>
      <c r="O17" s="400">
        <v>3737</v>
      </c>
      <c r="P17" s="400">
        <v>763</v>
      </c>
      <c r="Q17" s="401">
        <v>1.7930753231000001</v>
      </c>
      <c r="R17" s="402">
        <f t="shared" si="13"/>
        <v>7.0939591637123999E-4</v>
      </c>
      <c r="S17" s="401">
        <f t="shared" si="4"/>
        <v>1.2720003119531817E-3</v>
      </c>
      <c r="T17" s="401">
        <f t="shared" si="14"/>
        <v>6.5973241809605702E-4</v>
      </c>
      <c r="U17" s="400">
        <f t="shared" si="15"/>
        <v>120215.13732091113</v>
      </c>
      <c r="V17" s="402">
        <f t="shared" si="5"/>
        <v>4.8977719528178243</v>
      </c>
      <c r="W17" s="402">
        <f t="shared" si="16"/>
        <v>6.5082826109257794E-2</v>
      </c>
      <c r="X17" s="400">
        <f t="shared" si="17"/>
        <v>2092811.2840595287</v>
      </c>
      <c r="Y17" s="394">
        <f t="shared" si="6"/>
        <v>2213026.4213804398</v>
      </c>
      <c r="Z17" s="403">
        <f t="shared" si="18"/>
        <v>1.0323196471770319E-2</v>
      </c>
      <c r="AB17" s="404">
        <f t="shared" si="7"/>
        <v>194587.40459949593</v>
      </c>
      <c r="AC17" s="405">
        <f t="shared" si="8"/>
        <v>736143.82693693554</v>
      </c>
      <c r="AD17" s="405">
        <f t="shared" si="19"/>
        <v>2213026.4213804402</v>
      </c>
      <c r="AE17" s="405">
        <f t="shared" si="20"/>
        <v>3143757.6529168719</v>
      </c>
      <c r="AF17" s="428">
        <f t="shared" si="21"/>
        <v>3.6662042980092941E-3</v>
      </c>
    </row>
    <row r="18" spans="1:32">
      <c r="A18" s="21" t="s">
        <v>372</v>
      </c>
      <c r="B18" s="304" t="s">
        <v>12</v>
      </c>
      <c r="C18" s="394">
        <v>4522487</v>
      </c>
      <c r="D18" s="394">
        <v>1408205</v>
      </c>
      <c r="E18" s="395">
        <f t="shared" si="0"/>
        <v>0.31137845172357598</v>
      </c>
      <c r="F18" s="396">
        <f t="shared" si="9"/>
        <v>438484.69260939833</v>
      </c>
      <c r="G18" s="403">
        <f t="shared" si="1"/>
        <v>2.7535208150211281E-4</v>
      </c>
      <c r="H18" s="397">
        <v>9930</v>
      </c>
      <c r="I18" s="398">
        <f t="shared" si="2"/>
        <v>1.7166737949831634E-3</v>
      </c>
      <c r="J18" s="398">
        <f t="shared" si="10"/>
        <v>1.4591727257356889E-3</v>
      </c>
      <c r="K18" s="394">
        <v>4265.7</v>
      </c>
      <c r="L18" s="431">
        <f t="shared" si="3"/>
        <v>6.6489079811211327E-2</v>
      </c>
      <c r="M18" s="399">
        <f t="shared" si="11"/>
        <v>9.9733619716816987E-3</v>
      </c>
      <c r="N18" s="403">
        <f t="shared" si="12"/>
        <v>1.1432534697417387E-2</v>
      </c>
      <c r="O18" s="400">
        <v>4127</v>
      </c>
      <c r="P18" s="400">
        <v>1614</v>
      </c>
      <c r="Q18" s="401">
        <v>1.7681716602999999</v>
      </c>
      <c r="R18" s="402">
        <f t="shared" si="13"/>
        <v>1.5006094482610502E-3</v>
      </c>
      <c r="S18" s="401">
        <f t="shared" si="4"/>
        <v>2.6533350995936078E-3</v>
      </c>
      <c r="T18" s="401">
        <f t="shared" si="14"/>
        <v>1.3761719748213892E-3</v>
      </c>
      <c r="U18" s="400">
        <f t="shared" si="15"/>
        <v>250763.33736605191</v>
      </c>
      <c r="V18" s="402">
        <f t="shared" si="5"/>
        <v>2.5570012391573731</v>
      </c>
      <c r="W18" s="402">
        <f t="shared" si="16"/>
        <v>3.3978075870496942E-2</v>
      </c>
      <c r="X18" s="400">
        <f t="shared" si="17"/>
        <v>1092603.1465356373</v>
      </c>
      <c r="Y18" s="394">
        <f t="shared" si="6"/>
        <v>1343366.4839016893</v>
      </c>
      <c r="Z18" s="403">
        <f t="shared" si="18"/>
        <v>6.2664575591727233E-3</v>
      </c>
      <c r="AB18" s="404">
        <f t="shared" si="7"/>
        <v>118056.73430949959</v>
      </c>
      <c r="AC18" s="405">
        <f t="shared" si="8"/>
        <v>2450839.8554575359</v>
      </c>
      <c r="AD18" s="405">
        <f t="shared" si="19"/>
        <v>1343366.4839016895</v>
      </c>
      <c r="AE18" s="405">
        <f t="shared" si="20"/>
        <v>3912263.0736687249</v>
      </c>
      <c r="AF18" s="428">
        <f t="shared" si="21"/>
        <v>4.5624241048985827E-3</v>
      </c>
    </row>
    <row r="19" spans="1:32">
      <c r="A19" s="21" t="s">
        <v>373</v>
      </c>
      <c r="B19" s="304" t="s">
        <v>337</v>
      </c>
      <c r="C19" s="394">
        <v>45557174</v>
      </c>
      <c r="D19" s="394">
        <v>12990205</v>
      </c>
      <c r="E19" s="395">
        <f t="shared" si="0"/>
        <v>0.28514071131804619</v>
      </c>
      <c r="F19" s="396">
        <f t="shared" si="9"/>
        <v>3704036.2938672402</v>
      </c>
      <c r="G19" s="403">
        <f t="shared" si="1"/>
        <v>2.3259970545522657E-3</v>
      </c>
      <c r="H19" s="397">
        <v>68747</v>
      </c>
      <c r="I19" s="398">
        <f t="shared" si="2"/>
        <v>1.1884811015479108E-2</v>
      </c>
      <c r="J19" s="398">
        <f t="shared" si="10"/>
        <v>1.0102089363157242E-2</v>
      </c>
      <c r="K19" s="394">
        <v>138.69999999999999</v>
      </c>
      <c r="L19" s="431">
        <f t="shared" si="3"/>
        <v>2.1619043462538417E-3</v>
      </c>
      <c r="M19" s="399">
        <f t="shared" si="11"/>
        <v>3.2428565193807623E-4</v>
      </c>
      <c r="N19" s="403">
        <f t="shared" si="12"/>
        <v>1.0426375015095319E-2</v>
      </c>
      <c r="O19" s="400">
        <v>10747</v>
      </c>
      <c r="P19" s="400">
        <v>15877</v>
      </c>
      <c r="Q19" s="401">
        <v>1.8900298334000001</v>
      </c>
      <c r="R19" s="402">
        <f t="shared" si="13"/>
        <v>1.4761571381685684E-2</v>
      </c>
      <c r="S19" s="401">
        <f t="shared" si="4"/>
        <v>2.7899810299249601E-2</v>
      </c>
      <c r="T19" s="401">
        <f t="shared" si="14"/>
        <v>1.4470444024405789E-2</v>
      </c>
      <c r="U19" s="400">
        <f t="shared" si="15"/>
        <v>2636775.7105354476</v>
      </c>
      <c r="V19" s="402">
        <f t="shared" si="5"/>
        <v>0.67689110033381616</v>
      </c>
      <c r="W19" s="402">
        <f t="shared" si="16"/>
        <v>8.9946992637304091E-3</v>
      </c>
      <c r="X19" s="400">
        <f t="shared" si="17"/>
        <v>289234.64516208618</v>
      </c>
      <c r="Y19" s="394">
        <f t="shared" si="6"/>
        <v>2926010.3556975336</v>
      </c>
      <c r="Z19" s="403">
        <f t="shared" si="18"/>
        <v>1.3649082310304482E-2</v>
      </c>
      <c r="AB19" s="404">
        <f t="shared" si="7"/>
        <v>997267.26152185781</v>
      </c>
      <c r="AC19" s="405">
        <f t="shared" si="8"/>
        <v>2235145.2334288382</v>
      </c>
      <c r="AD19" s="405">
        <f t="shared" si="19"/>
        <v>2926010.355697534</v>
      </c>
      <c r="AE19" s="405">
        <f t="shared" si="20"/>
        <v>6158422.8506482299</v>
      </c>
      <c r="AF19" s="428">
        <f t="shared" si="21"/>
        <v>7.1818628586260824E-3</v>
      </c>
    </row>
    <row r="20" spans="1:32">
      <c r="A20" s="21" t="s">
        <v>374</v>
      </c>
      <c r="B20" s="304" t="s">
        <v>14</v>
      </c>
      <c r="C20" s="394">
        <v>6492908</v>
      </c>
      <c r="D20" s="394">
        <v>691812</v>
      </c>
      <c r="E20" s="395">
        <f t="shared" si="0"/>
        <v>0.10654886839610234</v>
      </c>
      <c r="F20" s="396">
        <f t="shared" si="9"/>
        <v>73711.785742844353</v>
      </c>
      <c r="G20" s="403">
        <f t="shared" si="1"/>
        <v>4.6288260405957263E-5</v>
      </c>
      <c r="H20" s="397">
        <v>36088</v>
      </c>
      <c r="I20" s="398">
        <f t="shared" si="2"/>
        <v>6.2388040194715413E-3</v>
      </c>
      <c r="J20" s="398">
        <f t="shared" si="10"/>
        <v>5.3029834165508102E-3</v>
      </c>
      <c r="K20" s="394">
        <v>5053.7</v>
      </c>
      <c r="L20" s="431">
        <f t="shared" si="3"/>
        <v>7.87715644892793E-2</v>
      </c>
      <c r="M20" s="399">
        <f t="shared" si="11"/>
        <v>1.1815734673391894E-2</v>
      </c>
      <c r="N20" s="403">
        <f t="shared" si="12"/>
        <v>1.7118718089942704E-2</v>
      </c>
      <c r="O20" s="400">
        <v>25568</v>
      </c>
      <c r="P20" s="400">
        <v>20948</v>
      </c>
      <c r="Q20" s="401">
        <v>2.5216163224999999</v>
      </c>
      <c r="R20" s="402">
        <f t="shared" si="13"/>
        <v>1.9476311475943298E-2</v>
      </c>
      <c r="S20" s="401">
        <f t="shared" si="4"/>
        <v>4.9111784919832688E-2</v>
      </c>
      <c r="T20" s="401">
        <f t="shared" si="14"/>
        <v>2.5472192355379904E-2</v>
      </c>
      <c r="U20" s="400">
        <f t="shared" si="15"/>
        <v>4641492.5473933732</v>
      </c>
      <c r="V20" s="402">
        <f t="shared" si="5"/>
        <v>1.220546114187512</v>
      </c>
      <c r="W20" s="402">
        <f t="shared" si="16"/>
        <v>1.6218923884827686E-2</v>
      </c>
      <c r="X20" s="400">
        <f t="shared" si="17"/>
        <v>521537.69205547299</v>
      </c>
      <c r="Y20" s="394">
        <f t="shared" si="6"/>
        <v>5163030.2394488463</v>
      </c>
      <c r="Z20" s="403">
        <f t="shared" si="18"/>
        <v>2.4084202084797071E-2</v>
      </c>
      <c r="AB20" s="404">
        <f t="shared" si="7"/>
        <v>19846.012532696597</v>
      </c>
      <c r="AC20" s="405">
        <f t="shared" si="8"/>
        <v>3669810.5607893919</v>
      </c>
      <c r="AD20" s="405">
        <f t="shared" si="19"/>
        <v>5163030.2394488472</v>
      </c>
      <c r="AE20" s="405">
        <f t="shared" si="20"/>
        <v>8852686.8127709366</v>
      </c>
      <c r="AF20" s="428">
        <f t="shared" si="21"/>
        <v>1.0323874173887922E-2</v>
      </c>
    </row>
    <row r="21" spans="1:32">
      <c r="A21" s="21" t="s">
        <v>375</v>
      </c>
      <c r="B21" s="304" t="s">
        <v>15</v>
      </c>
      <c r="C21" s="394">
        <v>1493874</v>
      </c>
      <c r="D21" s="394">
        <v>329170</v>
      </c>
      <c r="E21" s="395">
        <f t="shared" si="0"/>
        <v>0.22034656202598077</v>
      </c>
      <c r="F21" s="396">
        <f t="shared" si="9"/>
        <v>72531.477822092085</v>
      </c>
      <c r="G21" s="403">
        <f t="shared" si="1"/>
        <v>4.5547070922560457E-5</v>
      </c>
      <c r="H21" s="397">
        <v>1360</v>
      </c>
      <c r="I21" s="398">
        <f t="shared" si="2"/>
        <v>2.351134301286105E-4</v>
      </c>
      <c r="J21" s="398">
        <f t="shared" si="10"/>
        <v>1.9984641560931893E-4</v>
      </c>
      <c r="K21" s="394">
        <v>720.7</v>
      </c>
      <c r="L21" s="431">
        <f t="shared" si="3"/>
        <v>1.1233485669395412E-2</v>
      </c>
      <c r="M21" s="399">
        <f t="shared" si="11"/>
        <v>1.6850228504093118E-3</v>
      </c>
      <c r="N21" s="403">
        <f t="shared" si="12"/>
        <v>1.8848692660186307E-3</v>
      </c>
      <c r="O21" s="400">
        <v>347</v>
      </c>
      <c r="P21" s="400">
        <v>179</v>
      </c>
      <c r="Q21" s="401">
        <v>1.9685182910000001</v>
      </c>
      <c r="R21" s="402">
        <f t="shared" si="13"/>
        <v>1.6642446792981908E-4</v>
      </c>
      <c r="S21" s="401">
        <f t="shared" si="4"/>
        <v>3.2760960918979179E-4</v>
      </c>
      <c r="T21" s="401">
        <f t="shared" si="14"/>
        <v>1.699171593208232E-4</v>
      </c>
      <c r="U21" s="400">
        <f t="shared" si="15"/>
        <v>30961.968944745382</v>
      </c>
      <c r="V21" s="402">
        <f t="shared" si="5"/>
        <v>1.9385474860335195</v>
      </c>
      <c r="W21" s="402">
        <f t="shared" si="16"/>
        <v>2.5759906780770288E-2</v>
      </c>
      <c r="X21" s="400">
        <f t="shared" si="17"/>
        <v>828338.70023737394</v>
      </c>
      <c r="Y21" s="394">
        <f t="shared" si="6"/>
        <v>859300.66918211931</v>
      </c>
      <c r="Z21" s="403">
        <f t="shared" si="18"/>
        <v>4.0084156025382428E-3</v>
      </c>
      <c r="AB21" s="404">
        <f t="shared" si="7"/>
        <v>19528.228808538694</v>
      </c>
      <c r="AC21" s="405">
        <f t="shared" si="8"/>
        <v>404067.23808404466</v>
      </c>
      <c r="AD21" s="405">
        <f t="shared" si="19"/>
        <v>859300.66918211931</v>
      </c>
      <c r="AE21" s="405">
        <f t="shared" si="20"/>
        <v>1282896.1360747027</v>
      </c>
      <c r="AF21" s="428">
        <f t="shared" si="21"/>
        <v>1.4960947526004983E-3</v>
      </c>
    </row>
    <row r="22" spans="1:32">
      <c r="A22" s="21" t="s">
        <v>376</v>
      </c>
      <c r="B22" s="304" t="s">
        <v>338</v>
      </c>
      <c r="C22" s="394">
        <v>2353237</v>
      </c>
      <c r="D22" s="394">
        <v>632096</v>
      </c>
      <c r="E22" s="395">
        <f t="shared" si="0"/>
        <v>0.26860702938123104</v>
      </c>
      <c r="F22" s="396">
        <f t="shared" si="9"/>
        <v>169785.42884375862</v>
      </c>
      <c r="G22" s="403">
        <f t="shared" si="1"/>
        <v>1.0661893568654935E-4</v>
      </c>
      <c r="H22" s="397">
        <v>3256</v>
      </c>
      <c r="I22" s="398">
        <f t="shared" si="2"/>
        <v>5.6288921213143808E-4</v>
      </c>
      <c r="J22" s="398">
        <f t="shared" si="10"/>
        <v>4.7845583031172234E-4</v>
      </c>
      <c r="K22" s="394">
        <v>614.70000000000005</v>
      </c>
      <c r="L22" s="431">
        <f t="shared" si="3"/>
        <v>9.5812732634624129E-3</v>
      </c>
      <c r="M22" s="399">
        <f t="shared" si="11"/>
        <v>1.4371909895193619E-3</v>
      </c>
      <c r="N22" s="403">
        <f t="shared" si="12"/>
        <v>1.9156468198310843E-3</v>
      </c>
      <c r="O22" s="400">
        <v>355</v>
      </c>
      <c r="P22" s="400">
        <v>468</v>
      </c>
      <c r="Q22" s="401">
        <v>1.9393994637</v>
      </c>
      <c r="R22" s="402">
        <f t="shared" si="13"/>
        <v>4.3512095525785101E-4</v>
      </c>
      <c r="S22" s="401">
        <f t="shared" si="4"/>
        <v>8.43873347271708E-4</v>
      </c>
      <c r="T22" s="401">
        <f t="shared" si="14"/>
        <v>4.3768118508360012E-4</v>
      </c>
      <c r="U22" s="400">
        <f t="shared" si="15"/>
        <v>79753.400506602411</v>
      </c>
      <c r="V22" s="402">
        <f t="shared" si="5"/>
        <v>0.75854700854700852</v>
      </c>
      <c r="W22" s="402">
        <f t="shared" si="16"/>
        <v>1.0079763518707652E-2</v>
      </c>
      <c r="X22" s="400">
        <f t="shared" si="17"/>
        <v>324126.10351599747</v>
      </c>
      <c r="Y22" s="394">
        <f t="shared" si="6"/>
        <v>403879.5040225999</v>
      </c>
      <c r="Z22" s="403">
        <f t="shared" si="18"/>
        <v>1.8839935351272082E-3</v>
      </c>
      <c r="AB22" s="404">
        <f t="shared" si="7"/>
        <v>45712.686441456943</v>
      </c>
      <c r="AC22" s="405">
        <f t="shared" si="8"/>
        <v>410665.14987993805</v>
      </c>
      <c r="AD22" s="405">
        <f t="shared" si="19"/>
        <v>403879.50402259995</v>
      </c>
      <c r="AE22" s="405">
        <f t="shared" si="20"/>
        <v>860257.34034399502</v>
      </c>
      <c r="AF22" s="428">
        <f t="shared" si="21"/>
        <v>1.0032195565828478E-3</v>
      </c>
    </row>
    <row r="23" spans="1:32">
      <c r="A23" s="21" t="s">
        <v>377</v>
      </c>
      <c r="B23" s="304" t="s">
        <v>17</v>
      </c>
      <c r="C23" s="394">
        <v>9897478</v>
      </c>
      <c r="D23" s="394">
        <v>1193413</v>
      </c>
      <c r="E23" s="395">
        <f t="shared" si="0"/>
        <v>0.120577484486452</v>
      </c>
      <c r="F23" s="396">
        <f t="shared" si="9"/>
        <v>143898.73749343015</v>
      </c>
      <c r="G23" s="403">
        <f t="shared" si="1"/>
        <v>9.0363056138970116E-5</v>
      </c>
      <c r="H23" s="397">
        <v>40903</v>
      </c>
      <c r="I23" s="398">
        <f t="shared" si="2"/>
        <v>7.0712092886401146E-3</v>
      </c>
      <c r="J23" s="398">
        <f t="shared" si="10"/>
        <v>6.0105278953440974E-3</v>
      </c>
      <c r="K23" s="394">
        <v>7068.3</v>
      </c>
      <c r="L23" s="431">
        <f t="shared" si="3"/>
        <v>0.11017295234770028</v>
      </c>
      <c r="M23" s="399">
        <f t="shared" si="11"/>
        <v>1.6525942852155039E-2</v>
      </c>
      <c r="N23" s="403">
        <f t="shared" si="12"/>
        <v>2.2536470747499135E-2</v>
      </c>
      <c r="O23" s="400">
        <v>23646</v>
      </c>
      <c r="P23" s="400">
        <v>15246</v>
      </c>
      <c r="Q23" s="401">
        <v>2.0430424666000002</v>
      </c>
      <c r="R23" s="402">
        <f t="shared" si="13"/>
        <v>1.4174901888592301E-2</v>
      </c>
      <c r="S23" s="401">
        <f t="shared" si="4"/>
        <v>2.8959926518282615E-2</v>
      </c>
      <c r="T23" s="401">
        <f t="shared" si="14"/>
        <v>1.5020281182520606E-2</v>
      </c>
      <c r="U23" s="400">
        <f t="shared" si="15"/>
        <v>2736965.9507811354</v>
      </c>
      <c r="V23" s="402">
        <f t="shared" si="5"/>
        <v>1.5509641873278237</v>
      </c>
      <c r="W23" s="402">
        <f t="shared" si="16"/>
        <v>2.060960238205228E-2</v>
      </c>
      <c r="X23" s="400">
        <f t="shared" si="17"/>
        <v>662724.88463748165</v>
      </c>
      <c r="Y23" s="394">
        <f t="shared" si="6"/>
        <v>3399690.8354186169</v>
      </c>
      <c r="Z23" s="403">
        <f t="shared" si="18"/>
        <v>1.5858679362450358E-2</v>
      </c>
      <c r="AB23" s="404">
        <f t="shared" si="7"/>
        <v>38743.005870144232</v>
      </c>
      <c r="AC23" s="405">
        <f t="shared" si="8"/>
        <v>4831236.6567145418</v>
      </c>
      <c r="AD23" s="405">
        <f t="shared" si="19"/>
        <v>3399690.8354186174</v>
      </c>
      <c r="AE23" s="405">
        <f t="shared" si="20"/>
        <v>8269670.4980033031</v>
      </c>
      <c r="AF23" s="428">
        <f t="shared" si="21"/>
        <v>9.6439690555568565E-3</v>
      </c>
    </row>
    <row r="24" spans="1:32">
      <c r="A24" s="21" t="s">
        <v>378</v>
      </c>
      <c r="B24" s="304" t="s">
        <v>339</v>
      </c>
      <c r="C24" s="394">
        <v>377012210</v>
      </c>
      <c r="D24" s="394">
        <v>90011508</v>
      </c>
      <c r="E24" s="395">
        <f t="shared" si="0"/>
        <v>0.23874958320315409</v>
      </c>
      <c r="F24" s="396">
        <f t="shared" si="9"/>
        <v>21490210.018487372</v>
      </c>
      <c r="G24" s="403">
        <f t="shared" si="1"/>
        <v>1.3495052758384991E-2</v>
      </c>
      <c r="H24" s="397">
        <v>397205</v>
      </c>
      <c r="I24" s="398">
        <f t="shared" si="2"/>
        <v>6.8667816186937305E-2</v>
      </c>
      <c r="J24" s="398">
        <f t="shared" si="10"/>
        <v>5.8367643758896706E-2</v>
      </c>
      <c r="K24" s="394">
        <v>1032</v>
      </c>
      <c r="L24" s="431">
        <f t="shared" si="3"/>
        <v>1.6085690593611857E-2</v>
      </c>
      <c r="M24" s="399">
        <f t="shared" si="11"/>
        <v>2.4128535890417784E-3</v>
      </c>
      <c r="N24" s="403">
        <f t="shared" si="12"/>
        <v>6.0780497347938486E-2</v>
      </c>
      <c r="O24" s="400">
        <v>49018</v>
      </c>
      <c r="P24" s="400">
        <v>87249</v>
      </c>
      <c r="Q24" s="401">
        <v>1.8532766358999999</v>
      </c>
      <c r="R24" s="402">
        <f t="shared" si="13"/>
        <v>8.1119376549769751E-2</v>
      </c>
      <c r="S24" s="401">
        <f t="shared" si="4"/>
        <v>0.15033664527846263</v>
      </c>
      <c r="T24" s="401">
        <f t="shared" si="14"/>
        <v>7.7973218705987155E-2</v>
      </c>
      <c r="U24" s="400">
        <f t="shared" si="15"/>
        <v>14208125.805224402</v>
      </c>
      <c r="V24" s="402">
        <f t="shared" si="5"/>
        <v>0.56181732741922541</v>
      </c>
      <c r="W24" s="402">
        <f t="shared" si="16"/>
        <v>7.4655700138420563E-3</v>
      </c>
      <c r="X24" s="400">
        <f t="shared" si="17"/>
        <v>240063.77874058924</v>
      </c>
      <c r="Y24" s="394">
        <f t="shared" si="6"/>
        <v>14448189.58396499</v>
      </c>
      <c r="Z24" s="403">
        <f t="shared" si="18"/>
        <v>6.7397071402165387E-2</v>
      </c>
      <c r="AB24" s="404">
        <f t="shared" si="7"/>
        <v>5785980.804278437</v>
      </c>
      <c r="AC24" s="405">
        <f t="shared" si="8"/>
        <v>13029767.175647371</v>
      </c>
      <c r="AD24" s="405">
        <f t="shared" si="19"/>
        <v>14448189.583964992</v>
      </c>
      <c r="AE24" s="405">
        <f t="shared" si="20"/>
        <v>33263937.5638908</v>
      </c>
      <c r="AF24" s="428">
        <f t="shared" si="21"/>
        <v>3.8791918566718459E-2</v>
      </c>
    </row>
    <row r="25" spans="1:32">
      <c r="A25" s="21" t="s">
        <v>379</v>
      </c>
      <c r="B25" s="304" t="s">
        <v>19</v>
      </c>
      <c r="C25" s="394">
        <v>4942797</v>
      </c>
      <c r="D25" s="394">
        <v>877317</v>
      </c>
      <c r="E25" s="395">
        <f t="shared" si="0"/>
        <v>0.17749403829451219</v>
      </c>
      <c r="F25" s="396">
        <f t="shared" si="9"/>
        <v>155718.53719442655</v>
      </c>
      <c r="G25" s="403">
        <f t="shared" si="1"/>
        <v>9.778545082107276E-5</v>
      </c>
      <c r="H25" s="397">
        <v>5506</v>
      </c>
      <c r="I25" s="398">
        <f t="shared" si="2"/>
        <v>9.5186363697656574E-4</v>
      </c>
      <c r="J25" s="398">
        <f t="shared" si="10"/>
        <v>8.0908409143008091E-4</v>
      </c>
      <c r="K25" s="394">
        <v>1888.6</v>
      </c>
      <c r="L25" s="431">
        <f t="shared" si="3"/>
        <v>2.9437437262689294E-2</v>
      </c>
      <c r="M25" s="399">
        <f t="shared" si="11"/>
        <v>4.4156155894033936E-3</v>
      </c>
      <c r="N25" s="403">
        <f t="shared" si="12"/>
        <v>5.2246996808334749E-3</v>
      </c>
      <c r="O25" s="400">
        <v>2284</v>
      </c>
      <c r="P25" s="400">
        <v>950</v>
      </c>
      <c r="Q25" s="401">
        <v>2.0503201405999998</v>
      </c>
      <c r="R25" s="402">
        <f t="shared" si="13"/>
        <v>8.8325834934820178E-4</v>
      </c>
      <c r="S25" s="401">
        <f t="shared" si="4"/>
        <v>1.8109623830217289E-3</v>
      </c>
      <c r="T25" s="401">
        <f t="shared" si="14"/>
        <v>9.3926910300624043E-4</v>
      </c>
      <c r="U25" s="400">
        <f t="shared" si="15"/>
        <v>171151.75956495726</v>
      </c>
      <c r="V25" s="402">
        <f t="shared" si="5"/>
        <v>2.4042105263157896</v>
      </c>
      <c r="W25" s="402">
        <f t="shared" si="16"/>
        <v>3.1947754432346431E-2</v>
      </c>
      <c r="X25" s="400">
        <f t="shared" si="17"/>
        <v>1027315.8830585378</v>
      </c>
      <c r="Y25" s="394">
        <f t="shared" si="6"/>
        <v>1198467.6426234951</v>
      </c>
      <c r="Z25" s="403">
        <f t="shared" si="18"/>
        <v>5.5905419024072697E-3</v>
      </c>
      <c r="AB25" s="404">
        <f t="shared" si="7"/>
        <v>41925.344903664525</v>
      </c>
      <c r="AC25" s="405">
        <f t="shared" si="8"/>
        <v>1120040.5290242049</v>
      </c>
      <c r="AD25" s="405">
        <f t="shared" si="19"/>
        <v>1198467.6426234953</v>
      </c>
      <c r="AE25" s="405">
        <f t="shared" si="20"/>
        <v>2360433.5165513647</v>
      </c>
      <c r="AF25" s="428">
        <f t="shared" si="21"/>
        <v>2.7527031212207223E-3</v>
      </c>
    </row>
    <row r="26" spans="1:32">
      <c r="A26" s="21" t="s">
        <v>380</v>
      </c>
      <c r="B26" s="304" t="s">
        <v>20</v>
      </c>
      <c r="C26" s="394">
        <v>437682929</v>
      </c>
      <c r="D26" s="394">
        <v>130662277.23999999</v>
      </c>
      <c r="E26" s="395">
        <f t="shared" si="0"/>
        <v>0.29853181054726491</v>
      </c>
      <c r="F26" s="396">
        <f t="shared" si="9"/>
        <v>39006846.194685884</v>
      </c>
      <c r="G26" s="403">
        <f t="shared" si="1"/>
        <v>2.4494848904810584E-2</v>
      </c>
      <c r="H26" s="397">
        <v>481213</v>
      </c>
      <c r="I26" s="398">
        <f t="shared" si="2"/>
        <v>8.3190911067999293E-2</v>
      </c>
      <c r="J26" s="398">
        <f t="shared" si="10"/>
        <v>7.0712274407799397E-2</v>
      </c>
      <c r="K26" s="394">
        <v>149.4</v>
      </c>
      <c r="L26" s="431">
        <f t="shared" si="3"/>
        <v>2.3286842777961352E-3</v>
      </c>
      <c r="M26" s="399">
        <f t="shared" si="11"/>
        <v>3.4930264166942025E-4</v>
      </c>
      <c r="N26" s="403">
        <f t="shared" si="12"/>
        <v>7.1061577049468819E-2</v>
      </c>
      <c r="O26" s="400">
        <v>95635</v>
      </c>
      <c r="P26" s="400">
        <v>113990</v>
      </c>
      <c r="Q26" s="401">
        <v>1.9916235985999999</v>
      </c>
      <c r="R26" s="402">
        <f t="shared" si="13"/>
        <v>0.10598170446547529</v>
      </c>
      <c r="S26" s="401">
        <f t="shared" si="4"/>
        <v>0.21107566363329158</v>
      </c>
      <c r="T26" s="401">
        <f t="shared" si="14"/>
        <v>0.10947596212157762</v>
      </c>
      <c r="U26" s="400">
        <f t="shared" si="15"/>
        <v>19948493.447942294</v>
      </c>
      <c r="V26" s="402">
        <f t="shared" si="5"/>
        <v>0.83897710325467145</v>
      </c>
      <c r="W26" s="402">
        <f t="shared" si="16"/>
        <v>1.1148538855378512E-2</v>
      </c>
      <c r="X26" s="400">
        <f t="shared" si="17"/>
        <v>358493.77342870779</v>
      </c>
      <c r="Y26" s="394">
        <f t="shared" si="6"/>
        <v>20306987.221371002</v>
      </c>
      <c r="Z26" s="403">
        <f t="shared" si="18"/>
        <v>9.4726848631647764E-2</v>
      </c>
      <c r="AB26" s="404">
        <f t="shared" si="7"/>
        <v>10502124.601096835</v>
      </c>
      <c r="AC26" s="405">
        <f t="shared" si="8"/>
        <v>15233764.850400817</v>
      </c>
      <c r="AD26" s="405">
        <f t="shared" si="19"/>
        <v>20306987.221371002</v>
      </c>
      <c r="AE26" s="405">
        <f t="shared" si="20"/>
        <v>46042876.672868654</v>
      </c>
      <c r="AF26" s="428">
        <f t="shared" si="21"/>
        <v>5.3694530872684429E-2</v>
      </c>
    </row>
    <row r="27" spans="1:32">
      <c r="A27" s="21" t="s">
        <v>381</v>
      </c>
      <c r="B27" s="304" t="s">
        <v>340</v>
      </c>
      <c r="C27" s="394">
        <v>11203821</v>
      </c>
      <c r="D27" s="394">
        <v>3648762.03</v>
      </c>
      <c r="E27" s="395">
        <f t="shared" si="0"/>
        <v>0.32567121788182796</v>
      </c>
      <c r="F27" s="396">
        <f t="shared" si="9"/>
        <v>1188296.7740710708</v>
      </c>
      <c r="G27" s="403">
        <f t="shared" si="1"/>
        <v>7.4620618620815709E-4</v>
      </c>
      <c r="H27" s="397">
        <v>14109</v>
      </c>
      <c r="I27" s="398">
        <f t="shared" si="2"/>
        <v>2.4391289600621804E-3</v>
      </c>
      <c r="J27" s="398">
        <f t="shared" si="10"/>
        <v>2.0732596160528533E-3</v>
      </c>
      <c r="K27" s="394">
        <v>2478.8000000000002</v>
      </c>
      <c r="L27" s="431">
        <f t="shared" si="3"/>
        <v>3.8636831243648327E-2</v>
      </c>
      <c r="M27" s="399">
        <f t="shared" si="11"/>
        <v>5.7955246865472486E-3</v>
      </c>
      <c r="N27" s="403">
        <f t="shared" si="12"/>
        <v>7.8687843026001014E-3</v>
      </c>
      <c r="O27" s="400">
        <v>5621</v>
      </c>
      <c r="P27" s="400">
        <v>1660</v>
      </c>
      <c r="Q27" s="401">
        <v>2.1173054283999999</v>
      </c>
      <c r="R27" s="402">
        <f t="shared" si="13"/>
        <v>1.543377747282121E-3</v>
      </c>
      <c r="S27" s="401">
        <f t="shared" si="4"/>
        <v>3.2678020823921979E-3</v>
      </c>
      <c r="T27" s="401">
        <f t="shared" si="14"/>
        <v>1.6948698435187855E-3</v>
      </c>
      <c r="U27" s="400">
        <f t="shared" si="15"/>
        <v>308835.83312108228</v>
      </c>
      <c r="V27" s="402">
        <f t="shared" si="5"/>
        <v>3.3861445783132531</v>
      </c>
      <c r="W27" s="402">
        <f t="shared" si="16"/>
        <v>4.499594119411314E-2</v>
      </c>
      <c r="X27" s="400">
        <f t="shared" si="17"/>
        <v>1446894.9659597513</v>
      </c>
      <c r="Y27" s="394">
        <f t="shared" si="6"/>
        <v>1755730.7990808336</v>
      </c>
      <c r="Z27" s="403">
        <f t="shared" si="18"/>
        <v>8.1900305461079393E-3</v>
      </c>
      <c r="AB27" s="404">
        <f t="shared" si="7"/>
        <v>319934.62691367167</v>
      </c>
      <c r="AC27" s="405">
        <f t="shared" si="8"/>
        <v>1686863.9101674869</v>
      </c>
      <c r="AD27" s="405">
        <f t="shared" si="19"/>
        <v>1755730.7990808338</v>
      </c>
      <c r="AE27" s="405">
        <f t="shared" si="20"/>
        <v>3762529.3361619925</v>
      </c>
      <c r="AF27" s="428">
        <f t="shared" si="21"/>
        <v>4.3878068052810885E-3</v>
      </c>
    </row>
    <row r="28" spans="1:32">
      <c r="A28" s="21" t="s">
        <v>382</v>
      </c>
      <c r="B28" s="304" t="s">
        <v>22</v>
      </c>
      <c r="C28" s="394">
        <v>822645</v>
      </c>
      <c r="D28" s="394">
        <v>218938</v>
      </c>
      <c r="E28" s="395">
        <f t="shared" si="0"/>
        <v>0.26613910009785507</v>
      </c>
      <c r="F28" s="396">
        <f t="shared" si="9"/>
        <v>58267.962297224192</v>
      </c>
      <c r="G28" s="403">
        <f t="shared" si="1"/>
        <v>3.6590113574887031E-5</v>
      </c>
      <c r="H28" s="397">
        <v>1808</v>
      </c>
      <c r="I28" s="398">
        <f t="shared" si="2"/>
        <v>3.1256256005332924E-4</v>
      </c>
      <c r="J28" s="398">
        <f t="shared" si="10"/>
        <v>2.6567817604532983E-4</v>
      </c>
      <c r="K28" s="394">
        <v>387.9</v>
      </c>
      <c r="L28" s="431">
        <f t="shared" si="3"/>
        <v>6.0461621911453867E-3</v>
      </c>
      <c r="M28" s="399">
        <f t="shared" si="11"/>
        <v>9.0692432867180801E-4</v>
      </c>
      <c r="N28" s="403">
        <f t="shared" si="12"/>
        <v>1.1726025047171379E-3</v>
      </c>
      <c r="O28" s="400">
        <v>196</v>
      </c>
      <c r="P28" s="400">
        <v>185</v>
      </c>
      <c r="Q28" s="401">
        <v>1.7757863003000001</v>
      </c>
      <c r="R28" s="402">
        <f t="shared" si="13"/>
        <v>1.7200294171517615E-4</v>
      </c>
      <c r="S28" s="401">
        <f t="shared" si="4"/>
        <v>3.054404675091092E-4</v>
      </c>
      <c r="T28" s="401">
        <f t="shared" si="14"/>
        <v>1.5841896917835949E-4</v>
      </c>
      <c r="U28" s="400">
        <f t="shared" si="15"/>
        <v>28866.791462172496</v>
      </c>
      <c r="V28" s="402">
        <f t="shared" si="5"/>
        <v>1.0594594594594595</v>
      </c>
      <c r="W28" s="402">
        <f t="shared" si="16"/>
        <v>1.4078363883426199E-2</v>
      </c>
      <c r="X28" s="400">
        <f t="shared" si="17"/>
        <v>452705.58391039848</v>
      </c>
      <c r="Y28" s="394">
        <f t="shared" si="6"/>
        <v>481572.375372571</v>
      </c>
      <c r="Z28" s="403">
        <f t="shared" si="18"/>
        <v>2.2464107063155359E-3</v>
      </c>
      <c r="AB28" s="404">
        <f t="shared" si="7"/>
        <v>15687.948655044784</v>
      </c>
      <c r="AC28" s="405">
        <f t="shared" si="8"/>
        <v>251375.65983677277</v>
      </c>
      <c r="AD28" s="405">
        <f t="shared" si="19"/>
        <v>481572.37537257111</v>
      </c>
      <c r="AE28" s="405">
        <f t="shared" si="20"/>
        <v>748635.98386438866</v>
      </c>
      <c r="AF28" s="428">
        <f t="shared" si="21"/>
        <v>8.7304835954561189E-4</v>
      </c>
    </row>
    <row r="29" spans="1:32">
      <c r="A29" s="21" t="s">
        <v>383</v>
      </c>
      <c r="B29" s="304" t="s">
        <v>23</v>
      </c>
      <c r="C29" s="394">
        <v>1482915</v>
      </c>
      <c r="D29" s="394">
        <v>140414</v>
      </c>
      <c r="E29" s="395">
        <f t="shared" si="0"/>
        <v>9.4687827690730753E-2</v>
      </c>
      <c r="F29" s="396">
        <f t="shared" si="9"/>
        <v>13295.496637366268</v>
      </c>
      <c r="G29" s="403">
        <f t="shared" si="1"/>
        <v>8.3490774829950728E-6</v>
      </c>
      <c r="H29" s="397">
        <v>6282</v>
      </c>
      <c r="I29" s="398">
        <f t="shared" si="2"/>
        <v>1.0860165941675964E-3</v>
      </c>
      <c r="J29" s="398">
        <f t="shared" si="10"/>
        <v>9.2311410504245688E-4</v>
      </c>
      <c r="K29" s="394">
        <v>1306.7</v>
      </c>
      <c r="L29" s="431">
        <f t="shared" si="3"/>
        <v>2.0367414630496718E-2</v>
      </c>
      <c r="M29" s="399">
        <f t="shared" si="11"/>
        <v>3.0551121945745076E-3</v>
      </c>
      <c r="N29" s="403">
        <f t="shared" si="12"/>
        <v>3.9782262996169646E-3</v>
      </c>
      <c r="O29" s="400">
        <v>3611</v>
      </c>
      <c r="P29" s="400">
        <v>3897</v>
      </c>
      <c r="Q29" s="401">
        <v>2.6101222018999999</v>
      </c>
      <c r="R29" s="402">
        <f t="shared" si="13"/>
        <v>3.6232187235894133E-3</v>
      </c>
      <c r="S29" s="401">
        <f t="shared" si="4"/>
        <v>9.4570436327805069E-3</v>
      </c>
      <c r="T29" s="401">
        <f t="shared" si="14"/>
        <v>4.9049659856717437E-3</v>
      </c>
      <c r="U29" s="400">
        <f t="shared" si="15"/>
        <v>893773.2076644348</v>
      </c>
      <c r="V29" s="402">
        <f t="shared" si="5"/>
        <v>0.92661021298434698</v>
      </c>
      <c r="W29" s="402">
        <f t="shared" si="16"/>
        <v>1.2313029668118099E-2</v>
      </c>
      <c r="X29" s="400">
        <f t="shared" si="17"/>
        <v>395939.28184891446</v>
      </c>
      <c r="Y29" s="394">
        <f t="shared" si="6"/>
        <v>1289712.4895133493</v>
      </c>
      <c r="Z29" s="403">
        <f t="shared" si="18"/>
        <v>6.0161755380386973E-3</v>
      </c>
      <c r="AB29" s="404">
        <f t="shared" si="7"/>
        <v>3579.6527005074108</v>
      </c>
      <c r="AC29" s="405">
        <f t="shared" si="8"/>
        <v>852828.86316829955</v>
      </c>
      <c r="AD29" s="405">
        <f t="shared" si="19"/>
        <v>1289712.4895133495</v>
      </c>
      <c r="AE29" s="405">
        <f t="shared" si="20"/>
        <v>2146121.0053821565</v>
      </c>
      <c r="AF29" s="428">
        <f t="shared" si="21"/>
        <v>2.5027749981554126E-3</v>
      </c>
    </row>
    <row r="30" spans="1:32">
      <c r="A30" s="21" t="s">
        <v>384</v>
      </c>
      <c r="B30" s="304" t="s">
        <v>24</v>
      </c>
      <c r="C30" s="394">
        <v>59610291</v>
      </c>
      <c r="D30" s="394">
        <v>9156806</v>
      </c>
      <c r="E30" s="395">
        <f t="shared" si="0"/>
        <v>0.15361116086482449</v>
      </c>
      <c r="F30" s="396">
        <f t="shared" si="9"/>
        <v>1406587.59947399</v>
      </c>
      <c r="G30" s="403">
        <f t="shared" si="1"/>
        <v>8.8328470721607565E-4</v>
      </c>
      <c r="H30" s="397">
        <v>102149</v>
      </c>
      <c r="I30" s="398">
        <f t="shared" si="2"/>
        <v>1.7659266010446643E-2</v>
      </c>
      <c r="J30" s="398">
        <f t="shared" si="10"/>
        <v>1.5010376108879647E-2</v>
      </c>
      <c r="K30" s="394">
        <v>184.5</v>
      </c>
      <c r="L30" s="431">
        <f t="shared" si="3"/>
        <v>2.8757848008928175E-3</v>
      </c>
      <c r="M30" s="399">
        <f t="shared" si="11"/>
        <v>4.3136772013392259E-4</v>
      </c>
      <c r="N30" s="403">
        <f t="shared" si="12"/>
        <v>1.544174382901357E-2</v>
      </c>
      <c r="O30" s="400">
        <v>12989</v>
      </c>
      <c r="P30" s="400">
        <v>23008</v>
      </c>
      <c r="Q30" s="401">
        <v>1.8972127424</v>
      </c>
      <c r="R30" s="402">
        <f t="shared" si="13"/>
        <v>2.1391587475582556E-2</v>
      </c>
      <c r="S30" s="401">
        <f t="shared" si="4"/>
        <v>4.0584392338839474E-2</v>
      </c>
      <c r="T30" s="401">
        <f t="shared" si="14"/>
        <v>2.1049396798927165E-2</v>
      </c>
      <c r="U30" s="400">
        <f t="shared" si="15"/>
        <v>3835579.4823727184</v>
      </c>
      <c r="V30" s="402">
        <f t="shared" si="5"/>
        <v>0.56454276773296241</v>
      </c>
      <c r="W30" s="402">
        <f t="shared" si="16"/>
        <v>7.5017863505189922E-3</v>
      </c>
      <c r="X30" s="400">
        <f t="shared" si="17"/>
        <v>241228.35567425759</v>
      </c>
      <c r="Y30" s="394">
        <f t="shared" si="6"/>
        <v>4076807.8380469759</v>
      </c>
      <c r="Z30" s="403">
        <f t="shared" si="18"/>
        <v>1.901725523166594E-2</v>
      </c>
      <c r="AB30" s="404">
        <f t="shared" si="7"/>
        <v>378706.80849983782</v>
      </c>
      <c r="AC30" s="405">
        <f t="shared" si="8"/>
        <v>3310310.6367532974</v>
      </c>
      <c r="AD30" s="405">
        <f t="shared" si="19"/>
        <v>4076807.8380469768</v>
      </c>
      <c r="AE30" s="405">
        <f t="shared" si="20"/>
        <v>7765825.283300112</v>
      </c>
      <c r="AF30" s="428">
        <f t="shared" si="21"/>
        <v>9.0563921187779145E-3</v>
      </c>
    </row>
    <row r="31" spans="1:32">
      <c r="A31" s="21" t="s">
        <v>385</v>
      </c>
      <c r="B31" s="304" t="s">
        <v>25</v>
      </c>
      <c r="C31" s="394">
        <v>542535324</v>
      </c>
      <c r="D31" s="394">
        <v>215375991.11000001</v>
      </c>
      <c r="E31" s="395">
        <f t="shared" si="0"/>
        <v>0.39698058648435586</v>
      </c>
      <c r="F31" s="396">
        <f t="shared" si="9"/>
        <v>85500087.265497223</v>
      </c>
      <c r="G31" s="403">
        <f t="shared" si="1"/>
        <v>5.3690875403348902E-2</v>
      </c>
      <c r="H31" s="397">
        <v>643143</v>
      </c>
      <c r="I31" s="398">
        <f t="shared" si="2"/>
        <v>0.11118496823029775</v>
      </c>
      <c r="J31" s="398">
        <f t="shared" si="10"/>
        <v>9.4507222995753079E-2</v>
      </c>
      <c r="K31" s="394">
        <v>118.4</v>
      </c>
      <c r="L31" s="431">
        <f t="shared" si="3"/>
        <v>1.8454900836081822E-3</v>
      </c>
      <c r="M31" s="399">
        <f t="shared" si="11"/>
        <v>2.7682351254122733E-4</v>
      </c>
      <c r="N31" s="403">
        <f t="shared" si="12"/>
        <v>9.4784046508294306E-2</v>
      </c>
      <c r="O31" s="400">
        <v>113831</v>
      </c>
      <c r="P31" s="400">
        <v>95688</v>
      </c>
      <c r="Q31" s="401">
        <v>1.8797706219999999</v>
      </c>
      <c r="R31" s="402">
        <f t="shared" si="13"/>
        <v>8.8965499928874453E-2</v>
      </c>
      <c r="S31" s="401">
        <f t="shared" si="4"/>
        <v>0.16723473313784129</v>
      </c>
      <c r="T31" s="401">
        <f t="shared" si="14"/>
        <v>8.6737537597976422E-2</v>
      </c>
      <c r="U31" s="400">
        <f t="shared" si="15"/>
        <v>15805142.671797937</v>
      </c>
      <c r="V31" s="402">
        <f t="shared" si="5"/>
        <v>1.1896058021904523</v>
      </c>
      <c r="W31" s="402">
        <f t="shared" si="16"/>
        <v>1.5807781233665195E-2</v>
      </c>
      <c r="X31" s="400">
        <f t="shared" si="17"/>
        <v>508316.93888371397</v>
      </c>
      <c r="Y31" s="394">
        <f t="shared" si="6"/>
        <v>16313459.610681651</v>
      </c>
      <c r="Z31" s="403">
        <f t="shared" si="18"/>
        <v>7.6098074143329753E-2</v>
      </c>
      <c r="AB31" s="404">
        <f t="shared" si="7"/>
        <v>23019871.060204681</v>
      </c>
      <c r="AC31" s="405">
        <f t="shared" si="8"/>
        <v>20319248.967295516</v>
      </c>
      <c r="AD31" s="405">
        <f t="shared" si="19"/>
        <v>16313459.610681655</v>
      </c>
      <c r="AE31" s="405">
        <f t="shared" si="20"/>
        <v>59652579.63818185</v>
      </c>
      <c r="AF31" s="428">
        <f t="shared" si="21"/>
        <v>6.9565967864580455E-2</v>
      </c>
    </row>
    <row r="32" spans="1:32">
      <c r="A32" s="21" t="s">
        <v>386</v>
      </c>
      <c r="B32" s="304" t="s">
        <v>217</v>
      </c>
      <c r="C32" s="394">
        <v>1019354</v>
      </c>
      <c r="D32" s="394">
        <v>288216.5</v>
      </c>
      <c r="E32" s="395">
        <f t="shared" si="0"/>
        <v>0.282744267447815</v>
      </c>
      <c r="F32" s="396">
        <f t="shared" si="9"/>
        <v>81491.563158873178</v>
      </c>
      <c r="G32" s="403">
        <f t="shared" si="1"/>
        <v>5.1173671325044735E-5</v>
      </c>
      <c r="H32" s="397">
        <v>1959</v>
      </c>
      <c r="I32" s="398">
        <f t="shared" si="2"/>
        <v>3.3866706589849116E-4</v>
      </c>
      <c r="J32" s="398">
        <f t="shared" si="10"/>
        <v>2.8786700601371749E-4</v>
      </c>
      <c r="K32" s="394">
        <v>496.6</v>
      </c>
      <c r="L32" s="431">
        <f t="shared" si="3"/>
        <v>7.7404592527012097E-3</v>
      </c>
      <c r="M32" s="399">
        <f t="shared" si="11"/>
        <v>1.1610688879051814E-3</v>
      </c>
      <c r="N32" s="403">
        <f t="shared" si="12"/>
        <v>1.4489358939188989E-3</v>
      </c>
      <c r="O32" s="400">
        <v>188</v>
      </c>
      <c r="P32" s="400">
        <v>192</v>
      </c>
      <c r="Q32" s="401">
        <v>1.9505591721</v>
      </c>
      <c r="R32" s="402">
        <f t="shared" si="13"/>
        <v>1.7851116113142606E-4</v>
      </c>
      <c r="S32" s="401">
        <f t="shared" si="4"/>
        <v>3.4819658266712413E-4</v>
      </c>
      <c r="T32" s="401">
        <f t="shared" si="14"/>
        <v>1.8059474616246836E-4</v>
      </c>
      <c r="U32" s="400">
        <f t="shared" si="15"/>
        <v>32907.617715695174</v>
      </c>
      <c r="V32" s="402">
        <f t="shared" si="5"/>
        <v>0.97916666666666663</v>
      </c>
      <c r="W32" s="402">
        <f t="shared" si="16"/>
        <v>1.3011413049148681E-2</v>
      </c>
      <c r="X32" s="400">
        <f t="shared" si="17"/>
        <v>418396.5829188897</v>
      </c>
      <c r="Y32" s="394">
        <f t="shared" si="6"/>
        <v>451304.20063458488</v>
      </c>
      <c r="Z32" s="403">
        <f t="shared" si="18"/>
        <v>2.1052174916104003E-3</v>
      </c>
      <c r="AB32" s="404">
        <f t="shared" si="7"/>
        <v>21940.624114062153</v>
      </c>
      <c r="AC32" s="405">
        <f t="shared" si="8"/>
        <v>310614.39399100415</v>
      </c>
      <c r="AD32" s="405">
        <f t="shared" si="19"/>
        <v>451304.20063458494</v>
      </c>
      <c r="AE32" s="405">
        <f t="shared" si="20"/>
        <v>783859.21873965126</v>
      </c>
      <c r="AF32" s="428">
        <f t="shared" si="21"/>
        <v>9.1412518204484709E-4</v>
      </c>
    </row>
    <row r="33" spans="1:32">
      <c r="A33" s="21" t="s">
        <v>387</v>
      </c>
      <c r="B33" s="304" t="s">
        <v>27</v>
      </c>
      <c r="C33" s="394">
        <v>2430155</v>
      </c>
      <c r="D33" s="394">
        <v>518824</v>
      </c>
      <c r="E33" s="395">
        <f t="shared" si="0"/>
        <v>0.21349420098717983</v>
      </c>
      <c r="F33" s="396">
        <f t="shared" si="9"/>
        <v>110765.9153329726</v>
      </c>
      <c r="G33" s="403">
        <f t="shared" si="1"/>
        <v>6.95568758966686E-5</v>
      </c>
      <c r="H33" s="397">
        <v>16086</v>
      </c>
      <c r="I33" s="398">
        <f t="shared" si="2"/>
        <v>2.7809078213594327E-3</v>
      </c>
      <c r="J33" s="398">
        <f t="shared" si="10"/>
        <v>2.3637716481555177E-3</v>
      </c>
      <c r="K33" s="394">
        <v>170.6</v>
      </c>
      <c r="L33" s="431">
        <f t="shared" si="3"/>
        <v>2.6591267589827351E-3</v>
      </c>
      <c r="M33" s="399">
        <f t="shared" si="11"/>
        <v>3.9886901384741024E-4</v>
      </c>
      <c r="N33" s="403">
        <f t="shared" si="12"/>
        <v>2.762640662002928E-3</v>
      </c>
      <c r="O33" s="400">
        <v>3006</v>
      </c>
      <c r="P33" s="400">
        <v>3272</v>
      </c>
      <c r="Q33" s="401">
        <v>1.6415123341</v>
      </c>
      <c r="R33" s="402">
        <f t="shared" si="13"/>
        <v>3.0421277042813858E-3</v>
      </c>
      <c r="S33" s="401">
        <f t="shared" si="4"/>
        <v>4.9936901484852123E-3</v>
      </c>
      <c r="T33" s="401">
        <f t="shared" si="14"/>
        <v>2.5900145195906737E-3</v>
      </c>
      <c r="U33" s="400">
        <f t="shared" si="15"/>
        <v>471947.32681820809</v>
      </c>
      <c r="V33" s="402">
        <f t="shared" si="5"/>
        <v>0.91870415647921755</v>
      </c>
      <c r="W33" s="402">
        <f t="shared" si="16"/>
        <v>1.2207971999919139E-2</v>
      </c>
      <c r="X33" s="400">
        <f t="shared" si="17"/>
        <v>392561.03467331291</v>
      </c>
      <c r="Y33" s="394">
        <f t="shared" si="6"/>
        <v>864508.36149152101</v>
      </c>
      <c r="Z33" s="403">
        <f t="shared" si="18"/>
        <v>4.032708141639944E-3</v>
      </c>
      <c r="AB33" s="404">
        <f t="shared" si="7"/>
        <v>29822.391653388797</v>
      </c>
      <c r="AC33" s="405">
        <f t="shared" si="8"/>
        <v>592238.73095035448</v>
      </c>
      <c r="AD33" s="405">
        <f t="shared" si="19"/>
        <v>864508.36149152112</v>
      </c>
      <c r="AE33" s="405">
        <f t="shared" si="20"/>
        <v>1486569.4840952645</v>
      </c>
      <c r="AF33" s="428">
        <f t="shared" si="21"/>
        <v>1.733615638859052E-3</v>
      </c>
    </row>
    <row r="34" spans="1:32">
      <c r="A34" s="21" t="s">
        <v>388</v>
      </c>
      <c r="B34" s="304" t="s">
        <v>28</v>
      </c>
      <c r="C34" s="394">
        <v>721085</v>
      </c>
      <c r="D34" s="394">
        <v>336929</v>
      </c>
      <c r="E34" s="395">
        <f t="shared" si="0"/>
        <v>0.46725282040258775</v>
      </c>
      <c r="F34" s="396">
        <f t="shared" si="9"/>
        <v>157431.02552542349</v>
      </c>
      <c r="G34" s="403">
        <f t="shared" si="1"/>
        <v>9.886082981248519E-5</v>
      </c>
      <c r="H34" s="397">
        <v>1386</v>
      </c>
      <c r="I34" s="398">
        <f t="shared" si="2"/>
        <v>2.3960824570459864E-4</v>
      </c>
      <c r="J34" s="398">
        <f t="shared" si="10"/>
        <v>2.0366700884890884E-4</v>
      </c>
      <c r="K34" s="394">
        <v>443.2</v>
      </c>
      <c r="L34" s="431">
        <f t="shared" si="3"/>
        <v>6.9081182859387349E-3</v>
      </c>
      <c r="M34" s="399">
        <f t="shared" si="11"/>
        <v>1.0362177428908102E-3</v>
      </c>
      <c r="N34" s="403">
        <f t="shared" si="12"/>
        <v>1.239884751739719E-3</v>
      </c>
      <c r="O34" s="400">
        <v>237</v>
      </c>
      <c r="P34" s="400">
        <v>131</v>
      </c>
      <c r="Q34" s="401">
        <v>2.2584083591000002</v>
      </c>
      <c r="R34" s="402">
        <f t="shared" si="13"/>
        <v>1.2179667764696256E-4</v>
      </c>
      <c r="S34" s="401">
        <f t="shared" si="4"/>
        <v>2.7506663490850839E-4</v>
      </c>
      <c r="T34" s="401">
        <f t="shared" si="14"/>
        <v>1.426653550949875E-4</v>
      </c>
      <c r="U34" s="400">
        <f t="shared" si="15"/>
        <v>25996.199039567815</v>
      </c>
      <c r="V34" s="402">
        <f t="shared" si="5"/>
        <v>1.8091603053435115</v>
      </c>
      <c r="W34" s="402">
        <f t="shared" si="16"/>
        <v>2.4040577366755789E-2</v>
      </c>
      <c r="X34" s="400">
        <f t="shared" si="17"/>
        <v>773051.73417009739</v>
      </c>
      <c r="Y34" s="394">
        <f t="shared" si="6"/>
        <v>799047.93320966524</v>
      </c>
      <c r="Z34" s="403">
        <f t="shared" si="18"/>
        <v>3.7273521568441086E-3</v>
      </c>
      <c r="AB34" s="404">
        <f t="shared" si="7"/>
        <v>42386.411808184079</v>
      </c>
      <c r="AC34" s="405">
        <f t="shared" si="8"/>
        <v>265799.23404249386</v>
      </c>
      <c r="AD34" s="405">
        <f t="shared" si="19"/>
        <v>799047.93320966535</v>
      </c>
      <c r="AE34" s="405">
        <f t="shared" si="20"/>
        <v>1107233.5790603433</v>
      </c>
      <c r="AF34" s="428">
        <f t="shared" si="21"/>
        <v>1.2912396420521994E-3</v>
      </c>
    </row>
    <row r="35" spans="1:32">
      <c r="A35" s="21" t="s">
        <v>389</v>
      </c>
      <c r="B35" s="304" t="s">
        <v>29</v>
      </c>
      <c r="C35" s="394">
        <v>1890448</v>
      </c>
      <c r="D35" s="394">
        <v>629171</v>
      </c>
      <c r="E35" s="395">
        <f t="shared" si="0"/>
        <v>0.33281581931901855</v>
      </c>
      <c r="F35" s="396">
        <f t="shared" si="9"/>
        <v>209398.06185676623</v>
      </c>
      <c r="G35" s="403">
        <f t="shared" si="1"/>
        <v>1.3149419618652597E-4</v>
      </c>
      <c r="H35" s="397">
        <v>7026</v>
      </c>
      <c r="I35" s="398">
        <f t="shared" si="2"/>
        <v>1.2146374706497186E-3</v>
      </c>
      <c r="J35" s="398">
        <f t="shared" si="10"/>
        <v>1.0324418500522608E-3</v>
      </c>
      <c r="K35" s="394">
        <v>127.8</v>
      </c>
      <c r="L35" s="431">
        <f t="shared" si="3"/>
        <v>1.9920070328135614E-3</v>
      </c>
      <c r="M35" s="399">
        <f t="shared" si="11"/>
        <v>2.9880105492203422E-4</v>
      </c>
      <c r="N35" s="403">
        <f t="shared" si="12"/>
        <v>1.331242904974295E-3</v>
      </c>
      <c r="O35" s="400">
        <v>2843</v>
      </c>
      <c r="P35" s="400">
        <v>1571</v>
      </c>
      <c r="Q35" s="401">
        <v>1.4705313694</v>
      </c>
      <c r="R35" s="402">
        <f t="shared" si="13"/>
        <v>1.4606303861326581E-3</v>
      </c>
      <c r="S35" s="401">
        <f t="shared" si="4"/>
        <v>2.1479028019069082E-3</v>
      </c>
      <c r="T35" s="401">
        <f t="shared" si="14"/>
        <v>1.1140257561426585E-3</v>
      </c>
      <c r="U35" s="400">
        <f t="shared" si="15"/>
        <v>202995.57150793582</v>
      </c>
      <c r="V35" s="402">
        <f t="shared" si="5"/>
        <v>1.8096753660089115</v>
      </c>
      <c r="W35" s="402">
        <f t="shared" si="16"/>
        <v>2.4047421622479592E-2</v>
      </c>
      <c r="X35" s="400">
        <f t="shared" si="17"/>
        <v>773271.81889084564</v>
      </c>
      <c r="Y35" s="394">
        <f t="shared" si="6"/>
        <v>976267.39039878151</v>
      </c>
      <c r="Z35" s="403">
        <f t="shared" si="18"/>
        <v>4.5540351360931998E-3</v>
      </c>
      <c r="AB35" s="404">
        <f t="shared" si="7"/>
        <v>56377.911863777917</v>
      </c>
      <c r="AC35" s="405">
        <f t="shared" si="8"/>
        <v>285384.06006702152</v>
      </c>
      <c r="AD35" s="405">
        <f t="shared" si="19"/>
        <v>976267.39039878175</v>
      </c>
      <c r="AE35" s="405">
        <f t="shared" si="20"/>
        <v>1318029.3623295813</v>
      </c>
      <c r="AF35" s="428">
        <f t="shared" si="21"/>
        <v>1.5370666083601365E-3</v>
      </c>
    </row>
    <row r="36" spans="1:32">
      <c r="A36" s="21" t="s">
        <v>390</v>
      </c>
      <c r="B36" s="304" t="s">
        <v>30</v>
      </c>
      <c r="C36" s="394">
        <v>574456</v>
      </c>
      <c r="D36" s="394">
        <v>112915</v>
      </c>
      <c r="E36" s="395">
        <f t="shared" si="0"/>
        <v>0.19655987577812747</v>
      </c>
      <c r="F36" s="396">
        <f t="shared" si="9"/>
        <v>22194.558373487263</v>
      </c>
      <c r="G36" s="403">
        <f t="shared" si="1"/>
        <v>1.3937357333483521E-5</v>
      </c>
      <c r="H36" s="397">
        <v>3298</v>
      </c>
      <c r="I36" s="398">
        <f t="shared" si="2"/>
        <v>5.7015006806188052E-4</v>
      </c>
      <c r="J36" s="398">
        <f t="shared" si="10"/>
        <v>4.8462755785259843E-4</v>
      </c>
      <c r="K36" s="394">
        <v>560.5</v>
      </c>
      <c r="L36" s="431">
        <f t="shared" si="3"/>
        <v>8.7364627691079895E-3</v>
      </c>
      <c r="M36" s="399">
        <f t="shared" si="11"/>
        <v>1.3104694153661983E-3</v>
      </c>
      <c r="N36" s="403">
        <f t="shared" si="12"/>
        <v>1.7950969732187967E-3</v>
      </c>
      <c r="O36" s="400">
        <v>2022</v>
      </c>
      <c r="P36" s="400">
        <v>1144</v>
      </c>
      <c r="Q36" s="401">
        <v>2.2004042460000002</v>
      </c>
      <c r="R36" s="402">
        <f t="shared" si="13"/>
        <v>1.0636290017414136E-3</v>
      </c>
      <c r="S36" s="401">
        <f t="shared" si="4"/>
        <v>2.3404137716005482E-3</v>
      </c>
      <c r="T36" s="401">
        <f t="shared" si="14"/>
        <v>1.2138730017388346E-3</v>
      </c>
      <c r="U36" s="400">
        <f t="shared" si="15"/>
        <v>221189.53926095201</v>
      </c>
      <c r="V36" s="402">
        <f t="shared" si="5"/>
        <v>1.7674825174825175</v>
      </c>
      <c r="W36" s="402">
        <f t="shared" si="16"/>
        <v>2.3486752434499599E-2</v>
      </c>
      <c r="X36" s="400">
        <f t="shared" si="17"/>
        <v>755242.87218746764</v>
      </c>
      <c r="Y36" s="394">
        <f t="shared" si="6"/>
        <v>976432.41144841968</v>
      </c>
      <c r="Z36" s="403">
        <f t="shared" si="18"/>
        <v>4.5548049166529497E-3</v>
      </c>
      <c r="AB36" s="404">
        <f t="shared" si="7"/>
        <v>5975.6181348605287</v>
      </c>
      <c r="AC36" s="405">
        <f t="shared" si="8"/>
        <v>384822.37953493057</v>
      </c>
      <c r="AD36" s="405">
        <f t="shared" si="19"/>
        <v>976432.41144841979</v>
      </c>
      <c r="AE36" s="405">
        <f t="shared" si="20"/>
        <v>1367230.4091182109</v>
      </c>
      <c r="AF36" s="428">
        <f t="shared" si="21"/>
        <v>1.5944441511346781E-3</v>
      </c>
    </row>
    <row r="37" spans="1:32">
      <c r="A37" s="21" t="s">
        <v>391</v>
      </c>
      <c r="B37" s="304" t="s">
        <v>341</v>
      </c>
      <c r="C37" s="394">
        <v>369239404</v>
      </c>
      <c r="D37" s="394">
        <v>99086847.890000001</v>
      </c>
      <c r="E37" s="395">
        <f t="shared" si="0"/>
        <v>0.26835393735496332</v>
      </c>
      <c r="F37" s="396">
        <f t="shared" si="9"/>
        <v>26590345.771373838</v>
      </c>
      <c r="G37" s="403">
        <f t="shared" si="1"/>
        <v>1.669774835795889E-2</v>
      </c>
      <c r="H37" s="397">
        <v>471523</v>
      </c>
      <c r="I37" s="398">
        <f t="shared" si="2"/>
        <v>8.1515727878332944E-2</v>
      </c>
      <c r="J37" s="398">
        <f t="shared" si="10"/>
        <v>6.9288368696583003E-2</v>
      </c>
      <c r="K37" s="394">
        <v>247.3</v>
      </c>
      <c r="L37" s="431">
        <f t="shared" si="3"/>
        <v>3.8546427168606708E-3</v>
      </c>
      <c r="M37" s="399">
        <f t="shared" si="11"/>
        <v>5.7819640752910064E-4</v>
      </c>
      <c r="N37" s="403">
        <f t="shared" si="12"/>
        <v>6.9866565104112099E-2</v>
      </c>
      <c r="O37" s="400">
        <v>78885</v>
      </c>
      <c r="P37" s="400">
        <v>113737</v>
      </c>
      <c r="Q37" s="401">
        <v>1.9568038190999999</v>
      </c>
      <c r="R37" s="402">
        <f t="shared" si="13"/>
        <v>0.1057464788208594</v>
      </c>
      <c r="S37" s="401">
        <f t="shared" si="4"/>
        <v>0.20692511361303492</v>
      </c>
      <c r="T37" s="401">
        <f t="shared" si="14"/>
        <v>0.10732324849756292</v>
      </c>
      <c r="U37" s="400">
        <f t="shared" si="15"/>
        <v>19556230.226028215</v>
      </c>
      <c r="V37" s="402">
        <f t="shared" si="5"/>
        <v>0.69357377106834184</v>
      </c>
      <c r="W37" s="402">
        <f t="shared" si="16"/>
        <v>9.216382790222178E-3</v>
      </c>
      <c r="X37" s="400">
        <f t="shared" si="17"/>
        <v>296363.12764305959</v>
      </c>
      <c r="Y37" s="394">
        <f t="shared" si="6"/>
        <v>19852593.353671275</v>
      </c>
      <c r="Z37" s="403">
        <f t="shared" si="18"/>
        <v>9.2607218641461805E-2</v>
      </c>
      <c r="AB37" s="404">
        <f t="shared" si="7"/>
        <v>7159131.0685163997</v>
      </c>
      <c r="AC37" s="405">
        <f t="shared" si="8"/>
        <v>14977585.185878152</v>
      </c>
      <c r="AD37" s="405">
        <f t="shared" si="19"/>
        <v>19852593.353671279</v>
      </c>
      <c r="AE37" s="405">
        <f t="shared" si="20"/>
        <v>41989309.608065829</v>
      </c>
      <c r="AF37" s="428">
        <f t="shared" si="21"/>
        <v>4.8967320115372914E-2</v>
      </c>
    </row>
    <row r="38" spans="1:32">
      <c r="A38" s="21" t="s">
        <v>392</v>
      </c>
      <c r="B38" s="304" t="s">
        <v>32</v>
      </c>
      <c r="C38" s="394">
        <v>3808697</v>
      </c>
      <c r="D38" s="394">
        <v>1194083</v>
      </c>
      <c r="E38" s="395">
        <f t="shared" si="0"/>
        <v>0.31351483197534485</v>
      </c>
      <c r="F38" s="396">
        <f t="shared" si="9"/>
        <v>374362.73110961571</v>
      </c>
      <c r="G38" s="403">
        <f t="shared" si="1"/>
        <v>2.3508587411436363E-4</v>
      </c>
      <c r="H38" s="397">
        <v>5351</v>
      </c>
      <c r="I38" s="398">
        <f t="shared" si="2"/>
        <v>9.2506762104279034E-4</v>
      </c>
      <c r="J38" s="398">
        <f t="shared" si="10"/>
        <v>7.8630747788637173E-4</v>
      </c>
      <c r="K38" s="394">
        <v>3428</v>
      </c>
      <c r="L38" s="431">
        <f t="shared" si="3"/>
        <v>5.3431925731493649E-2</v>
      </c>
      <c r="M38" s="399">
        <f t="shared" si="11"/>
        <v>8.0147888597240473E-3</v>
      </c>
      <c r="N38" s="403">
        <f t="shared" si="12"/>
        <v>8.8010963376104184E-3</v>
      </c>
      <c r="O38" s="400">
        <v>2081</v>
      </c>
      <c r="P38" s="400">
        <v>764</v>
      </c>
      <c r="Q38" s="401">
        <v>1.7755281664</v>
      </c>
      <c r="R38" s="402">
        <f t="shared" si="13"/>
        <v>7.1032566200213284E-4</v>
      </c>
      <c r="S38" s="401">
        <f t="shared" si="4"/>
        <v>1.2612032202015131E-3</v>
      </c>
      <c r="T38" s="401">
        <f t="shared" si="14"/>
        <v>6.5413242619134164E-4</v>
      </c>
      <c r="U38" s="400">
        <f t="shared" si="15"/>
        <v>119194.71786393769</v>
      </c>
      <c r="V38" s="402">
        <f t="shared" si="5"/>
        <v>2.7238219895287958</v>
      </c>
      <c r="W38" s="402">
        <f t="shared" si="16"/>
        <v>3.6194831977647418E-2</v>
      </c>
      <c r="X38" s="400">
        <f t="shared" si="17"/>
        <v>1163885.4259385669</v>
      </c>
      <c r="Y38" s="394">
        <f t="shared" si="6"/>
        <v>1283080.1438025045</v>
      </c>
      <c r="Z38" s="403">
        <f t="shared" si="18"/>
        <v>5.9852373589097535E-3</v>
      </c>
      <c r="AB38" s="404">
        <f t="shared" si="7"/>
        <v>100792.66671540646</v>
      </c>
      <c r="AC38" s="405">
        <f t="shared" si="8"/>
        <v>1886727.505914297</v>
      </c>
      <c r="AD38" s="405">
        <f t="shared" si="19"/>
        <v>1283080.1438025048</v>
      </c>
      <c r="AE38" s="405">
        <f t="shared" si="20"/>
        <v>3270600.3164322078</v>
      </c>
      <c r="AF38" s="428">
        <f t="shared" si="21"/>
        <v>3.8141263611872239E-3</v>
      </c>
    </row>
    <row r="39" spans="1:32">
      <c r="A39" s="21" t="s">
        <v>393</v>
      </c>
      <c r="B39" s="304" t="s">
        <v>33</v>
      </c>
      <c r="C39" s="394">
        <v>39439786</v>
      </c>
      <c r="D39" s="394">
        <v>10280239</v>
      </c>
      <c r="E39" s="395">
        <f t="shared" si="0"/>
        <v>0.26065656137180865</v>
      </c>
      <c r="F39" s="396">
        <f t="shared" si="9"/>
        <v>2679611.7478203606</v>
      </c>
      <c r="G39" s="403">
        <f t="shared" si="1"/>
        <v>1.6826965338037809E-3</v>
      </c>
      <c r="H39" s="397">
        <v>84666</v>
      </c>
      <c r="I39" s="398">
        <f t="shared" si="2"/>
        <v>1.4636848290638924E-2</v>
      </c>
      <c r="J39" s="398">
        <f t="shared" si="10"/>
        <v>1.2441321047043085E-2</v>
      </c>
      <c r="K39" s="394">
        <v>2509.1999999999998</v>
      </c>
      <c r="L39" s="431">
        <f t="shared" si="3"/>
        <v>3.9110673292142316E-2</v>
      </c>
      <c r="M39" s="399">
        <f t="shared" si="11"/>
        <v>5.8666009938213469E-3</v>
      </c>
      <c r="N39" s="403">
        <f t="shared" si="12"/>
        <v>1.8307922040864431E-2</v>
      </c>
      <c r="O39" s="400">
        <v>25760</v>
      </c>
      <c r="P39" s="400">
        <v>21267</v>
      </c>
      <c r="Q39" s="401">
        <v>2.0486592371999999</v>
      </c>
      <c r="R39" s="402">
        <f t="shared" si="13"/>
        <v>1.9772900332198112E-2</v>
      </c>
      <c r="S39" s="401">
        <f t="shared" si="4"/>
        <v>4.0507934911792609E-2</v>
      </c>
      <c r="T39" s="401">
        <f t="shared" si="14"/>
        <v>2.1009741585989696E-2</v>
      </c>
      <c r="U39" s="400">
        <f t="shared" si="15"/>
        <v>3828353.5878463807</v>
      </c>
      <c r="V39" s="402">
        <f t="shared" si="5"/>
        <v>1.2112662810927728</v>
      </c>
      <c r="W39" s="402">
        <f t="shared" si="16"/>
        <v>1.6095611127629923E-2</v>
      </c>
      <c r="X39" s="400">
        <f t="shared" si="17"/>
        <v>517572.43201438728</v>
      </c>
      <c r="Y39" s="394">
        <f t="shared" si="6"/>
        <v>4345926.0198607678</v>
      </c>
      <c r="Z39" s="403">
        <f t="shared" si="18"/>
        <v>2.0272622017235731E-2</v>
      </c>
      <c r="AB39" s="404">
        <f t="shared" si="7"/>
        <v>721453.26278662821</v>
      </c>
      <c r="AC39" s="405">
        <f t="shared" si="8"/>
        <v>3924745.1414685948</v>
      </c>
      <c r="AD39" s="405">
        <f t="shared" si="19"/>
        <v>4345926.0198607687</v>
      </c>
      <c r="AE39" s="405">
        <f t="shared" si="20"/>
        <v>8992124.4241159912</v>
      </c>
      <c r="AF39" s="428">
        <f t="shared" si="21"/>
        <v>1.0486484281426929E-2</v>
      </c>
    </row>
    <row r="40" spans="1:32">
      <c r="A40" s="21" t="s">
        <v>394</v>
      </c>
      <c r="B40" s="304" t="s">
        <v>342</v>
      </c>
      <c r="C40" s="394">
        <v>2142351</v>
      </c>
      <c r="D40" s="394">
        <v>940947</v>
      </c>
      <c r="E40" s="395">
        <f t="shared" si="0"/>
        <v>0.43921234195516984</v>
      </c>
      <c r="F40" s="396">
        <f t="shared" si="9"/>
        <v>413275.53552569117</v>
      </c>
      <c r="G40" s="403">
        <f t="shared" si="1"/>
        <v>2.5952166827923688E-4</v>
      </c>
      <c r="H40" s="397">
        <v>5119</v>
      </c>
      <c r="I40" s="398">
        <f t="shared" si="2"/>
        <v>8.8496003590320376E-4</v>
      </c>
      <c r="J40" s="398">
        <f t="shared" si="10"/>
        <v>7.5221603051772322E-4</v>
      </c>
      <c r="K40" s="394">
        <v>264.89999999999998</v>
      </c>
      <c r="L40" s="431">
        <f t="shared" si="3"/>
        <v>4.1289723238835084E-3</v>
      </c>
      <c r="M40" s="399">
        <f t="shared" si="11"/>
        <v>6.1934584858252628E-4</v>
      </c>
      <c r="N40" s="403">
        <f t="shared" si="12"/>
        <v>1.3715618791002495E-3</v>
      </c>
      <c r="O40" s="400">
        <v>1318</v>
      </c>
      <c r="P40" s="400">
        <v>475</v>
      </c>
      <c r="Q40" s="401">
        <v>2.0058388967999998</v>
      </c>
      <c r="R40" s="402">
        <f t="shared" si="13"/>
        <v>4.4162917467410089E-4</v>
      </c>
      <c r="S40" s="401">
        <f t="shared" si="4"/>
        <v>8.8583697652299298E-4</v>
      </c>
      <c r="T40" s="401">
        <f t="shared" si="14"/>
        <v>4.5944593336068676E-4</v>
      </c>
      <c r="U40" s="400">
        <f t="shared" si="15"/>
        <v>83719.3299214945</v>
      </c>
      <c r="V40" s="402">
        <f t="shared" si="5"/>
        <v>2.7747368421052632</v>
      </c>
      <c r="W40" s="402">
        <f t="shared" si="16"/>
        <v>3.6871401350116108E-2</v>
      </c>
      <c r="X40" s="400">
        <f t="shared" si="17"/>
        <v>1185641.2730920778</v>
      </c>
      <c r="Y40" s="394">
        <f t="shared" si="6"/>
        <v>1269360.6030135723</v>
      </c>
      <c r="Z40" s="403">
        <f t="shared" si="18"/>
        <v>5.921239245874E-3</v>
      </c>
      <c r="AB40" s="404">
        <f t="shared" si="7"/>
        <v>111269.47169769212</v>
      </c>
      <c r="AC40" s="405">
        <f t="shared" si="8"/>
        <v>294027.40568847617</v>
      </c>
      <c r="AD40" s="405">
        <f t="shared" si="19"/>
        <v>1269360.6030135723</v>
      </c>
      <c r="AE40" s="405">
        <f t="shared" si="20"/>
        <v>1674657.4803997406</v>
      </c>
      <c r="AF40" s="428">
        <f t="shared" si="21"/>
        <v>1.9529611153831805E-3</v>
      </c>
    </row>
    <row r="41" spans="1:32">
      <c r="A41" s="21" t="s">
        <v>395</v>
      </c>
      <c r="B41" s="304" t="s">
        <v>35</v>
      </c>
      <c r="C41" s="394">
        <v>758867</v>
      </c>
      <c r="D41" s="394">
        <v>301669</v>
      </c>
      <c r="E41" s="395">
        <f t="shared" si="0"/>
        <v>0.39752552159996418</v>
      </c>
      <c r="F41" s="396">
        <f t="shared" si="9"/>
        <v>119921.1265755396</v>
      </c>
      <c r="G41" s="403">
        <f t="shared" si="1"/>
        <v>7.5306008112050149E-5</v>
      </c>
      <c r="H41" s="397">
        <v>1483</v>
      </c>
      <c r="I41" s="398">
        <f t="shared" si="2"/>
        <v>2.5637736535347747E-4</v>
      </c>
      <c r="J41" s="398">
        <f t="shared" si="10"/>
        <v>2.1792076055045584E-4</v>
      </c>
      <c r="K41" s="394">
        <v>207.9</v>
      </c>
      <c r="L41" s="431">
        <f t="shared" si="3"/>
        <v>3.2405184829572727E-3</v>
      </c>
      <c r="M41" s="399">
        <f t="shared" si="11"/>
        <v>4.8607777244359088E-4</v>
      </c>
      <c r="N41" s="403">
        <f t="shared" si="12"/>
        <v>7.0399853299404674E-4</v>
      </c>
      <c r="O41" s="400">
        <v>35</v>
      </c>
      <c r="P41" s="400">
        <v>141</v>
      </c>
      <c r="Q41" s="401">
        <v>1.5774653305999999</v>
      </c>
      <c r="R41" s="402">
        <f t="shared" si="13"/>
        <v>1.3109413395589101E-4</v>
      </c>
      <c r="S41" s="401">
        <f t="shared" si="4"/>
        <v>2.0679645136045029E-4</v>
      </c>
      <c r="T41" s="401">
        <f t="shared" si="14"/>
        <v>1.072565168637593E-4</v>
      </c>
      <c r="U41" s="400">
        <f t="shared" si="15"/>
        <v>19544.070519605873</v>
      </c>
      <c r="V41" s="402">
        <f t="shared" si="5"/>
        <v>0.24822695035460993</v>
      </c>
      <c r="W41" s="402">
        <f t="shared" si="16"/>
        <v>3.2985021763346587E-3</v>
      </c>
      <c r="X41" s="400">
        <f t="shared" si="17"/>
        <v>106067.03777029345</v>
      </c>
      <c r="Y41" s="394">
        <f t="shared" si="6"/>
        <v>125611.10828989932</v>
      </c>
      <c r="Z41" s="403">
        <f t="shared" si="18"/>
        <v>5.8594336578439421E-4</v>
      </c>
      <c r="AB41" s="404">
        <f t="shared" si="7"/>
        <v>32287.322264259361</v>
      </c>
      <c r="AC41" s="405">
        <f t="shared" si="8"/>
        <v>150919.08386993239</v>
      </c>
      <c r="AD41" s="405">
        <f t="shared" si="19"/>
        <v>125611.10828989933</v>
      </c>
      <c r="AE41" s="405">
        <f t="shared" si="20"/>
        <v>308817.51442409109</v>
      </c>
      <c r="AF41" s="428">
        <f t="shared" si="21"/>
        <v>3.6013847875063525E-4</v>
      </c>
    </row>
    <row r="42" spans="1:32">
      <c r="A42" s="21" t="s">
        <v>396</v>
      </c>
      <c r="B42" s="304" t="s">
        <v>36</v>
      </c>
      <c r="C42" s="394">
        <v>746282</v>
      </c>
      <c r="D42" s="394">
        <v>64774</v>
      </c>
      <c r="E42" s="395">
        <f t="shared" si="0"/>
        <v>8.6795608094527271E-2</v>
      </c>
      <c r="F42" s="396">
        <f t="shared" si="9"/>
        <v>5622.0987187149094</v>
      </c>
      <c r="G42" s="403">
        <f t="shared" si="1"/>
        <v>3.5304689324412032E-6</v>
      </c>
      <c r="H42" s="397">
        <v>7652</v>
      </c>
      <c r="I42" s="398">
        <f t="shared" si="2"/>
        <v>1.322858799517741E-3</v>
      </c>
      <c r="J42" s="398">
        <f t="shared" si="10"/>
        <v>1.1244299795900798E-3</v>
      </c>
      <c r="K42" s="394">
        <v>997.9</v>
      </c>
      <c r="L42" s="431">
        <f t="shared" si="3"/>
        <v>1.5554176980005108E-2</v>
      </c>
      <c r="M42" s="399">
        <f t="shared" si="11"/>
        <v>2.3331265470007659E-3</v>
      </c>
      <c r="N42" s="403">
        <f t="shared" si="12"/>
        <v>3.4575565265908457E-3</v>
      </c>
      <c r="O42" s="400">
        <v>5295</v>
      </c>
      <c r="P42" s="400">
        <v>4705</v>
      </c>
      <c r="Q42" s="401">
        <v>2.7540316573000001</v>
      </c>
      <c r="R42" s="402">
        <f t="shared" si="13"/>
        <v>4.3744531933508314E-3</v>
      </c>
      <c r="S42" s="401">
        <f t="shared" si="4"/>
        <v>1.2047382577865268E-2</v>
      </c>
      <c r="T42" s="401">
        <f t="shared" si="14"/>
        <v>6.2484645366312659E-3</v>
      </c>
      <c r="U42" s="400">
        <f t="shared" si="15"/>
        <v>1138582.8583105977</v>
      </c>
      <c r="V42" s="402">
        <f t="shared" si="5"/>
        <v>1.1253985122210415</v>
      </c>
      <c r="W42" s="402">
        <f t="shared" si="16"/>
        <v>1.4954578608413996E-2</v>
      </c>
      <c r="X42" s="400">
        <f t="shared" si="17"/>
        <v>480881.25133816455</v>
      </c>
      <c r="Y42" s="394">
        <f t="shared" si="6"/>
        <v>1619464.1096487623</v>
      </c>
      <c r="Z42" s="403">
        <f t="shared" si="18"/>
        <v>7.5543816473986752E-3</v>
      </c>
      <c r="AB42" s="404">
        <f t="shared" si="7"/>
        <v>1513.6825204713612</v>
      </c>
      <c r="AC42" s="405">
        <f t="shared" si="8"/>
        <v>741210.7255428168</v>
      </c>
      <c r="AD42" s="405">
        <f t="shared" si="19"/>
        <v>1619464.1096487625</v>
      </c>
      <c r="AE42" s="405">
        <f t="shared" si="20"/>
        <v>2362188.5177120506</v>
      </c>
      <c r="AF42" s="428">
        <f t="shared" si="21"/>
        <v>2.7547497779636006E-3</v>
      </c>
    </row>
    <row r="43" spans="1:32">
      <c r="A43" s="21" t="s">
        <v>397</v>
      </c>
      <c r="B43" s="304" t="s">
        <v>37</v>
      </c>
      <c r="C43" s="394">
        <v>4564482</v>
      </c>
      <c r="D43" s="394">
        <v>1105076</v>
      </c>
      <c r="E43" s="395">
        <f t="shared" si="0"/>
        <v>0.24210326604420832</v>
      </c>
      <c r="F43" s="396">
        <f t="shared" si="9"/>
        <v>267542.50882706954</v>
      </c>
      <c r="G43" s="403">
        <f t="shared" si="1"/>
        <v>1.680067467291377E-4</v>
      </c>
      <c r="H43" s="397">
        <v>6048</v>
      </c>
      <c r="I43" s="398">
        <f t="shared" si="2"/>
        <v>1.0455632539837032E-3</v>
      </c>
      <c r="J43" s="398">
        <f t="shared" si="10"/>
        <v>8.8872876588614767E-4</v>
      </c>
      <c r="K43" s="394">
        <v>3860</v>
      </c>
      <c r="L43" s="431">
        <f t="shared" si="3"/>
        <v>6.0165470631145121E-2</v>
      </c>
      <c r="M43" s="399">
        <f t="shared" si="11"/>
        <v>9.0248205946717678E-3</v>
      </c>
      <c r="N43" s="403">
        <f t="shared" si="12"/>
        <v>9.9135493605579158E-3</v>
      </c>
      <c r="O43" s="400">
        <v>1618</v>
      </c>
      <c r="P43" s="400">
        <v>916</v>
      </c>
      <c r="Q43" s="401">
        <v>2.0422796606000002</v>
      </c>
      <c r="R43" s="402">
        <f t="shared" si="13"/>
        <v>8.5164699789784515E-4</v>
      </c>
      <c r="S43" s="401">
        <f t="shared" si="4"/>
        <v>1.7393013418178203E-3</v>
      </c>
      <c r="T43" s="401">
        <f t="shared" si="14"/>
        <v>9.0210157124349997E-4</v>
      </c>
      <c r="U43" s="400">
        <f t="shared" si="15"/>
        <v>164379.16538559011</v>
      </c>
      <c r="V43" s="402">
        <f t="shared" si="5"/>
        <v>1.7663755458515285</v>
      </c>
      <c r="W43" s="402">
        <f t="shared" si="16"/>
        <v>2.3472042716925653E-2</v>
      </c>
      <c r="X43" s="400">
        <f t="shared" si="17"/>
        <v>754769.86471738014</v>
      </c>
      <c r="Y43" s="394">
        <f t="shared" si="6"/>
        <v>919149.03010297031</v>
      </c>
      <c r="Z43" s="403">
        <f t="shared" si="18"/>
        <v>4.2875927430958234E-3</v>
      </c>
      <c r="AB43" s="404">
        <f t="shared" si="7"/>
        <v>72032.60550130617</v>
      </c>
      <c r="AC43" s="405">
        <f t="shared" si="8"/>
        <v>2125208.6720007509</v>
      </c>
      <c r="AD43" s="405">
        <f t="shared" si="19"/>
        <v>919149.03010297043</v>
      </c>
      <c r="AE43" s="405">
        <f t="shared" si="20"/>
        <v>3116390.3076050277</v>
      </c>
      <c r="AF43" s="428">
        <f t="shared" si="21"/>
        <v>3.6342888992780035E-3</v>
      </c>
    </row>
    <row r="44" spans="1:32">
      <c r="A44" s="21" t="s">
        <v>398</v>
      </c>
      <c r="B44" s="304" t="s">
        <v>38</v>
      </c>
      <c r="C44" s="394">
        <v>56486259</v>
      </c>
      <c r="D44" s="394">
        <v>16891683.199999999</v>
      </c>
      <c r="E44" s="395">
        <f t="shared" si="0"/>
        <v>0.29904057197344225</v>
      </c>
      <c r="F44" s="396">
        <f t="shared" si="9"/>
        <v>5051298.6057221852</v>
      </c>
      <c r="G44" s="403">
        <f t="shared" si="1"/>
        <v>3.1720276872089655E-3</v>
      </c>
      <c r="H44" s="397">
        <v>67428</v>
      </c>
      <c r="I44" s="398">
        <f t="shared" si="2"/>
        <v>1.1656785563758786E-2</v>
      </c>
      <c r="J44" s="398">
        <f t="shared" si="10"/>
        <v>9.9082677291949667E-3</v>
      </c>
      <c r="K44" s="394">
        <v>1869</v>
      </c>
      <c r="L44" s="431">
        <f t="shared" si="3"/>
        <v>2.913193383668659E-2</v>
      </c>
      <c r="M44" s="399">
        <f t="shared" si="11"/>
        <v>4.3697900755029885E-3</v>
      </c>
      <c r="N44" s="403">
        <f t="shared" si="12"/>
        <v>1.4278057804697954E-2</v>
      </c>
      <c r="O44" s="400">
        <v>15090</v>
      </c>
      <c r="P44" s="400">
        <v>11157</v>
      </c>
      <c r="Q44" s="401">
        <v>1.7986407321</v>
      </c>
      <c r="R44" s="402">
        <f t="shared" si="13"/>
        <v>1.037317200387146E-2</v>
      </c>
      <c r="S44" s="401">
        <f t="shared" si="4"/>
        <v>1.8657609687242588E-2</v>
      </c>
      <c r="T44" s="401">
        <f t="shared" si="14"/>
        <v>9.6769079686436638E-3</v>
      </c>
      <c r="U44" s="400">
        <f t="shared" si="15"/>
        <v>1763307.0444674422</v>
      </c>
      <c r="V44" s="402">
        <f t="shared" si="5"/>
        <v>1.352514116698037</v>
      </c>
      <c r="W44" s="402">
        <f t="shared" si="16"/>
        <v>1.7972547908591634E-2</v>
      </c>
      <c r="X44" s="400">
        <f t="shared" si="17"/>
        <v>577927.43977125362</v>
      </c>
      <c r="Y44" s="394">
        <f t="shared" si="6"/>
        <v>2341234.4842386958</v>
      </c>
      <c r="Z44" s="403">
        <f t="shared" si="18"/>
        <v>1.0921253959635861E-2</v>
      </c>
      <c r="AB44" s="404">
        <f t="shared" si="7"/>
        <v>1360001.4492294001</v>
      </c>
      <c r="AC44" s="405">
        <f t="shared" si="8"/>
        <v>3060846.4397825324</v>
      </c>
      <c r="AD44" s="405">
        <f t="shared" si="19"/>
        <v>2341234.4842386963</v>
      </c>
      <c r="AE44" s="405">
        <f t="shared" si="20"/>
        <v>6762082.3732506288</v>
      </c>
      <c r="AF44" s="428">
        <f t="shared" si="21"/>
        <v>7.8858417846879355E-3</v>
      </c>
    </row>
    <row r="45" spans="1:32">
      <c r="A45" s="21" t="s">
        <v>399</v>
      </c>
      <c r="B45" s="304" t="s">
        <v>39</v>
      </c>
      <c r="C45" s="394">
        <v>2430413136</v>
      </c>
      <c r="D45" s="394">
        <v>1205887491.6800001</v>
      </c>
      <c r="E45" s="395">
        <f t="shared" si="0"/>
        <v>0.49616564106654831</v>
      </c>
      <c r="F45" s="396">
        <f t="shared" si="9"/>
        <v>598319940.36353922</v>
      </c>
      <c r="G45" s="403">
        <f t="shared" si="1"/>
        <v>0.37572267347101768</v>
      </c>
      <c r="H45" s="397">
        <v>1142994</v>
      </c>
      <c r="I45" s="398">
        <f t="shared" si="2"/>
        <v>0.19759797055619194</v>
      </c>
      <c r="J45" s="398">
        <f t="shared" si="10"/>
        <v>0.16795827497276314</v>
      </c>
      <c r="K45" s="394">
        <v>324.39999999999998</v>
      </c>
      <c r="L45" s="431">
        <f t="shared" si="3"/>
        <v>5.0563934385345795E-3</v>
      </c>
      <c r="M45" s="399">
        <f t="shared" si="11"/>
        <v>7.584590157801869E-4</v>
      </c>
      <c r="N45" s="403">
        <f t="shared" si="12"/>
        <v>0.16871673398854334</v>
      </c>
      <c r="O45" s="400">
        <v>182930</v>
      </c>
      <c r="P45" s="400">
        <v>207064</v>
      </c>
      <c r="Q45" s="401">
        <v>1.9809358914999999</v>
      </c>
      <c r="R45" s="402">
        <f t="shared" si="13"/>
        <v>0.19251684931519586</v>
      </c>
      <c r="S45" s="401">
        <f t="shared" si="4"/>
        <v>0.38136353652696864</v>
      </c>
      <c r="T45" s="401">
        <f t="shared" si="14"/>
        <v>0.19779703335156221</v>
      </c>
      <c r="U45" s="400">
        <f t="shared" si="15"/>
        <v>36042184.488446318</v>
      </c>
      <c r="V45" s="402">
        <f t="shared" si="5"/>
        <v>0.8834466638334042</v>
      </c>
      <c r="W45" s="402">
        <f t="shared" si="16"/>
        <v>1.1739461565986884E-2</v>
      </c>
      <c r="X45" s="400">
        <f t="shared" si="17"/>
        <v>377495.5560908828</v>
      </c>
      <c r="Y45" s="394">
        <f t="shared" si="6"/>
        <v>36419680.044537202</v>
      </c>
      <c r="Z45" s="403">
        <f t="shared" si="18"/>
        <v>0.1698883975837259</v>
      </c>
      <c r="AB45" s="404">
        <f t="shared" si="7"/>
        <v>161090454.06174803</v>
      </c>
      <c r="AC45" s="405">
        <f t="shared" si="8"/>
        <v>36168505.662629507</v>
      </c>
      <c r="AD45" s="405">
        <f t="shared" si="19"/>
        <v>36419680.044537202</v>
      </c>
      <c r="AE45" s="405">
        <f t="shared" si="20"/>
        <v>233678639.76891476</v>
      </c>
      <c r="AF45" s="428">
        <f t="shared" si="21"/>
        <v>0.27251261962857615</v>
      </c>
    </row>
    <row r="46" spans="1:32">
      <c r="A46" s="21" t="s">
        <v>400</v>
      </c>
      <c r="B46" s="304" t="s">
        <v>343</v>
      </c>
      <c r="C46" s="394">
        <v>1354101</v>
      </c>
      <c r="D46" s="394">
        <v>451420</v>
      </c>
      <c r="E46" s="395">
        <f t="shared" si="0"/>
        <v>0.33337247369287815</v>
      </c>
      <c r="F46" s="396">
        <f t="shared" si="9"/>
        <v>150491.00207443905</v>
      </c>
      <c r="G46" s="403">
        <f t="shared" si="1"/>
        <v>9.4502753156422046E-5</v>
      </c>
      <c r="H46" s="397">
        <v>906</v>
      </c>
      <c r="I46" s="398">
        <f t="shared" si="2"/>
        <v>1.5662703507097141E-4</v>
      </c>
      <c r="J46" s="398">
        <f t="shared" si="10"/>
        <v>1.331329798103257E-4</v>
      </c>
      <c r="K46" s="394">
        <v>1171.2</v>
      </c>
      <c r="L46" s="431">
        <f t="shared" si="3"/>
        <v>1.8255388394610668E-2</v>
      </c>
      <c r="M46" s="399">
        <f t="shared" si="11"/>
        <v>2.7383082591916001E-3</v>
      </c>
      <c r="N46" s="403">
        <f t="shared" si="12"/>
        <v>2.8714412390019256E-3</v>
      </c>
      <c r="O46" s="400">
        <v>133</v>
      </c>
      <c r="P46" s="400">
        <v>63</v>
      </c>
      <c r="Q46" s="401">
        <v>1.7977681072</v>
      </c>
      <c r="R46" s="402">
        <f t="shared" si="13"/>
        <v>5.8573974746249173E-5</v>
      </c>
      <c r="S46" s="401">
        <f t="shared" si="4"/>
        <v>1.0530242371074497E-4</v>
      </c>
      <c r="T46" s="401">
        <f t="shared" si="14"/>
        <v>5.4615884896592997E-5</v>
      </c>
      <c r="U46" s="400">
        <f t="shared" si="15"/>
        <v>9951.9986022439844</v>
      </c>
      <c r="V46" s="402">
        <f t="shared" si="5"/>
        <v>2.1111111111111112</v>
      </c>
      <c r="W46" s="402">
        <f t="shared" si="16"/>
        <v>2.8052975652065243E-2</v>
      </c>
      <c r="X46" s="400">
        <f t="shared" si="17"/>
        <v>902074.90217973385</v>
      </c>
      <c r="Y46" s="394">
        <f t="shared" si="6"/>
        <v>912026.90078197781</v>
      </c>
      <c r="Z46" s="403">
        <f t="shared" si="18"/>
        <v>4.2543698499718906E-3</v>
      </c>
      <c r="AB46" s="404">
        <f t="shared" si="7"/>
        <v>40517.893890765212</v>
      </c>
      <c r="AC46" s="405">
        <f t="shared" si="8"/>
        <v>615562.76166299742</v>
      </c>
      <c r="AD46" s="405">
        <f t="shared" si="19"/>
        <v>912026.90078197792</v>
      </c>
      <c r="AE46" s="405">
        <f t="shared" si="20"/>
        <v>1568107.5563357407</v>
      </c>
      <c r="AF46" s="428">
        <f t="shared" si="21"/>
        <v>1.8287041488216651E-3</v>
      </c>
    </row>
    <row r="47" spans="1:32">
      <c r="A47" s="21" t="s">
        <v>401</v>
      </c>
      <c r="B47" s="304" t="s">
        <v>344</v>
      </c>
      <c r="C47" s="394">
        <v>81632998</v>
      </c>
      <c r="D47" s="394">
        <v>17252658</v>
      </c>
      <c r="E47" s="395">
        <f t="shared" si="0"/>
        <v>0.21134416746522039</v>
      </c>
      <c r="F47" s="396">
        <f t="shared" si="9"/>
        <v>3646248.6415721742</v>
      </c>
      <c r="G47" s="403">
        <f t="shared" si="1"/>
        <v>2.289708557797965E-3</v>
      </c>
      <c r="H47" s="397">
        <v>147624</v>
      </c>
      <c r="I47" s="398">
        <f t="shared" si="2"/>
        <v>2.5520871330372057E-2</v>
      </c>
      <c r="J47" s="398">
        <f t="shared" si="10"/>
        <v>2.1692740630816248E-2</v>
      </c>
      <c r="K47" s="394">
        <v>322.8</v>
      </c>
      <c r="L47" s="431">
        <f t="shared" si="3"/>
        <v>5.0314543833506857E-3</v>
      </c>
      <c r="M47" s="399">
        <f t="shared" si="11"/>
        <v>7.5471815750260279E-4</v>
      </c>
      <c r="N47" s="403">
        <f t="shared" si="12"/>
        <v>2.2447458788318851E-2</v>
      </c>
      <c r="O47" s="400">
        <v>19678</v>
      </c>
      <c r="P47" s="400">
        <v>32877</v>
      </c>
      <c r="Q47" s="401">
        <v>1.8363293522999999</v>
      </c>
      <c r="R47" s="402">
        <f t="shared" si="13"/>
        <v>3.0567247106864034E-2</v>
      </c>
      <c r="S47" s="401">
        <f t="shared" si="4"/>
        <v>5.6131533081341681E-2</v>
      </c>
      <c r="T47" s="401">
        <f t="shared" si="14"/>
        <v>2.9113036925540778E-2</v>
      </c>
      <c r="U47" s="400">
        <f t="shared" si="15"/>
        <v>5304920.0491509968</v>
      </c>
      <c r="V47" s="402">
        <f t="shared" si="5"/>
        <v>0.59853392949478357</v>
      </c>
      <c r="W47" s="402">
        <f t="shared" si="16"/>
        <v>7.953469461024678E-3</v>
      </c>
      <c r="X47" s="400">
        <f t="shared" si="17"/>
        <v>255752.73279485936</v>
      </c>
      <c r="Y47" s="394">
        <f t="shared" si="6"/>
        <v>5560672.7819458563</v>
      </c>
      <c r="Z47" s="403">
        <f t="shared" si="18"/>
        <v>2.5939101805863365E-2</v>
      </c>
      <c r="AB47" s="404">
        <f t="shared" si="7"/>
        <v>981708.63056311291</v>
      </c>
      <c r="AC47" s="405">
        <f t="shared" si="8"/>
        <v>4812154.7940353332</v>
      </c>
      <c r="AD47" s="405">
        <f t="shared" si="19"/>
        <v>5560672.7819458572</v>
      </c>
      <c r="AE47" s="405">
        <f t="shared" si="20"/>
        <v>11354536.206544302</v>
      </c>
      <c r="AF47" s="428">
        <f t="shared" si="21"/>
        <v>1.3241494427444532E-2</v>
      </c>
    </row>
    <row r="48" spans="1:32">
      <c r="A48" s="21" t="s">
        <v>402</v>
      </c>
      <c r="B48" s="304" t="s">
        <v>218</v>
      </c>
      <c r="C48" s="394">
        <v>7103115</v>
      </c>
      <c r="D48" s="394">
        <v>1075933</v>
      </c>
      <c r="E48" s="395">
        <f t="shared" si="0"/>
        <v>0.15147340286620728</v>
      </c>
      <c r="F48" s="396">
        <f t="shared" si="9"/>
        <v>162975.232766047</v>
      </c>
      <c r="G48" s="403">
        <f t="shared" si="1"/>
        <v>1.0234238579315125E-4</v>
      </c>
      <c r="H48" s="397">
        <v>5389</v>
      </c>
      <c r="I48" s="398">
        <f t="shared" si="2"/>
        <v>9.3163696688461914E-4</v>
      </c>
      <c r="J48" s="398">
        <f t="shared" si="10"/>
        <v>7.918914218519263E-4</v>
      </c>
      <c r="K48" s="394">
        <v>1341</v>
      </c>
      <c r="L48" s="431">
        <f t="shared" si="3"/>
        <v>2.0902045626001453E-2</v>
      </c>
      <c r="M48" s="399">
        <f t="shared" si="11"/>
        <v>3.135306843900218E-3</v>
      </c>
      <c r="N48" s="403">
        <f t="shared" si="12"/>
        <v>3.927198265752144E-3</v>
      </c>
      <c r="O48" s="400">
        <v>1611</v>
      </c>
      <c r="P48" s="400">
        <v>1054</v>
      </c>
      <c r="Q48" s="401">
        <v>2.1403267704000002</v>
      </c>
      <c r="R48" s="402">
        <f t="shared" si="13"/>
        <v>9.7995189496105769E-4</v>
      </c>
      <c r="S48" s="401">
        <f t="shared" si="4"/>
        <v>2.0974172744893608E-3</v>
      </c>
      <c r="T48" s="401">
        <f t="shared" si="14"/>
        <v>1.0878410620281658E-3</v>
      </c>
      <c r="U48" s="400">
        <f t="shared" si="15"/>
        <v>198224.24829819554</v>
      </c>
      <c r="V48" s="402">
        <f t="shared" si="5"/>
        <v>1.5284629981024669</v>
      </c>
      <c r="W48" s="402">
        <f t="shared" si="16"/>
        <v>2.0310600917771596E-2</v>
      </c>
      <c r="X48" s="400">
        <f t="shared" si="17"/>
        <v>653110.1571309279</v>
      </c>
      <c r="Y48" s="394">
        <f t="shared" si="6"/>
        <v>851334.40542912344</v>
      </c>
      <c r="Z48" s="403">
        <f t="shared" si="18"/>
        <v>3.9712550403896802E-3</v>
      </c>
      <c r="AB48" s="404">
        <f t="shared" si="7"/>
        <v>43879.12298418436</v>
      </c>
      <c r="AC48" s="405">
        <f t="shared" si="8"/>
        <v>841889.77201734157</v>
      </c>
      <c r="AD48" s="405">
        <f t="shared" si="19"/>
        <v>851334.40542912344</v>
      </c>
      <c r="AE48" s="405">
        <f t="shared" si="20"/>
        <v>1737103.3004306494</v>
      </c>
      <c r="AF48" s="428">
        <f t="shared" si="21"/>
        <v>2.0257845194320313E-3</v>
      </c>
    </row>
    <row r="49" spans="1:32">
      <c r="A49" s="21" t="s">
        <v>403</v>
      </c>
      <c r="B49" s="304" t="s">
        <v>43</v>
      </c>
      <c r="C49" s="394">
        <v>939947</v>
      </c>
      <c r="D49" s="394">
        <v>222448</v>
      </c>
      <c r="E49" s="395">
        <f t="shared" si="0"/>
        <v>0.23666015211495967</v>
      </c>
      <c r="F49" s="396">
        <f t="shared" si="9"/>
        <v>52644.577517668549</v>
      </c>
      <c r="G49" s="403">
        <f t="shared" si="1"/>
        <v>3.3058837044061201E-5</v>
      </c>
      <c r="H49" s="397">
        <v>2377</v>
      </c>
      <c r="I49" s="398">
        <f t="shared" si="2"/>
        <v>4.1092987015860824E-4</v>
      </c>
      <c r="J49" s="398">
        <f t="shared" si="10"/>
        <v>3.4929038963481702E-4</v>
      </c>
      <c r="K49" s="394">
        <v>683.1</v>
      </c>
      <c r="L49" s="431">
        <f t="shared" si="3"/>
        <v>1.0647417872573894E-2</v>
      </c>
      <c r="M49" s="399">
        <f t="shared" si="11"/>
        <v>1.5971126808860842E-3</v>
      </c>
      <c r="N49" s="403">
        <f t="shared" si="12"/>
        <v>1.9464030705209012E-3</v>
      </c>
      <c r="O49" s="400">
        <v>1875</v>
      </c>
      <c r="P49" s="400">
        <v>790</v>
      </c>
      <c r="Q49" s="401">
        <v>2.1956719391999999</v>
      </c>
      <c r="R49" s="402">
        <f t="shared" si="13"/>
        <v>7.3449904840534679E-4</v>
      </c>
      <c r="S49" s="401">
        <f t="shared" si="4"/>
        <v>1.6127189499527224E-3</v>
      </c>
      <c r="T49" s="401">
        <f t="shared" si="14"/>
        <v>8.3644867266416574E-4</v>
      </c>
      <c r="U49" s="400">
        <f t="shared" si="15"/>
        <v>152416.02396378815</v>
      </c>
      <c r="V49" s="402">
        <f t="shared" si="5"/>
        <v>2.3734177215189876</v>
      </c>
      <c r="W49" s="402">
        <f t="shared" si="16"/>
        <v>3.1538571893977414E-2</v>
      </c>
      <c r="X49" s="400">
        <f t="shared" si="17"/>
        <v>1014158.1595125257</v>
      </c>
      <c r="Y49" s="394">
        <f t="shared" si="6"/>
        <v>1166574.1834763137</v>
      </c>
      <c r="Z49" s="403">
        <f t="shared" si="18"/>
        <v>5.4417671558611531E-3</v>
      </c>
      <c r="AB49" s="404">
        <f t="shared" si="7"/>
        <v>14173.919878146369</v>
      </c>
      <c r="AC49" s="405">
        <f t="shared" si="8"/>
        <v>417258.49483712192</v>
      </c>
      <c r="AD49" s="405">
        <f t="shared" si="19"/>
        <v>1166574.1834763139</v>
      </c>
      <c r="AE49" s="405">
        <f t="shared" si="20"/>
        <v>1598006.5981915821</v>
      </c>
      <c r="AF49" s="428">
        <f t="shared" si="21"/>
        <v>1.8635719751175439E-3</v>
      </c>
    </row>
    <row r="50" spans="1:32">
      <c r="A50" s="21" t="s">
        <v>404</v>
      </c>
      <c r="B50" s="304" t="s">
        <v>44</v>
      </c>
      <c r="C50" s="394">
        <v>19089007</v>
      </c>
      <c r="D50" s="394">
        <v>7881801</v>
      </c>
      <c r="E50" s="395">
        <f t="shared" si="0"/>
        <v>0.41289738119955638</v>
      </c>
      <c r="F50" s="396">
        <f t="shared" si="9"/>
        <v>3254374.9920360446</v>
      </c>
      <c r="G50" s="403">
        <f t="shared" si="1"/>
        <v>2.0436264780713579E-3</v>
      </c>
      <c r="H50" s="397">
        <v>34709</v>
      </c>
      <c r="I50" s="398">
        <f t="shared" si="2"/>
        <v>6.0004059164220159E-3</v>
      </c>
      <c r="J50" s="398">
        <f t="shared" si="10"/>
        <v>5.1003450289587131E-3</v>
      </c>
      <c r="K50" s="394">
        <v>1541.5</v>
      </c>
      <c r="L50" s="431">
        <f t="shared" si="3"/>
        <v>2.4027220978733214E-2</v>
      </c>
      <c r="M50" s="399">
        <f t="shared" si="11"/>
        <v>3.6040831468099818E-3</v>
      </c>
      <c r="N50" s="403">
        <f t="shared" si="12"/>
        <v>8.7044281757686949E-3</v>
      </c>
      <c r="O50" s="400">
        <v>9838</v>
      </c>
      <c r="P50" s="400">
        <v>7575</v>
      </c>
      <c r="Q50" s="401">
        <v>1.6303971907999999</v>
      </c>
      <c r="R50" s="402">
        <f t="shared" si="13"/>
        <v>7.0428231540132936E-3</v>
      </c>
      <c r="S50" s="401">
        <f t="shared" si="4"/>
        <v>1.1482599085604469E-2</v>
      </c>
      <c r="T50" s="401">
        <f t="shared" si="14"/>
        <v>5.9555353796581761E-3</v>
      </c>
      <c r="U50" s="400">
        <f t="shared" si="15"/>
        <v>1085205.8862763215</v>
      </c>
      <c r="V50" s="402">
        <f t="shared" si="5"/>
        <v>1.2987458745874587</v>
      </c>
      <c r="W50" s="402">
        <f t="shared" si="16"/>
        <v>1.7258061978010494E-2</v>
      </c>
      <c r="X50" s="400">
        <f t="shared" si="17"/>
        <v>554952.34315649117</v>
      </c>
      <c r="Y50" s="394">
        <f t="shared" si="6"/>
        <v>1640158.2294328127</v>
      </c>
      <c r="Z50" s="403">
        <f t="shared" si="18"/>
        <v>7.6509143694110243E-3</v>
      </c>
      <c r="AB50" s="404">
        <f t="shared" si="7"/>
        <v>876201.35948628164</v>
      </c>
      <c r="AC50" s="405">
        <f t="shared" si="8"/>
        <v>1866004.3513325718</v>
      </c>
      <c r="AD50" s="405">
        <f t="shared" si="19"/>
        <v>1640158.2294328129</v>
      </c>
      <c r="AE50" s="405">
        <f t="shared" si="20"/>
        <v>4382363.9402516661</v>
      </c>
      <c r="AF50" s="428">
        <f t="shared" si="21"/>
        <v>5.1106488753306081E-3</v>
      </c>
    </row>
    <row r="51" spans="1:32">
      <c r="A51" s="21" t="s">
        <v>405</v>
      </c>
      <c r="B51" s="304" t="s">
        <v>45</v>
      </c>
      <c r="C51" s="394">
        <v>119215481</v>
      </c>
      <c r="D51" s="394">
        <v>19038713.890000001</v>
      </c>
      <c r="E51" s="395">
        <f t="shared" si="0"/>
        <v>0.15970001320549973</v>
      </c>
      <c r="F51" s="396">
        <f t="shared" si="9"/>
        <v>3040482.8596487311</v>
      </c>
      <c r="G51" s="403">
        <f t="shared" si="1"/>
        <v>1.9093101727077942E-3</v>
      </c>
      <c r="H51" s="397">
        <v>86766</v>
      </c>
      <c r="I51" s="398">
        <f t="shared" si="2"/>
        <v>1.4999891087161044E-2</v>
      </c>
      <c r="J51" s="398">
        <f t="shared" si="10"/>
        <v>1.2749907424086887E-2</v>
      </c>
      <c r="K51" s="394">
        <v>1667.4</v>
      </c>
      <c r="L51" s="431">
        <f t="shared" si="3"/>
        <v>2.5989612883515902E-2</v>
      </c>
      <c r="M51" s="399">
        <f t="shared" si="11"/>
        <v>3.8984419325273851E-3</v>
      </c>
      <c r="N51" s="403">
        <f t="shared" si="12"/>
        <v>1.6648349356614273E-2</v>
      </c>
      <c r="O51" s="400">
        <v>13606</v>
      </c>
      <c r="P51" s="400">
        <v>22970</v>
      </c>
      <c r="Q51" s="401">
        <v>1.9100372027999999</v>
      </c>
      <c r="R51" s="402">
        <f t="shared" si="13"/>
        <v>2.1356257141608628E-2</v>
      </c>
      <c r="S51" s="401">
        <f t="shared" si="4"/>
        <v>4.0791245653035664E-2</v>
      </c>
      <c r="T51" s="401">
        <f t="shared" si="14"/>
        <v>2.1156682808123412E-2</v>
      </c>
      <c r="U51" s="400">
        <f t="shared" si="15"/>
        <v>3855128.9269268611</v>
      </c>
      <c r="V51" s="402">
        <f t="shared" si="5"/>
        <v>0.59233783195472356</v>
      </c>
      <c r="W51" s="402">
        <f t="shared" si="16"/>
        <v>7.8711341578214088E-3</v>
      </c>
      <c r="X51" s="400">
        <f t="shared" si="17"/>
        <v>253105.1487558535</v>
      </c>
      <c r="Y51" s="394">
        <f t="shared" si="6"/>
        <v>4108234.0756827146</v>
      </c>
      <c r="Z51" s="403">
        <f t="shared" si="18"/>
        <v>1.9163850510578111E-2</v>
      </c>
      <c r="AB51" s="404">
        <f t="shared" si="7"/>
        <v>818613.47313642607</v>
      </c>
      <c r="AC51" s="405">
        <f t="shared" si="8"/>
        <v>3568975.665561581</v>
      </c>
      <c r="AD51" s="405">
        <f t="shared" si="19"/>
        <v>4108234.0756827146</v>
      </c>
      <c r="AE51" s="405">
        <f t="shared" si="20"/>
        <v>8495823.2143807225</v>
      </c>
      <c r="AF51" s="428">
        <f t="shared" si="21"/>
        <v>9.9077050531519925E-3</v>
      </c>
    </row>
    <row r="52" spans="1:32">
      <c r="A52" s="21" t="s">
        <v>406</v>
      </c>
      <c r="B52" s="304" t="s">
        <v>345</v>
      </c>
      <c r="C52" s="394">
        <v>642295900</v>
      </c>
      <c r="D52" s="394">
        <v>306694612.58999997</v>
      </c>
      <c r="E52" s="395">
        <f t="shared" si="0"/>
        <v>0.47749738491246785</v>
      </c>
      <c r="F52" s="396">
        <f t="shared" si="9"/>
        <v>146445875.47846743</v>
      </c>
      <c r="G52" s="403">
        <f t="shared" si="1"/>
        <v>9.1962564075904835E-2</v>
      </c>
      <c r="H52" s="397">
        <v>412199</v>
      </c>
      <c r="I52" s="398">
        <f t="shared" si="2"/>
        <v>7.125994175410523E-2</v>
      </c>
      <c r="J52" s="398">
        <f t="shared" si="10"/>
        <v>6.0570950490989442E-2</v>
      </c>
      <c r="K52" s="394">
        <v>60.1</v>
      </c>
      <c r="L52" s="431">
        <f t="shared" si="3"/>
        <v>9.3677326034503157E-4</v>
      </c>
      <c r="M52" s="399">
        <f t="shared" si="11"/>
        <v>1.4051598905175474E-4</v>
      </c>
      <c r="N52" s="403">
        <f t="shared" si="12"/>
        <v>6.07114664800412E-2</v>
      </c>
      <c r="O52" s="400">
        <v>47668</v>
      </c>
      <c r="P52" s="400">
        <v>40796</v>
      </c>
      <c r="Q52" s="401">
        <v>1.7340616191</v>
      </c>
      <c r="R52" s="402">
        <f t="shared" si="13"/>
        <v>3.7929902757904463E-2</v>
      </c>
      <c r="S52" s="401">
        <f t="shared" si="4"/>
        <v>6.5772788588677369E-2</v>
      </c>
      <c r="T52" s="401">
        <f t="shared" si="14"/>
        <v>3.4113545769418024E-2</v>
      </c>
      <c r="U52" s="400">
        <f t="shared" si="15"/>
        <v>6216102.8876053719</v>
      </c>
      <c r="V52" s="402">
        <f t="shared" si="5"/>
        <v>1.1684478870477497</v>
      </c>
      <c r="W52" s="402">
        <f t="shared" si="16"/>
        <v>1.5526629533395704E-2</v>
      </c>
      <c r="X52" s="400">
        <f t="shared" si="17"/>
        <v>499276.19056297047</v>
      </c>
      <c r="Y52" s="394">
        <f t="shared" si="6"/>
        <v>6715379.0781683419</v>
      </c>
      <c r="Z52" s="403">
        <f t="shared" si="18"/>
        <v>3.1325508334014672E-2</v>
      </c>
      <c r="AB52" s="404">
        <f t="shared" si="7"/>
        <v>39428792.164210036</v>
      </c>
      <c r="AC52" s="405">
        <f t="shared" si="8"/>
        <v>13014968.742336014</v>
      </c>
      <c r="AD52" s="405">
        <f t="shared" si="19"/>
        <v>6715379.0781683419</v>
      </c>
      <c r="AE52" s="405">
        <f t="shared" si="20"/>
        <v>59159139.984714389</v>
      </c>
      <c r="AF52" s="428">
        <f t="shared" si="21"/>
        <v>6.8990525741466371E-2</v>
      </c>
    </row>
    <row r="53" spans="1:32">
      <c r="A53" s="21" t="s">
        <v>407</v>
      </c>
      <c r="B53" s="304" t="s">
        <v>346</v>
      </c>
      <c r="C53" s="394">
        <v>1119704293</v>
      </c>
      <c r="D53" s="394">
        <v>671271036.40999997</v>
      </c>
      <c r="E53" s="395">
        <f t="shared" si="0"/>
        <v>0.5995074240641497</v>
      </c>
      <c r="F53" s="396">
        <f t="shared" si="9"/>
        <v>402431969.88703114</v>
      </c>
      <c r="G53" s="403">
        <f t="shared" si="1"/>
        <v>0.25271231228612001</v>
      </c>
      <c r="H53" s="397">
        <v>132169</v>
      </c>
      <c r="I53" s="398">
        <f t="shared" si="2"/>
        <v>2.2849049225491413E-2</v>
      </c>
      <c r="J53" s="398">
        <f t="shared" si="10"/>
        <v>1.9421691841667702E-2</v>
      </c>
      <c r="K53" s="394">
        <v>70.8</v>
      </c>
      <c r="L53" s="431">
        <f t="shared" si="3"/>
        <v>1.103553191887325E-3</v>
      </c>
      <c r="M53" s="399">
        <f t="shared" si="11"/>
        <v>1.6553297878309873E-4</v>
      </c>
      <c r="N53" s="403">
        <f t="shared" si="12"/>
        <v>1.9587224820450801E-2</v>
      </c>
      <c r="O53" s="400">
        <v>4761</v>
      </c>
      <c r="P53" s="400">
        <v>6438</v>
      </c>
      <c r="Q53" s="401">
        <v>1.903799258</v>
      </c>
      <c r="R53" s="402">
        <f t="shared" si="13"/>
        <v>5.9857023716881298E-3</v>
      </c>
      <c r="S53" s="401">
        <f t="shared" si="4"/>
        <v>1.1395575733828702E-2</v>
      </c>
      <c r="T53" s="401">
        <f t="shared" si="14"/>
        <v>5.91040007131089E-3</v>
      </c>
      <c r="U53" s="400">
        <f t="shared" si="15"/>
        <v>1076981.4195953456</v>
      </c>
      <c r="V53" s="402">
        <f t="shared" si="5"/>
        <v>0.73951537744641194</v>
      </c>
      <c r="W53" s="402">
        <f t="shared" si="16"/>
        <v>9.8268664158151723E-3</v>
      </c>
      <c r="X53" s="400">
        <f t="shared" si="17"/>
        <v>315993.91347018047</v>
      </c>
      <c r="Y53" s="394">
        <f t="shared" si="6"/>
        <v>1392975.3330655261</v>
      </c>
      <c r="Z53" s="403">
        <f t="shared" si="18"/>
        <v>6.497870022986533E-3</v>
      </c>
      <c r="AB53" s="404">
        <f t="shared" si="7"/>
        <v>108349971.95426261</v>
      </c>
      <c r="AC53" s="405">
        <f t="shared" si="8"/>
        <v>4198994.5815438703</v>
      </c>
      <c r="AD53" s="405">
        <f t="shared" si="19"/>
        <v>1392975.3330655263</v>
      </c>
      <c r="AE53" s="405">
        <f t="shared" si="20"/>
        <v>113941941.868872</v>
      </c>
      <c r="AF53" s="428">
        <f t="shared" si="21"/>
        <v>0.13287742985391932</v>
      </c>
    </row>
    <row r="54" spans="1:32">
      <c r="A54" s="21" t="s">
        <v>408</v>
      </c>
      <c r="B54" s="304" t="s">
        <v>48</v>
      </c>
      <c r="C54" s="394">
        <v>274755070</v>
      </c>
      <c r="D54" s="394">
        <v>112141719.38</v>
      </c>
      <c r="E54" s="395">
        <f t="shared" si="0"/>
        <v>0.40815159254386096</v>
      </c>
      <c r="F54" s="396">
        <f t="shared" si="9"/>
        <v>45770821.355553754</v>
      </c>
      <c r="G54" s="403">
        <f t="shared" si="1"/>
        <v>2.8742373781198108E-2</v>
      </c>
      <c r="H54" s="397">
        <v>306322</v>
      </c>
      <c r="I54" s="398">
        <f t="shared" si="2"/>
        <v>5.2956188341070756E-2</v>
      </c>
      <c r="J54" s="398">
        <f t="shared" si="10"/>
        <v>4.5012760089910141E-2</v>
      </c>
      <c r="K54" s="394">
        <v>915.8</v>
      </c>
      <c r="L54" s="431">
        <f t="shared" si="3"/>
        <v>1.4274491710881529E-2</v>
      </c>
      <c r="M54" s="399">
        <f t="shared" si="11"/>
        <v>2.1411737566322292E-3</v>
      </c>
      <c r="N54" s="403">
        <f t="shared" si="12"/>
        <v>4.7153933846542373E-2</v>
      </c>
      <c r="O54" s="400">
        <v>43432</v>
      </c>
      <c r="P54" s="400">
        <v>47092</v>
      </c>
      <c r="Q54" s="401">
        <v>1.8493369051999999</v>
      </c>
      <c r="R54" s="402">
        <f t="shared" si="13"/>
        <v>4.378358125000581E-2</v>
      </c>
      <c r="S54" s="401">
        <f t="shared" si="4"/>
        <v>8.0970592647458484E-2</v>
      </c>
      <c r="T54" s="401">
        <f t="shared" si="14"/>
        <v>4.1995999827981793E-2</v>
      </c>
      <c r="U54" s="400">
        <f t="shared" si="15"/>
        <v>7652428.0871623345</v>
      </c>
      <c r="V54" s="402">
        <f t="shared" si="5"/>
        <v>0.92227979274611394</v>
      </c>
      <c r="W54" s="402">
        <f t="shared" si="16"/>
        <v>1.2255485954351926E-2</v>
      </c>
      <c r="X54" s="400">
        <f t="shared" si="17"/>
        <v>394088.89917969279</v>
      </c>
      <c r="Y54" s="394">
        <f t="shared" si="6"/>
        <v>8046516.9863420269</v>
      </c>
      <c r="Z54" s="403">
        <f t="shared" si="18"/>
        <v>3.7534922746937309E-2</v>
      </c>
      <c r="AB54" s="404">
        <f t="shared" si="7"/>
        <v>12323243.631935991</v>
      </c>
      <c r="AC54" s="405">
        <f t="shared" si="8"/>
        <v>10108584.270364881</v>
      </c>
      <c r="AD54" s="405">
        <f t="shared" si="19"/>
        <v>8046516.9863420278</v>
      </c>
      <c r="AE54" s="405">
        <f t="shared" si="20"/>
        <v>30478344.8886429</v>
      </c>
      <c r="AF54" s="428">
        <f t="shared" si="21"/>
        <v>3.5543401038968969E-2</v>
      </c>
    </row>
    <row r="55" spans="1:32">
      <c r="A55" s="21" t="s">
        <v>409</v>
      </c>
      <c r="B55" s="304" t="s">
        <v>49</v>
      </c>
      <c r="C55" s="394">
        <v>175563518</v>
      </c>
      <c r="D55" s="394">
        <v>85362095.170000002</v>
      </c>
      <c r="E55" s="395">
        <f t="shared" si="0"/>
        <v>0.48621772987027978</v>
      </c>
      <c r="F55" s="396">
        <f t="shared" si="9"/>
        <v>41504564.130528174</v>
      </c>
      <c r="G55" s="403">
        <f t="shared" si="1"/>
        <v>2.606332288858083E-2</v>
      </c>
      <c r="H55" s="397">
        <v>46784</v>
      </c>
      <c r="I55" s="398">
        <f t="shared" si="2"/>
        <v>8.0879019964242016E-3</v>
      </c>
      <c r="J55" s="398">
        <f t="shared" si="10"/>
        <v>6.8747166969605712E-3</v>
      </c>
      <c r="K55" s="394">
        <v>739.2</v>
      </c>
      <c r="L55" s="431">
        <f t="shared" si="3"/>
        <v>1.1521843494959192E-2</v>
      </c>
      <c r="M55" s="399">
        <f t="shared" si="11"/>
        <v>1.7282765242438787E-3</v>
      </c>
      <c r="N55" s="403">
        <f t="shared" si="12"/>
        <v>8.6029932212044503E-3</v>
      </c>
      <c r="O55" s="400">
        <v>7735</v>
      </c>
      <c r="P55" s="400">
        <v>5334</v>
      </c>
      <c r="Q55" s="401">
        <v>2.0438860060000001</v>
      </c>
      <c r="R55" s="402">
        <f t="shared" si="13"/>
        <v>4.9592631951824303E-3</v>
      </c>
      <c r="S55" s="401">
        <f t="shared" si="4"/>
        <v>1.0136168644704216E-2</v>
      </c>
      <c r="T55" s="401">
        <f t="shared" si="14"/>
        <v>5.2571992218554417E-3</v>
      </c>
      <c r="U55" s="400">
        <f t="shared" si="15"/>
        <v>957956.45180304092</v>
      </c>
      <c r="V55" s="402">
        <f t="shared" si="5"/>
        <v>1.4501312335958005</v>
      </c>
      <c r="W55" s="402">
        <f t="shared" si="16"/>
        <v>1.9269708720803205E-2</v>
      </c>
      <c r="X55" s="400">
        <f t="shared" si="17"/>
        <v>619639.10085491452</v>
      </c>
      <c r="Y55" s="394">
        <f t="shared" si="6"/>
        <v>1577595.5526579553</v>
      </c>
      <c r="Z55" s="403">
        <f t="shared" si="18"/>
        <v>7.3590756466976066E-3</v>
      </c>
      <c r="AB55" s="404">
        <f t="shared" si="7"/>
        <v>11174605.14078691</v>
      </c>
      <c r="AC55" s="405">
        <f t="shared" si="8"/>
        <v>1844259.3196346813</v>
      </c>
      <c r="AD55" s="405">
        <f t="shared" si="19"/>
        <v>1577595.5526579556</v>
      </c>
      <c r="AE55" s="405">
        <f t="shared" si="20"/>
        <v>14596460.013079548</v>
      </c>
      <c r="AF55" s="428">
        <f t="shared" si="21"/>
        <v>1.7022178661265926E-2</v>
      </c>
    </row>
    <row r="56" spans="1:32">
      <c r="A56" s="21" t="s">
        <v>410</v>
      </c>
      <c r="B56" s="304" t="s">
        <v>50</v>
      </c>
      <c r="C56" s="394">
        <v>4524382</v>
      </c>
      <c r="D56" s="394">
        <v>1456869</v>
      </c>
      <c r="E56" s="395">
        <f t="shared" si="0"/>
        <v>0.32200397755980814</v>
      </c>
      <c r="F56" s="396">
        <f t="shared" si="9"/>
        <v>469117.61278358015</v>
      </c>
      <c r="G56" s="403">
        <f t="shared" si="1"/>
        <v>2.9458841625818778E-4</v>
      </c>
      <c r="H56" s="397">
        <v>1552</v>
      </c>
      <c r="I56" s="398">
        <f t="shared" si="2"/>
        <v>2.6830591438206137E-4</v>
      </c>
      <c r="J56" s="398">
        <f t="shared" si="10"/>
        <v>2.2806002722475217E-4</v>
      </c>
      <c r="K56" s="394">
        <v>1764.9</v>
      </c>
      <c r="L56" s="431">
        <f t="shared" si="3"/>
        <v>2.7509336558784465E-2</v>
      </c>
      <c r="M56" s="399">
        <f t="shared" si="11"/>
        <v>4.1264004838176696E-3</v>
      </c>
      <c r="N56" s="403">
        <f t="shared" si="12"/>
        <v>4.354460511042422E-3</v>
      </c>
      <c r="O56" s="400">
        <v>549</v>
      </c>
      <c r="P56" s="400">
        <v>170</v>
      </c>
      <c r="Q56" s="401">
        <v>2.1071899398</v>
      </c>
      <c r="R56" s="402">
        <f t="shared" si="13"/>
        <v>1.5805675725178347E-4</v>
      </c>
      <c r="S56" s="401">
        <f t="shared" si="4"/>
        <v>3.3305560879836883E-4</v>
      </c>
      <c r="T56" s="401">
        <f t="shared" si="14"/>
        <v>1.7274176750444833E-4</v>
      </c>
      <c r="U56" s="400">
        <f t="shared" si="15"/>
        <v>31476.663465369693</v>
      </c>
      <c r="V56" s="402">
        <f t="shared" si="5"/>
        <v>3.2294117647058824</v>
      </c>
      <c r="W56" s="402">
        <f t="shared" si="16"/>
        <v>4.2913236129057078E-2</v>
      </c>
      <c r="X56" s="400">
        <f t="shared" si="17"/>
        <v>1379923.2481950666</v>
      </c>
      <c r="Y56" s="394">
        <f t="shared" si="6"/>
        <v>1411399.9116604363</v>
      </c>
      <c r="Z56" s="403">
        <f t="shared" si="18"/>
        <v>6.5838159217373434E-3</v>
      </c>
      <c r="AB56" s="404">
        <f t="shared" si="7"/>
        <v>126304.27995723099</v>
      </c>
      <c r="AC56" s="405">
        <f t="shared" si="8"/>
        <v>933483.75071099366</v>
      </c>
      <c r="AD56" s="405">
        <f t="shared" si="19"/>
        <v>1411399.9116604365</v>
      </c>
      <c r="AE56" s="405">
        <f t="shared" si="20"/>
        <v>2471187.9423286612</v>
      </c>
      <c r="AF56" s="428">
        <f t="shared" si="21"/>
        <v>2.8818633163240348E-3</v>
      </c>
    </row>
    <row r="57" spans="1:32">
      <c r="A57" s="21" t="s">
        <v>411</v>
      </c>
      <c r="B57" s="304" t="s">
        <v>51</v>
      </c>
      <c r="C57" s="394">
        <v>2896776</v>
      </c>
      <c r="D57" s="394">
        <v>668168</v>
      </c>
      <c r="E57" s="395">
        <f t="shared" si="0"/>
        <v>0.23065918800763333</v>
      </c>
      <c r="F57" s="396">
        <f t="shared" si="9"/>
        <v>154119.08833268433</v>
      </c>
      <c r="G57" s="403">
        <f t="shared" si="1"/>
        <v>9.6781056412875653E-5</v>
      </c>
      <c r="H57" s="397">
        <v>3573</v>
      </c>
      <c r="I57" s="398">
        <f t="shared" si="2"/>
        <v>6.1769138665406279E-4</v>
      </c>
      <c r="J57" s="398">
        <f t="shared" si="10"/>
        <v>5.2503767865595338E-4</v>
      </c>
      <c r="K57" s="394">
        <v>879.3</v>
      </c>
      <c r="L57" s="431">
        <f t="shared" si="3"/>
        <v>1.3705569514498939E-2</v>
      </c>
      <c r="M57" s="399">
        <f t="shared" si="11"/>
        <v>2.0558354271748409E-3</v>
      </c>
      <c r="N57" s="403">
        <f t="shared" si="12"/>
        <v>2.5808731058307942E-3</v>
      </c>
      <c r="O57" s="400">
        <v>1377</v>
      </c>
      <c r="P57" s="400">
        <v>417</v>
      </c>
      <c r="Q57" s="401">
        <v>1.7545098130000001</v>
      </c>
      <c r="R57" s="402">
        <f t="shared" si="13"/>
        <v>3.8770392808231595E-4</v>
      </c>
      <c r="S57" s="401">
        <f t="shared" si="4"/>
        <v>6.8023034635906966E-4</v>
      </c>
      <c r="T57" s="401">
        <f t="shared" si="14"/>
        <v>3.5280652610587192E-4</v>
      </c>
      <c r="U57" s="400">
        <f t="shared" si="15"/>
        <v>64287.707895166255</v>
      </c>
      <c r="V57" s="402">
        <f t="shared" si="5"/>
        <v>3.3021582733812949</v>
      </c>
      <c r="W57" s="402">
        <f t="shared" si="16"/>
        <v>4.3879910041151653E-2</v>
      </c>
      <c r="X57" s="400">
        <f t="shared" si="17"/>
        <v>1411007.7322622039</v>
      </c>
      <c r="Y57" s="394">
        <f t="shared" si="6"/>
        <v>1475295.4401573702</v>
      </c>
      <c r="Z57" s="403">
        <f t="shared" si="18"/>
        <v>6.8818720533627394E-3</v>
      </c>
      <c r="AB57" s="404">
        <f t="shared" si="7"/>
        <v>41494.712517870983</v>
      </c>
      <c r="AC57" s="405">
        <f t="shared" si="8"/>
        <v>553272.46643541567</v>
      </c>
      <c r="AD57" s="405">
        <f t="shared" si="19"/>
        <v>1475295.4401573704</v>
      </c>
      <c r="AE57" s="405">
        <f t="shared" si="20"/>
        <v>2070062.6191106569</v>
      </c>
      <c r="AF57" s="428">
        <f t="shared" si="21"/>
        <v>2.4140768180048208E-3</v>
      </c>
    </row>
    <row r="58" spans="1:32" ht="13.5" thickBot="1">
      <c r="B58" s="310" t="s">
        <v>52</v>
      </c>
      <c r="C58" s="406">
        <f>SUM(C7:C57)</f>
        <v>7728371151</v>
      </c>
      <c r="D58" s="406">
        <f>SUM(D7:D57)</f>
        <v>3390132264.2400002</v>
      </c>
      <c r="E58" s="407">
        <f t="shared" si="0"/>
        <v>0.43866064375044145</v>
      </c>
      <c r="F58" s="408">
        <f t="shared" ref="F58:K58" si="22">SUM(F7:F57)</f>
        <v>1592450982.0930254</v>
      </c>
      <c r="G58" s="417">
        <f t="shared" si="22"/>
        <v>0.99999999999999989</v>
      </c>
      <c r="H58" s="409">
        <f t="shared" si="22"/>
        <v>5784442</v>
      </c>
      <c r="I58" s="410">
        <f t="shared" si="22"/>
        <v>1.0000000000000002</v>
      </c>
      <c r="J58" s="410">
        <f t="shared" si="22"/>
        <v>0.8500000000000002</v>
      </c>
      <c r="K58" s="411">
        <f t="shared" si="22"/>
        <v>64156.400000000016</v>
      </c>
      <c r="L58" s="432">
        <f t="shared" si="3"/>
        <v>1</v>
      </c>
      <c r="M58" s="412">
        <f>SUM(M7:M57)</f>
        <v>0.14999999999999997</v>
      </c>
      <c r="N58" s="417">
        <f>SUM(N7:N57)</f>
        <v>0.99999999999999989</v>
      </c>
      <c r="O58" s="413">
        <f>SUM(O7:O57)</f>
        <v>964355</v>
      </c>
      <c r="P58" s="414">
        <f t="shared" ref="P58:Y58" si="23">SUM(P7:P57)</f>
        <v>1075563</v>
      </c>
      <c r="Q58" s="415">
        <f t="shared" si="23"/>
        <v>98.366423307599987</v>
      </c>
      <c r="R58" s="415">
        <f>SUM(R7:R57)</f>
        <v>0.99999999999999989</v>
      </c>
      <c r="S58" s="415">
        <f t="shared" si="23"/>
        <v>1.9280548856824229</v>
      </c>
      <c r="T58" s="415">
        <f t="shared" si="23"/>
        <v>1</v>
      </c>
      <c r="U58" s="414">
        <f t="shared" si="23"/>
        <v>182218023.58574986</v>
      </c>
      <c r="V58" s="415">
        <f>SUM(V7:V57)</f>
        <v>75.254444922162563</v>
      </c>
      <c r="W58" s="415">
        <f t="shared" si="23"/>
        <v>1</v>
      </c>
      <c r="X58" s="416">
        <f t="shared" si="23"/>
        <v>32156121.809249982</v>
      </c>
      <c r="Y58" s="413">
        <f t="shared" si="23"/>
        <v>214374145.39499986</v>
      </c>
      <c r="Z58" s="417">
        <f>SUM(Z7:Z57)</f>
        <v>0.99999999999999978</v>
      </c>
      <c r="AB58" s="418">
        <f>SUM(AB7:AB57)</f>
        <v>428748290.78999972</v>
      </c>
      <c r="AC58" s="419">
        <f>SUM(AC7:AC57)</f>
        <v>214374145.39499989</v>
      </c>
      <c r="AD58" s="419">
        <f>SUM(AD7:AD57)</f>
        <v>214374145.39499995</v>
      </c>
      <c r="AE58" s="419">
        <f>SUM(AE7:AE57)</f>
        <v>857496581.57999969</v>
      </c>
      <c r="AF58" s="429">
        <f>SUM(AF7:AF57)</f>
        <v>0.99999999999999978</v>
      </c>
    </row>
    <row r="59" spans="1:32" ht="13.5" thickTop="1">
      <c r="L59" s="420"/>
      <c r="S59" s="421"/>
    </row>
    <row r="60" spans="1:32" ht="86.45" customHeight="1">
      <c r="C60" s="468" t="s">
        <v>412</v>
      </c>
      <c r="D60" s="468"/>
      <c r="E60" s="468"/>
      <c r="F60" s="468"/>
      <c r="G60" s="468"/>
      <c r="L60" s="420"/>
      <c r="S60" s="421"/>
    </row>
    <row r="61" spans="1:32" s="1" customFormat="1">
      <c r="J61" s="422"/>
      <c r="M61" s="422"/>
      <c r="N61" s="423"/>
      <c r="S61" s="424"/>
      <c r="T61" s="424"/>
      <c r="Y61" s="422"/>
    </row>
    <row r="62" spans="1:32">
      <c r="S62" s="421"/>
    </row>
    <row r="63" spans="1:32">
      <c r="S63" s="421"/>
    </row>
    <row r="64" spans="1:32">
      <c r="S64" s="421"/>
    </row>
    <row r="65" spans="10:27">
      <c r="J65" s="2"/>
      <c r="M65" s="2"/>
      <c r="N65" s="2"/>
      <c r="S65" s="421"/>
      <c r="Y65" s="2"/>
      <c r="AA65" s="2"/>
    </row>
    <row r="66" spans="10:27">
      <c r="J66" s="2"/>
      <c r="M66" s="2"/>
      <c r="N66" s="2"/>
      <c r="S66" s="421"/>
      <c r="Y66" s="2"/>
      <c r="AA66" s="2"/>
    </row>
    <row r="67" spans="10:27">
      <c r="J67" s="2"/>
      <c r="M67" s="2"/>
      <c r="N67" s="2"/>
      <c r="S67" s="421"/>
      <c r="Y67" s="2"/>
      <c r="AA67" s="2"/>
    </row>
    <row r="68" spans="10:27">
      <c r="J68" s="2"/>
      <c r="M68" s="2"/>
      <c r="N68" s="2"/>
      <c r="S68" s="421"/>
      <c r="Y68" s="2"/>
      <c r="AA68" s="2"/>
    </row>
    <row r="69" spans="10:27">
      <c r="J69" s="2"/>
      <c r="M69" s="2"/>
      <c r="N69" s="2"/>
      <c r="S69" s="421"/>
      <c r="Y69" s="2"/>
      <c r="AA69" s="2"/>
    </row>
    <row r="70" spans="10:27">
      <c r="J70" s="2"/>
      <c r="M70" s="2"/>
      <c r="N70" s="2"/>
      <c r="S70" s="421"/>
      <c r="Y70" s="2"/>
      <c r="AA70" s="2"/>
    </row>
    <row r="71" spans="10:27">
      <c r="J71" s="2"/>
      <c r="M71" s="2"/>
      <c r="N71" s="2"/>
      <c r="S71" s="421"/>
      <c r="Y71" s="2"/>
      <c r="AA71" s="2"/>
    </row>
    <row r="72" spans="10:27">
      <c r="J72" s="2"/>
      <c r="M72" s="2"/>
      <c r="N72" s="2"/>
      <c r="S72" s="421"/>
      <c r="Y72" s="2"/>
      <c r="AA72" s="2"/>
    </row>
    <row r="73" spans="10:27">
      <c r="J73" s="2"/>
      <c r="M73" s="2"/>
      <c r="N73" s="2"/>
      <c r="S73" s="421"/>
      <c r="Y73" s="2"/>
      <c r="AA73" s="2"/>
    </row>
    <row r="74" spans="10:27">
      <c r="J74" s="2"/>
      <c r="M74" s="2"/>
      <c r="N74" s="2"/>
      <c r="S74" s="421"/>
      <c r="Y74" s="2"/>
      <c r="AA74" s="2"/>
    </row>
    <row r="75" spans="10:27">
      <c r="J75" s="2"/>
      <c r="M75" s="2"/>
      <c r="N75" s="2"/>
      <c r="S75" s="421"/>
      <c r="Y75" s="2"/>
      <c r="AA75" s="2"/>
    </row>
    <row r="76" spans="10:27">
      <c r="J76" s="2"/>
      <c r="M76" s="2"/>
      <c r="N76" s="2"/>
      <c r="S76" s="421"/>
      <c r="Y76" s="2"/>
      <c r="AA76" s="2"/>
    </row>
    <row r="77" spans="10:27">
      <c r="J77" s="2"/>
      <c r="M77" s="2"/>
      <c r="N77" s="2"/>
      <c r="S77" s="421"/>
      <c r="Y77" s="2"/>
      <c r="AA77" s="2"/>
    </row>
    <row r="78" spans="10:27">
      <c r="J78" s="2"/>
      <c r="M78" s="2"/>
      <c r="N78" s="2"/>
      <c r="S78" s="421"/>
      <c r="Y78" s="2"/>
      <c r="AA78" s="2"/>
    </row>
    <row r="79" spans="10:27">
      <c r="J79" s="2"/>
      <c r="M79" s="2"/>
      <c r="N79" s="2"/>
      <c r="S79" s="421"/>
      <c r="Y79" s="2"/>
      <c r="AA79" s="2"/>
    </row>
    <row r="80" spans="10:27">
      <c r="J80" s="2"/>
      <c r="M80" s="2"/>
      <c r="N80" s="2"/>
      <c r="S80" s="421"/>
      <c r="Y80" s="2"/>
      <c r="AA80" s="2"/>
    </row>
    <row r="81" spans="10:27">
      <c r="J81" s="2"/>
      <c r="M81" s="2"/>
      <c r="N81" s="2"/>
      <c r="S81" s="421"/>
      <c r="Y81" s="2"/>
      <c r="AA81" s="2"/>
    </row>
    <row r="82" spans="10:27">
      <c r="J82" s="2"/>
      <c r="M82" s="2"/>
      <c r="N82" s="2"/>
      <c r="S82" s="421"/>
      <c r="Y82" s="2"/>
      <c r="AA82" s="2"/>
    </row>
    <row r="83" spans="10:27">
      <c r="J83" s="2"/>
      <c r="M83" s="2"/>
      <c r="N83" s="2"/>
      <c r="S83" s="421"/>
      <c r="Y83" s="2"/>
      <c r="AA83" s="2"/>
    </row>
    <row r="84" spans="10:27">
      <c r="J84" s="2"/>
      <c r="M84" s="2"/>
      <c r="N84" s="2"/>
      <c r="S84" s="421"/>
      <c r="Y84" s="2"/>
      <c r="AA84" s="2"/>
    </row>
    <row r="85" spans="10:27">
      <c r="J85" s="2"/>
      <c r="M85" s="2"/>
      <c r="N85" s="2"/>
      <c r="S85" s="421"/>
      <c r="Y85" s="2"/>
      <c r="AA85" s="2"/>
    </row>
    <row r="86" spans="10:27">
      <c r="J86" s="2"/>
      <c r="M86" s="2"/>
      <c r="N86" s="2"/>
      <c r="S86" s="421"/>
      <c r="Y86" s="2"/>
      <c r="AA86" s="2"/>
    </row>
    <row r="87" spans="10:27">
      <c r="J87" s="2"/>
      <c r="M87" s="2"/>
      <c r="N87" s="2"/>
      <c r="S87" s="421"/>
      <c r="Y87" s="2"/>
      <c r="AA87" s="2"/>
    </row>
  </sheetData>
  <mergeCells count="7">
    <mergeCell ref="X3:Y3"/>
    <mergeCell ref="AB3:AF3"/>
    <mergeCell ref="C60:G60"/>
    <mergeCell ref="C3:G3"/>
    <mergeCell ref="H3:N3"/>
    <mergeCell ref="O3:R3"/>
    <mergeCell ref="S3:V3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>
    <oddHeader>&amp;LANEXO I</oddHeader>
  </headerFooter>
  <colBreaks count="2" manualBreakCount="2">
    <brk id="14" max="1048575" man="1"/>
    <brk id="2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showGridLines="0" zoomScaleSheetLayoutView="100" workbookViewId="0">
      <selection activeCell="A3" sqref="A3:A4"/>
    </sheetView>
  </sheetViews>
  <sheetFormatPr baseColWidth="10" defaultColWidth="9.7109375" defaultRowHeight="14.25"/>
  <cols>
    <col min="1" max="1" width="26.28515625" style="2" customWidth="1"/>
    <col min="2" max="2" width="12.7109375" style="2" customWidth="1"/>
    <col min="3" max="4" width="11.7109375" style="2" customWidth="1"/>
    <col min="5" max="6" width="11.140625" style="2" customWidth="1"/>
    <col min="7" max="7" width="11.5703125" style="2" customWidth="1"/>
    <col min="8" max="8" width="17" style="2" customWidth="1"/>
    <col min="9" max="9" width="13.28515625" style="2" bestFit="1" customWidth="1"/>
    <col min="10" max="10" width="11.7109375" style="2" customWidth="1"/>
    <col min="11" max="11" width="13.5703125" style="2" customWidth="1"/>
    <col min="12" max="14" width="11.7109375" style="2" customWidth="1"/>
    <col min="15" max="15" width="18.7109375" style="2" customWidth="1"/>
    <col min="16" max="16" width="19.42578125" style="294" customWidth="1"/>
    <col min="17" max="17" width="5.42578125" style="2" customWidth="1"/>
    <col min="18" max="16384" width="9.7109375" style="2"/>
  </cols>
  <sheetData>
    <row r="1" spans="1:19" ht="15.75">
      <c r="A1" s="469" t="s">
        <v>329</v>
      </c>
      <c r="B1" s="469"/>
      <c r="C1" s="469"/>
      <c r="D1" s="469"/>
      <c r="E1" s="469"/>
      <c r="F1" s="469"/>
      <c r="G1" s="469"/>
      <c r="H1" s="470"/>
      <c r="I1" s="470"/>
      <c r="J1" s="470"/>
      <c r="K1" s="470"/>
      <c r="L1" s="470"/>
      <c r="M1" s="470"/>
      <c r="N1" s="470"/>
      <c r="O1" s="470"/>
      <c r="P1" s="470"/>
    </row>
    <row r="2" spans="1:19" ht="8.25" customHeight="1" thickBot="1">
      <c r="H2" s="293"/>
    </row>
    <row r="3" spans="1:19" ht="13.5" thickBot="1">
      <c r="A3" s="471" t="s">
        <v>0</v>
      </c>
      <c r="B3" s="473" t="s">
        <v>330</v>
      </c>
      <c r="C3" s="474"/>
      <c r="D3" s="474"/>
      <c r="E3" s="474"/>
      <c r="F3" s="474"/>
      <c r="G3" s="474"/>
      <c r="H3" s="475"/>
      <c r="I3" s="473" t="s">
        <v>331</v>
      </c>
      <c r="J3" s="474"/>
      <c r="K3" s="474"/>
      <c r="L3" s="474"/>
      <c r="M3" s="474"/>
      <c r="N3" s="474"/>
      <c r="O3" s="475"/>
      <c r="P3" s="476" t="s">
        <v>431</v>
      </c>
    </row>
    <row r="4" spans="1:19" ht="60.75" thickBot="1">
      <c r="A4" s="472"/>
      <c r="B4" s="295" t="s">
        <v>96</v>
      </c>
      <c r="C4" s="296" t="s">
        <v>320</v>
      </c>
      <c r="D4" s="296" t="s">
        <v>98</v>
      </c>
      <c r="E4" s="296" t="s">
        <v>112</v>
      </c>
      <c r="F4" s="296" t="s">
        <v>124</v>
      </c>
      <c r="G4" s="296" t="s">
        <v>125</v>
      </c>
      <c r="H4" s="295" t="s">
        <v>332</v>
      </c>
      <c r="I4" s="295" t="s">
        <v>96</v>
      </c>
      <c r="J4" s="296" t="s">
        <v>320</v>
      </c>
      <c r="K4" s="296" t="s">
        <v>98</v>
      </c>
      <c r="L4" s="296" t="s">
        <v>112</v>
      </c>
      <c r="M4" s="296" t="s">
        <v>124</v>
      </c>
      <c r="N4" s="296" t="s">
        <v>125</v>
      </c>
      <c r="O4" s="295" t="s">
        <v>333</v>
      </c>
      <c r="P4" s="477"/>
    </row>
    <row r="5" spans="1:19" ht="15.75" thickBot="1">
      <c r="A5" s="297"/>
      <c r="B5" s="297"/>
      <c r="C5" s="297"/>
      <c r="D5" s="297"/>
      <c r="E5" s="297"/>
      <c r="F5" s="297"/>
      <c r="G5" s="297"/>
      <c r="H5" s="297"/>
      <c r="I5" s="298"/>
      <c r="J5" s="298"/>
      <c r="K5" s="298"/>
      <c r="L5" s="298"/>
      <c r="M5" s="298"/>
      <c r="N5" s="298"/>
      <c r="O5" s="298"/>
      <c r="P5" s="298"/>
      <c r="R5" s="344" t="s">
        <v>98</v>
      </c>
      <c r="S5" s="345" t="s">
        <v>326</v>
      </c>
    </row>
    <row r="6" spans="1:19" ht="12.75" customHeight="1" thickTop="1">
      <c r="A6" s="299" t="s">
        <v>1</v>
      </c>
      <c r="B6" s="300">
        <v>704723.62333333341</v>
      </c>
      <c r="C6" s="300">
        <v>96245.346666666665</v>
      </c>
      <c r="D6" s="300">
        <v>23664.570000000003</v>
      </c>
      <c r="E6" s="300">
        <v>39892.542500000003</v>
      </c>
      <c r="F6" s="300">
        <v>19619.877499999999</v>
      </c>
      <c r="G6" s="300">
        <v>4204.5625</v>
      </c>
      <c r="H6" s="301">
        <f>SUM(B6:G6)</f>
        <v>888350.52249999996</v>
      </c>
      <c r="I6" s="300">
        <f>+'COEF Art 14 F I '!AF7*'PART MES'!J$4</f>
        <v>98246.83540705427</v>
      </c>
      <c r="J6" s="300">
        <f>+'COEF Art 14 F I '!AF7*'PART MES'!J$5</f>
        <v>16348.49960767188</v>
      </c>
      <c r="K6" s="342">
        <f>+'COEF Art 14 F I '!AF7*'PART MES'!J$6</f>
        <v>-1212.0578327818064</v>
      </c>
      <c r="L6" s="300">
        <f>+'COEF Art 14 F I '!AF7*'PART MES'!J$7</f>
        <v>25649.776493450969</v>
      </c>
      <c r="M6" s="300">
        <f>+'COEF Art 14 F I '!AF7*'PART MES'!J$8</f>
        <v>1104.1615251253811</v>
      </c>
      <c r="N6" s="300">
        <f>+'COEF Art 14 F I '!AF7*'PART MES'!J$9</f>
        <v>136.06547861785396</v>
      </c>
      <c r="O6" s="302">
        <f>SUM(I6:N6)</f>
        <v>140273.28067913855</v>
      </c>
      <c r="P6" s="303">
        <f>SUM(O6,H6)</f>
        <v>1028623.8031791386</v>
      </c>
      <c r="R6" s="346">
        <v>23664.569363177787</v>
      </c>
      <c r="S6" s="347">
        <f>+R6/$R$57</f>
        <v>1.2861627117980734E-3</v>
      </c>
    </row>
    <row r="7" spans="1:19" ht="12.75" customHeight="1">
      <c r="A7" s="304" t="s">
        <v>2</v>
      </c>
      <c r="B7" s="305">
        <v>1355853.9383333332</v>
      </c>
      <c r="C7" s="306">
        <v>185171.36083333334</v>
      </c>
      <c r="D7" s="306">
        <v>45529.480833333335</v>
      </c>
      <c r="E7" s="306">
        <v>76751.309166666659</v>
      </c>
      <c r="F7" s="306">
        <v>37747.688333333332</v>
      </c>
      <c r="G7" s="306">
        <v>8089.373333333333</v>
      </c>
      <c r="H7" s="307">
        <f t="shared" ref="H7:H56" si="0">SUM(B7:G7)</f>
        <v>1709143.1508333329</v>
      </c>
      <c r="I7" s="305">
        <f>+'COEF Art 14 F I '!AF8*'PART MES'!J$4</f>
        <v>175746.18787117401</v>
      </c>
      <c r="J7" s="305">
        <f>+'COEF Art 14 F I '!AF8*'PART MES'!J$5</f>
        <v>29244.570286234561</v>
      </c>
      <c r="K7" s="343">
        <f>+'COEF Art 14 F I '!AF8*'PART MES'!J$6</f>
        <v>-2168.1567931246022</v>
      </c>
      <c r="L7" s="305">
        <f>+'COEF Art 14 F I '!AF8*'PART MES'!J$7</f>
        <v>45882.907269173847</v>
      </c>
      <c r="M7" s="305">
        <f>+'COEF Art 14 F I '!AF8*'PART MES'!J$8</f>
        <v>1975.149408434524</v>
      </c>
      <c r="N7" s="305">
        <f>+'COEF Art 14 F I '!AF8*'PART MES'!J$9</f>
        <v>243.39704244802158</v>
      </c>
      <c r="O7" s="308">
        <f t="shared" ref="O7:O56" si="1">SUM(I7:N7)</f>
        <v>250924.05508434036</v>
      </c>
      <c r="P7" s="309">
        <f t="shared" ref="P7:P56" si="2">SUM(O7,H7)</f>
        <v>1960067.2059176732</v>
      </c>
      <c r="R7" s="346">
        <v>45529.47982512763</v>
      </c>
      <c r="S7" s="347">
        <f t="shared" ref="S7:S56" si="3">+R7/$R$57</f>
        <v>2.4745144667520937E-3</v>
      </c>
    </row>
    <row r="8" spans="1:19" ht="12.75" customHeight="1">
      <c r="A8" s="304" t="s">
        <v>216</v>
      </c>
      <c r="B8" s="305">
        <v>1422791.0116666667</v>
      </c>
      <c r="C8" s="306">
        <v>194313.07499999998</v>
      </c>
      <c r="D8" s="306">
        <v>47777.223333333335</v>
      </c>
      <c r="E8" s="306">
        <v>80540.44</v>
      </c>
      <c r="F8" s="306">
        <v>39611.251666666671</v>
      </c>
      <c r="G8" s="306">
        <v>8488.7366666666658</v>
      </c>
      <c r="H8" s="307">
        <f t="shared" si="0"/>
        <v>1793521.7383333333</v>
      </c>
      <c r="I8" s="305">
        <f>+'COEF Art 14 F I '!AF9*'PART MES'!J$4</f>
        <v>222052.23103055023</v>
      </c>
      <c r="J8" s="305">
        <f>+'COEF Art 14 F I '!AF9*'PART MES'!J$5</f>
        <v>36950.002479417883</v>
      </c>
      <c r="K8" s="343">
        <f>+'COEF Art 14 F I '!AF9*'PART MES'!J$6</f>
        <v>-2739.4281433306001</v>
      </c>
      <c r="L8" s="305">
        <f>+'COEF Art 14 F I '!AF9*'PART MES'!J$7</f>
        <v>57972.249917342371</v>
      </c>
      <c r="M8" s="305">
        <f>+'COEF Art 14 F I '!AF9*'PART MES'!J$8</f>
        <v>2495.5666923657618</v>
      </c>
      <c r="N8" s="305">
        <f>+'COEF Art 14 F I '!AF9*'PART MES'!J$9</f>
        <v>307.52790121079789</v>
      </c>
      <c r="O8" s="308">
        <f t="shared" si="1"/>
        <v>317038.14987755648</v>
      </c>
      <c r="P8" s="309">
        <f t="shared" si="2"/>
        <v>2110559.8882108899</v>
      </c>
      <c r="R8" s="346">
        <v>47777.223019996163</v>
      </c>
      <c r="S8" s="347">
        <f t="shared" si="3"/>
        <v>2.5966786793591543E-3</v>
      </c>
    </row>
    <row r="9" spans="1:19" ht="12.75" customHeight="1">
      <c r="A9" s="304" t="s">
        <v>4</v>
      </c>
      <c r="B9" s="305">
        <v>3925005.1824999996</v>
      </c>
      <c r="C9" s="306">
        <v>536044.8716666667</v>
      </c>
      <c r="D9" s="306">
        <v>131801.40083333335</v>
      </c>
      <c r="E9" s="306">
        <v>222184.17249999999</v>
      </c>
      <c r="F9" s="306">
        <v>109274.21333333333</v>
      </c>
      <c r="G9" s="306">
        <v>23417.59</v>
      </c>
      <c r="H9" s="307">
        <f t="shared" si="0"/>
        <v>4947727.4308333322</v>
      </c>
      <c r="I9" s="305">
        <f>+'COEF Art 14 F I '!AF10*'PART MES'!J$4</f>
        <v>1043941.9974107245</v>
      </c>
      <c r="J9" s="305">
        <f>+'COEF Art 14 F I '!AF10*'PART MES'!J$5</f>
        <v>173714.35186070125</v>
      </c>
      <c r="K9" s="343">
        <f>+'COEF Art 14 F I '!AF10*'PART MES'!J$6</f>
        <v>-12878.970296489582</v>
      </c>
      <c r="L9" s="305">
        <f>+'COEF Art 14 F I '!AF10*'PART MES'!J$7</f>
        <v>272546.9863204289</v>
      </c>
      <c r="M9" s="305">
        <f>+'COEF Art 14 F I '!AF10*'PART MES'!J$8</f>
        <v>11732.495843023338</v>
      </c>
      <c r="N9" s="305">
        <f>+'COEF Art 14 F I '!AF10*'PART MES'!J$9</f>
        <v>1445.7917849308121</v>
      </c>
      <c r="O9" s="308">
        <f t="shared" si="1"/>
        <v>1490502.652923319</v>
      </c>
      <c r="P9" s="309">
        <f t="shared" si="2"/>
        <v>6438230.0837566517</v>
      </c>
      <c r="R9" s="346">
        <v>131801.40019490346</v>
      </c>
      <c r="S9" s="347">
        <f t="shared" si="3"/>
        <v>7.1633691571515029E-3</v>
      </c>
    </row>
    <row r="10" spans="1:19" ht="12.75" customHeight="1">
      <c r="A10" s="304" t="s">
        <v>334</v>
      </c>
      <c r="B10" s="305">
        <v>4927271.3049999997</v>
      </c>
      <c r="C10" s="306">
        <v>672926.1216666667</v>
      </c>
      <c r="D10" s="306">
        <v>165457.42666666667</v>
      </c>
      <c r="E10" s="306">
        <v>278919.80916666664</v>
      </c>
      <c r="F10" s="306">
        <v>137177.83083333334</v>
      </c>
      <c r="G10" s="306">
        <v>29397.366666666669</v>
      </c>
      <c r="H10" s="307">
        <f t="shared" si="0"/>
        <v>6211149.8600000003</v>
      </c>
      <c r="I10" s="305">
        <f>+'COEF Art 14 F I '!AF11*'PART MES'!J$4</f>
        <v>720065.11369482498</v>
      </c>
      <c r="J10" s="305">
        <f>+'COEF Art 14 F I '!AF11*'PART MES'!J$5</f>
        <v>119820.49274121258</v>
      </c>
      <c r="K10" s="343">
        <f>+'COEF Art 14 F I '!AF11*'PART MES'!J$6</f>
        <v>-8883.345275710215</v>
      </c>
      <c r="L10" s="305">
        <f>+'COEF Art 14 F I '!AF11*'PART MES'!J$7</f>
        <v>187990.88184857182</v>
      </c>
      <c r="M10" s="305">
        <f>+'COEF Art 14 F I '!AF11*'PART MES'!J$8</f>
        <v>8092.5577992690432</v>
      </c>
      <c r="N10" s="305">
        <f>+'COEF Art 14 F I '!AF11*'PART MES'!J$9</f>
        <v>997.24336081639308</v>
      </c>
      <c r="O10" s="308">
        <f t="shared" si="1"/>
        <v>1028082.9441689847</v>
      </c>
      <c r="P10" s="309">
        <f t="shared" si="2"/>
        <v>7239232.8041689852</v>
      </c>
      <c r="R10" s="346">
        <v>165457.4278770941</v>
      </c>
      <c r="S10" s="347">
        <f t="shared" si="3"/>
        <v>8.9925648280193768E-3</v>
      </c>
    </row>
    <row r="11" spans="1:19" ht="12.75" customHeight="1">
      <c r="A11" s="304" t="s">
        <v>6</v>
      </c>
      <c r="B11" s="305">
        <v>33832418.792499997</v>
      </c>
      <c r="C11" s="306">
        <v>4620553.0291666668</v>
      </c>
      <c r="D11" s="306">
        <v>1136090.2649999999</v>
      </c>
      <c r="E11" s="306">
        <v>1915163.8341666667</v>
      </c>
      <c r="F11" s="306">
        <v>941912.37749999994</v>
      </c>
      <c r="G11" s="306">
        <v>201852.905</v>
      </c>
      <c r="H11" s="307">
        <f t="shared" si="0"/>
        <v>42647991.203333333</v>
      </c>
      <c r="I11" s="305">
        <f>+'COEF Art 14 F I '!AF12*'PART MES'!J$4</f>
        <v>11459014.54847653</v>
      </c>
      <c r="J11" s="305">
        <f>+'COEF Art 14 F I '!AF12*'PART MES'!J$5</f>
        <v>1906806.403217989</v>
      </c>
      <c r="K11" s="343">
        <f>+'COEF Art 14 F I '!AF12*'PART MES'!J$6</f>
        <v>-141368.30241805839</v>
      </c>
      <c r="L11" s="305">
        <f>+'COEF Art 14 F I '!AF12*'PART MES'!J$7</f>
        <v>2991660.3500342565</v>
      </c>
      <c r="M11" s="305">
        <f>+'COEF Art 14 F I '!AF12*'PART MES'!J$8</f>
        <v>128783.82217460514</v>
      </c>
      <c r="N11" s="305">
        <f>+'COEF Art 14 F I '!AF12*'PART MES'!J$9</f>
        <v>15869.990036498008</v>
      </c>
      <c r="O11" s="308">
        <f t="shared" si="1"/>
        <v>16360766.811521821</v>
      </c>
      <c r="P11" s="309">
        <f t="shared" si="2"/>
        <v>59008758.014855154</v>
      </c>
      <c r="R11" s="346">
        <v>1136090.2620438039</v>
      </c>
      <c r="S11" s="347">
        <f t="shared" si="3"/>
        <v>6.1746187300212349E-2</v>
      </c>
    </row>
    <row r="12" spans="1:19" ht="12.75" customHeight="1">
      <c r="A12" s="304" t="s">
        <v>7</v>
      </c>
      <c r="B12" s="305">
        <v>5624512.020833333</v>
      </c>
      <c r="C12" s="306">
        <v>768149.51416666666</v>
      </c>
      <c r="D12" s="306">
        <v>188870.72166666668</v>
      </c>
      <c r="E12" s="306">
        <v>318388.76416666666</v>
      </c>
      <c r="F12" s="306">
        <v>156589.38</v>
      </c>
      <c r="G12" s="306">
        <v>33557.284166666665</v>
      </c>
      <c r="H12" s="307">
        <f t="shared" si="0"/>
        <v>7090067.6850000005</v>
      </c>
      <c r="I12" s="305">
        <f>+'COEF Art 14 F I '!AF13*'PART MES'!J$4</f>
        <v>649734.18261551904</v>
      </c>
      <c r="J12" s="305">
        <f>+'COEF Art 14 F I '!AF13*'PART MES'!J$5</f>
        <v>108117.26388510356</v>
      </c>
      <c r="K12" s="343">
        <f>+'COEF Art 14 F I '!AF13*'PART MES'!J$6</f>
        <v>-8015.6821540602987</v>
      </c>
      <c r="L12" s="305">
        <f>+'COEF Art 14 F I '!AF13*'PART MES'!J$7</f>
        <v>169629.24551406474</v>
      </c>
      <c r="M12" s="305">
        <f>+'COEF Art 14 F I '!AF13*'PART MES'!J$8</f>
        <v>7302.1332751378695</v>
      </c>
      <c r="N12" s="305">
        <f>+'COEF Art 14 F I '!AF13*'PART MES'!J$9</f>
        <v>899.83959448339658</v>
      </c>
      <c r="O12" s="308">
        <f t="shared" si="1"/>
        <v>927666.98273024813</v>
      </c>
      <c r="P12" s="309">
        <f t="shared" si="2"/>
        <v>8017734.6677302485</v>
      </c>
      <c r="R12" s="346">
        <v>188870.72079316419</v>
      </c>
      <c r="S12" s="347">
        <f t="shared" si="3"/>
        <v>1.0265070735349E-2</v>
      </c>
    </row>
    <row r="13" spans="1:19" ht="12.75" customHeight="1">
      <c r="A13" s="304" t="s">
        <v>8</v>
      </c>
      <c r="B13" s="305">
        <v>894327.21833333327</v>
      </c>
      <c r="C13" s="306">
        <v>122139.84333333334</v>
      </c>
      <c r="D13" s="306">
        <v>30031.445833333331</v>
      </c>
      <c r="E13" s="306">
        <v>50625.500833333332</v>
      </c>
      <c r="F13" s="306">
        <v>24898.541666666668</v>
      </c>
      <c r="G13" s="306">
        <v>5335.7858333333334</v>
      </c>
      <c r="H13" s="307">
        <f t="shared" si="0"/>
        <v>1127358.3358333334</v>
      </c>
      <c r="I13" s="305">
        <f>+'COEF Art 14 F I '!AF14*'PART MES'!J$4</f>
        <v>183667.9777843456</v>
      </c>
      <c r="J13" s="305">
        <f>+'COEF Art 14 F I '!AF14*'PART MES'!J$5</f>
        <v>30562.774366304558</v>
      </c>
      <c r="K13" s="343">
        <f>+'COEF Art 14 F I '!AF14*'PART MES'!J$6</f>
        <v>-2265.8868367858568</v>
      </c>
      <c r="L13" s="305">
        <f>+'COEF Art 14 F I '!AF14*'PART MES'!J$7</f>
        <v>47951.087275777252</v>
      </c>
      <c r="M13" s="305">
        <f>+'COEF Art 14 F I '!AF14*'PART MES'!J$8</f>
        <v>2064.1796107408909</v>
      </c>
      <c r="N13" s="305">
        <f>+'COEF Art 14 F I '!AF14*'PART MES'!J$9</f>
        <v>254.36820636978982</v>
      </c>
      <c r="O13" s="308">
        <f t="shared" si="1"/>
        <v>262234.50040675222</v>
      </c>
      <c r="P13" s="309">
        <f t="shared" si="2"/>
        <v>1389592.8362400858</v>
      </c>
      <c r="R13" s="346">
        <v>30031.445763236905</v>
      </c>
      <c r="S13" s="347">
        <f t="shared" si="3"/>
        <v>1.6322006595295487E-3</v>
      </c>
    </row>
    <row r="14" spans="1:19" ht="12.75" customHeight="1">
      <c r="A14" s="304" t="s">
        <v>335</v>
      </c>
      <c r="B14" s="305">
        <v>8889787.5516666677</v>
      </c>
      <c r="C14" s="306">
        <v>1214093.9450000001</v>
      </c>
      <c r="D14" s="306">
        <v>298518.44666666666</v>
      </c>
      <c r="E14" s="306">
        <v>503227.38416666671</v>
      </c>
      <c r="F14" s="306">
        <v>247496.37250000003</v>
      </c>
      <c r="G14" s="306">
        <v>53038.7575</v>
      </c>
      <c r="H14" s="307">
        <f t="shared" si="0"/>
        <v>11206162.457500003</v>
      </c>
      <c r="I14" s="305">
        <f>+'COEF Art 14 F I '!AF15*'PART MES'!J$4</f>
        <v>1794014.1371128613</v>
      </c>
      <c r="J14" s="305">
        <f>+'COEF Art 14 F I '!AF15*'PART MES'!J$5</f>
        <v>298528.08281539334</v>
      </c>
      <c r="K14" s="343">
        <f>+'COEF Art 14 F I '!AF15*'PART MES'!J$6</f>
        <v>-22132.50816680054</v>
      </c>
      <c r="L14" s="305">
        <f>+'COEF Art 14 F I '!AF15*'PART MES'!J$7</f>
        <v>468371.94757860026</v>
      </c>
      <c r="M14" s="305">
        <f>+'COEF Art 14 F I '!AF15*'PART MES'!J$8</f>
        <v>20162.292022169309</v>
      </c>
      <c r="N14" s="305">
        <f>+'COEF Art 14 F I '!AF15*'PART MES'!J$9</f>
        <v>2484.5929255847641</v>
      </c>
      <c r="O14" s="308">
        <f t="shared" si="1"/>
        <v>2561428.5442878082</v>
      </c>
      <c r="P14" s="309">
        <f t="shared" si="2"/>
        <v>13767591.001787812</v>
      </c>
      <c r="R14" s="346">
        <v>298518.44696887681</v>
      </c>
      <c r="S14" s="347">
        <f t="shared" si="3"/>
        <v>1.6224393919149784E-2</v>
      </c>
    </row>
    <row r="15" spans="1:19" ht="12.75" customHeight="1">
      <c r="A15" s="304" t="s">
        <v>336</v>
      </c>
      <c r="B15" s="305">
        <v>1539164.7558333334</v>
      </c>
      <c r="C15" s="306">
        <v>210206.44166666665</v>
      </c>
      <c r="D15" s="306">
        <v>51685.045000000006</v>
      </c>
      <c r="E15" s="306">
        <v>87128.05</v>
      </c>
      <c r="F15" s="306">
        <v>42851.158333333333</v>
      </c>
      <c r="G15" s="306">
        <v>9183.0524999999998</v>
      </c>
      <c r="H15" s="307">
        <f t="shared" si="0"/>
        <v>1940218.5033333334</v>
      </c>
      <c r="I15" s="305">
        <f>+'COEF Art 14 F I '!AF16*'PART MES'!J$4</f>
        <v>1329130.1076589515</v>
      </c>
      <c r="J15" s="305">
        <f>+'COEF Art 14 F I '!AF16*'PART MES'!J$5</f>
        <v>221170.31000112047</v>
      </c>
      <c r="K15" s="343">
        <f>+'COEF Art 14 F I '!AF16*'PART MES'!J$6</f>
        <v>-16397.297186210304</v>
      </c>
      <c r="L15" s="305">
        <f>+'COEF Art 14 F I '!AF16*'PART MES'!J$7</f>
        <v>347002.42558368127</v>
      </c>
      <c r="M15" s="305">
        <f>+'COEF Art 14 F I '!AF16*'PART MES'!J$8</f>
        <v>14937.624409807668</v>
      </c>
      <c r="N15" s="305">
        <f>+'COEF Art 14 F I '!AF16*'PART MES'!J$9</f>
        <v>1840.758773498671</v>
      </c>
      <c r="O15" s="308">
        <f t="shared" si="1"/>
        <v>1897683.9292408493</v>
      </c>
      <c r="P15" s="309">
        <f t="shared" si="2"/>
        <v>3837902.4325741827</v>
      </c>
      <c r="R15" s="346">
        <v>51685.045033164795</v>
      </c>
      <c r="S15" s="347">
        <f t="shared" si="3"/>
        <v>2.8090677104269162E-3</v>
      </c>
    </row>
    <row r="16" spans="1:19" s="1" customFormat="1" ht="12.75" customHeight="1">
      <c r="A16" s="304" t="s">
        <v>311</v>
      </c>
      <c r="B16" s="305">
        <v>2145901.9458333333</v>
      </c>
      <c r="C16" s="306">
        <v>293069.60833333334</v>
      </c>
      <c r="D16" s="306">
        <v>72059.237500000003</v>
      </c>
      <c r="E16" s="306">
        <v>121473.83916666667</v>
      </c>
      <c r="F16" s="306">
        <v>59743.041666666664</v>
      </c>
      <c r="G16" s="306">
        <v>12803.002500000001</v>
      </c>
      <c r="H16" s="307">
        <f t="shared" si="0"/>
        <v>2705050.6749999998</v>
      </c>
      <c r="I16" s="305">
        <f>+'COEF Art 14 F I '!AF17*'PART MES'!J$4</f>
        <v>508849.63659275731</v>
      </c>
      <c r="J16" s="305">
        <f>+'COEF Art 14 F I '!AF17*'PART MES'!J$5</f>
        <v>84673.75106520082</v>
      </c>
      <c r="K16" s="343">
        <f>+'COEF Art 14 F I '!AF17*'PART MES'!J$6</f>
        <v>-6277.6086902453371</v>
      </c>
      <c r="L16" s="305">
        <f>+'COEF Art 14 F I '!AF17*'PART MES'!J$7</f>
        <v>132847.83569161993</v>
      </c>
      <c r="M16" s="305">
        <f>+'COEF Art 14 F I '!AF17*'PART MES'!J$8</f>
        <v>5718.7815614813489</v>
      </c>
      <c r="N16" s="305">
        <f>+'COEF Art 14 F I '!AF17*'PART MES'!J$9</f>
        <v>704.72365914539444</v>
      </c>
      <c r="O16" s="308">
        <f t="shared" si="1"/>
        <v>726517.11987995938</v>
      </c>
      <c r="P16" s="309">
        <f t="shared" si="2"/>
        <v>3431567.794879959</v>
      </c>
      <c r="R16" s="346">
        <v>72059.237867003569</v>
      </c>
      <c r="S16" s="347">
        <f t="shared" si="3"/>
        <v>3.9163993801356982E-3</v>
      </c>
    </row>
    <row r="17" spans="1:19" ht="12.75" customHeight="1">
      <c r="A17" s="304" t="s">
        <v>12</v>
      </c>
      <c r="B17" s="305">
        <v>4513145.7774999999</v>
      </c>
      <c r="C17" s="306">
        <v>616368.26833333331</v>
      </c>
      <c r="D17" s="306">
        <v>151551.12083333332</v>
      </c>
      <c r="E17" s="306">
        <v>255477.25749999998</v>
      </c>
      <c r="F17" s="306">
        <v>125648.35833333334</v>
      </c>
      <c r="G17" s="306">
        <v>26926.587499999998</v>
      </c>
      <c r="H17" s="307">
        <f t="shared" si="0"/>
        <v>5689117.370000001</v>
      </c>
      <c r="I17" s="305">
        <f>+'COEF Art 14 F I '!AF18*'PART MES'!J$4</f>
        <v>633240.17404602212</v>
      </c>
      <c r="J17" s="305">
        <f>+'COEF Art 14 F I '!AF18*'PART MES'!J$5</f>
        <v>105372.62288460579</v>
      </c>
      <c r="K17" s="343">
        <f>+'COEF Art 14 F I '!AF18*'PART MES'!J$6</f>
        <v>-7812.1978158849297</v>
      </c>
      <c r="L17" s="305">
        <f>+'COEF Art 14 F I '!AF18*'PART MES'!J$7</f>
        <v>165323.07492306491</v>
      </c>
      <c r="M17" s="305">
        <f>+'COEF Art 14 F I '!AF18*'PART MES'!J$8</f>
        <v>7116.7629313291254</v>
      </c>
      <c r="N17" s="305">
        <f>+'COEF Art 14 F I '!AF18*'PART MES'!J$9</f>
        <v>876.99646512419451</v>
      </c>
      <c r="O17" s="308">
        <f t="shared" si="1"/>
        <v>904117.43343426113</v>
      </c>
      <c r="P17" s="309">
        <f t="shared" si="2"/>
        <v>6593234.8034342621</v>
      </c>
      <c r="R17" s="346">
        <v>151551.12096016455</v>
      </c>
      <c r="S17" s="347">
        <f t="shared" si="3"/>
        <v>8.2367609449702818E-3</v>
      </c>
    </row>
    <row r="18" spans="1:19" ht="12.75" customHeight="1">
      <c r="A18" s="304" t="s">
        <v>337</v>
      </c>
      <c r="B18" s="305">
        <v>2313598.33</v>
      </c>
      <c r="C18" s="306">
        <v>315972.19916666666</v>
      </c>
      <c r="D18" s="306">
        <v>77690.47083333334</v>
      </c>
      <c r="E18" s="306">
        <v>130966.68833333334</v>
      </c>
      <c r="F18" s="306">
        <v>64411.797499999993</v>
      </c>
      <c r="G18" s="306">
        <v>13803.522499999999</v>
      </c>
      <c r="H18" s="307">
        <f t="shared" si="0"/>
        <v>2916443.0083333333</v>
      </c>
      <c r="I18" s="305">
        <f>+'COEF Art 14 F I '!AF19*'PART MES'!J$4</f>
        <v>996804.32638607931</v>
      </c>
      <c r="J18" s="305">
        <f>+'COEF Art 14 F I '!AF19*'PART MES'!J$5</f>
        <v>165870.53487606128</v>
      </c>
      <c r="K18" s="343">
        <f>+'COEF Art 14 F I '!AF19*'PART MES'!J$6</f>
        <v>-12297.439266530209</v>
      </c>
      <c r="L18" s="305">
        <f>+'COEF Art 14 F I '!AF19*'PART MES'!J$7</f>
        <v>260240.5265632818</v>
      </c>
      <c r="M18" s="305">
        <f>+'COEF Art 14 F I '!AF19*'PART MES'!J$8</f>
        <v>11202.732186883288</v>
      </c>
      <c r="N18" s="305">
        <f>+'COEF Art 14 F I '!AF19*'PART MES'!J$9</f>
        <v>1380.5091756505667</v>
      </c>
      <c r="O18" s="308">
        <f t="shared" si="1"/>
        <v>1423201.1899214261</v>
      </c>
      <c r="P18" s="309">
        <f t="shared" si="2"/>
        <v>4339644.1982547594</v>
      </c>
      <c r="R18" s="346">
        <v>77690.471260862527</v>
      </c>
      <c r="S18" s="347">
        <f t="shared" si="3"/>
        <v>4.2224553366781896E-3</v>
      </c>
    </row>
    <row r="19" spans="1:19" ht="12.75" customHeight="1">
      <c r="A19" s="304" t="s">
        <v>14</v>
      </c>
      <c r="B19" s="305">
        <v>12659517.890833333</v>
      </c>
      <c r="C19" s="306">
        <v>1728932.6575</v>
      </c>
      <c r="D19" s="306">
        <v>425105.72833333333</v>
      </c>
      <c r="E19" s="306">
        <v>716621.8583333334</v>
      </c>
      <c r="F19" s="306">
        <v>352447.65250000003</v>
      </c>
      <c r="G19" s="306">
        <v>75529.9375</v>
      </c>
      <c r="H19" s="307">
        <f t="shared" si="0"/>
        <v>15958155.725000001</v>
      </c>
      <c r="I19" s="305">
        <f>+'COEF Art 14 F I '!AF20*'PART MES'!J$4</f>
        <v>1432898.7679341005</v>
      </c>
      <c r="J19" s="305">
        <f>+'COEF Art 14 F I '!AF20*'PART MES'!J$5</f>
        <v>238437.65397986709</v>
      </c>
      <c r="K19" s="343">
        <f>+'COEF Art 14 F I '!AF20*'PART MES'!J$6</f>
        <v>-17677.477020631086</v>
      </c>
      <c r="L19" s="305">
        <f>+'COEF Art 14 F I '!AF20*'PART MES'!J$7</f>
        <v>374093.81160191534</v>
      </c>
      <c r="M19" s="305">
        <f>+'COEF Art 14 F I '!AF20*'PART MES'!J$8</f>
        <v>16103.843776720723</v>
      </c>
      <c r="N19" s="305">
        <f>+'COEF Art 14 F I '!AF20*'PART MES'!J$9</f>
        <v>1984.4716205066454</v>
      </c>
      <c r="O19" s="308">
        <f t="shared" si="1"/>
        <v>2045841.0718924792</v>
      </c>
      <c r="P19" s="309">
        <f t="shared" si="2"/>
        <v>18003996.796892479</v>
      </c>
      <c r="R19" s="346">
        <v>425105.72737891838</v>
      </c>
      <c r="S19" s="347">
        <f t="shared" si="3"/>
        <v>2.3104377127492394E-2</v>
      </c>
    </row>
    <row r="20" spans="1:19" ht="12.75" customHeight="1">
      <c r="A20" s="304" t="s">
        <v>15</v>
      </c>
      <c r="B20" s="305">
        <v>1605700.4100000001</v>
      </c>
      <c r="C20" s="306">
        <v>219293.33333333334</v>
      </c>
      <c r="D20" s="306">
        <v>53919.307499999995</v>
      </c>
      <c r="E20" s="306">
        <v>90894.457500000004</v>
      </c>
      <c r="F20" s="306">
        <v>44703.545833333337</v>
      </c>
      <c r="G20" s="306">
        <v>9580.0216666666656</v>
      </c>
      <c r="H20" s="307">
        <f t="shared" si="0"/>
        <v>2024091.0758333334</v>
      </c>
      <c r="I20" s="305">
        <f>+'COEF Art 14 F I '!AF21*'PART MES'!J$4</f>
        <v>207649.98600390731</v>
      </c>
      <c r="J20" s="305">
        <f>+'COEF Art 14 F I '!AF21*'PART MES'!J$5</f>
        <v>34553.435748366101</v>
      </c>
      <c r="K20" s="343">
        <f>+'COEF Art 14 F I '!AF21*'PART MES'!J$6</f>
        <v>-2561.7496072041122</v>
      </c>
      <c r="L20" s="305">
        <f>+'COEF Art 14 F I '!AF21*'PART MES'!J$7</f>
        <v>54212.186151351765</v>
      </c>
      <c r="M20" s="305">
        <f>+'COEF Art 14 F I '!AF21*'PART MES'!J$8</f>
        <v>2333.7049411148337</v>
      </c>
      <c r="N20" s="305">
        <f>+'COEF Art 14 F I '!AF21*'PART MES'!J$9</f>
        <v>287.58172834321789</v>
      </c>
      <c r="O20" s="308">
        <f t="shared" si="1"/>
        <v>296475.1449658791</v>
      </c>
      <c r="P20" s="309">
        <f t="shared" si="2"/>
        <v>2320566.2207992123</v>
      </c>
      <c r="R20" s="346">
        <v>53919.307805389741</v>
      </c>
      <c r="S20" s="347">
        <f t="shared" si="3"/>
        <v>2.93049926584181E-3</v>
      </c>
    </row>
    <row r="21" spans="1:19" ht="12.75" customHeight="1">
      <c r="A21" s="304" t="s">
        <v>338</v>
      </c>
      <c r="B21" s="305">
        <v>1125483.1491666667</v>
      </c>
      <c r="C21" s="306">
        <v>153709.21583333335</v>
      </c>
      <c r="D21" s="306">
        <v>37793.645833333336</v>
      </c>
      <c r="E21" s="306">
        <v>63710.627500000002</v>
      </c>
      <c r="F21" s="306">
        <v>31334.04416666667</v>
      </c>
      <c r="G21" s="306">
        <v>6714.9216666666662</v>
      </c>
      <c r="H21" s="307">
        <f t="shared" si="0"/>
        <v>1418745.6041666665</v>
      </c>
      <c r="I21" s="305">
        <f>+'COEF Art 14 F I '!AF22*'PART MES'!J$4</f>
        <v>139241.5330119814</v>
      </c>
      <c r="J21" s="305">
        <f>+'COEF Art 14 F I '!AF22*'PART MES'!J$5</f>
        <v>23170.111672162428</v>
      </c>
      <c r="K21" s="343">
        <f>+'COEF Art 14 F I '!AF22*'PART MES'!J$6</f>
        <v>-1717.8038359859547</v>
      </c>
      <c r="L21" s="305">
        <f>+'COEF Art 14 F I '!AF22*'PART MES'!J$7</f>
        <v>36352.460469239268</v>
      </c>
      <c r="M21" s="305">
        <f>+'COEF Art 14 F I '!AF22*'PART MES'!J$8</f>
        <v>1564.8864700253375</v>
      </c>
      <c r="N21" s="305">
        <f>+'COEF Art 14 F I '!AF22*'PART MES'!J$9</f>
        <v>192.84046915366207</v>
      </c>
      <c r="O21" s="308">
        <f t="shared" si="1"/>
        <v>198804.02825657616</v>
      </c>
      <c r="P21" s="309">
        <f t="shared" si="2"/>
        <v>1617549.6324232426</v>
      </c>
      <c r="R21" s="346">
        <v>37793.646523106101</v>
      </c>
      <c r="S21" s="347">
        <f t="shared" si="3"/>
        <v>2.0540740951124816E-3</v>
      </c>
    </row>
    <row r="22" spans="1:19" ht="12.75" customHeight="1">
      <c r="A22" s="304" t="s">
        <v>17</v>
      </c>
      <c r="B22" s="305">
        <v>9806472.2149999999</v>
      </c>
      <c r="C22" s="306">
        <v>1339287.1841666668</v>
      </c>
      <c r="D22" s="306">
        <v>329300.65333333332</v>
      </c>
      <c r="E22" s="306">
        <v>555118.48083333333</v>
      </c>
      <c r="F22" s="306">
        <v>273017.35666666663</v>
      </c>
      <c r="G22" s="306">
        <v>58507.933333333327</v>
      </c>
      <c r="H22" s="307">
        <f t="shared" si="0"/>
        <v>12361703.823333332</v>
      </c>
      <c r="I22" s="305">
        <f>+'COEF Art 14 F I '!AF23*'PART MES'!J$4</f>
        <v>1338531.5575284569</v>
      </c>
      <c r="J22" s="305">
        <f>+'COEF Art 14 F I '!AF23*'PART MES'!J$5</f>
        <v>222734.7329045794</v>
      </c>
      <c r="K22" s="343">
        <f>+'COEF Art 14 F I '!AF23*'PART MES'!J$6</f>
        <v>-16513.28159330726</v>
      </c>
      <c r="L22" s="305">
        <f>+'COEF Art 14 F I '!AF23*'PART MES'!J$7</f>
        <v>349456.90757150395</v>
      </c>
      <c r="M22" s="305">
        <f>+'COEF Art 14 F I '!AF23*'PART MES'!J$8</f>
        <v>15043.283988391482</v>
      </c>
      <c r="N22" s="305">
        <f>+'COEF Art 14 F I '!AF23*'PART MES'!J$9</f>
        <v>1853.779170246271</v>
      </c>
      <c r="O22" s="308">
        <f t="shared" si="1"/>
        <v>1911106.979569871</v>
      </c>
      <c r="P22" s="309">
        <f t="shared" si="2"/>
        <v>14272810.802903203</v>
      </c>
      <c r="R22" s="346">
        <v>329300.65239736956</v>
      </c>
      <c r="S22" s="347">
        <f t="shared" si="3"/>
        <v>1.7897398156050848E-2</v>
      </c>
    </row>
    <row r="23" spans="1:19" ht="12.75" customHeight="1">
      <c r="A23" s="304" t="s">
        <v>339</v>
      </c>
      <c r="B23" s="305">
        <v>12140474.646666666</v>
      </c>
      <c r="C23" s="306">
        <v>1658046.0075000001</v>
      </c>
      <c r="D23" s="306">
        <v>407676.29249999998</v>
      </c>
      <c r="E23" s="306">
        <v>687240.19166666665</v>
      </c>
      <c r="F23" s="306">
        <v>337997.21500000003</v>
      </c>
      <c r="G23" s="306">
        <v>72433.191666666666</v>
      </c>
      <c r="H23" s="307">
        <f t="shared" si="0"/>
        <v>15303867.545</v>
      </c>
      <c r="I23" s="305">
        <f>+'COEF Art 14 F I '!AF24*'PART MES'!J$4</f>
        <v>5384111.7572549637</v>
      </c>
      <c r="J23" s="305">
        <f>+'COEF Art 14 F I '!AF24*'PART MES'!J$5</f>
        <v>895928.5923709682</v>
      </c>
      <c r="K23" s="343">
        <f>+'COEF Art 14 F I '!AF24*'PART MES'!J$6</f>
        <v>-66423.0537392447</v>
      </c>
      <c r="L23" s="305">
        <f>+'COEF Art 14 F I '!AF24*'PART MES'!J$7</f>
        <v>1405656.0968826429</v>
      </c>
      <c r="M23" s="305">
        <f>+'COEF Art 14 F I '!AF24*'PART MES'!J$8</f>
        <v>60510.132715269952</v>
      </c>
      <c r="N23" s="305">
        <f>+'COEF Art 14 F I '!AF24*'PART MES'!J$9</f>
        <v>7456.644686290937</v>
      </c>
      <c r="O23" s="308">
        <f t="shared" si="1"/>
        <v>7687240.1701708911</v>
      </c>
      <c r="P23" s="309">
        <f t="shared" si="2"/>
        <v>22991107.71517089</v>
      </c>
      <c r="R23" s="346">
        <v>407676.2913277577</v>
      </c>
      <c r="S23" s="347">
        <f t="shared" si="3"/>
        <v>2.215709216351781E-2</v>
      </c>
    </row>
    <row r="24" spans="1:19" ht="12.75" customHeight="1">
      <c r="A24" s="304" t="s">
        <v>19</v>
      </c>
      <c r="B24" s="305">
        <v>1884807.3591666666</v>
      </c>
      <c r="C24" s="306">
        <v>257411.46083333332</v>
      </c>
      <c r="D24" s="306">
        <v>63291.700000000004</v>
      </c>
      <c r="E24" s="306">
        <v>106693.96416666667</v>
      </c>
      <c r="F24" s="306">
        <v>52474.030833333331</v>
      </c>
      <c r="G24" s="306">
        <v>11245.245000000001</v>
      </c>
      <c r="H24" s="307">
        <f t="shared" si="0"/>
        <v>2375923.7600000002</v>
      </c>
      <c r="I24" s="305">
        <f>+'COEF Art 14 F I '!AF25*'PART MES'!J$4</f>
        <v>382060.53700866684</v>
      </c>
      <c r="J24" s="305">
        <f>+'COEF Art 14 F I '!AF25*'PART MES'!J$5</f>
        <v>63575.75298496196</v>
      </c>
      <c r="K24" s="343">
        <f>+'COEF Art 14 F I '!AF25*'PART MES'!J$6</f>
        <v>-4713.4288301455872</v>
      </c>
      <c r="L24" s="305">
        <f>+'COEF Art 14 F I '!AF25*'PART MES'!J$7</f>
        <v>99746.392243963492</v>
      </c>
      <c r="M24" s="305">
        <f>+'COEF Art 14 F I '!AF25*'PART MES'!J$8</f>
        <v>4293.8435979732512</v>
      </c>
      <c r="N24" s="305">
        <f>+'COEF Art 14 F I '!AF25*'PART MES'!J$9</f>
        <v>529.12900057996114</v>
      </c>
      <c r="O24" s="308">
        <f t="shared" si="1"/>
        <v>545492.22600599984</v>
      </c>
      <c r="P24" s="309">
        <f t="shared" si="2"/>
        <v>2921415.9860060001</v>
      </c>
      <c r="R24" s="346">
        <v>63291.699732990994</v>
      </c>
      <c r="S24" s="347">
        <f t="shared" si="3"/>
        <v>3.4398861400603939E-3</v>
      </c>
    </row>
    <row r="25" spans="1:19" ht="12.75" customHeight="1">
      <c r="A25" s="304" t="s">
        <v>20</v>
      </c>
      <c r="B25" s="305">
        <v>25764201.137499999</v>
      </c>
      <c r="C25" s="306">
        <v>3518662.3325</v>
      </c>
      <c r="D25" s="306">
        <v>865160.07833333325</v>
      </c>
      <c r="E25" s="306">
        <v>1458443.3508333333</v>
      </c>
      <c r="F25" s="306">
        <v>717288.94416666671</v>
      </c>
      <c r="G25" s="306">
        <v>153715.845</v>
      </c>
      <c r="H25" s="307">
        <f t="shared" si="0"/>
        <v>32477471.688333333</v>
      </c>
      <c r="I25" s="305">
        <f>+'COEF Art 14 F I '!AF26*'PART MES'!J$4</f>
        <v>7452514.9993468244</v>
      </c>
      <c r="J25" s="305">
        <f>+'COEF Art 14 F I '!AF26*'PART MES'!J$5</f>
        <v>1240115.6539871842</v>
      </c>
      <c r="K25" s="343">
        <f>+'COEF Art 14 F I '!AF26*'PART MES'!J$6</f>
        <v>-91940.66293797025</v>
      </c>
      <c r="L25" s="305">
        <f>+'COEF Art 14 F I '!AF26*'PART MES'!J$7</f>
        <v>1945664.1351891493</v>
      </c>
      <c r="M25" s="305">
        <f>+'COEF Art 14 F I '!AF26*'PART MES'!J$8</f>
        <v>83756.187093510496</v>
      </c>
      <c r="N25" s="305">
        <f>+'COEF Art 14 F I '!AF26*'PART MES'!J$9</f>
        <v>10321.248680342253</v>
      </c>
      <c r="O25" s="308">
        <f t="shared" si="1"/>
        <v>10640431.56135904</v>
      </c>
      <c r="P25" s="309">
        <f t="shared" si="2"/>
        <v>43117903.249692373</v>
      </c>
      <c r="R25" s="346">
        <v>865160.0785520327</v>
      </c>
      <c r="S25" s="347">
        <f t="shared" si="3"/>
        <v>4.7021207768155771E-2</v>
      </c>
    </row>
    <row r="26" spans="1:19" s="1" customFormat="1" ht="12.75" customHeight="1">
      <c r="A26" s="304" t="s">
        <v>340</v>
      </c>
      <c r="B26" s="305">
        <v>3803986.9175</v>
      </c>
      <c r="C26" s="306">
        <v>519517.19416666665</v>
      </c>
      <c r="D26" s="306">
        <v>127737.61583333333</v>
      </c>
      <c r="E26" s="306">
        <v>215333.64833333332</v>
      </c>
      <c r="F26" s="306">
        <v>105905.00166666666</v>
      </c>
      <c r="G26" s="306">
        <v>22695.563333333335</v>
      </c>
      <c r="H26" s="307">
        <f t="shared" si="0"/>
        <v>4795175.9408333339</v>
      </c>
      <c r="I26" s="305">
        <f>+'COEF Art 14 F I '!AF27*'PART MES'!J$4</f>
        <v>609004.22257397324</v>
      </c>
      <c r="J26" s="305">
        <f>+'COEF Art 14 F I '!AF27*'PART MES'!J$5</f>
        <v>101339.70476067101</v>
      </c>
      <c r="K26" s="343">
        <f>+'COEF Art 14 F I '!AF27*'PART MES'!J$6</f>
        <v>-7513.2021821333765</v>
      </c>
      <c r="L26" s="305">
        <f>+'COEF Art 14 F I '!AF27*'PART MES'!J$7</f>
        <v>158995.67785435947</v>
      </c>
      <c r="M26" s="305">
        <f>+'COEF Art 14 F I '!AF27*'PART MES'!J$8</f>
        <v>6844.3836223226908</v>
      </c>
      <c r="N26" s="305">
        <f>+'COEF Art 14 F I '!AF27*'PART MES'!J$9</f>
        <v>843.43124825852601</v>
      </c>
      <c r="O26" s="308">
        <f t="shared" si="1"/>
        <v>869514.21787745168</v>
      </c>
      <c r="P26" s="309">
        <f t="shared" si="2"/>
        <v>5664690.1587107852</v>
      </c>
      <c r="R26" s="346">
        <v>127737.61513930216</v>
      </c>
      <c r="S26" s="347">
        <f t="shared" si="3"/>
        <v>6.9425035784433852E-3</v>
      </c>
    </row>
    <row r="27" spans="1:19" ht="12.75" customHeight="1">
      <c r="A27" s="304" t="s">
        <v>22</v>
      </c>
      <c r="B27" s="305">
        <v>619383.84083333332</v>
      </c>
      <c r="C27" s="306">
        <v>84590.342499999999</v>
      </c>
      <c r="D27" s="306">
        <v>20798.865833333333</v>
      </c>
      <c r="E27" s="306">
        <v>35061.682500000003</v>
      </c>
      <c r="F27" s="306">
        <v>17243.9725</v>
      </c>
      <c r="G27" s="306">
        <v>3695.4033333333332</v>
      </c>
      <c r="H27" s="307">
        <f t="shared" si="0"/>
        <v>780774.10750000004</v>
      </c>
      <c r="I27" s="305">
        <f>+'COEF Art 14 F I '!AF28*'PART MES'!J$4</f>
        <v>121174.46393369575</v>
      </c>
      <c r="J27" s="305">
        <f>+'COEF Art 14 F I '!AF28*'PART MES'!J$5</f>
        <v>20163.709781308997</v>
      </c>
      <c r="K27" s="343">
        <f>+'COEF Art 14 F I '!AF28*'PART MES'!J$6</f>
        <v>-1494.9128644750924</v>
      </c>
      <c r="L27" s="305">
        <f>+'COEF Art 14 F I '!AF28*'PART MES'!J$7</f>
        <v>31635.603363056161</v>
      </c>
      <c r="M27" s="305">
        <f>+'COEF Art 14 F I '!AF28*'PART MES'!J$8</f>
        <v>1361.8370540785197</v>
      </c>
      <c r="N27" s="305">
        <f>+'COEF Art 14 F I '!AF28*'PART MES'!J$9</f>
        <v>167.81875327677329</v>
      </c>
      <c r="O27" s="308">
        <f t="shared" si="1"/>
        <v>173008.52002094113</v>
      </c>
      <c r="P27" s="309">
        <f t="shared" si="2"/>
        <v>953782.6275209412</v>
      </c>
      <c r="R27" s="346">
        <v>20798.86541523465</v>
      </c>
      <c r="S27" s="347">
        <f t="shared" si="3"/>
        <v>1.1304125054735054E-3</v>
      </c>
    </row>
    <row r="28" spans="1:19" ht="12.75" customHeight="1">
      <c r="A28" s="304" t="s">
        <v>23</v>
      </c>
      <c r="B28" s="305">
        <v>2829466.8350000004</v>
      </c>
      <c r="C28" s="306">
        <v>386425.27</v>
      </c>
      <c r="D28" s="306">
        <v>95013.299166666679</v>
      </c>
      <c r="E28" s="306">
        <v>160168.64166666666</v>
      </c>
      <c r="F28" s="306">
        <v>78773.848333333342</v>
      </c>
      <c r="G28" s="306">
        <v>16881.326666666668</v>
      </c>
      <c r="H28" s="307">
        <f t="shared" si="0"/>
        <v>3566729.2208333337</v>
      </c>
      <c r="I28" s="305">
        <f>+'COEF Art 14 F I '!AF29*'PART MES'!J$4</f>
        <v>347371.8442194658</v>
      </c>
      <c r="J28" s="305">
        <f>+'COEF Art 14 F I '!AF29*'PART MES'!J$5</f>
        <v>57803.474640267472</v>
      </c>
      <c r="K28" s="343">
        <f>+'COEF Art 14 F I '!AF29*'PART MES'!J$6</f>
        <v>-4285.4791498336044</v>
      </c>
      <c r="L28" s="305">
        <f>+'COEF Art 14 F I '!AF29*'PART MES'!J$7</f>
        <v>90690.047444595999</v>
      </c>
      <c r="M28" s="305">
        <f>+'COEF Art 14 F I '!AF29*'PART MES'!J$8</f>
        <v>3903.9896166614026</v>
      </c>
      <c r="N28" s="305">
        <f>+'COEF Art 14 F I '!AF29*'PART MES'!J$9</f>
        <v>481.08741667107688</v>
      </c>
      <c r="O28" s="308">
        <f t="shared" si="1"/>
        <v>495964.96418782818</v>
      </c>
      <c r="P28" s="309">
        <f t="shared" si="2"/>
        <v>4062694.185021162</v>
      </c>
      <c r="R28" s="346">
        <v>95013.298428436465</v>
      </c>
      <c r="S28" s="347">
        <f t="shared" si="3"/>
        <v>5.163946137711907E-3</v>
      </c>
    </row>
    <row r="29" spans="1:19" ht="12.75" customHeight="1">
      <c r="A29" s="304" t="s">
        <v>24</v>
      </c>
      <c r="B29" s="305">
        <v>2813963.7708333335</v>
      </c>
      <c r="C29" s="306">
        <v>384307.9891666667</v>
      </c>
      <c r="D29" s="306">
        <v>94492.707500000004</v>
      </c>
      <c r="E29" s="306">
        <v>159291.05416666667</v>
      </c>
      <c r="F29" s="306">
        <v>78342.235000000001</v>
      </c>
      <c r="G29" s="306">
        <v>16788.830833333333</v>
      </c>
      <c r="H29" s="307">
        <f t="shared" si="0"/>
        <v>3547186.5875000004</v>
      </c>
      <c r="I29" s="305">
        <f>+'COEF Art 14 F I '!AF30*'PART MES'!J$4</f>
        <v>1256979.0071393263</v>
      </c>
      <c r="J29" s="305">
        <f>+'COEF Art 14 F I '!AF30*'PART MES'!J$5</f>
        <v>209164.20075952454</v>
      </c>
      <c r="K29" s="343">
        <f>+'COEF Art 14 F I '!AF30*'PART MES'!J$6</f>
        <v>-15507.178881978796</v>
      </c>
      <c r="L29" s="305">
        <f>+'COEF Art 14 F I '!AF30*'PART MES'!J$7</f>
        <v>328165.5888100866</v>
      </c>
      <c r="M29" s="305">
        <f>+'COEF Art 14 F I '!AF30*'PART MES'!J$8</f>
        <v>14126.743643428254</v>
      </c>
      <c r="N29" s="305">
        <f>+'COEF Art 14 F I '!AF30*'PART MES'!J$9</f>
        <v>1740.8341908458763</v>
      </c>
      <c r="O29" s="308">
        <f t="shared" si="1"/>
        <v>1794669.1956612328</v>
      </c>
      <c r="P29" s="309">
        <f t="shared" si="2"/>
        <v>5341855.7831612332</v>
      </c>
      <c r="R29" s="346">
        <v>94492.706666042926</v>
      </c>
      <c r="S29" s="347">
        <f t="shared" si="3"/>
        <v>5.1356521213457504E-3</v>
      </c>
    </row>
    <row r="30" spans="1:19" ht="12.75" customHeight="1">
      <c r="A30" s="304" t="s">
        <v>25</v>
      </c>
      <c r="B30" s="305">
        <v>44064889.94833333</v>
      </c>
      <c r="C30" s="306">
        <v>6018019.6391666671</v>
      </c>
      <c r="D30" s="306">
        <v>1479695.9325000001</v>
      </c>
      <c r="E30" s="306">
        <v>2494396.9899999998</v>
      </c>
      <c r="F30" s="306">
        <v>1226789.7691666668</v>
      </c>
      <c r="G30" s="306">
        <v>262902.45750000002</v>
      </c>
      <c r="H30" s="307">
        <f t="shared" si="0"/>
        <v>55546694.736666664</v>
      </c>
      <c r="I30" s="305">
        <f>+'COEF Art 14 F I '!AF31*'PART MES'!J$4</f>
        <v>9655385.9495326634</v>
      </c>
      <c r="J30" s="305">
        <f>+'COEF Art 14 F I '!AF31*'PART MES'!J$5</f>
        <v>1606678.4518183204</v>
      </c>
      <c r="K30" s="343">
        <f>+'COEF Art 14 F I '!AF31*'PART MES'!J$6</f>
        <v>-119117.18194459197</v>
      </c>
      <c r="L30" s="305">
        <f>+'COEF Art 14 F I '!AF31*'PART MES'!J$7</f>
        <v>2520778.3084048056</v>
      </c>
      <c r="M30" s="305">
        <f>+'COEF Art 14 F I '!AF31*'PART MES'!J$8</f>
        <v>108513.4766075598</v>
      </c>
      <c r="N30" s="305">
        <f>+'COEF Art 14 F I '!AF31*'PART MES'!J$9</f>
        <v>13372.081706449895</v>
      </c>
      <c r="O30" s="308">
        <f t="shared" si="1"/>
        <v>13785611.086125206</v>
      </c>
      <c r="P30" s="309">
        <f t="shared" si="2"/>
        <v>69332305.822791874</v>
      </c>
      <c r="R30" s="346">
        <v>1479695.9318222941</v>
      </c>
      <c r="S30" s="347">
        <f t="shared" si="3"/>
        <v>8.0421059141284029E-2</v>
      </c>
    </row>
    <row r="31" spans="1:19" ht="12.75" customHeight="1">
      <c r="A31" s="304" t="s">
        <v>217</v>
      </c>
      <c r="B31" s="305">
        <v>1134652.82</v>
      </c>
      <c r="C31" s="306">
        <v>154961.53416666665</v>
      </c>
      <c r="D31" s="306">
        <v>38101.5625</v>
      </c>
      <c r="E31" s="306">
        <v>64229.698333333334</v>
      </c>
      <c r="F31" s="306">
        <v>31589.3325</v>
      </c>
      <c r="G31" s="306">
        <v>6769.63</v>
      </c>
      <c r="H31" s="307">
        <f t="shared" si="0"/>
        <v>1430304.5774999999</v>
      </c>
      <c r="I31" s="305">
        <f>+'COEF Art 14 F I '!AF32*'PART MES'!J$4</f>
        <v>126875.7081912704</v>
      </c>
      <c r="J31" s="305">
        <f>+'COEF Art 14 F I '!AF32*'PART MES'!J$5</f>
        <v>21112.409951874575</v>
      </c>
      <c r="K31" s="343">
        <f>+'COEF Art 14 F I '!AF32*'PART MES'!J$6</f>
        <v>-1565.2483386953593</v>
      </c>
      <c r="L31" s="305">
        <f>+'COEF Art 14 F I '!AF32*'PART MES'!J$7</f>
        <v>33124.054775618002</v>
      </c>
      <c r="M31" s="305">
        <f>+'COEF Art 14 F I '!AF32*'PART MES'!J$8</f>
        <v>1425.9113270917344</v>
      </c>
      <c r="N31" s="305">
        <f>+'COEF Art 14 F I '!AF32*'PART MES'!J$9</f>
        <v>175.71460585472298</v>
      </c>
      <c r="O31" s="308">
        <f t="shared" si="1"/>
        <v>181148.55051301411</v>
      </c>
      <c r="P31" s="309">
        <f t="shared" si="2"/>
        <v>1611453.1280130141</v>
      </c>
      <c r="R31" s="346">
        <v>38101.563498854877</v>
      </c>
      <c r="S31" s="347">
        <f t="shared" si="3"/>
        <v>2.0708092964364464E-3</v>
      </c>
    </row>
    <row r="32" spans="1:19" ht="12.75" customHeight="1">
      <c r="A32" s="304" t="s">
        <v>27</v>
      </c>
      <c r="B32" s="305">
        <v>1953129.38</v>
      </c>
      <c r="C32" s="306">
        <v>266742.32</v>
      </c>
      <c r="D32" s="306">
        <v>65585.948333333334</v>
      </c>
      <c r="E32" s="306">
        <v>110561.49333333333</v>
      </c>
      <c r="F32" s="306">
        <v>54376.151666666665</v>
      </c>
      <c r="G32" s="306">
        <v>11652.871666666666</v>
      </c>
      <c r="H32" s="307">
        <f t="shared" si="0"/>
        <v>2462048.1649999996</v>
      </c>
      <c r="I32" s="305">
        <f>+'COEF Art 14 F I '!AF33*'PART MES'!J$4</f>
        <v>240616.62038417943</v>
      </c>
      <c r="J32" s="305">
        <f>+'COEF Art 14 F I '!AF33*'PART MES'!J$5</f>
        <v>40039.159609080336</v>
      </c>
      <c r="K32" s="343">
        <f>+'COEF Art 14 F I '!AF33*'PART MES'!J$6</f>
        <v>-2968.4544873716195</v>
      </c>
      <c r="L32" s="305">
        <f>+'COEF Art 14 F I '!AF33*'PART MES'!J$7</f>
        <v>62818.944833113666</v>
      </c>
      <c r="M32" s="305">
        <f>+'COEF Art 14 F I '!AF33*'PART MES'!J$8</f>
        <v>2704.2053154501327</v>
      </c>
      <c r="N32" s="305">
        <f>+'COEF Art 14 F I '!AF33*'PART MES'!J$9</f>
        <v>333.23837333118922</v>
      </c>
      <c r="O32" s="308">
        <f t="shared" si="1"/>
        <v>343543.71402778313</v>
      </c>
      <c r="P32" s="309">
        <f t="shared" si="2"/>
        <v>2805591.8790277829</v>
      </c>
      <c r="R32" s="346">
        <v>65585.948282056095</v>
      </c>
      <c r="S32" s="347">
        <f t="shared" si="3"/>
        <v>3.56457790563276E-3</v>
      </c>
    </row>
    <row r="33" spans="1:19" ht="12.75" customHeight="1">
      <c r="A33" s="304" t="s">
        <v>28</v>
      </c>
      <c r="B33" s="305">
        <v>1120947.5666666667</v>
      </c>
      <c r="C33" s="306">
        <v>153089.78333333333</v>
      </c>
      <c r="D33" s="306">
        <v>37641.340833333335</v>
      </c>
      <c r="E33" s="306">
        <v>63453.880000000005</v>
      </c>
      <c r="F33" s="306">
        <v>31207.771666666667</v>
      </c>
      <c r="G33" s="306">
        <v>6687.8616666666667</v>
      </c>
      <c r="H33" s="307">
        <f t="shared" si="0"/>
        <v>1413028.2041666666</v>
      </c>
      <c r="I33" s="305">
        <f>+'COEF Art 14 F I '!AF34*'PART MES'!J$4</f>
        <v>179217.18736983434</v>
      </c>
      <c r="J33" s="305">
        <f>+'COEF Art 14 F I '!AF34*'PART MES'!J$5</f>
        <v>29822.152594173236</v>
      </c>
      <c r="K33" s="343">
        <f>+'COEF Art 14 F I '!AF34*'PART MES'!J$6</f>
        <v>-2210.9780413867206</v>
      </c>
      <c r="L33" s="305">
        <f>+'COEF Art 14 F I '!AF34*'PART MES'!J$7</f>
        <v>46789.097895881052</v>
      </c>
      <c r="M33" s="305">
        <f>+'COEF Art 14 F I '!AF34*'PART MES'!J$8</f>
        <v>2014.1587473539028</v>
      </c>
      <c r="N33" s="305">
        <f>+'COEF Art 14 F I '!AF34*'PART MES'!J$9</f>
        <v>248.20415105473438</v>
      </c>
      <c r="O33" s="308">
        <f t="shared" si="1"/>
        <v>255879.82271691054</v>
      </c>
      <c r="P33" s="309">
        <f t="shared" si="2"/>
        <v>1668908.0268835772</v>
      </c>
      <c r="R33" s="346">
        <v>37641.341349352639</v>
      </c>
      <c r="S33" s="347">
        <f t="shared" si="3"/>
        <v>2.0457963516095539E-3</v>
      </c>
    </row>
    <row r="34" spans="1:19" ht="12.75" customHeight="1">
      <c r="A34" s="304" t="s">
        <v>29</v>
      </c>
      <c r="B34" s="305">
        <v>1563598.0975000001</v>
      </c>
      <c r="C34" s="306">
        <v>213543.34666666668</v>
      </c>
      <c r="D34" s="306">
        <v>52505.515000000007</v>
      </c>
      <c r="E34" s="306">
        <v>88511.156666666662</v>
      </c>
      <c r="F34" s="306">
        <v>43531.395833333336</v>
      </c>
      <c r="G34" s="306">
        <v>9328.8283333333329</v>
      </c>
      <c r="H34" s="307">
        <f t="shared" si="0"/>
        <v>1971018.34</v>
      </c>
      <c r="I34" s="305">
        <f>+'COEF Art 14 F I '!AF35*'PART MES'!J$4</f>
        <v>213336.66143690029</v>
      </c>
      <c r="J34" s="305">
        <f>+'COEF Art 14 F I '!AF35*'PART MES'!J$5</f>
        <v>35499.711632979153</v>
      </c>
      <c r="K34" s="343">
        <f>+'COEF Art 14 F I '!AF35*'PART MES'!J$6</f>
        <v>-2631.9053478189608</v>
      </c>
      <c r="L34" s="305">
        <f>+'COEF Art 14 F I '!AF35*'PART MES'!J$7</f>
        <v>55696.834010417522</v>
      </c>
      <c r="M34" s="305">
        <f>+'COEF Art 14 F I '!AF35*'PART MES'!J$8</f>
        <v>2397.6154802479418</v>
      </c>
      <c r="N34" s="305">
        <f>+'COEF Art 14 F I '!AF35*'PART MES'!J$9</f>
        <v>295.457404046448</v>
      </c>
      <c r="O34" s="308">
        <f t="shared" si="1"/>
        <v>304594.3746167724</v>
      </c>
      <c r="P34" s="309">
        <f t="shared" si="2"/>
        <v>2275612.7146167727</v>
      </c>
      <c r="R34" s="346">
        <v>52505.514683049689</v>
      </c>
      <c r="S34" s="347">
        <f t="shared" si="3"/>
        <v>2.8536600059235737E-3</v>
      </c>
    </row>
    <row r="35" spans="1:19" ht="12.75" customHeight="1">
      <c r="A35" s="304" t="s">
        <v>30</v>
      </c>
      <c r="B35" s="305">
        <v>1490128.9891666668</v>
      </c>
      <c r="C35" s="306">
        <v>203509.54083333336</v>
      </c>
      <c r="D35" s="306">
        <v>50038.427499999998</v>
      </c>
      <c r="E35" s="306">
        <v>84352.264999999999</v>
      </c>
      <c r="F35" s="306">
        <v>41485.976666666662</v>
      </c>
      <c r="G35" s="306">
        <v>8890.4925000000003</v>
      </c>
      <c r="H35" s="307">
        <f t="shared" si="0"/>
        <v>1878405.6916666664</v>
      </c>
      <c r="I35" s="305">
        <f>+'COEF Art 14 F I '!AF36*'PART MES'!J$4</f>
        <v>221300.35887876523</v>
      </c>
      <c r="J35" s="305">
        <f>+'COEF Art 14 F I '!AF36*'PART MES'!J$5</f>
        <v>36824.889222308397</v>
      </c>
      <c r="K35" s="343">
        <f>+'COEF Art 14 F I '!AF36*'PART MES'!J$6</f>
        <v>-2730.152398956282</v>
      </c>
      <c r="L35" s="305">
        <f>+'COEF Art 14 F I '!AF36*'PART MES'!J$7</f>
        <v>57775.955018223911</v>
      </c>
      <c r="M35" s="305">
        <f>+'COEF Art 14 F I '!AF36*'PART MES'!J$8</f>
        <v>2487.1166664857974</v>
      </c>
      <c r="N35" s="305">
        <f>+'COEF Art 14 F I '!AF36*'PART MES'!J$9</f>
        <v>306.48660717045345</v>
      </c>
      <c r="O35" s="308">
        <f t="shared" si="1"/>
        <v>315964.65399399749</v>
      </c>
      <c r="P35" s="309">
        <f t="shared" si="2"/>
        <v>2194370.3456606641</v>
      </c>
      <c r="R35" s="346">
        <v>50038.427262133882</v>
      </c>
      <c r="S35" s="347">
        <f t="shared" si="3"/>
        <v>2.7195744961122136E-3</v>
      </c>
    </row>
    <row r="36" spans="1:19" ht="12.75" customHeight="1">
      <c r="A36" s="304" t="s">
        <v>341</v>
      </c>
      <c r="B36" s="305">
        <v>13819404.328333333</v>
      </c>
      <c r="C36" s="306">
        <v>1887340.3916666666</v>
      </c>
      <c r="D36" s="306">
        <v>464054.63416666671</v>
      </c>
      <c r="E36" s="306">
        <v>782279.96499999997</v>
      </c>
      <c r="F36" s="306">
        <v>384739.5025</v>
      </c>
      <c r="G36" s="306">
        <v>82450.117500000008</v>
      </c>
      <c r="H36" s="307">
        <f t="shared" si="0"/>
        <v>17420268.939166669</v>
      </c>
      <c r="I36" s="305">
        <f>+'COEF Art 14 F I '!AF37*'PART MES'!J$4</f>
        <v>6796403.3153194329</v>
      </c>
      <c r="J36" s="305">
        <f>+'COEF Art 14 F I '!AF37*'PART MES'!J$5</f>
        <v>1130937.1591840778</v>
      </c>
      <c r="K36" s="343">
        <f>+'COEF Art 14 F I '!AF37*'PART MES'!J$6</f>
        <v>-83846.302417244908</v>
      </c>
      <c r="L36" s="305">
        <f>+'COEF Art 14 F I '!AF37*'PART MES'!J$7</f>
        <v>1774369.8845365124</v>
      </c>
      <c r="M36" s="305">
        <f>+'COEF Art 14 F I '!AF37*'PART MES'!J$8</f>
        <v>76382.379329761912</v>
      </c>
      <c r="N36" s="305">
        <f>+'COEF Art 14 F I '!AF37*'PART MES'!J$9</f>
        <v>9412.5766610952778</v>
      </c>
      <c r="O36" s="308">
        <f t="shared" si="1"/>
        <v>9703659.0126136355</v>
      </c>
      <c r="P36" s="309">
        <f t="shared" si="2"/>
        <v>27123927.951780304</v>
      </c>
      <c r="R36" s="346">
        <v>464054.63280820294</v>
      </c>
      <c r="S36" s="347">
        <f t="shared" si="3"/>
        <v>2.5221239220340908E-2</v>
      </c>
    </row>
    <row r="37" spans="1:19" ht="12.75" customHeight="1">
      <c r="A37" s="304" t="s">
        <v>32</v>
      </c>
      <c r="B37" s="305">
        <v>2664241.8000000003</v>
      </c>
      <c r="C37" s="306">
        <v>363860.1958333333</v>
      </c>
      <c r="D37" s="306">
        <v>89465.054166666654</v>
      </c>
      <c r="E37" s="306">
        <v>150815.68833333332</v>
      </c>
      <c r="F37" s="306">
        <v>74173.896666666667</v>
      </c>
      <c r="G37" s="306">
        <v>15895.551666666666</v>
      </c>
      <c r="H37" s="307">
        <f t="shared" si="0"/>
        <v>3358452.186666667</v>
      </c>
      <c r="I37" s="305">
        <f>+'COEF Art 14 F I '!AF38*'PART MES'!J$4</f>
        <v>529380.43138043769</v>
      </c>
      <c r="J37" s="305">
        <f>+'COEF Art 14 F I '!AF38*'PART MES'!J$5</f>
        <v>88090.122586389625</v>
      </c>
      <c r="K37" s="343">
        <f>+'COEF Art 14 F I '!AF38*'PART MES'!J$6</f>
        <v>-6530.8943104135888</v>
      </c>
      <c r="L37" s="305">
        <f>+'COEF Art 14 F I '!AF38*'PART MES'!J$7</f>
        <v>138207.90958463712</v>
      </c>
      <c r="M37" s="305">
        <f>+'COEF Art 14 F I '!AF38*'PART MES'!J$8</f>
        <v>5949.5199215606153</v>
      </c>
      <c r="N37" s="305">
        <f>+'COEF Art 14 F I '!AF38*'PART MES'!J$9</f>
        <v>733.15747492802564</v>
      </c>
      <c r="O37" s="308">
        <f t="shared" si="1"/>
        <v>755830.24663753959</v>
      </c>
      <c r="P37" s="309">
        <f t="shared" si="2"/>
        <v>4114282.4333042065</v>
      </c>
      <c r="R37" s="346">
        <v>89465.052620637187</v>
      </c>
      <c r="S37" s="347">
        <f t="shared" si="3"/>
        <v>4.8624005332106486E-3</v>
      </c>
    </row>
    <row r="38" spans="1:19" s="1" customFormat="1" ht="12.75" customHeight="1">
      <c r="A38" s="304" t="s">
        <v>33</v>
      </c>
      <c r="B38" s="305">
        <v>9768195.6783333328</v>
      </c>
      <c r="C38" s="306">
        <v>1334059.69</v>
      </c>
      <c r="D38" s="306">
        <v>328015.33</v>
      </c>
      <c r="E38" s="306">
        <v>552951.74749999994</v>
      </c>
      <c r="F38" s="306">
        <v>271951.71833333332</v>
      </c>
      <c r="G38" s="306">
        <v>58279.565833333334</v>
      </c>
      <c r="H38" s="307">
        <f t="shared" si="0"/>
        <v>12313453.73</v>
      </c>
      <c r="I38" s="305">
        <f>+'COEF Art 14 F I '!AF39*'PART MES'!J$4</f>
        <v>1455468.1850755464</v>
      </c>
      <c r="J38" s="305">
        <f>+'COEF Art 14 F I '!AF39*'PART MES'!J$5</f>
        <v>242193.25695428939</v>
      </c>
      <c r="K38" s="343">
        <f>+'COEF Art 14 F I '!AF39*'PART MES'!J$6</f>
        <v>-17955.912847233245</v>
      </c>
      <c r="L38" s="305">
        <f>+'COEF Art 14 F I '!AF39*'PART MES'!J$7</f>
        <v>379986.11849268753</v>
      </c>
      <c r="M38" s="305">
        <f>+'COEF Art 14 F I '!AF39*'PART MES'!J$8</f>
        <v>16357.493494279975</v>
      </c>
      <c r="N38" s="305">
        <f>+'COEF Art 14 F I '!AF39*'PART MES'!J$9</f>
        <v>2015.7287956894741</v>
      </c>
      <c r="O38" s="308">
        <f t="shared" si="1"/>
        <v>2078064.8699652595</v>
      </c>
      <c r="P38" s="309">
        <f t="shared" si="2"/>
        <v>14391518.599965259</v>
      </c>
      <c r="R38" s="346">
        <v>328015.3308250329</v>
      </c>
      <c r="S38" s="347">
        <f t="shared" si="3"/>
        <v>1.7827541288865201E-2</v>
      </c>
    </row>
    <row r="39" spans="1:19" ht="12.75" customHeight="1">
      <c r="A39" s="304" t="s">
        <v>342</v>
      </c>
      <c r="B39" s="305">
        <v>2084203.2958333334</v>
      </c>
      <c r="C39" s="306">
        <v>284643.315</v>
      </c>
      <c r="D39" s="306">
        <v>69987.401666666658</v>
      </c>
      <c r="E39" s="306">
        <v>117981.24166666665</v>
      </c>
      <c r="F39" s="306">
        <v>58025.318333333329</v>
      </c>
      <c r="G39" s="306">
        <v>12434.8925</v>
      </c>
      <c r="H39" s="307">
        <f t="shared" si="0"/>
        <v>2627275.4650000003</v>
      </c>
      <c r="I39" s="305">
        <f>+'COEF Art 14 F I '!AF40*'PART MES'!J$4</f>
        <v>271060.6046646444</v>
      </c>
      <c r="J39" s="305">
        <f>+'COEF Art 14 F I '!AF40*'PART MES'!J$5</f>
        <v>45105.108685231578</v>
      </c>
      <c r="K39" s="343">
        <f>+'COEF Art 14 F I '!AF40*'PART MES'!J$6</f>
        <v>-3344.037776699372</v>
      </c>
      <c r="L39" s="305">
        <f>+'COEF Art 14 F I '!AF40*'PART MES'!J$7</f>
        <v>70767.103052446924</v>
      </c>
      <c r="M39" s="305">
        <f>+'COEF Art 14 F I '!AF40*'PART MES'!J$8</f>
        <v>3046.3545152155807</v>
      </c>
      <c r="N39" s="305">
        <f>+'COEF Art 14 F I '!AF40*'PART MES'!J$9</f>
        <v>375.40131196420759</v>
      </c>
      <c r="O39" s="308">
        <f t="shared" si="1"/>
        <v>387010.53445280332</v>
      </c>
      <c r="P39" s="309">
        <f t="shared" si="2"/>
        <v>3014285.9994528037</v>
      </c>
      <c r="R39" s="346">
        <v>69987.401504864523</v>
      </c>
      <c r="S39" s="347">
        <f t="shared" si="3"/>
        <v>3.8037956545814555E-3</v>
      </c>
    </row>
    <row r="40" spans="1:19" ht="12.75" customHeight="1">
      <c r="A40" s="304" t="s">
        <v>35</v>
      </c>
      <c r="B40" s="305">
        <v>2003343.1266666667</v>
      </c>
      <c r="C40" s="306">
        <v>273600.10000000003</v>
      </c>
      <c r="D40" s="306">
        <v>67272.122499999998</v>
      </c>
      <c r="E40" s="306">
        <v>113403.96083333333</v>
      </c>
      <c r="F40" s="306">
        <v>55774.129166666673</v>
      </c>
      <c r="G40" s="306">
        <v>11952.46</v>
      </c>
      <c r="H40" s="307">
        <f t="shared" si="0"/>
        <v>2525345.8991666669</v>
      </c>
      <c r="I40" s="305">
        <f>+'COEF Art 14 F I '!AF41*'PART MES'!J$4</f>
        <v>49985.303365345797</v>
      </c>
      <c r="J40" s="305">
        <f>+'COEF Art 14 F I '!AF41*'PART MES'!J$5</f>
        <v>8317.6695623016531</v>
      </c>
      <c r="K40" s="343">
        <f>+'COEF Art 14 F I '!AF41*'PART MES'!J$6</f>
        <v>-616.66188246091906</v>
      </c>
      <c r="L40" s="305">
        <f>+'COEF Art 14 F I '!AF41*'PART MES'!J$7</f>
        <v>13049.90490499203</v>
      </c>
      <c r="M40" s="305">
        <f>+'COEF Art 14 F I '!AF41*'PART MES'!J$8</f>
        <v>561.76719147304163</v>
      </c>
      <c r="N40" s="305">
        <f>+'COEF Art 14 F I '!AF41*'PART MES'!J$9</f>
        <v>69.226394907128594</v>
      </c>
      <c r="O40" s="308">
        <f t="shared" si="1"/>
        <v>71367.209536558745</v>
      </c>
      <c r="P40" s="309">
        <f t="shared" si="2"/>
        <v>2596713.1087032259</v>
      </c>
      <c r="R40" s="346">
        <v>67272.122591893116</v>
      </c>
      <c r="S40" s="347">
        <f t="shared" si="3"/>
        <v>3.656221006744024E-3</v>
      </c>
    </row>
    <row r="41" spans="1:19" ht="12.75" customHeight="1">
      <c r="A41" s="304" t="s">
        <v>36</v>
      </c>
      <c r="B41" s="305">
        <v>2155807.6983333332</v>
      </c>
      <c r="C41" s="306">
        <v>294422.45500000002</v>
      </c>
      <c r="D41" s="306">
        <v>72391.872499999998</v>
      </c>
      <c r="E41" s="306">
        <v>122034.5775</v>
      </c>
      <c r="F41" s="306">
        <v>60018.823333333334</v>
      </c>
      <c r="G41" s="306">
        <v>12862.102500000001</v>
      </c>
      <c r="H41" s="307">
        <f t="shared" si="0"/>
        <v>2717537.5291666668</v>
      </c>
      <c r="I41" s="305">
        <f>+'COEF Art 14 F I '!AF42*'PART MES'!J$4</f>
        <v>382344.60206756415</v>
      </c>
      <c r="J41" s="305">
        <f>+'COEF Art 14 F I '!AF42*'PART MES'!J$5</f>
        <v>63623.022064771969</v>
      </c>
      <c r="K41" s="343">
        <f>+'COEF Art 14 F I '!AF42*'PART MES'!J$6</f>
        <v>-4716.9333021036882</v>
      </c>
      <c r="L41" s="305">
        <f>+'COEF Art 14 F I '!AF42*'PART MES'!J$7</f>
        <v>99820.554482778898</v>
      </c>
      <c r="M41" s="305">
        <f>+'COEF Art 14 F I '!AF42*'PART MES'!J$8</f>
        <v>4297.036104962076</v>
      </c>
      <c r="N41" s="305">
        <f>+'COEF Art 14 F I '!AF42*'PART MES'!J$9</f>
        <v>529.52241221543352</v>
      </c>
      <c r="O41" s="308">
        <f t="shared" si="1"/>
        <v>545897.80383018893</v>
      </c>
      <c r="P41" s="309">
        <f t="shared" si="2"/>
        <v>3263435.3329968555</v>
      </c>
      <c r="R41" s="346">
        <v>72391.87306055201</v>
      </c>
      <c r="S41" s="347">
        <f t="shared" si="3"/>
        <v>3.9344780096686504E-3</v>
      </c>
    </row>
    <row r="42" spans="1:19" ht="12.75" customHeight="1">
      <c r="A42" s="304" t="s">
        <v>37</v>
      </c>
      <c r="B42" s="305">
        <v>2962851.1724999999</v>
      </c>
      <c r="C42" s="306">
        <v>404641.80333333329</v>
      </c>
      <c r="D42" s="306">
        <v>99492.335833333331</v>
      </c>
      <c r="E42" s="306">
        <v>167719.17666666667</v>
      </c>
      <c r="F42" s="306">
        <v>82487.339166666658</v>
      </c>
      <c r="G42" s="306">
        <v>17677.131666666664</v>
      </c>
      <c r="H42" s="307">
        <f t="shared" si="0"/>
        <v>3734868.959166667</v>
      </c>
      <c r="I42" s="305">
        <f>+'COEF Art 14 F I '!AF43*'PART MES'!J$4</f>
        <v>504419.94917600631</v>
      </c>
      <c r="J42" s="305">
        <f>+'COEF Art 14 F I '!AF43*'PART MES'!J$5</f>
        <v>83936.640880482722</v>
      </c>
      <c r="K42" s="343">
        <f>+'COEF Art 14 F I '!AF43*'PART MES'!J$6</f>
        <v>-6222.9602396565406</v>
      </c>
      <c r="L42" s="305">
        <f>+'COEF Art 14 F I '!AF43*'PART MES'!J$7</f>
        <v>131691.35577341428</v>
      </c>
      <c r="M42" s="305">
        <f>+'COEF Art 14 F I '!AF43*'PART MES'!J$8</f>
        <v>5668.9978672417956</v>
      </c>
      <c r="N42" s="305">
        <f>+'COEF Art 14 F I '!AF43*'PART MES'!J$9</f>
        <v>698.58883011003161</v>
      </c>
      <c r="O42" s="308">
        <f t="shared" si="1"/>
        <v>720192.57228759862</v>
      </c>
      <c r="P42" s="309">
        <f t="shared" si="2"/>
        <v>4455061.5314542651</v>
      </c>
      <c r="R42" s="346">
        <v>99492.334842977274</v>
      </c>
      <c r="S42" s="347">
        <f t="shared" si="3"/>
        <v>5.4073805113849785E-3</v>
      </c>
    </row>
    <row r="43" spans="1:19" s="1" customFormat="1" ht="12.75" customHeight="1">
      <c r="A43" s="304" t="s">
        <v>38</v>
      </c>
      <c r="B43" s="305">
        <v>6951122.4516666671</v>
      </c>
      <c r="C43" s="306">
        <v>949327.03749999998</v>
      </c>
      <c r="D43" s="306">
        <v>233418.20750000002</v>
      </c>
      <c r="E43" s="306">
        <v>393484.67583333334</v>
      </c>
      <c r="F43" s="306">
        <v>193522.91416666668</v>
      </c>
      <c r="G43" s="306">
        <v>41472.183333333334</v>
      </c>
      <c r="H43" s="307">
        <f t="shared" si="0"/>
        <v>8762347.4700000007</v>
      </c>
      <c r="I43" s="305">
        <f>+'COEF Art 14 F I '!AF44*'PART MES'!J$4</f>
        <v>1094512.8531285857</v>
      </c>
      <c r="J43" s="305">
        <f>+'COEF Art 14 F I '!AF44*'PART MES'!J$5</f>
        <v>182129.45868259209</v>
      </c>
      <c r="K43" s="343">
        <f>+'COEF Art 14 F I '!AF44*'PART MES'!J$6</f>
        <v>-13502.856058604535</v>
      </c>
      <c r="L43" s="305">
        <f>+'COEF Art 14 F I '!AF44*'PART MES'!J$7</f>
        <v>285749.76421013346</v>
      </c>
      <c r="M43" s="305">
        <f>+'COEF Art 14 F I '!AF44*'PART MES'!J$8</f>
        <v>12300.843850824107</v>
      </c>
      <c r="N43" s="305">
        <f>+'COEF Art 14 F I '!AF44*'PART MES'!J$9</f>
        <v>1515.8291317711071</v>
      </c>
      <c r="O43" s="308">
        <f t="shared" si="1"/>
        <v>1562705.892945302</v>
      </c>
      <c r="P43" s="309">
        <f t="shared" si="2"/>
        <v>10325053.362945303</v>
      </c>
      <c r="R43" s="346">
        <v>233418.20654612326</v>
      </c>
      <c r="S43" s="347">
        <f t="shared" si="3"/>
        <v>1.2686214099528012E-2</v>
      </c>
    </row>
    <row r="44" spans="1:19" ht="12.75" customHeight="1">
      <c r="A44" s="304" t="s">
        <v>39</v>
      </c>
      <c r="B44" s="305">
        <v>143854943.40416667</v>
      </c>
      <c r="C44" s="306">
        <v>19646523.017500002</v>
      </c>
      <c r="D44" s="306">
        <v>4830638.9716666667</v>
      </c>
      <c r="E44" s="306">
        <v>8143248.2474999996</v>
      </c>
      <c r="F44" s="306">
        <v>4004997.4716666662</v>
      </c>
      <c r="G44" s="306">
        <v>858275.56166666665</v>
      </c>
      <c r="H44" s="307">
        <f t="shared" si="0"/>
        <v>181338626.67416668</v>
      </c>
      <c r="I44" s="305">
        <f>+'COEF Art 14 F I '!AF45*'PART MES'!J$4</f>
        <v>37823300.665551111</v>
      </c>
      <c r="J44" s="305">
        <f>+'COEF Art 14 F I '!AF45*'PART MES'!J$5</f>
        <v>6293884.31219861</v>
      </c>
      <c r="K44" s="343">
        <f>+'COEF Art 14 F I '!AF45*'PART MES'!J$6</f>
        <v>-466620.91092707973</v>
      </c>
      <c r="L44" s="305">
        <f>+'COEF Art 14 F I '!AF45*'PART MES'!J$7</f>
        <v>9874712.038270114</v>
      </c>
      <c r="M44" s="305">
        <f>+'COEF Art 14 F I '!AF45*'PART MES'!J$8</f>
        <v>425082.73345516948</v>
      </c>
      <c r="N44" s="305">
        <f>+'COEF Art 14 F I '!AF45*'PART MES'!J$9</f>
        <v>52382.811992290226</v>
      </c>
      <c r="O44" s="308">
        <f t="shared" si="1"/>
        <v>54002741.65054021</v>
      </c>
      <c r="P44" s="309">
        <f t="shared" si="2"/>
        <v>235341368.32470688</v>
      </c>
      <c r="R44" s="346">
        <v>4830638.967623163</v>
      </c>
      <c r="S44" s="347">
        <f t="shared" si="3"/>
        <v>0.26254387388021094</v>
      </c>
    </row>
    <row r="45" spans="1:19" ht="12.75" customHeight="1">
      <c r="A45" s="304" t="s">
        <v>343</v>
      </c>
      <c r="B45" s="305">
        <v>764125.10666666657</v>
      </c>
      <c r="C45" s="306">
        <v>104357.91166666667</v>
      </c>
      <c r="D45" s="306">
        <v>25659.267500000002</v>
      </c>
      <c r="E45" s="306">
        <v>43255.103333333333</v>
      </c>
      <c r="F45" s="306">
        <v>21273.645833333332</v>
      </c>
      <c r="G45" s="306">
        <v>4558.9666666666662</v>
      </c>
      <c r="H45" s="307">
        <f t="shared" si="0"/>
        <v>963230.00166666647</v>
      </c>
      <c r="I45" s="305">
        <f>+'COEF Art 14 F I '!AF46*'PART MES'!J$4</f>
        <v>253814.3992872524</v>
      </c>
      <c r="J45" s="305">
        <f>+'COEF Art 14 F I '!AF46*'PART MES'!J$5</f>
        <v>42235.30040410014</v>
      </c>
      <c r="K45" s="343">
        <f>+'COEF Art 14 F I '!AF46*'PART MES'!J$6</f>
        <v>-3131.2736889114535</v>
      </c>
      <c r="L45" s="305">
        <f>+'COEF Art 14 F I '!AF46*'PART MES'!J$7</f>
        <v>66264.552802787744</v>
      </c>
      <c r="M45" s="305">
        <f>+'COEF Art 14 F I '!AF46*'PART MES'!J$8</f>
        <v>2852.5304968313771</v>
      </c>
      <c r="N45" s="305">
        <f>+'COEF Art 14 F I '!AF46*'PART MES'!J$9</f>
        <v>351.51643893705909</v>
      </c>
      <c r="O45" s="308">
        <f t="shared" si="1"/>
        <v>362387.02574099728</v>
      </c>
      <c r="P45" s="309">
        <f t="shared" si="2"/>
        <v>1325617.0274076639</v>
      </c>
      <c r="R45" s="346">
        <v>25659.267837097028</v>
      </c>
      <c r="S45" s="347">
        <f t="shared" si="3"/>
        <v>1.3945740147490323E-3</v>
      </c>
    </row>
    <row r="46" spans="1:19" s="1" customFormat="1" ht="12.75" customHeight="1">
      <c r="A46" s="304" t="s">
        <v>344</v>
      </c>
      <c r="B46" s="305">
        <v>3188365.8625000003</v>
      </c>
      <c r="C46" s="306">
        <v>435440.7416666667</v>
      </c>
      <c r="D46" s="306">
        <v>107065.10333333333</v>
      </c>
      <c r="E46" s="306">
        <v>180484.96666666667</v>
      </c>
      <c r="F46" s="306">
        <v>88765.786666666667</v>
      </c>
      <c r="G46" s="306">
        <v>19022.61</v>
      </c>
      <c r="H46" s="307">
        <f t="shared" si="0"/>
        <v>4019145.0708333338</v>
      </c>
      <c r="I46" s="305">
        <f>+'COEF Art 14 F I '!AF47*'PART MES'!J$4</f>
        <v>1837848.9248427285</v>
      </c>
      <c r="J46" s="305">
        <f>+'COEF Art 14 F I '!AF47*'PART MES'!J$5</f>
        <v>305822.29241547844</v>
      </c>
      <c r="K46" s="343">
        <f>+'COEF Art 14 F I '!AF47*'PART MES'!J$6</f>
        <v>-22673.29197521722</v>
      </c>
      <c r="L46" s="305">
        <f>+'COEF Art 14 F I '!AF47*'PART MES'!J$7</f>
        <v>479816.10761948675</v>
      </c>
      <c r="M46" s="305">
        <f>+'COEF Art 14 F I '!AF47*'PART MES'!J$8</f>
        <v>20654.935738099954</v>
      </c>
      <c r="N46" s="305">
        <f>+'COEF Art 14 F I '!AF47*'PART MES'!J$9</f>
        <v>2545.3012562690537</v>
      </c>
      <c r="O46" s="308">
        <f t="shared" si="1"/>
        <v>2624014.2698968453</v>
      </c>
      <c r="P46" s="309">
        <f t="shared" si="2"/>
        <v>6643159.3407301791</v>
      </c>
      <c r="R46" s="346">
        <v>107065.10320869443</v>
      </c>
      <c r="S46" s="347">
        <f t="shared" si="3"/>
        <v>5.8189583494429424E-3</v>
      </c>
    </row>
    <row r="47" spans="1:19" ht="12.75" customHeight="1">
      <c r="A47" s="304" t="s">
        <v>218</v>
      </c>
      <c r="B47" s="305">
        <v>1575781.9308333334</v>
      </c>
      <c r="C47" s="306">
        <v>215207.31416666668</v>
      </c>
      <c r="D47" s="306">
        <v>52914.647499999999</v>
      </c>
      <c r="E47" s="306">
        <v>89200.851666666669</v>
      </c>
      <c r="F47" s="306">
        <v>43870.6</v>
      </c>
      <c r="G47" s="306">
        <v>9401.52</v>
      </c>
      <c r="H47" s="307">
        <f t="shared" si="0"/>
        <v>1986376.8641666668</v>
      </c>
      <c r="I47" s="305">
        <f>+'COEF Art 14 F I '!AF48*'PART MES'!J$4</f>
        <v>281168.10541298683</v>
      </c>
      <c r="J47" s="305">
        <f>+'COEF Art 14 F I '!AF48*'PART MES'!J$5</f>
        <v>46787.020080486102</v>
      </c>
      <c r="K47" s="343">
        <f>+'COEF Art 14 F I '!AF48*'PART MES'!J$6</f>
        <v>-3468.732637364541</v>
      </c>
      <c r="L47" s="305">
        <f>+'COEF Art 14 F I '!AF48*'PART MES'!J$7</f>
        <v>73405.917158043638</v>
      </c>
      <c r="M47" s="305">
        <f>+'COEF Art 14 F I '!AF48*'PART MES'!J$8</f>
        <v>3159.9491505568267</v>
      </c>
      <c r="N47" s="305">
        <f>+'COEF Art 14 F I '!AF48*'PART MES'!J$9</f>
        <v>389.39954326861039</v>
      </c>
      <c r="O47" s="308">
        <f t="shared" si="1"/>
        <v>401441.65870797745</v>
      </c>
      <c r="P47" s="309">
        <f t="shared" si="2"/>
        <v>2387818.522874644</v>
      </c>
      <c r="R47" s="346">
        <v>52914.648243807671</v>
      </c>
      <c r="S47" s="347">
        <f t="shared" si="3"/>
        <v>2.8758963002721571E-3</v>
      </c>
    </row>
    <row r="48" spans="1:19" ht="12.75" customHeight="1">
      <c r="A48" s="304" t="s">
        <v>43</v>
      </c>
      <c r="B48" s="305">
        <v>1765780.7975000001</v>
      </c>
      <c r="C48" s="306">
        <v>241155.79416666666</v>
      </c>
      <c r="D48" s="306">
        <v>59294.795833333337</v>
      </c>
      <c r="E48" s="306">
        <v>99956.184999999998</v>
      </c>
      <c r="F48" s="306">
        <v>49160.268333333333</v>
      </c>
      <c r="G48" s="306">
        <v>10535.101666666667</v>
      </c>
      <c r="H48" s="307">
        <f t="shared" si="0"/>
        <v>2225882.9425000004</v>
      </c>
      <c r="I48" s="305">
        <f>+'COEF Art 14 F I '!AF49*'PART MES'!J$4</f>
        <v>258653.86793035863</v>
      </c>
      <c r="J48" s="305">
        <f>+'COEF Art 14 F I '!AF49*'PART MES'!J$5</f>
        <v>43040.599128332455</v>
      </c>
      <c r="K48" s="343">
        <f>+'COEF Art 14 F I '!AF49*'PART MES'!J$6</f>
        <v>-3190.9775547008821</v>
      </c>
      <c r="L48" s="305">
        <f>+'COEF Art 14 F I '!AF49*'PART MES'!J$7</f>
        <v>67528.016287677019</v>
      </c>
      <c r="M48" s="305">
        <f>+'COEF Art 14 F I '!AF49*'PART MES'!J$8</f>
        <v>2906.9195777175892</v>
      </c>
      <c r="N48" s="305">
        <f>+'COEF Art 14 F I '!AF49*'PART MES'!J$9</f>
        <v>358.21878832523151</v>
      </c>
      <c r="O48" s="308">
        <f t="shared" si="1"/>
        <v>369296.64415771008</v>
      </c>
      <c r="P48" s="309">
        <f t="shared" si="2"/>
        <v>2595179.5866577104</v>
      </c>
      <c r="R48" s="346">
        <v>59294.795454785053</v>
      </c>
      <c r="S48" s="347">
        <f t="shared" si="3"/>
        <v>3.222655512857281E-3</v>
      </c>
    </row>
    <row r="49" spans="1:19" ht="12.75" customHeight="1">
      <c r="A49" s="304" t="s">
        <v>44</v>
      </c>
      <c r="B49" s="305">
        <v>5080428.2283333335</v>
      </c>
      <c r="C49" s="306">
        <v>693843.03249999997</v>
      </c>
      <c r="D49" s="306">
        <v>170600.42583333334</v>
      </c>
      <c r="E49" s="306">
        <v>287589.61833333335</v>
      </c>
      <c r="F49" s="306">
        <v>141441.80083333334</v>
      </c>
      <c r="G49" s="306">
        <v>30311.140833333335</v>
      </c>
      <c r="H49" s="307">
        <f t="shared" si="0"/>
        <v>6404214.2466666661</v>
      </c>
      <c r="I49" s="305">
        <f>+'COEF Art 14 F I '!AF50*'PART MES'!J$4</f>
        <v>709330.85326893348</v>
      </c>
      <c r="J49" s="305">
        <f>+'COEF Art 14 F I '!AF50*'PART MES'!J$5</f>
        <v>118034.28709261074</v>
      </c>
      <c r="K49" s="343">
        <f>+'COEF Art 14 F I '!AF50*'PART MES'!J$6</f>
        <v>-8750.918166232168</v>
      </c>
      <c r="L49" s="305">
        <f>+'COEF Art 14 F I '!AF50*'PART MES'!J$7</f>
        <v>185188.43656261559</v>
      </c>
      <c r="M49" s="305">
        <f>+'COEF Art 14 F I '!AF50*'PART MES'!J$8</f>
        <v>7971.9192330105061</v>
      </c>
      <c r="N49" s="305">
        <f>+'COEF Art 14 F I '!AF50*'PART MES'!J$9</f>
        <v>982.37710811312525</v>
      </c>
      <c r="O49" s="308">
        <f t="shared" si="1"/>
        <v>1012756.9550990512</v>
      </c>
      <c r="P49" s="309">
        <f t="shared" si="2"/>
        <v>7416971.201765717</v>
      </c>
      <c r="R49" s="346">
        <v>170600.42605326234</v>
      </c>
      <c r="S49" s="347">
        <f t="shared" si="3"/>
        <v>9.27208533733089E-3</v>
      </c>
    </row>
    <row r="50" spans="1:19" ht="12.75" customHeight="1">
      <c r="A50" s="304" t="s">
        <v>45</v>
      </c>
      <c r="B50" s="305">
        <v>4398905.3783333329</v>
      </c>
      <c r="C50" s="306">
        <v>600766.25583333336</v>
      </c>
      <c r="D50" s="306">
        <v>147714.93583333332</v>
      </c>
      <c r="E50" s="306">
        <v>249010.41083333336</v>
      </c>
      <c r="F50" s="306">
        <v>122467.84499999999</v>
      </c>
      <c r="G50" s="306">
        <v>26245</v>
      </c>
      <c r="H50" s="307">
        <f t="shared" si="0"/>
        <v>5545109.8258333327</v>
      </c>
      <c r="I50" s="305">
        <f>+'COEF Art 14 F I '!AF51*'PART MES'!J$4</f>
        <v>1375136.7097851336</v>
      </c>
      <c r="J50" s="305">
        <f>+'COEF Art 14 F I '!AF51*'PART MES'!J$5</f>
        <v>228825.91451697037</v>
      </c>
      <c r="K50" s="343">
        <f>+'COEF Art 14 F I '!AF51*'PART MES'!J$6</f>
        <v>-16964.874373156636</v>
      </c>
      <c r="L50" s="305">
        <f>+'COEF Art 14 F I '!AF51*'PART MES'!J$7</f>
        <v>359013.59171305835</v>
      </c>
      <c r="M50" s="305">
        <f>+'COEF Art 14 F I '!AF51*'PART MES'!J$8</f>
        <v>15454.67638159906</v>
      </c>
      <c r="N50" s="305">
        <f>+'COEF Art 14 F I '!AF51*'PART MES'!J$9</f>
        <v>1904.4749259013843</v>
      </c>
      <c r="O50" s="308">
        <f t="shared" si="1"/>
        <v>1963370.492949506</v>
      </c>
      <c r="P50" s="309">
        <f t="shared" si="2"/>
        <v>7508480.318782839</v>
      </c>
      <c r="R50" s="346">
        <v>147714.93621002178</v>
      </c>
      <c r="S50" s="347">
        <f t="shared" si="3"/>
        <v>8.0282653790683181E-3</v>
      </c>
    </row>
    <row r="51" spans="1:19" ht="12.75" customHeight="1">
      <c r="A51" s="304" t="s">
        <v>345</v>
      </c>
      <c r="B51" s="305">
        <v>39560033.881666668</v>
      </c>
      <c r="C51" s="306">
        <v>5402783.5108333332</v>
      </c>
      <c r="D51" s="306">
        <v>1328423.18</v>
      </c>
      <c r="E51" s="306">
        <v>2239388.9908333332</v>
      </c>
      <c r="F51" s="306">
        <v>1101372.2016666667</v>
      </c>
      <c r="G51" s="306">
        <v>236025.32833333334</v>
      </c>
      <c r="H51" s="307">
        <f t="shared" si="0"/>
        <v>49868027.093333334</v>
      </c>
      <c r="I51" s="305">
        <f>+'COEF Art 14 F I '!AF52*'PART MES'!J$4</f>
        <v>9575517.6466708276</v>
      </c>
      <c r="J51" s="305">
        <f>+'COEF Art 14 F I '!AF52*'PART MES'!J$5</f>
        <v>1593388.1823394895</v>
      </c>
      <c r="K51" s="343">
        <f>+'COEF Art 14 F I '!AF52*'PART MES'!J$6</f>
        <v>-118131.85756570897</v>
      </c>
      <c r="L51" s="305">
        <f>+'COEF Art 14 F I '!AF52*'PART MES'!J$7</f>
        <v>2499926.7042912529</v>
      </c>
      <c r="M51" s="305">
        <f>+'COEF Art 14 F I '!AF52*'PART MES'!J$8</f>
        <v>107615.86492641279</v>
      </c>
      <c r="N51" s="305">
        <f>+'COEF Art 14 F I '!AF52*'PART MES'!J$9</f>
        <v>13261.469300357972</v>
      </c>
      <c r="O51" s="308">
        <f t="shared" si="1"/>
        <v>13671578.009962631</v>
      </c>
      <c r="P51" s="309">
        <f t="shared" si="2"/>
        <v>63539605.103295967</v>
      </c>
      <c r="R51" s="346">
        <v>1328423.1779150004</v>
      </c>
      <c r="S51" s="347">
        <f t="shared" si="3"/>
        <v>7.2199427367612021E-2</v>
      </c>
    </row>
    <row r="52" spans="1:19" ht="12.75" customHeight="1">
      <c r="A52" s="304" t="s">
        <v>346</v>
      </c>
      <c r="B52" s="305">
        <v>76440067.412500009</v>
      </c>
      <c r="C52" s="306">
        <v>10439554.653333334</v>
      </c>
      <c r="D52" s="306">
        <v>2566852.1350000002</v>
      </c>
      <c r="E52" s="306">
        <v>4327070.2433333332</v>
      </c>
      <c r="F52" s="306">
        <v>2128131.7799999998</v>
      </c>
      <c r="G52" s="306">
        <v>456061.08666666667</v>
      </c>
      <c r="H52" s="307">
        <f t="shared" si="0"/>
        <v>96357737.310833365</v>
      </c>
      <c r="I52" s="305">
        <f>+'COEF Art 14 F I '!AF53*'PART MES'!J$4</f>
        <v>18442679.784446381</v>
      </c>
      <c r="J52" s="305">
        <f>+'COEF Art 14 F I '!AF53*'PART MES'!J$5</f>
        <v>3068904.3771357024</v>
      </c>
      <c r="K52" s="343">
        <f>+'COEF Art 14 F I '!AF53*'PART MES'!J$6</f>
        <v>-227524.82965593712</v>
      </c>
      <c r="L52" s="305">
        <f>+'COEF Art 14 F I '!AF53*'PART MES'!J$7</f>
        <v>4814919.6098928023</v>
      </c>
      <c r="M52" s="305">
        <f>+'COEF Art 14 F I '!AF53*'PART MES'!J$8</f>
        <v>207270.77217116358</v>
      </c>
      <c r="N52" s="305">
        <f>+'COEF Art 14 F I '!AF53*'PART MES'!J$9</f>
        <v>25541.912281139361</v>
      </c>
      <c r="O52" s="308">
        <f t="shared" si="1"/>
        <v>26331791.626271248</v>
      </c>
      <c r="P52" s="309">
        <f t="shared" si="2"/>
        <v>122689528.93710461</v>
      </c>
      <c r="R52" s="346">
        <v>2566852.1332245609</v>
      </c>
      <c r="S52" s="347">
        <f t="shared" si="3"/>
        <v>0.13950769396166374</v>
      </c>
    </row>
    <row r="53" spans="1:19" s="1" customFormat="1" ht="12.75" customHeight="1">
      <c r="A53" s="304" t="s">
        <v>48</v>
      </c>
      <c r="B53" s="305">
        <v>20597909.138333332</v>
      </c>
      <c r="C53" s="306">
        <v>2813092.7333333329</v>
      </c>
      <c r="D53" s="306">
        <v>691676.35333333339</v>
      </c>
      <c r="E53" s="306">
        <v>1165993.2116666667</v>
      </c>
      <c r="F53" s="306">
        <v>573456.65083333326</v>
      </c>
      <c r="G53" s="306">
        <v>122892.41916666667</v>
      </c>
      <c r="H53" s="307">
        <f t="shared" si="0"/>
        <v>25965020.506666664</v>
      </c>
      <c r="I53" s="305">
        <f>+'COEF Art 14 F I '!AF54*'PART MES'!J$4</f>
        <v>4933234.8204846662</v>
      </c>
      <c r="J53" s="305">
        <f>+'COEF Art 14 F I '!AF54*'PART MES'!J$5</f>
        <v>820901.63202809845</v>
      </c>
      <c r="K53" s="343">
        <f>+'COEF Art 14 F I '!AF54*'PART MES'!J$6</f>
        <v>-60860.646354122277</v>
      </c>
      <c r="L53" s="305">
        <f>+'COEF Art 14 F I '!AF54*'PART MES'!J$7</f>
        <v>1287943.4743203535</v>
      </c>
      <c r="M53" s="305">
        <f>+'COEF Art 14 F I '!AF54*'PART MES'!J$8</f>
        <v>55442.885876371707</v>
      </c>
      <c r="N53" s="305">
        <f>+'COEF Art 14 F I '!AF54*'PART MES'!J$9</f>
        <v>6832.209446771787</v>
      </c>
      <c r="O53" s="308">
        <f t="shared" si="1"/>
        <v>7043494.3758021388</v>
      </c>
      <c r="P53" s="309">
        <f t="shared" si="2"/>
        <v>33008514.882468805</v>
      </c>
      <c r="R53" s="346">
        <v>691676.3523156431</v>
      </c>
      <c r="S53" s="347">
        <f t="shared" si="3"/>
        <v>3.7592415874050218E-2</v>
      </c>
    </row>
    <row r="54" spans="1:19" s="1" customFormat="1" ht="12.75" customHeight="1">
      <c r="A54" s="304" t="s">
        <v>49</v>
      </c>
      <c r="B54" s="305">
        <v>6663066.0733333332</v>
      </c>
      <c r="C54" s="306">
        <v>909986.6708333334</v>
      </c>
      <c r="D54" s="306">
        <v>223745.29416666666</v>
      </c>
      <c r="E54" s="306">
        <v>377178.565</v>
      </c>
      <c r="F54" s="306">
        <v>185503.27249999999</v>
      </c>
      <c r="G54" s="306">
        <v>39753.564166666671</v>
      </c>
      <c r="H54" s="307">
        <f t="shared" si="0"/>
        <v>8399233.4399999995</v>
      </c>
      <c r="I54" s="305">
        <f>+'COEF Art 14 F I '!AF55*'PART MES'!J$4</f>
        <v>2362587.7670007022</v>
      </c>
      <c r="J54" s="305">
        <f>+'COEF Art 14 F I '!AF55*'PART MES'!J$5</f>
        <v>393140.04386881291</v>
      </c>
      <c r="K54" s="343">
        <f>+'COEF Art 14 F I '!AF55*'PART MES'!J$6</f>
        <v>-29146.923631313912</v>
      </c>
      <c r="L54" s="305">
        <f>+'COEF Art 14 F I '!AF55*'PART MES'!J$7</f>
        <v>616812.21505663136</v>
      </c>
      <c r="M54" s="305">
        <f>+'COEF Art 14 F I '!AF55*'PART MES'!J$8</f>
        <v>26552.290475778082</v>
      </c>
      <c r="N54" s="305">
        <f>+'COEF Art 14 F I '!AF55*'PART MES'!J$9</f>
        <v>3272.0304319395473</v>
      </c>
      <c r="O54" s="308">
        <f t="shared" si="1"/>
        <v>3373217.4232025505</v>
      </c>
      <c r="P54" s="309">
        <f t="shared" si="2"/>
        <v>11772450.86320255</v>
      </c>
      <c r="R54" s="346">
        <v>223745.29331181943</v>
      </c>
      <c r="S54" s="347">
        <f t="shared" si="3"/>
        <v>1.2160493976525147E-2</v>
      </c>
    </row>
    <row r="55" spans="1:19" ht="12.75" customHeight="1">
      <c r="A55" s="304" t="s">
        <v>50</v>
      </c>
      <c r="B55" s="305">
        <v>1341915.96</v>
      </c>
      <c r="C55" s="306">
        <v>183267.82666666666</v>
      </c>
      <c r="D55" s="306">
        <v>45061.444166666661</v>
      </c>
      <c r="E55" s="306">
        <v>75962.316666666666</v>
      </c>
      <c r="F55" s="306">
        <v>37359.647499999999</v>
      </c>
      <c r="G55" s="306">
        <v>8006.2158333333327</v>
      </c>
      <c r="H55" s="307">
        <f t="shared" si="0"/>
        <v>1691573.4108333332</v>
      </c>
      <c r="I55" s="305">
        <f>+'COEF Art 14 F I '!AF56*'PART MES'!J$4</f>
        <v>399987.28440140135</v>
      </c>
      <c r="J55" s="305">
        <f>+'COEF Art 14 F I '!AF56*'PART MES'!J$5</f>
        <v>66558.805024273854</v>
      </c>
      <c r="K55" s="343">
        <f>+'COEF Art 14 F I '!AF56*'PART MES'!J$6</f>
        <v>-4934.5886721256429</v>
      </c>
      <c r="L55" s="305">
        <f>+'COEF Art 14 F I '!AF56*'PART MES'!J$7</f>
        <v>104426.61488902978</v>
      </c>
      <c r="M55" s="305">
        <f>+'COEF Art 14 F I '!AF56*'PART MES'!J$8</f>
        <v>4495.3159879966952</v>
      </c>
      <c r="N55" s="305">
        <f>+'COEF Art 14 F I '!AF56*'PART MES'!J$9</f>
        <v>553.95638004666546</v>
      </c>
      <c r="O55" s="308">
        <f t="shared" si="1"/>
        <v>571087.3880106227</v>
      </c>
      <c r="P55" s="309">
        <f t="shared" si="2"/>
        <v>2262660.7988439556</v>
      </c>
      <c r="R55" s="346">
        <v>45061.443608607893</v>
      </c>
      <c r="S55" s="347">
        <f t="shared" si="3"/>
        <v>2.449076829573054E-3</v>
      </c>
    </row>
    <row r="56" spans="1:19" ht="12.75" customHeight="1">
      <c r="A56" s="304" t="s">
        <v>51</v>
      </c>
      <c r="B56" s="305">
        <v>1817453.2024999999</v>
      </c>
      <c r="C56" s="306">
        <v>248212.785</v>
      </c>
      <c r="D56" s="306">
        <v>61029.951666666668</v>
      </c>
      <c r="E56" s="306">
        <v>102881.22333333333</v>
      </c>
      <c r="F56" s="306">
        <v>50598.855000000003</v>
      </c>
      <c r="G56" s="306">
        <v>10843.3925</v>
      </c>
      <c r="H56" s="307">
        <f t="shared" si="0"/>
        <v>2291019.4099999997</v>
      </c>
      <c r="I56" s="305">
        <f>+'COEF Art 14 F I '!AF57*'PART MES'!J$4</f>
        <v>335061.00907026947</v>
      </c>
      <c r="J56" s="305">
        <f>+'COEF Art 14 F I '!AF57*'PART MES'!J$5</f>
        <v>55754.923327923636</v>
      </c>
      <c r="K56" s="343">
        <f>+'COEF Art 14 F I '!AF57*'PART MES'!J$6</f>
        <v>-4133.6020526340171</v>
      </c>
      <c r="L56" s="305">
        <f>+'COEF Art 14 F I '!AF57*'PART MES'!J$7</f>
        <v>87475.998170476232</v>
      </c>
      <c r="M56" s="305">
        <f>+'COEF Art 14 F I '!AF57*'PART MES'!J$8</f>
        <v>3765.6324832475379</v>
      </c>
      <c r="N56" s="305">
        <f>+'COEF Art 14 F I '!AF57*'PART MES'!J$9</f>
        <v>464.0377104915267</v>
      </c>
      <c r="O56" s="308">
        <f t="shared" si="1"/>
        <v>478387.9987097744</v>
      </c>
      <c r="P56" s="309">
        <f t="shared" si="2"/>
        <v>2769407.4087097743</v>
      </c>
      <c r="R56" s="346">
        <v>61029.952402058145</v>
      </c>
      <c r="S56" s="347">
        <f t="shared" si="3"/>
        <v>3.3169608065835451E-3</v>
      </c>
    </row>
    <row r="57" spans="1:19" s="313" customFormat="1" ht="16.5" customHeight="1" thickBot="1">
      <c r="A57" s="310" t="s">
        <v>52</v>
      </c>
      <c r="B57" s="311">
        <f>SUM(B6:B56)</f>
        <v>547927252.35583353</v>
      </c>
      <c r="C57" s="311">
        <f t="shared" ref="C57:H57" si="4">SUM(C6:C56)</f>
        <v>74831390.012500018</v>
      </c>
      <c r="D57" s="311">
        <f t="shared" si="4"/>
        <v>18399358.939999998</v>
      </c>
      <c r="E57" s="311">
        <f t="shared" si="4"/>
        <v>31016713.999999993</v>
      </c>
      <c r="F57" s="311">
        <f t="shared" si="4"/>
        <v>15254583.600833332</v>
      </c>
      <c r="G57" s="311">
        <f t="shared" si="4"/>
        <v>3269074.8008333319</v>
      </c>
      <c r="H57" s="311">
        <f t="shared" si="4"/>
        <v>690698373.70999992</v>
      </c>
      <c r="I57" s="311">
        <f>SUM(I6:I56)</f>
        <v>138794675.70016667</v>
      </c>
      <c r="J57" s="311">
        <f t="shared" ref="J57:O57" si="5">SUM(J6:J56)</f>
        <v>23095753.58666664</v>
      </c>
      <c r="K57" s="425">
        <f t="shared" si="5"/>
        <v>-1712291.018166665</v>
      </c>
      <c r="L57" s="311">
        <f t="shared" si="5"/>
        <v>36235797.26960516</v>
      </c>
      <c r="M57" s="311">
        <f t="shared" si="5"/>
        <v>1559864.3983333332</v>
      </c>
      <c r="N57" s="311">
        <f t="shared" si="5"/>
        <v>192221.60083333353</v>
      </c>
      <c r="O57" s="311">
        <f t="shared" si="5"/>
        <v>198166021.53743845</v>
      </c>
      <c r="P57" s="312">
        <f>SUM(P6:P56)</f>
        <v>888864395.24743867</v>
      </c>
      <c r="R57" s="348">
        <f t="shared" ref="R57:S57" si="6">SUM(R6:R56)</f>
        <v>18399358.919443708</v>
      </c>
      <c r="S57" s="349">
        <f t="shared" si="6"/>
        <v>0.99999999999999989</v>
      </c>
    </row>
    <row r="58" spans="1:19" ht="15" thickTop="1">
      <c r="I58" s="314"/>
      <c r="J58" s="315"/>
      <c r="K58" s="315"/>
      <c r="L58" s="315"/>
      <c r="M58" s="316"/>
      <c r="N58" s="315"/>
      <c r="O58" s="315"/>
      <c r="P58" s="317"/>
      <c r="R58" s="426"/>
      <c r="S58" s="426"/>
    </row>
    <row r="59" spans="1:19">
      <c r="A59" s="318"/>
      <c r="B59" s="319"/>
      <c r="C59" s="319"/>
      <c r="D59" s="319"/>
      <c r="E59" s="319"/>
      <c r="F59" s="319"/>
      <c r="G59" s="319"/>
      <c r="H59" s="319"/>
      <c r="I59" s="320"/>
    </row>
    <row r="60" spans="1:19">
      <c r="A60" s="318"/>
      <c r="B60" s="319"/>
      <c r="C60" s="319"/>
      <c r="D60" s="319"/>
      <c r="E60" s="319"/>
      <c r="F60" s="319"/>
      <c r="G60" s="319"/>
      <c r="H60" s="319"/>
      <c r="I60" s="321"/>
    </row>
    <row r="64" spans="1:19">
      <c r="L64" s="322"/>
    </row>
  </sheetData>
  <mergeCells count="5">
    <mergeCell ref="A1:P1"/>
    <mergeCell ref="A3:A4"/>
    <mergeCell ref="B3:H3"/>
    <mergeCell ref="I3:O3"/>
    <mergeCell ref="P3:P4"/>
  </mergeCells>
  <conditionalFormatting sqref="O7:O56">
    <cfRule type="cellIs" dxfId="0" priority="1" operator="lessThan">
      <formula>#REF!-0.00001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0" orientation="landscape" horizontalDpi="300" verticalDpi="300" r:id="rId1"/>
  <headerFooter alignWithMargins="0">
    <oddHeader>&amp;LANEXO I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1"/>
  <sheetViews>
    <sheetView showGridLines="0" zoomScaleNormal="100" zoomScaleSheetLayoutView="100" workbookViewId="0">
      <selection activeCell="A3" sqref="A3"/>
    </sheetView>
  </sheetViews>
  <sheetFormatPr baseColWidth="10" defaultColWidth="11.42578125" defaultRowHeight="12.75"/>
  <cols>
    <col min="1" max="1" width="59" style="11" customWidth="1"/>
    <col min="2" max="5" width="17.28515625" style="11" customWidth="1"/>
    <col min="6" max="6" width="17.140625" style="11" customWidth="1"/>
    <col min="7" max="16384" width="11.42578125" style="11"/>
  </cols>
  <sheetData>
    <row r="1" spans="1:6" ht="18.75" customHeight="1">
      <c r="A1" s="462" t="s">
        <v>347</v>
      </c>
      <c r="B1" s="462"/>
      <c r="C1" s="462"/>
      <c r="D1" s="462"/>
      <c r="E1" s="462"/>
      <c r="F1" s="462"/>
    </row>
    <row r="3" spans="1:6" ht="25.5">
      <c r="A3" s="323" t="s">
        <v>104</v>
      </c>
      <c r="B3" s="323" t="s">
        <v>105</v>
      </c>
      <c r="C3" s="323" t="s">
        <v>106</v>
      </c>
      <c r="D3" s="323" t="s">
        <v>118</v>
      </c>
      <c r="E3" s="323" t="s">
        <v>348</v>
      </c>
      <c r="F3" s="323" t="s">
        <v>349</v>
      </c>
    </row>
    <row r="4" spans="1:6" ht="25.5" customHeight="1">
      <c r="A4" s="244" t="s">
        <v>107</v>
      </c>
      <c r="B4" s="324">
        <v>36165566160</v>
      </c>
      <c r="C4" s="325">
        <v>20</v>
      </c>
      <c r="D4" s="325">
        <f>+C4/100*B4</f>
        <v>7233113232</v>
      </c>
      <c r="E4" s="325">
        <v>6575127028.2700005</v>
      </c>
      <c r="F4" s="325">
        <f>+D4-E4</f>
        <v>657986203.72999954</v>
      </c>
    </row>
    <row r="5" spans="1:6" ht="25.5" customHeight="1">
      <c r="A5" s="244" t="s">
        <v>130</v>
      </c>
      <c r="B5" s="324">
        <v>1008332033</v>
      </c>
      <c r="C5" s="325">
        <v>100</v>
      </c>
      <c r="D5" s="325">
        <f t="shared" ref="D5:D9" si="0">+C5/100*B5</f>
        <v>1008332033</v>
      </c>
      <c r="E5" s="325">
        <v>897976680.16000021</v>
      </c>
      <c r="F5" s="325">
        <f t="shared" ref="F5:F9" si="1">+D5-E5</f>
        <v>110355352.83999979</v>
      </c>
    </row>
    <row r="6" spans="1:6" ht="25.5" customHeight="1">
      <c r="A6" s="244" t="s">
        <v>108</v>
      </c>
      <c r="B6" s="324">
        <v>1197376503</v>
      </c>
      <c r="C6" s="325">
        <v>20</v>
      </c>
      <c r="D6" s="325">
        <f t="shared" si="0"/>
        <v>239475300.60000002</v>
      </c>
      <c r="E6" s="325">
        <v>220792307.32999998</v>
      </c>
      <c r="F6" s="325">
        <f t="shared" si="1"/>
        <v>18682993.270000041</v>
      </c>
    </row>
    <row r="7" spans="1:6" ht="25.5" customHeight="1">
      <c r="A7" s="244" t="s">
        <v>117</v>
      </c>
      <c r="B7" s="324">
        <v>2189235910</v>
      </c>
      <c r="C7" s="325">
        <v>20</v>
      </c>
      <c r="D7" s="325">
        <f t="shared" si="0"/>
        <v>437847182</v>
      </c>
      <c r="E7" s="325">
        <v>372200568.05000001</v>
      </c>
      <c r="F7" s="325">
        <f t="shared" si="1"/>
        <v>65646613.949999988</v>
      </c>
    </row>
    <row r="8" spans="1:6" ht="25.5" customHeight="1">
      <c r="A8" s="244" t="s">
        <v>123</v>
      </c>
      <c r="B8" s="324">
        <v>927868809</v>
      </c>
      <c r="C8" s="325">
        <v>20</v>
      </c>
      <c r="D8" s="325">
        <f t="shared" si="0"/>
        <v>185573761.80000001</v>
      </c>
      <c r="E8" s="325">
        <v>183055003.22</v>
      </c>
      <c r="F8" s="325">
        <f t="shared" si="1"/>
        <v>2518758.5800000131</v>
      </c>
    </row>
    <row r="9" spans="1:6" ht="25.5" customHeight="1">
      <c r="A9" s="244" t="s">
        <v>122</v>
      </c>
      <c r="B9" s="324">
        <v>207677784</v>
      </c>
      <c r="C9" s="325">
        <v>20</v>
      </c>
      <c r="D9" s="325">
        <f t="shared" si="0"/>
        <v>41535556.800000004</v>
      </c>
      <c r="E9" s="325">
        <v>39228897.590000004</v>
      </c>
      <c r="F9" s="325">
        <f t="shared" si="1"/>
        <v>2306659.2100000009</v>
      </c>
    </row>
    <row r="10" spans="1:6" ht="25.5" customHeight="1">
      <c r="A10" s="326" t="s">
        <v>291</v>
      </c>
      <c r="B10" s="327">
        <f>SUM(B4:B9)</f>
        <v>41696057199</v>
      </c>
      <c r="C10" s="328"/>
      <c r="D10" s="329">
        <f>SUM(D4:D9)</f>
        <v>9145877066.1999989</v>
      </c>
      <c r="E10" s="329">
        <f>SUM(E4:E9)</f>
        <v>8288380484.6200008</v>
      </c>
      <c r="F10" s="328">
        <f>SUM(F4:F9)</f>
        <v>857496581.57999957</v>
      </c>
    </row>
    <row r="11" spans="1:6" ht="25.5" customHeight="1">
      <c r="A11" s="244" t="s">
        <v>129</v>
      </c>
      <c r="B11" s="324">
        <v>339287460</v>
      </c>
      <c r="C11" s="325">
        <v>100</v>
      </c>
      <c r="D11" s="325">
        <f>+C11/100*B11</f>
        <v>339287460</v>
      </c>
      <c r="E11" s="325"/>
      <c r="F11" s="325"/>
    </row>
    <row r="12" spans="1:6" ht="25.5" customHeight="1">
      <c r="A12" s="244" t="s">
        <v>116</v>
      </c>
      <c r="B12" s="324">
        <v>1270773990</v>
      </c>
      <c r="C12" s="325">
        <v>20</v>
      </c>
      <c r="D12" s="325">
        <f>+C12/100*B12</f>
        <v>254154798</v>
      </c>
      <c r="E12" s="325"/>
      <c r="F12" s="325"/>
    </row>
    <row r="13" spans="1:6" ht="25.5" customHeight="1">
      <c r="A13" s="244" t="s">
        <v>350</v>
      </c>
      <c r="B13" s="324">
        <v>530000000</v>
      </c>
      <c r="C13" s="325">
        <v>20</v>
      </c>
      <c r="D13" s="325">
        <f t="shared" ref="D13" si="2">+C13/100*B13</f>
        <v>106000000</v>
      </c>
      <c r="E13" s="325"/>
      <c r="F13" s="325"/>
    </row>
    <row r="14" spans="1:6" ht="25.5" customHeight="1">
      <c r="A14" s="326" t="s">
        <v>291</v>
      </c>
      <c r="B14" s="327">
        <f>SUM(B11:B13)</f>
        <v>2140061450</v>
      </c>
      <c r="C14" s="328"/>
      <c r="D14" s="329">
        <f>SUM(D11:D13)</f>
        <v>699442258</v>
      </c>
      <c r="E14" s="329"/>
      <c r="F14" s="328"/>
    </row>
    <row r="15" spans="1:6" ht="21.75" customHeight="1">
      <c r="A15" s="330" t="s">
        <v>53</v>
      </c>
      <c r="B15" s="331">
        <f>SUM(B14,B10)</f>
        <v>43836118649</v>
      </c>
      <c r="C15" s="332"/>
      <c r="D15" s="332">
        <f>SUM(D14,D10)</f>
        <v>9845319324.1999989</v>
      </c>
      <c r="E15" s="332"/>
      <c r="F15" s="332">
        <f>SUM(F14,F10)</f>
        <v>857496581.57999957</v>
      </c>
    </row>
    <row r="16" spans="1:6">
      <c r="A16" s="12"/>
      <c r="B16" s="13"/>
      <c r="C16" s="14"/>
      <c r="D16" s="13"/>
      <c r="E16" s="13"/>
    </row>
    <row r="17" spans="1:3">
      <c r="A17" s="15"/>
    </row>
    <row r="22" spans="1:3" hidden="1">
      <c r="A22" s="244" t="s">
        <v>351</v>
      </c>
      <c r="B22" s="333" t="e">
        <f>+#REF!+#REF!</f>
        <v>#REF!</v>
      </c>
      <c r="C22" s="334">
        <f>+B5+B11</f>
        <v>1347619493</v>
      </c>
    </row>
    <row r="23" spans="1:3" hidden="1">
      <c r="A23" s="11" t="s">
        <v>352</v>
      </c>
      <c r="B23" s="11" t="e">
        <f>+B22*#REF!</f>
        <v>#REF!</v>
      </c>
    </row>
    <row r="24" spans="1:3" hidden="1"/>
    <row r="25" spans="1:3" hidden="1">
      <c r="A25" s="335"/>
      <c r="B25" s="336"/>
    </row>
    <row r="26" spans="1:3" hidden="1">
      <c r="A26" s="337"/>
      <c r="B26" s="338"/>
    </row>
    <row r="27" spans="1:3" hidden="1"/>
    <row r="31" spans="1:3">
      <c r="B31" s="334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scale="85" orientation="landscape" r:id="rId1"/>
  <headerFooter>
    <oddHeader>&amp;LANEXO I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7"/>
  <sheetViews>
    <sheetView zoomScaleNormal="100" workbookViewId="0">
      <selection activeCell="A2" sqref="A2"/>
    </sheetView>
  </sheetViews>
  <sheetFormatPr baseColWidth="10" defaultColWidth="9.7109375" defaultRowHeight="12.75"/>
  <cols>
    <col min="1" max="1" width="28.7109375" style="2" customWidth="1"/>
    <col min="2" max="2" width="12.42578125" style="2" customWidth="1"/>
    <col min="3" max="3" width="14.140625" style="6" customWidth="1"/>
    <col min="4" max="4" width="17.28515625" style="2" customWidth="1"/>
    <col min="5" max="5" width="15.7109375" style="6" customWidth="1"/>
    <col min="6" max="6" width="2" style="1" customWidth="1"/>
    <col min="7" max="7" width="16.140625" style="6" customWidth="1"/>
    <col min="8" max="10" width="18.42578125" style="2" customWidth="1"/>
    <col min="11" max="11" width="15.7109375" style="2" customWidth="1"/>
    <col min="12" max="12" width="15.7109375" style="6" customWidth="1"/>
    <col min="13" max="16384" width="9.7109375" style="2"/>
  </cols>
  <sheetData>
    <row r="1" spans="1:54" s="8" customFormat="1" ht="42" customHeight="1">
      <c r="A1" s="478" t="s">
        <v>119</v>
      </c>
      <c r="B1" s="478"/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</row>
    <row r="2" spans="1:54" ht="37.5" customHeight="1" thickBot="1">
      <c r="A2" s="71"/>
      <c r="B2" s="479" t="s">
        <v>91</v>
      </c>
      <c r="C2" s="480"/>
      <c r="D2" s="481" t="s">
        <v>93</v>
      </c>
      <c r="E2" s="481"/>
      <c r="F2" s="71"/>
      <c r="G2" s="140" t="s">
        <v>92</v>
      </c>
      <c r="H2" s="71"/>
      <c r="I2" s="71"/>
      <c r="J2" s="71"/>
      <c r="K2" s="71"/>
      <c r="L2" s="74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</row>
    <row r="3" spans="1:54" ht="39" customHeight="1" thickBot="1">
      <c r="A3" s="75" t="s">
        <v>0</v>
      </c>
      <c r="B3" s="75" t="s">
        <v>284</v>
      </c>
      <c r="C3" s="157" t="s">
        <v>79</v>
      </c>
      <c r="D3" s="141" t="s">
        <v>314</v>
      </c>
      <c r="E3" s="157" t="s">
        <v>80</v>
      </c>
      <c r="F3" s="71"/>
      <c r="G3" s="157" t="s">
        <v>86</v>
      </c>
      <c r="H3" s="158" t="s">
        <v>83</v>
      </c>
      <c r="I3" s="158" t="s">
        <v>84</v>
      </c>
      <c r="J3" s="158" t="s">
        <v>85</v>
      </c>
      <c r="K3" s="158" t="s">
        <v>120</v>
      </c>
      <c r="L3" s="159" t="s">
        <v>78</v>
      </c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</row>
    <row r="4" spans="1:54">
      <c r="A4" s="156"/>
      <c r="B4" s="155"/>
      <c r="C4" s="160"/>
      <c r="D4" s="142"/>
      <c r="E4" s="160"/>
      <c r="F4" s="73"/>
      <c r="G4" s="160"/>
      <c r="H4" s="161" t="s">
        <v>94</v>
      </c>
      <c r="I4" s="161" t="s">
        <v>94</v>
      </c>
      <c r="J4" s="161" t="s">
        <v>94</v>
      </c>
      <c r="K4" s="161" t="s">
        <v>94</v>
      </c>
      <c r="L4" s="162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</row>
    <row r="5" spans="1:54" s="3" customFormat="1" ht="11.25">
      <c r="A5" s="143"/>
      <c r="B5" s="76" t="s">
        <v>57</v>
      </c>
      <c r="C5" s="163" t="s">
        <v>66</v>
      </c>
      <c r="D5" s="144" t="s">
        <v>56</v>
      </c>
      <c r="E5" s="163" t="s">
        <v>67</v>
      </c>
      <c r="F5" s="77"/>
      <c r="G5" s="145" t="s">
        <v>63</v>
      </c>
      <c r="H5" s="78">
        <f>+K5*0.35</f>
        <v>88954179.299999997</v>
      </c>
      <c r="I5" s="78">
        <f>+K5*0.35</f>
        <v>88954179.299999997</v>
      </c>
      <c r="J5" s="78">
        <f>+K5*0.3</f>
        <v>76246439.399999991</v>
      </c>
      <c r="K5" s="78">
        <f>+'PART PEF2022 '!D12</f>
        <v>254154798</v>
      </c>
      <c r="L5" s="146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</row>
    <row r="6" spans="1:54" s="4" customFormat="1" ht="23.25" customHeight="1" thickBot="1">
      <c r="A6" s="79"/>
      <c r="B6" s="79"/>
      <c r="C6" s="147"/>
      <c r="D6" s="148"/>
      <c r="E6" s="149"/>
      <c r="F6" s="80"/>
      <c r="G6" s="164"/>
      <c r="H6" s="78" t="s">
        <v>81</v>
      </c>
      <c r="I6" s="78" t="s">
        <v>62</v>
      </c>
      <c r="J6" s="78" t="s">
        <v>82</v>
      </c>
      <c r="K6" s="81" t="s">
        <v>95</v>
      </c>
      <c r="L6" s="150" t="s">
        <v>64</v>
      </c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</row>
    <row r="7" spans="1:54" ht="13.5" thickTop="1">
      <c r="A7" s="63" t="s">
        <v>1</v>
      </c>
      <c r="B7" s="165">
        <v>2974</v>
      </c>
      <c r="C7" s="215">
        <f t="shared" ref="C7:C57" si="0">+B7/$B$58</f>
        <v>5.141377508841821E-4</v>
      </c>
      <c r="D7" s="151">
        <v>2926</v>
      </c>
      <c r="E7" s="215">
        <f t="shared" ref="E7:E58" si="1">(D7/D$58)</f>
        <v>5.1460739289975466E-4</v>
      </c>
      <c r="F7" s="71"/>
      <c r="G7" s="218">
        <f>+'COEF Art 14 F I '!AF7</f>
        <v>7.0785737933703942E-4</v>
      </c>
      <c r="H7" s="82">
        <f t="shared" ref="H7:H57" si="2">+C7*H$5</f>
        <v>45734.701677050267</v>
      </c>
      <c r="I7" s="152">
        <f t="shared" ref="I7:I57" si="3">+E7*I$5</f>
        <v>45776.47829711032</v>
      </c>
      <c r="J7" s="152">
        <f t="shared" ref="J7:J57" si="4">+G7*J$5</f>
        <v>53971.604777464381</v>
      </c>
      <c r="K7" s="152">
        <f>SUM(H7:J7)</f>
        <v>145482.78475162497</v>
      </c>
      <c r="L7" s="242">
        <f>+K7/K$58</f>
        <v>5.7241801412548983E-4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</row>
    <row r="8" spans="1:54">
      <c r="A8" s="64" t="s">
        <v>2</v>
      </c>
      <c r="B8" s="166">
        <v>3382</v>
      </c>
      <c r="C8" s="216">
        <f t="shared" si="0"/>
        <v>5.8467177992276519E-4</v>
      </c>
      <c r="D8" s="153">
        <v>2595</v>
      </c>
      <c r="E8" s="216">
        <f t="shared" si="1"/>
        <v>4.5639309110555819E-4</v>
      </c>
      <c r="F8" s="71"/>
      <c r="G8" s="219">
        <f>+'COEF Art 14 F I '!AF8</f>
        <v>1.2662314817524585E-3</v>
      </c>
      <c r="H8" s="83">
        <f t="shared" si="2"/>
        <v>52008.998342899795</v>
      </c>
      <c r="I8" s="84">
        <f t="shared" si="3"/>
        <v>40598.072857485058</v>
      </c>
      <c r="J8" s="84">
        <f t="shared" si="4"/>
        <v>96545.641939811016</v>
      </c>
      <c r="K8" s="84">
        <f t="shared" ref="K8:K57" si="5">SUM(H8:J8)</f>
        <v>189152.71314019588</v>
      </c>
      <c r="L8" s="243">
        <f t="shared" ref="L8:L57" si="6">+K8/K$58</f>
        <v>7.4424214938565098E-4</v>
      </c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</row>
    <row r="9" spans="1:54">
      <c r="A9" s="64" t="s">
        <v>3</v>
      </c>
      <c r="B9" s="166">
        <v>1407</v>
      </c>
      <c r="C9" s="216">
        <f t="shared" si="0"/>
        <v>2.4323867366981983E-4</v>
      </c>
      <c r="D9" s="153">
        <v>1535</v>
      </c>
      <c r="E9" s="216">
        <f t="shared" si="1"/>
        <v>2.6996662614529166E-4</v>
      </c>
      <c r="F9" s="71"/>
      <c r="G9" s="219">
        <f>+'COEF Art 14 F I '!AF9</f>
        <v>1.5998613052725591E-3</v>
      </c>
      <c r="H9" s="83">
        <f t="shared" si="2"/>
        <v>21637.096590319343</v>
      </c>
      <c r="I9" s="84">
        <f t="shared" si="3"/>
        <v>24014.65966714434</v>
      </c>
      <c r="J9" s="84">
        <f t="shared" si="4"/>
        <v>121983.72806086906</v>
      </c>
      <c r="K9" s="84">
        <f t="shared" si="5"/>
        <v>167635.48431833275</v>
      </c>
      <c r="L9" s="243">
        <f t="shared" si="6"/>
        <v>6.5958024651705687E-4</v>
      </c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</row>
    <row r="10" spans="1:54" ht="13.5" customHeight="1">
      <c r="A10" s="64" t="s">
        <v>4</v>
      </c>
      <c r="B10" s="166">
        <v>35289</v>
      </c>
      <c r="C10" s="216">
        <f t="shared" si="0"/>
        <v>6.1006748792709828E-3</v>
      </c>
      <c r="D10" s="153">
        <v>38797</v>
      </c>
      <c r="E10" s="216">
        <f t="shared" si="1"/>
        <v>6.8233844915693027E-3</v>
      </c>
      <c r="F10" s="71"/>
      <c r="G10" s="219">
        <f>+'COEF Art 14 F I '!AF10</f>
        <v>7.5214844672133966E-3</v>
      </c>
      <c r="H10" s="83">
        <f t="shared" si="2"/>
        <v>542680.52706167684</v>
      </c>
      <c r="I10" s="84">
        <f t="shared" si="3"/>
        <v>606968.56749589508</v>
      </c>
      <c r="J10" s="84">
        <f t="shared" si="4"/>
        <v>573486.40962742746</v>
      </c>
      <c r="K10" s="84">
        <f t="shared" si="5"/>
        <v>1723135.5041849995</v>
      </c>
      <c r="L10" s="243">
        <f t="shared" si="6"/>
        <v>6.7798661199581214E-3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</row>
    <row r="11" spans="1:54" ht="14.25">
      <c r="A11" s="64" t="s">
        <v>5</v>
      </c>
      <c r="B11" s="166">
        <v>18030</v>
      </c>
      <c r="C11" s="216">
        <f t="shared" si="0"/>
        <v>3.1169817244256232E-3</v>
      </c>
      <c r="D11" s="167">
        <v>20134</v>
      </c>
      <c r="E11" s="216">
        <f t="shared" si="1"/>
        <v>3.5410475901037799E-3</v>
      </c>
      <c r="F11" s="71"/>
      <c r="G11" s="219">
        <f>+'COEF Art 14 F I '!AF11</f>
        <v>5.1879880122372747E-3</v>
      </c>
      <c r="H11" s="83">
        <f t="shared" si="2"/>
        <v>277268.55118938006</v>
      </c>
      <c r="I11" s="84">
        <f t="shared" si="3"/>
        <v>314990.98223992455</v>
      </c>
      <c r="J11" s="84">
        <f t="shared" si="4"/>
        <v>395565.61358297575</v>
      </c>
      <c r="K11" s="84">
        <f t="shared" si="5"/>
        <v>987825.1470122803</v>
      </c>
      <c r="L11" s="243">
        <f t="shared" si="6"/>
        <v>3.8867066637564745E-3</v>
      </c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</row>
    <row r="12" spans="1:54">
      <c r="A12" s="64" t="s">
        <v>6</v>
      </c>
      <c r="B12" s="166">
        <v>656464</v>
      </c>
      <c r="C12" s="216">
        <f t="shared" si="0"/>
        <v>0.11348786970290306</v>
      </c>
      <c r="D12" s="153">
        <v>676062</v>
      </c>
      <c r="E12" s="216">
        <f t="shared" si="1"/>
        <v>0.11890174410751672</v>
      </c>
      <c r="F12" s="71"/>
      <c r="G12" s="219">
        <f>+'COEF Art 14 F I '!AF12</f>
        <v>8.2560908699632257E-2</v>
      </c>
      <c r="H12" s="83">
        <f t="shared" si="2"/>
        <v>10095220.309927076</v>
      </c>
      <c r="I12" s="84">
        <f t="shared" si="3"/>
        <v>10576807.06442276</v>
      </c>
      <c r="J12" s="84">
        <f t="shared" si="4"/>
        <v>6294975.3219754426</v>
      </c>
      <c r="K12" s="84">
        <f t="shared" si="5"/>
        <v>26967002.69632528</v>
      </c>
      <c r="L12" s="243">
        <f t="shared" si="6"/>
        <v>0.10610463744353663</v>
      </c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</row>
    <row r="13" spans="1:54">
      <c r="A13" s="64" t="s">
        <v>7</v>
      </c>
      <c r="B13" s="166">
        <v>14992</v>
      </c>
      <c r="C13" s="216">
        <f t="shared" si="0"/>
        <v>2.5917798121236242E-3</v>
      </c>
      <c r="D13" s="153">
        <v>18031</v>
      </c>
      <c r="E13" s="216">
        <f t="shared" si="1"/>
        <v>3.1711845185835529E-3</v>
      </c>
      <c r="F13" s="71"/>
      <c r="G13" s="219">
        <f>+'COEF Art 14 F I '!AF13</f>
        <v>4.6812615782115237E-3</v>
      </c>
      <c r="H13" s="83">
        <f t="shared" si="2"/>
        <v>230549.64611376516</v>
      </c>
      <c r="I13" s="84">
        <f t="shared" si="3"/>
        <v>282090.11625946552</v>
      </c>
      <c r="J13" s="84">
        <f t="shared" si="4"/>
        <v>356929.52723865327</v>
      </c>
      <c r="K13" s="84">
        <f t="shared" si="5"/>
        <v>869569.28961188393</v>
      </c>
      <c r="L13" s="243">
        <f t="shared" si="6"/>
        <v>3.4214159892109698E-3</v>
      </c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</row>
    <row r="14" spans="1:54">
      <c r="A14" s="64" t="s">
        <v>8</v>
      </c>
      <c r="B14" s="166">
        <v>3661</v>
      </c>
      <c r="C14" s="216">
        <f t="shared" si="0"/>
        <v>6.329046086035611E-4</v>
      </c>
      <c r="D14" s="153">
        <v>4441</v>
      </c>
      <c r="E14" s="216">
        <f t="shared" si="1"/>
        <v>7.8105653857409789E-4</v>
      </c>
      <c r="F14" s="71"/>
      <c r="G14" s="219">
        <f>+'COEF Art 14 F I '!AF14</f>
        <v>1.3233070855046135E-3</v>
      </c>
      <c r="H14" s="83">
        <f t="shared" si="2"/>
        <v>56299.510033517494</v>
      </c>
      <c r="I14" s="84">
        <f t="shared" si="3"/>
        <v>69478.243375757665</v>
      </c>
      <c r="J14" s="84">
        <f t="shared" si="4"/>
        <v>100897.45350251812</v>
      </c>
      <c r="K14" s="84">
        <f t="shared" si="5"/>
        <v>226675.20691179327</v>
      </c>
      <c r="L14" s="243">
        <f t="shared" si="6"/>
        <v>8.9187852716356489E-4</v>
      </c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</row>
    <row r="15" spans="1:54">
      <c r="A15" s="64" t="s">
        <v>9</v>
      </c>
      <c r="B15" s="166">
        <v>122337</v>
      </c>
      <c r="C15" s="216">
        <f t="shared" si="0"/>
        <v>2.1149317427679282E-2</v>
      </c>
      <c r="D15" s="153">
        <v>106525</v>
      </c>
      <c r="E15" s="216">
        <f t="shared" si="1"/>
        <v>1.8734980358389049E-2</v>
      </c>
      <c r="F15" s="71"/>
      <c r="G15" s="219">
        <f>+'COEF Art 14 F I '!AF15</f>
        <v>1.2925669720850153E-2</v>
      </c>
      <c r="H15" s="83">
        <f t="shared" si="2"/>
        <v>1881320.1745343974</v>
      </c>
      <c r="I15" s="84">
        <f t="shared" si="3"/>
        <v>1666554.8019821178</v>
      </c>
      <c r="J15" s="84">
        <f t="shared" si="4"/>
        <v>985536.293075216</v>
      </c>
      <c r="K15" s="84">
        <f t="shared" si="5"/>
        <v>4533411.269591731</v>
      </c>
      <c r="L15" s="243">
        <f t="shared" si="6"/>
        <v>1.7837205141378966E-2</v>
      </c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</row>
    <row r="16" spans="1:54">
      <c r="A16" s="64" t="s">
        <v>10</v>
      </c>
      <c r="B16" s="166">
        <v>104478</v>
      </c>
      <c r="C16" s="216">
        <f t="shared" si="0"/>
        <v>1.8061897759541888E-2</v>
      </c>
      <c r="D16" s="153">
        <v>48695</v>
      </c>
      <c r="E16" s="216">
        <f t="shared" si="1"/>
        <v>8.5641855766416791E-3</v>
      </c>
      <c r="F16" s="71"/>
      <c r="G16" s="219">
        <f>+'COEF Art 14 F I '!AF16</f>
        <v>9.5762326685371203E-3</v>
      </c>
      <c r="H16" s="83">
        <f t="shared" si="2"/>
        <v>1606681.2918005574</v>
      </c>
      <c r="I16" s="84">
        <f t="shared" si="3"/>
        <v>761820.09934305784</v>
      </c>
      <c r="J16" s="84">
        <f t="shared" si="4"/>
        <v>730153.64384191576</v>
      </c>
      <c r="K16" s="84">
        <f t="shared" si="5"/>
        <v>3098655.0349855311</v>
      </c>
      <c r="L16" s="243">
        <f t="shared" si="6"/>
        <v>1.219199896822539E-2</v>
      </c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</row>
    <row r="17" spans="1:54">
      <c r="A17" s="64" t="s">
        <v>11</v>
      </c>
      <c r="B17" s="166">
        <v>7340</v>
      </c>
      <c r="C17" s="216">
        <f t="shared" si="0"/>
        <v>1.2689210126058832E-3</v>
      </c>
      <c r="D17" s="153">
        <v>8352</v>
      </c>
      <c r="E17" s="216">
        <f t="shared" si="1"/>
        <v>1.4688998446680623E-3</v>
      </c>
      <c r="F17" s="71"/>
      <c r="G17" s="219">
        <f>+'COEF Art 14 F I '!AF17</f>
        <v>3.6662042980092941E-3</v>
      </c>
      <c r="H17" s="83">
        <f t="shared" si="2"/>
        <v>112875.82727288129</v>
      </c>
      <c r="I17" s="84">
        <f t="shared" si="3"/>
        <v>130664.78015634496</v>
      </c>
      <c r="J17" s="84">
        <f t="shared" si="4"/>
        <v>279535.02383618517</v>
      </c>
      <c r="K17" s="84">
        <f t="shared" si="5"/>
        <v>523075.63126541139</v>
      </c>
      <c r="L17" s="243">
        <f t="shared" si="6"/>
        <v>2.0580985894486695E-3</v>
      </c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</row>
    <row r="18" spans="1:54">
      <c r="A18" s="64" t="s">
        <v>12</v>
      </c>
      <c r="B18" s="166">
        <v>9930</v>
      </c>
      <c r="C18" s="216">
        <f t="shared" si="0"/>
        <v>1.7166737949831634E-3</v>
      </c>
      <c r="D18" s="153">
        <v>12086</v>
      </c>
      <c r="E18" s="216">
        <f t="shared" si="1"/>
        <v>2.1256134485941333E-3</v>
      </c>
      <c r="F18" s="71"/>
      <c r="G18" s="219">
        <f>+'COEF Art 14 F I '!AF18</f>
        <v>4.5624241048985827E-3</v>
      </c>
      <c r="H18" s="83">
        <f t="shared" si="2"/>
        <v>152705.30855854377</v>
      </c>
      <c r="I18" s="84">
        <f t="shared" si="3"/>
        <v>189082.19982873386</v>
      </c>
      <c r="J18" s="84">
        <f t="shared" si="4"/>
        <v>347868.59303124901</v>
      </c>
      <c r="K18" s="84">
        <f t="shared" si="5"/>
        <v>689656.10141852661</v>
      </c>
      <c r="L18" s="243">
        <f t="shared" si="6"/>
        <v>2.7135277667216296E-3</v>
      </c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</row>
    <row r="19" spans="1:54">
      <c r="A19" s="64" t="s">
        <v>13</v>
      </c>
      <c r="B19" s="166">
        <v>68747</v>
      </c>
      <c r="C19" s="216">
        <f t="shared" si="0"/>
        <v>1.1884811015479108E-2</v>
      </c>
      <c r="D19" s="153">
        <v>51865</v>
      </c>
      <c r="E19" s="216">
        <f t="shared" si="1"/>
        <v>9.1217062312870037E-3</v>
      </c>
      <c r="F19" s="71"/>
      <c r="G19" s="219">
        <f>+'COEF Art 14 F I '!AF19</f>
        <v>7.1818628586260824E-3</v>
      </c>
      <c r="H19" s="83">
        <f t="shared" si="2"/>
        <v>1057203.6100175437</v>
      </c>
      <c r="I19" s="84">
        <f t="shared" si="3"/>
        <v>811413.89161983132</v>
      </c>
      <c r="J19" s="84">
        <f t="shared" si="4"/>
        <v>547591.47122934426</v>
      </c>
      <c r="K19" s="84">
        <f t="shared" si="5"/>
        <v>2416208.9728667191</v>
      </c>
      <c r="L19" s="243">
        <f t="shared" si="6"/>
        <v>9.5068398939559661E-3</v>
      </c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</row>
    <row r="20" spans="1:54">
      <c r="A20" s="64" t="s">
        <v>14</v>
      </c>
      <c r="B20" s="166">
        <v>36088</v>
      </c>
      <c r="C20" s="216">
        <f t="shared" si="0"/>
        <v>6.2388040194715413E-3</v>
      </c>
      <c r="D20" s="153">
        <v>38266</v>
      </c>
      <c r="E20" s="216">
        <f t="shared" si="1"/>
        <v>6.7299953850656225E-3</v>
      </c>
      <c r="F20" s="71"/>
      <c r="G20" s="219">
        <f>+'COEF Art 14 F I '!AF20</f>
        <v>1.0323874173887922E-2</v>
      </c>
      <c r="H20" s="83">
        <f t="shared" si="2"/>
        <v>554967.69136563211</v>
      </c>
      <c r="I20" s="84">
        <f t="shared" si="3"/>
        <v>598661.21617129992</v>
      </c>
      <c r="J20" s="84">
        <f t="shared" si="4"/>
        <v>787158.64657257043</v>
      </c>
      <c r="K20" s="84">
        <f t="shared" si="5"/>
        <v>1940787.5541095026</v>
      </c>
      <c r="L20" s="243">
        <f t="shared" si="6"/>
        <v>7.6362420437543869E-3</v>
      </c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</row>
    <row r="21" spans="1:54">
      <c r="A21" s="64" t="s">
        <v>15</v>
      </c>
      <c r="B21" s="166">
        <v>1360</v>
      </c>
      <c r="C21" s="216">
        <f t="shared" si="0"/>
        <v>2.351134301286105E-4</v>
      </c>
      <c r="D21" s="153">
        <v>1874</v>
      </c>
      <c r="E21" s="216">
        <f t="shared" si="1"/>
        <v>3.2958792012786745E-4</v>
      </c>
      <c r="F21" s="71"/>
      <c r="G21" s="219">
        <f>+'COEF Art 14 F I '!AF21</f>
        <v>1.4960947526004983E-3</v>
      </c>
      <c r="H21" s="83">
        <f t="shared" si="2"/>
        <v>20914.322219498441</v>
      </c>
      <c r="I21" s="84">
        <f t="shared" si="3"/>
        <v>29318.222942168399</v>
      </c>
      <c r="J21" s="84">
        <f t="shared" si="4"/>
        <v>114071.89789081187</v>
      </c>
      <c r="K21" s="84">
        <f t="shared" si="5"/>
        <v>164304.44305247872</v>
      </c>
      <c r="L21" s="243">
        <f t="shared" si="6"/>
        <v>6.4647389836991693E-4</v>
      </c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</row>
    <row r="22" spans="1:54">
      <c r="A22" s="64" t="s">
        <v>16</v>
      </c>
      <c r="B22" s="166">
        <v>3256</v>
      </c>
      <c r="C22" s="216">
        <f t="shared" si="0"/>
        <v>5.6288921213143808E-4</v>
      </c>
      <c r="D22" s="153">
        <v>3314</v>
      </c>
      <c r="E22" s="216">
        <f t="shared" si="1"/>
        <v>5.8284651403615407E-4</v>
      </c>
      <c r="F22" s="71"/>
      <c r="G22" s="219">
        <f>+'COEF Art 14 F I '!AF22</f>
        <v>1.0032195565828478E-3</v>
      </c>
      <c r="H22" s="83">
        <f t="shared" si="2"/>
        <v>50071.347901975678</v>
      </c>
      <c r="I22" s="84">
        <f t="shared" si="3"/>
        <v>51846.633313952014</v>
      </c>
      <c r="J22" s="84">
        <f t="shared" si="4"/>
        <v>76491.919125888962</v>
      </c>
      <c r="K22" s="84">
        <f t="shared" si="5"/>
        <v>178409.90034181665</v>
      </c>
      <c r="L22" s="243">
        <f t="shared" si="6"/>
        <v>7.0197337113351178E-4</v>
      </c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</row>
    <row r="23" spans="1:54">
      <c r="A23" s="64" t="s">
        <v>17</v>
      </c>
      <c r="B23" s="166">
        <v>40903</v>
      </c>
      <c r="C23" s="216">
        <f t="shared" si="0"/>
        <v>7.0712092886401146E-3</v>
      </c>
      <c r="D23" s="153">
        <v>45483</v>
      </c>
      <c r="E23" s="216">
        <f t="shared" si="1"/>
        <v>7.999278213007362E-3</v>
      </c>
      <c r="F23" s="71"/>
      <c r="G23" s="219">
        <f>+'COEF Art 14 F I '!AF23</f>
        <v>9.6439690555568565E-3</v>
      </c>
      <c r="H23" s="83">
        <f t="shared" si="2"/>
        <v>629013.61892951815</v>
      </c>
      <c r="I23" s="84">
        <f t="shared" si="3"/>
        <v>711569.22843044042</v>
      </c>
      <c r="J23" s="84">
        <f t="shared" si="4"/>
        <v>735318.30216999096</v>
      </c>
      <c r="K23" s="84">
        <f t="shared" si="5"/>
        <v>2075901.1495299495</v>
      </c>
      <c r="L23" s="243">
        <f t="shared" si="6"/>
        <v>8.1678613422436763E-3</v>
      </c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</row>
    <row r="24" spans="1:54">
      <c r="A24" s="64" t="s">
        <v>18</v>
      </c>
      <c r="B24" s="166">
        <v>397205</v>
      </c>
      <c r="C24" s="216">
        <f t="shared" si="0"/>
        <v>6.8667816186937305E-2</v>
      </c>
      <c r="D24" s="153">
        <v>309453</v>
      </c>
      <c r="E24" s="216">
        <f t="shared" si="1"/>
        <v>5.4424744208820153E-2</v>
      </c>
      <c r="F24" s="71"/>
      <c r="G24" s="219">
        <f>+'COEF Art 14 F I '!AF24</f>
        <v>3.8791918566718459E-2</v>
      </c>
      <c r="H24" s="83">
        <f t="shared" si="2"/>
        <v>6108289.2332322635</v>
      </c>
      <c r="I24" s="84">
        <f t="shared" si="3"/>
        <v>4841308.4547080239</v>
      </c>
      <c r="J24" s="84">
        <f t="shared" si="4"/>
        <v>2957745.6682070335</v>
      </c>
      <c r="K24" s="84">
        <f t="shared" si="5"/>
        <v>13907343.356147323</v>
      </c>
      <c r="L24" s="243">
        <f t="shared" si="6"/>
        <v>5.4719971708530671E-2</v>
      </c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</row>
    <row r="25" spans="1:54">
      <c r="A25" s="64" t="s">
        <v>19</v>
      </c>
      <c r="B25" s="166">
        <v>5506</v>
      </c>
      <c r="C25" s="216">
        <f t="shared" si="0"/>
        <v>9.5186363697656574E-4</v>
      </c>
      <c r="D25" s="153">
        <v>6204</v>
      </c>
      <c r="E25" s="216">
        <f t="shared" si="1"/>
        <v>1.0911224420882015E-3</v>
      </c>
      <c r="F25" s="71"/>
      <c r="G25" s="219">
        <f>+'COEF Art 14 F I '!AF25</f>
        <v>2.7527031212207223E-3</v>
      </c>
      <c r="H25" s="83">
        <f t="shared" si="2"/>
        <v>84672.248632763542</v>
      </c>
      <c r="I25" s="84">
        <f t="shared" si="3"/>
        <v>97059.901351767738</v>
      </c>
      <c r="J25" s="84">
        <f t="shared" si="4"/>
        <v>209883.81171834664</v>
      </c>
      <c r="K25" s="84">
        <f t="shared" si="5"/>
        <v>391615.96170287789</v>
      </c>
      <c r="L25" s="243">
        <f t="shared" si="6"/>
        <v>1.5408560640388855E-3</v>
      </c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</row>
    <row r="26" spans="1:54">
      <c r="A26" s="64" t="s">
        <v>20</v>
      </c>
      <c r="B26" s="166">
        <v>481213</v>
      </c>
      <c r="C26" s="216">
        <f t="shared" si="0"/>
        <v>8.3190911067999293E-2</v>
      </c>
      <c r="D26" s="153">
        <v>472873</v>
      </c>
      <c r="E26" s="216">
        <f t="shared" si="1"/>
        <v>8.3166077136939742E-2</v>
      </c>
      <c r="F26" s="71"/>
      <c r="G26" s="219">
        <f>+'COEF Art 14 F I '!AF26</f>
        <v>5.3694530872684429E-2</v>
      </c>
      <c r="H26" s="83">
        <f t="shared" si="2"/>
        <v>7400179.219273163</v>
      </c>
      <c r="I26" s="84">
        <f t="shared" si="3"/>
        <v>7397970.1373169683</v>
      </c>
      <c r="J26" s="84">
        <f t="shared" si="4"/>
        <v>4094016.794295562</v>
      </c>
      <c r="K26" s="84">
        <f t="shared" si="5"/>
        <v>18892166.150885694</v>
      </c>
      <c r="L26" s="243">
        <f t="shared" si="6"/>
        <v>7.4333305133534019E-2</v>
      </c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</row>
    <row r="27" spans="1:54">
      <c r="A27" s="64" t="s">
        <v>21</v>
      </c>
      <c r="B27" s="166">
        <v>14109</v>
      </c>
      <c r="C27" s="216">
        <f t="shared" si="0"/>
        <v>2.4391289600621804E-3</v>
      </c>
      <c r="D27" s="153">
        <v>16479</v>
      </c>
      <c r="E27" s="216">
        <f t="shared" si="1"/>
        <v>2.8982280340379548E-3</v>
      </c>
      <c r="F27" s="71"/>
      <c r="G27" s="219">
        <f>+'COEF Art 14 F I '!AF27</f>
        <v>4.3878068052810885E-3</v>
      </c>
      <c r="H27" s="83">
        <f t="shared" si="2"/>
        <v>216970.71484919373</v>
      </c>
      <c r="I27" s="84">
        <f t="shared" si="3"/>
        <v>257809.49619209874</v>
      </c>
      <c r="J27" s="84">
        <f t="shared" si="4"/>
        <v>334554.64567777206</v>
      </c>
      <c r="K27" s="84">
        <f t="shared" si="5"/>
        <v>809334.85671906453</v>
      </c>
      <c r="L27" s="243">
        <f t="shared" si="6"/>
        <v>3.1844169895193747E-3</v>
      </c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</row>
    <row r="28" spans="1:54">
      <c r="A28" s="64" t="s">
        <v>22</v>
      </c>
      <c r="B28" s="166">
        <v>1808</v>
      </c>
      <c r="C28" s="216">
        <f t="shared" si="0"/>
        <v>3.1256256005332924E-4</v>
      </c>
      <c r="D28" s="153">
        <v>1199</v>
      </c>
      <c r="E28" s="216">
        <f t="shared" si="1"/>
        <v>2.108729542333581E-4</v>
      </c>
      <c r="F28" s="71"/>
      <c r="G28" s="219">
        <f>+'COEF Art 14 F I '!AF28</f>
        <v>8.7304835954561189E-4</v>
      </c>
      <c r="H28" s="83">
        <f t="shared" si="2"/>
        <v>27803.746009450864</v>
      </c>
      <c r="I28" s="84">
        <f t="shared" si="3"/>
        <v>18758.030580394829</v>
      </c>
      <c r="J28" s="84">
        <f t="shared" si="4"/>
        <v>66566.828839363894</v>
      </c>
      <c r="K28" s="84">
        <f t="shared" si="5"/>
        <v>113128.60542920959</v>
      </c>
      <c r="L28" s="243">
        <f t="shared" si="6"/>
        <v>4.4511693786402425E-4</v>
      </c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</row>
    <row r="29" spans="1:54">
      <c r="A29" s="64" t="s">
        <v>23</v>
      </c>
      <c r="B29" s="166">
        <v>6282</v>
      </c>
      <c r="C29" s="216">
        <f t="shared" si="0"/>
        <v>1.0860165941675964E-3</v>
      </c>
      <c r="D29" s="153">
        <v>6672</v>
      </c>
      <c r="E29" s="216">
        <f t="shared" si="1"/>
        <v>1.1734314851083946E-3</v>
      </c>
      <c r="F29" s="71"/>
      <c r="G29" s="219">
        <f>+'COEF Art 14 F I '!AF29</f>
        <v>2.5027749981554126E-3</v>
      </c>
      <c r="H29" s="83">
        <f t="shared" si="2"/>
        <v>96605.714840359695</v>
      </c>
      <c r="I29" s="84">
        <f t="shared" si="3"/>
        <v>104381.6347225974</v>
      </c>
      <c r="J29" s="84">
        <f t="shared" si="4"/>
        <v>190827.68222869176</v>
      </c>
      <c r="K29" s="84">
        <f t="shared" si="5"/>
        <v>391815.03179164883</v>
      </c>
      <c r="L29" s="243">
        <f t="shared" si="6"/>
        <v>1.5416393271932209E-3</v>
      </c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</row>
    <row r="30" spans="1:54">
      <c r="A30" s="64" t="s">
        <v>24</v>
      </c>
      <c r="B30" s="166">
        <v>102149</v>
      </c>
      <c r="C30" s="216">
        <f t="shared" si="0"/>
        <v>1.7659266010446643E-2</v>
      </c>
      <c r="D30" s="153">
        <v>94516</v>
      </c>
      <c r="E30" s="216">
        <f t="shared" si="1"/>
        <v>1.6622909209608069E-2</v>
      </c>
      <c r="F30" s="71"/>
      <c r="G30" s="219">
        <f>+'COEF Art 14 F I '!AF30</f>
        <v>9.0563921187779145E-3</v>
      </c>
      <c r="H30" s="83">
        <f t="shared" si="2"/>
        <v>1570865.5149996663</v>
      </c>
      <c r="I30" s="84">
        <f t="shared" si="3"/>
        <v>1478677.2463190975</v>
      </c>
      <c r="J30" s="84">
        <f t="shared" si="4"/>
        <v>690517.6528670378</v>
      </c>
      <c r="K30" s="84">
        <f t="shared" si="5"/>
        <v>3740060.4141858015</v>
      </c>
      <c r="L30" s="243">
        <f t="shared" si="6"/>
        <v>1.4715678962652528E-2</v>
      </c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</row>
    <row r="31" spans="1:54">
      <c r="A31" s="64" t="s">
        <v>25</v>
      </c>
      <c r="B31" s="166">
        <v>643143</v>
      </c>
      <c r="C31" s="216">
        <f t="shared" si="0"/>
        <v>0.11118496823029775</v>
      </c>
      <c r="D31" s="153">
        <v>715442</v>
      </c>
      <c r="E31" s="216">
        <f t="shared" si="1"/>
        <v>0.12582766315481417</v>
      </c>
      <c r="F31" s="71"/>
      <c r="G31" s="219">
        <f>+'COEF Art 14 F I '!AF31</f>
        <v>6.9565967864580455E-2</v>
      </c>
      <c r="H31" s="83">
        <f t="shared" si="2"/>
        <v>9890367.59942271</v>
      </c>
      <c r="I31" s="84">
        <f t="shared" si="3"/>
        <v>11192896.509173343</v>
      </c>
      <c r="J31" s="84">
        <f t="shared" si="4"/>
        <v>5304157.3530890802</v>
      </c>
      <c r="K31" s="84">
        <f t="shared" si="5"/>
        <v>26387421.461685132</v>
      </c>
      <c r="L31" s="243">
        <f t="shared" si="6"/>
        <v>0.10382421134416334</v>
      </c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</row>
    <row r="32" spans="1:54">
      <c r="A32" s="64" t="s">
        <v>26</v>
      </c>
      <c r="B32" s="166">
        <v>1959</v>
      </c>
      <c r="C32" s="216">
        <f t="shared" si="0"/>
        <v>3.3866706589849116E-4</v>
      </c>
      <c r="D32" s="153">
        <v>2019</v>
      </c>
      <c r="E32" s="216">
        <f t="shared" si="1"/>
        <v>3.5508965354224354E-4</v>
      </c>
      <c r="F32" s="71"/>
      <c r="G32" s="219">
        <f>+'COEF Art 14 F I '!AF32</f>
        <v>9.1412518204484709E-4</v>
      </c>
      <c r="H32" s="83">
        <f t="shared" si="2"/>
        <v>30125.850902939299</v>
      </c>
      <c r="I32" s="84">
        <f t="shared" si="3"/>
        <v>31586.70870877161</v>
      </c>
      <c r="J32" s="84">
        <f t="shared" si="4"/>
        <v>69698.790296796389</v>
      </c>
      <c r="K32" s="84">
        <f t="shared" si="5"/>
        <v>131411.34990850731</v>
      </c>
      <c r="L32" s="243">
        <f t="shared" si="6"/>
        <v>5.1705240641771149E-4</v>
      </c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</row>
    <row r="33" spans="1:54">
      <c r="A33" s="64" t="s">
        <v>27</v>
      </c>
      <c r="B33" s="166">
        <v>16086</v>
      </c>
      <c r="C33" s="216">
        <f t="shared" si="0"/>
        <v>2.7809078213594327E-3</v>
      </c>
      <c r="D33" s="153">
        <v>15960</v>
      </c>
      <c r="E33" s="216">
        <f t="shared" si="1"/>
        <v>2.8069494158168432E-3</v>
      </c>
      <c r="F33" s="71"/>
      <c r="G33" s="219">
        <f>+'COEF Art 14 F I '!AF33</f>
        <v>1.733615638859052E-3</v>
      </c>
      <c r="H33" s="83">
        <f t="shared" si="2"/>
        <v>247373.37295797933</v>
      </c>
      <c r="I33" s="84">
        <f t="shared" si="3"/>
        <v>249689.88162060172</v>
      </c>
      <c r="J33" s="84">
        <f t="shared" si="4"/>
        <v>132182.01975115898</v>
      </c>
      <c r="K33" s="84">
        <f t="shared" si="5"/>
        <v>629245.27432974009</v>
      </c>
      <c r="L33" s="243">
        <f t="shared" si="6"/>
        <v>2.4758347246694131E-3</v>
      </c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</row>
    <row r="34" spans="1:54">
      <c r="A34" s="64" t="s">
        <v>28</v>
      </c>
      <c r="B34" s="166">
        <v>1386</v>
      </c>
      <c r="C34" s="216">
        <f t="shared" si="0"/>
        <v>2.3960824570459864E-4</v>
      </c>
      <c r="D34" s="153">
        <v>1732</v>
      </c>
      <c r="E34" s="216">
        <f t="shared" si="1"/>
        <v>3.0461380878413365E-4</v>
      </c>
      <c r="F34" s="71"/>
      <c r="G34" s="219">
        <f>+'COEF Art 14 F I '!AF34</f>
        <v>1.2912396420521994E-3</v>
      </c>
      <c r="H34" s="83">
        <f t="shared" si="2"/>
        <v>21314.15485016532</v>
      </c>
      <c r="I34" s="84">
        <f t="shared" si="3"/>
        <v>27096.671363839738</v>
      </c>
      <c r="J34" s="84">
        <f t="shared" si="4"/>
        <v>98452.425118610699</v>
      </c>
      <c r="K34" s="84">
        <f t="shared" si="5"/>
        <v>146863.25133261576</v>
      </c>
      <c r="L34" s="243">
        <f t="shared" si="6"/>
        <v>5.7784961168671632E-4</v>
      </c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</row>
    <row r="35" spans="1:54">
      <c r="A35" s="64" t="s">
        <v>29</v>
      </c>
      <c r="B35" s="166">
        <v>7026</v>
      </c>
      <c r="C35" s="216">
        <f t="shared" si="0"/>
        <v>1.2146374706497186E-3</v>
      </c>
      <c r="D35" s="153">
        <v>7833</v>
      </c>
      <c r="E35" s="216">
        <f t="shared" si="1"/>
        <v>1.3776212264469507E-3</v>
      </c>
      <c r="F35" s="71"/>
      <c r="G35" s="219">
        <f>+'COEF Art 14 F I '!AF35</f>
        <v>1.5370666083601365E-3</v>
      </c>
      <c r="H35" s="83">
        <f t="shared" si="2"/>
        <v>108047.07934867355</v>
      </c>
      <c r="I35" s="84">
        <f t="shared" si="3"/>
        <v>122545.16558484796</v>
      </c>
      <c r="J35" s="84">
        <f t="shared" si="4"/>
        <v>117195.85600809466</v>
      </c>
      <c r="K35" s="84">
        <f t="shared" si="5"/>
        <v>347788.10094161617</v>
      </c>
      <c r="L35" s="243">
        <f t="shared" si="6"/>
        <v>1.3684105264918755E-3</v>
      </c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</row>
    <row r="36" spans="1:54">
      <c r="A36" s="64" t="s">
        <v>30</v>
      </c>
      <c r="B36" s="166">
        <v>3298</v>
      </c>
      <c r="C36" s="216">
        <f t="shared" si="0"/>
        <v>5.7015006806188052E-4</v>
      </c>
      <c r="D36" s="153">
        <v>4025</v>
      </c>
      <c r="E36" s="216">
        <f t="shared" si="1"/>
        <v>7.0789294477837056E-4</v>
      </c>
      <c r="F36" s="71"/>
      <c r="G36" s="219">
        <f>+'COEF Art 14 F I '!AF36</f>
        <v>1.5944441511346781E-3</v>
      </c>
      <c r="H36" s="83">
        <f t="shared" si="2"/>
        <v>50717.231382283724</v>
      </c>
      <c r="I36" s="84">
        <f t="shared" si="3"/>
        <v>62970.035935020169</v>
      </c>
      <c r="J36" s="84">
        <f t="shared" si="4"/>
        <v>121570.68934617467</v>
      </c>
      <c r="K36" s="84">
        <f t="shared" si="5"/>
        <v>235257.95666347857</v>
      </c>
      <c r="L36" s="243">
        <f t="shared" si="6"/>
        <v>9.256482998344916E-4</v>
      </c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</row>
    <row r="37" spans="1:54">
      <c r="A37" s="64" t="s">
        <v>31</v>
      </c>
      <c r="B37" s="166">
        <v>471523</v>
      </c>
      <c r="C37" s="216">
        <f t="shared" si="0"/>
        <v>8.1515727878332944E-2</v>
      </c>
      <c r="D37" s="153">
        <v>406584</v>
      </c>
      <c r="E37" s="216">
        <f t="shared" si="1"/>
        <v>7.1507563990004727E-2</v>
      </c>
      <c r="F37" s="71"/>
      <c r="G37" s="219">
        <f>+'COEF Art 14 F I '!AF37</f>
        <v>4.8967320115372914E-2</v>
      </c>
      <c r="H37" s="83">
        <f t="shared" si="2"/>
        <v>7251164.6734592374</v>
      </c>
      <c r="I37" s="84">
        <f t="shared" si="3"/>
        <v>6360896.668473104</v>
      </c>
      <c r="J37" s="84">
        <f t="shared" si="4"/>
        <v>3733583.8057571813</v>
      </c>
      <c r="K37" s="84">
        <f t="shared" si="5"/>
        <v>17345645.147689521</v>
      </c>
      <c r="L37" s="243">
        <f t="shared" si="6"/>
        <v>6.8248348188530081E-2</v>
      </c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</row>
    <row r="38" spans="1:54">
      <c r="A38" s="64" t="s">
        <v>32</v>
      </c>
      <c r="B38" s="166">
        <v>5351</v>
      </c>
      <c r="C38" s="216">
        <f t="shared" si="0"/>
        <v>9.2506762104279034E-4</v>
      </c>
      <c r="D38" s="153">
        <v>5855</v>
      </c>
      <c r="E38" s="216">
        <f t="shared" si="1"/>
        <v>1.0297424078701514E-3</v>
      </c>
      <c r="F38" s="71"/>
      <c r="G38" s="219">
        <f>+'COEF Art 14 F I '!AF38</f>
        <v>3.8141263611872239E-3</v>
      </c>
      <c r="H38" s="83">
        <f t="shared" si="2"/>
        <v>82288.631026864823</v>
      </c>
      <c r="I38" s="84">
        <f t="shared" si="3"/>
        <v>91599.890782495175</v>
      </c>
      <c r="J38" s="84">
        <f t="shared" si="4"/>
        <v>290813.55446220416</v>
      </c>
      <c r="K38" s="84">
        <f t="shared" si="5"/>
        <v>464702.07627156418</v>
      </c>
      <c r="L38" s="243">
        <f t="shared" si="6"/>
        <v>1.8284214184756974E-3</v>
      </c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</row>
    <row r="39" spans="1:54">
      <c r="A39" s="64" t="s">
        <v>33</v>
      </c>
      <c r="B39" s="166">
        <v>84666</v>
      </c>
      <c r="C39" s="216">
        <f t="shared" si="0"/>
        <v>1.4636848290638924E-2</v>
      </c>
      <c r="D39" s="153">
        <v>89739</v>
      </c>
      <c r="E39" s="216">
        <f t="shared" si="1"/>
        <v>1.5782758999122036E-2</v>
      </c>
      <c r="F39" s="71"/>
      <c r="G39" s="219">
        <f>+'COEF Art 14 F I '!AF39</f>
        <v>1.0486484281426929E-2</v>
      </c>
      <c r="H39" s="83">
        <f t="shared" si="2"/>
        <v>1302008.8272323932</v>
      </c>
      <c r="I39" s="84">
        <f t="shared" si="3"/>
        <v>1403942.3738565901</v>
      </c>
      <c r="J39" s="84">
        <f t="shared" si="4"/>
        <v>799557.08828287083</v>
      </c>
      <c r="K39" s="84">
        <f t="shared" si="5"/>
        <v>3505508.2893718546</v>
      </c>
      <c r="L39" s="243">
        <f t="shared" si="6"/>
        <v>1.379280783584442E-2</v>
      </c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</row>
    <row r="40" spans="1:54">
      <c r="A40" s="64" t="s">
        <v>34</v>
      </c>
      <c r="B40" s="166">
        <v>5119</v>
      </c>
      <c r="C40" s="216">
        <f t="shared" si="0"/>
        <v>8.8496003590320376E-4</v>
      </c>
      <c r="D40" s="153">
        <v>6248</v>
      </c>
      <c r="E40" s="216">
        <f t="shared" si="1"/>
        <v>1.0988608991242882E-3</v>
      </c>
      <c r="F40" s="71"/>
      <c r="G40" s="219">
        <f>+'COEF Art 14 F I '!AF40</f>
        <v>1.9529611153831805E-3</v>
      </c>
      <c r="H40" s="83">
        <f t="shared" si="2"/>
        <v>78720.893707068026</v>
      </c>
      <c r="I40" s="84">
        <f t="shared" si="3"/>
        <v>97748.269446461141</v>
      </c>
      <c r="J40" s="84">
        <f t="shared" si="4"/>
        <v>148906.33133462004</v>
      </c>
      <c r="K40" s="84">
        <f t="shared" si="5"/>
        <v>325375.49448814918</v>
      </c>
      <c r="L40" s="243">
        <f t="shared" si="6"/>
        <v>1.2802256618745765E-3</v>
      </c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</row>
    <row r="41" spans="1:54">
      <c r="A41" s="64" t="s">
        <v>35</v>
      </c>
      <c r="B41" s="166">
        <v>1483</v>
      </c>
      <c r="C41" s="216">
        <f t="shared" si="0"/>
        <v>2.5637736535347747E-4</v>
      </c>
      <c r="D41" s="153">
        <v>1087</v>
      </c>
      <c r="E41" s="216">
        <f t="shared" si="1"/>
        <v>1.9117506359604691E-4</v>
      </c>
      <c r="F41" s="71"/>
      <c r="G41" s="219">
        <f>+'COEF Art 14 F I '!AF41</f>
        <v>3.6013847875063525E-4</v>
      </c>
      <c r="H41" s="83">
        <f t="shared" si="2"/>
        <v>22805.838126114842</v>
      </c>
      <c r="I41" s="84">
        <f t="shared" si="3"/>
        <v>17005.820884811659</v>
      </c>
      <c r="J41" s="84">
        <f t="shared" si="4"/>
        <v>27459.276695668494</v>
      </c>
      <c r="K41" s="84">
        <f t="shared" si="5"/>
        <v>67270.935706594988</v>
      </c>
      <c r="L41" s="243">
        <f t="shared" si="6"/>
        <v>2.6468489375752416E-4</v>
      </c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</row>
    <row r="42" spans="1:54">
      <c r="A42" s="64" t="s">
        <v>36</v>
      </c>
      <c r="B42" s="166">
        <v>7652</v>
      </c>
      <c r="C42" s="216">
        <f t="shared" si="0"/>
        <v>1.322858799517741E-3</v>
      </c>
      <c r="D42" s="153">
        <v>7662</v>
      </c>
      <c r="E42" s="216">
        <f t="shared" si="1"/>
        <v>1.3475467684203417E-3</v>
      </c>
      <c r="F42" s="71"/>
      <c r="G42" s="219">
        <f>+'COEF Art 14 F I '!AF42</f>
        <v>2.7547497779636006E-3</v>
      </c>
      <c r="H42" s="83">
        <f t="shared" si="2"/>
        <v>117673.81884088388</v>
      </c>
      <c r="I42" s="84">
        <f t="shared" si="3"/>
        <v>119869.91685319865</v>
      </c>
      <c r="J42" s="84">
        <f t="shared" si="4"/>
        <v>210039.8620076651</v>
      </c>
      <c r="K42" s="84">
        <f t="shared" si="5"/>
        <v>447583.59770174761</v>
      </c>
      <c r="L42" s="243">
        <f t="shared" si="6"/>
        <v>1.7610668821674096E-3</v>
      </c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</row>
    <row r="43" spans="1:54">
      <c r="A43" s="64" t="s">
        <v>37</v>
      </c>
      <c r="B43" s="166">
        <v>6048</v>
      </c>
      <c r="C43" s="216">
        <f t="shared" si="0"/>
        <v>1.0455632539837032E-3</v>
      </c>
      <c r="D43" s="153">
        <v>5923</v>
      </c>
      <c r="E43" s="216">
        <f t="shared" si="1"/>
        <v>1.0417018414713762E-3</v>
      </c>
      <c r="F43" s="71"/>
      <c r="G43" s="219">
        <f>+'COEF Art 14 F I '!AF43</f>
        <v>3.6342888992780035E-3</v>
      </c>
      <c r="H43" s="83">
        <f t="shared" si="2"/>
        <v>93007.221164357776</v>
      </c>
      <c r="I43" s="84">
        <f t="shared" si="3"/>
        <v>92663.732383384966</v>
      </c>
      <c r="J43" s="84">
        <f t="shared" si="4"/>
        <v>277101.58832089294</v>
      </c>
      <c r="K43" s="84">
        <f t="shared" si="5"/>
        <v>462772.54186863569</v>
      </c>
      <c r="L43" s="243">
        <f t="shared" si="6"/>
        <v>1.8208294531926793E-3</v>
      </c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</row>
    <row r="44" spans="1:54">
      <c r="A44" s="64" t="s">
        <v>38</v>
      </c>
      <c r="B44" s="166">
        <v>67428</v>
      </c>
      <c r="C44" s="216">
        <f t="shared" si="0"/>
        <v>1.1656785563758786E-2</v>
      </c>
      <c r="D44" s="153">
        <v>68518</v>
      </c>
      <c r="E44" s="216">
        <f t="shared" si="1"/>
        <v>1.2050536345422211E-2</v>
      </c>
      <c r="F44" s="71"/>
      <c r="G44" s="219">
        <f>+'COEF Art 14 F I '!AF44</f>
        <v>7.8858417846879355E-3</v>
      </c>
      <c r="H44" s="83">
        <f t="shared" si="2"/>
        <v>1036919.7931002505</v>
      </c>
      <c r="I44" s="84">
        <f t="shared" si="3"/>
        <v>1071945.5707318541</v>
      </c>
      <c r="J44" s="84">
        <f t="shared" si="4"/>
        <v>601267.35775419651</v>
      </c>
      <c r="K44" s="84">
        <f t="shared" si="5"/>
        <v>2710132.721586301</v>
      </c>
      <c r="L44" s="243">
        <f t="shared" si="6"/>
        <v>1.0663315203619732E-2</v>
      </c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</row>
    <row r="45" spans="1:54">
      <c r="A45" s="64" t="s">
        <v>39</v>
      </c>
      <c r="B45" s="166">
        <v>1142994</v>
      </c>
      <c r="C45" s="216">
        <f t="shared" si="0"/>
        <v>0.19759797055619194</v>
      </c>
      <c r="D45" s="153">
        <v>1136308</v>
      </c>
      <c r="E45" s="216">
        <f t="shared" si="1"/>
        <v>0.19984705994912316</v>
      </c>
      <c r="F45" s="71"/>
      <c r="G45" s="219">
        <f>+'COEF Art 14 F I '!AF45</f>
        <v>0.27251261962857615</v>
      </c>
      <c r="H45" s="83">
        <f t="shared" si="2"/>
        <v>17577165.302171618</v>
      </c>
      <c r="I45" s="84">
        <f t="shared" si="3"/>
        <v>17777231.20329215</v>
      </c>
      <c r="J45" s="84">
        <f t="shared" si="4"/>
        <v>20778116.938245479</v>
      </c>
      <c r="K45" s="84">
        <f t="shared" si="5"/>
        <v>56132513.443709239</v>
      </c>
      <c r="L45" s="243">
        <f t="shared" si="6"/>
        <v>0.22085954656543316</v>
      </c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</row>
    <row r="46" spans="1:54">
      <c r="A46" s="64" t="s">
        <v>40</v>
      </c>
      <c r="B46" s="166">
        <v>906</v>
      </c>
      <c r="C46" s="216">
        <f t="shared" si="0"/>
        <v>1.5662703507097141E-4</v>
      </c>
      <c r="D46" s="153">
        <v>1093</v>
      </c>
      <c r="E46" s="216">
        <f t="shared" si="1"/>
        <v>1.9223030773733143E-4</v>
      </c>
      <c r="F46" s="71"/>
      <c r="G46" s="219">
        <f>+'COEF Art 14 F I '!AF46</f>
        <v>1.8287041488216651E-3</v>
      </c>
      <c r="H46" s="83">
        <f t="shared" si="2"/>
        <v>13932.629360930579</v>
      </c>
      <c r="I46" s="84">
        <f t="shared" si="3"/>
        <v>17099.689261360756</v>
      </c>
      <c r="J46" s="84">
        <f t="shared" si="4"/>
        <v>139432.18006365965</v>
      </c>
      <c r="K46" s="84">
        <f t="shared" si="5"/>
        <v>170464.498685951</v>
      </c>
      <c r="L46" s="243">
        <f t="shared" si="6"/>
        <v>6.707113146294057E-4</v>
      </c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</row>
    <row r="47" spans="1:54">
      <c r="A47" s="64" t="s">
        <v>41</v>
      </c>
      <c r="B47" s="166">
        <v>147624</v>
      </c>
      <c r="C47" s="216">
        <f t="shared" si="0"/>
        <v>2.5520871330372057E-2</v>
      </c>
      <c r="D47" s="153">
        <v>115959</v>
      </c>
      <c r="E47" s="216">
        <f t="shared" si="1"/>
        <v>2.0394175896535423E-2</v>
      </c>
      <c r="F47" s="71"/>
      <c r="G47" s="219">
        <f>+'COEF Art 14 F I '!AF47</f>
        <v>1.3241494427444532E-2</v>
      </c>
      <c r="H47" s="83">
        <f t="shared" si="2"/>
        <v>2270188.1642141454</v>
      </c>
      <c r="I47" s="84">
        <f t="shared" si="3"/>
        <v>1814147.1793761502</v>
      </c>
      <c r="J47" s="84">
        <f t="shared" si="4"/>
        <v>1009616.8024275871</v>
      </c>
      <c r="K47" s="84">
        <f t="shared" si="5"/>
        <v>5093952.146017883</v>
      </c>
      <c r="L47" s="243">
        <f t="shared" si="6"/>
        <v>2.0042714857650985E-2</v>
      </c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</row>
    <row r="48" spans="1:54">
      <c r="A48" s="64" t="s">
        <v>42</v>
      </c>
      <c r="B48" s="166">
        <v>5389</v>
      </c>
      <c r="C48" s="216">
        <f t="shared" si="0"/>
        <v>9.3163696688461914E-4</v>
      </c>
      <c r="D48" s="153">
        <v>5221</v>
      </c>
      <c r="E48" s="216">
        <f t="shared" si="1"/>
        <v>9.1823827694108642E-4</v>
      </c>
      <c r="F48" s="71"/>
      <c r="G48" s="219">
        <f>+'COEF Art 14 F I '!AF48</f>
        <v>2.0257845194320313E-3</v>
      </c>
      <c r="H48" s="83">
        <f t="shared" si="2"/>
        <v>82873.001794762575</v>
      </c>
      <c r="I48" s="84">
        <f t="shared" si="3"/>
        <v>81681.132327140454</v>
      </c>
      <c r="J48" s="84">
        <f t="shared" si="4"/>
        <v>154458.8565983325</v>
      </c>
      <c r="K48" s="84">
        <f t="shared" si="5"/>
        <v>319012.99072023551</v>
      </c>
      <c r="L48" s="243">
        <f t="shared" si="6"/>
        <v>1.2551916911686066E-3</v>
      </c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</row>
    <row r="49" spans="1:54">
      <c r="A49" s="64" t="s">
        <v>43</v>
      </c>
      <c r="B49" s="166">
        <v>2377</v>
      </c>
      <c r="C49" s="216">
        <f t="shared" si="0"/>
        <v>4.1092987015860824E-4</v>
      </c>
      <c r="D49" s="153">
        <v>3029</v>
      </c>
      <c r="E49" s="216">
        <f t="shared" si="1"/>
        <v>5.3272241732513898E-4</v>
      </c>
      <c r="F49" s="71"/>
      <c r="G49" s="219">
        <f>+'COEF Art 14 F I '!AF49</f>
        <v>1.8635719751175439E-3</v>
      </c>
      <c r="H49" s="83">
        <f t="shared" si="2"/>
        <v>36553.929349814556</v>
      </c>
      <c r="I49" s="84">
        <f t="shared" si="3"/>
        <v>47387.885427869835</v>
      </c>
      <c r="J49" s="84">
        <f t="shared" si="4"/>
        <v>142090.72766833811</v>
      </c>
      <c r="K49" s="84">
        <f t="shared" si="5"/>
        <v>226032.5424460225</v>
      </c>
      <c r="L49" s="243">
        <f t="shared" si="6"/>
        <v>8.8934989315457493E-4</v>
      </c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</row>
    <row r="50" spans="1:54">
      <c r="A50" s="64" t="s">
        <v>44</v>
      </c>
      <c r="B50" s="166">
        <v>34709</v>
      </c>
      <c r="C50" s="216">
        <f t="shared" si="0"/>
        <v>6.0004059164220159E-3</v>
      </c>
      <c r="D50" s="153">
        <v>39518</v>
      </c>
      <c r="E50" s="216">
        <f t="shared" si="1"/>
        <v>6.9501896625469937E-3</v>
      </c>
      <c r="F50" s="71"/>
      <c r="G50" s="219">
        <f>+'COEF Art 14 F I '!AF50</f>
        <v>5.1106488753306081E-3</v>
      </c>
      <c r="H50" s="83">
        <f t="shared" si="2"/>
        <v>533761.18376218481</v>
      </c>
      <c r="I50" s="84">
        <f t="shared" si="3"/>
        <v>618248.41741121176</v>
      </c>
      <c r="J50" s="84">
        <f t="shared" si="4"/>
        <v>389668.77976757335</v>
      </c>
      <c r="K50" s="84">
        <f t="shared" si="5"/>
        <v>1541678.38094097</v>
      </c>
      <c r="L50" s="243">
        <f t="shared" si="6"/>
        <v>6.0659031152383381E-3</v>
      </c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</row>
    <row r="51" spans="1:54">
      <c r="A51" s="64" t="s">
        <v>45</v>
      </c>
      <c r="B51" s="166">
        <v>86766</v>
      </c>
      <c r="C51" s="216">
        <f t="shared" si="0"/>
        <v>1.4999891087161044E-2</v>
      </c>
      <c r="D51" s="153">
        <v>63214</v>
      </c>
      <c r="E51" s="216">
        <f t="shared" si="1"/>
        <v>1.1117700524526687E-2</v>
      </c>
      <c r="F51" s="71"/>
      <c r="G51" s="219">
        <f>+'COEF Art 14 F I '!AF51</f>
        <v>9.9077050531519925E-3</v>
      </c>
      <c r="H51" s="83">
        <f t="shared" si="2"/>
        <v>1334303.0012477953</v>
      </c>
      <c r="I51" s="84">
        <f t="shared" si="3"/>
        <v>988965.92586245097</v>
      </c>
      <c r="J51" s="84">
        <f t="shared" si="4"/>
        <v>755427.23292822705</v>
      </c>
      <c r="K51" s="84">
        <f t="shared" si="5"/>
        <v>3078696.1600384736</v>
      </c>
      <c r="L51" s="243">
        <f t="shared" si="6"/>
        <v>1.2113468580036308E-2</v>
      </c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</row>
    <row r="52" spans="1:54">
      <c r="A52" s="64" t="s">
        <v>46</v>
      </c>
      <c r="B52" s="166">
        <v>412199</v>
      </c>
      <c r="C52" s="216">
        <f t="shared" si="0"/>
        <v>7.125994175410523E-2</v>
      </c>
      <c r="D52" s="153">
        <v>476051</v>
      </c>
      <c r="E52" s="216">
        <f t="shared" si="1"/>
        <v>8.3725004783773441E-2</v>
      </c>
      <c r="F52" s="71"/>
      <c r="G52" s="219">
        <f>+'COEF Art 14 F I '!AF52</f>
        <v>6.8990525741466371E-2</v>
      </c>
      <c r="H52" s="83">
        <f t="shared" si="2"/>
        <v>6338869.6357022328</v>
      </c>
      <c r="I52" s="84">
        <f t="shared" si="3"/>
        <v>7447689.0874291398</v>
      </c>
      <c r="J52" s="84">
        <f t="shared" si="4"/>
        <v>5260281.9401208553</v>
      </c>
      <c r="K52" s="84">
        <f t="shared" si="5"/>
        <v>19046840.663252227</v>
      </c>
      <c r="L52" s="243">
        <f t="shared" si="6"/>
        <v>7.4941889010697468E-2</v>
      </c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</row>
    <row r="53" spans="1:54">
      <c r="A53" s="64" t="s">
        <v>47</v>
      </c>
      <c r="B53" s="166">
        <v>132169</v>
      </c>
      <c r="C53" s="216">
        <f t="shared" si="0"/>
        <v>2.2849049225491413E-2</v>
      </c>
      <c r="D53" s="153">
        <v>138945</v>
      </c>
      <c r="E53" s="216">
        <f t="shared" si="1"/>
        <v>2.4436816201796448E-2</v>
      </c>
      <c r="F53" s="71"/>
      <c r="G53" s="219">
        <f>+'COEF Art 14 F I '!AF53</f>
        <v>0.13287742985391932</v>
      </c>
      <c r="H53" s="83">
        <f t="shared" si="2"/>
        <v>2032518.4216388892</v>
      </c>
      <c r="I53" s="84">
        <f t="shared" si="3"/>
        <v>2173756.9299357459</v>
      </c>
      <c r="J53" s="84">
        <f t="shared" si="4"/>
        <v>10131430.902984608</v>
      </c>
      <c r="K53" s="84">
        <f t="shared" si="5"/>
        <v>14337706.254559243</v>
      </c>
      <c r="L53" s="243">
        <f t="shared" si="6"/>
        <v>5.6413281855726555E-2</v>
      </c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</row>
    <row r="54" spans="1:54">
      <c r="A54" s="64" t="s">
        <v>48</v>
      </c>
      <c r="B54" s="166">
        <v>306322</v>
      </c>
      <c r="C54" s="216">
        <f t="shared" si="0"/>
        <v>5.2956188341070756E-2</v>
      </c>
      <c r="D54" s="153">
        <v>325468</v>
      </c>
      <c r="E54" s="216">
        <f t="shared" si="1"/>
        <v>5.7241366695932105E-2</v>
      </c>
      <c r="F54" s="71"/>
      <c r="G54" s="219">
        <f>+'COEF Art 14 F I '!AF54</f>
        <v>3.5543401038968969E-2</v>
      </c>
      <c r="H54" s="83">
        <f t="shared" si="2"/>
        <v>4710674.2727361778</v>
      </c>
      <c r="I54" s="84">
        <f t="shared" si="3"/>
        <v>5091858.796446993</v>
      </c>
      <c r="J54" s="84">
        <f t="shared" si="4"/>
        <v>2710057.7733876444</v>
      </c>
      <c r="K54" s="84">
        <f t="shared" si="5"/>
        <v>12512590.842570815</v>
      </c>
      <c r="L54" s="243">
        <f t="shared" si="6"/>
        <v>4.9232164574641711E-2</v>
      </c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</row>
    <row r="55" spans="1:54">
      <c r="A55" s="64" t="s">
        <v>49</v>
      </c>
      <c r="B55" s="166">
        <v>46784</v>
      </c>
      <c r="C55" s="216">
        <f t="shared" si="0"/>
        <v>8.0879019964242016E-3</v>
      </c>
      <c r="D55" s="153">
        <v>47500</v>
      </c>
      <c r="E55" s="216">
        <f t="shared" si="1"/>
        <v>8.3540161185025105E-3</v>
      </c>
      <c r="F55" s="71"/>
      <c r="G55" s="219">
        <f>+'COEF Art 14 F I '!AF55</f>
        <v>1.7022178661265926E-2</v>
      </c>
      <c r="H55" s="83">
        <f t="shared" si="2"/>
        <v>719452.68435074633</v>
      </c>
      <c r="I55" s="84">
        <f t="shared" si="3"/>
        <v>743124.64768036234</v>
      </c>
      <c r="J55" s="84">
        <f t="shared" si="4"/>
        <v>1297880.5137521855</v>
      </c>
      <c r="K55" s="84">
        <f t="shared" si="5"/>
        <v>2760457.8457832942</v>
      </c>
      <c r="L55" s="243">
        <f t="shared" si="6"/>
        <v>1.0861324938604131E-2</v>
      </c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</row>
    <row r="56" spans="1:54">
      <c r="A56" s="64" t="s">
        <v>50</v>
      </c>
      <c r="B56" s="166">
        <v>1552</v>
      </c>
      <c r="C56" s="216">
        <f t="shared" si="0"/>
        <v>2.6830591438206137E-4</v>
      </c>
      <c r="D56" s="153">
        <v>1963</v>
      </c>
      <c r="E56" s="216">
        <f t="shared" si="1"/>
        <v>3.4524070822358792E-4</v>
      </c>
      <c r="F56" s="71"/>
      <c r="G56" s="219">
        <f>+'COEF Art 14 F I '!AF56</f>
        <v>2.8818633163240348E-3</v>
      </c>
      <c r="H56" s="83">
        <f t="shared" si="2"/>
        <v>23866.932415192336</v>
      </c>
      <c r="I56" s="84">
        <f t="shared" si="3"/>
        <v>30710.603860980023</v>
      </c>
      <c r="J56" s="84">
        <f t="shared" si="4"/>
        <v>219731.81670718352</v>
      </c>
      <c r="K56" s="84">
        <f t="shared" si="5"/>
        <v>274309.35298335587</v>
      </c>
      <c r="L56" s="243">
        <f t="shared" si="6"/>
        <v>1.0793003128091879E-3</v>
      </c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</row>
    <row r="57" spans="1:54">
      <c r="A57" s="64" t="s">
        <v>51</v>
      </c>
      <c r="B57" s="166">
        <v>3573</v>
      </c>
      <c r="C57" s="216">
        <f t="shared" si="0"/>
        <v>6.1769138665406279E-4</v>
      </c>
      <c r="D57" s="153">
        <v>4615</v>
      </c>
      <c r="E57" s="216">
        <f t="shared" si="1"/>
        <v>8.1165861867134911E-4</v>
      </c>
      <c r="F57" s="71"/>
      <c r="G57" s="219">
        <f>+'COEF Art 14 F I '!AF57</f>
        <v>2.4140768180048208E-3</v>
      </c>
      <c r="H57" s="83">
        <f t="shared" si="2"/>
        <v>54946.230360491129</v>
      </c>
      <c r="I57" s="84">
        <f t="shared" si="3"/>
        <v>72200.426295681507</v>
      </c>
      <c r="J57" s="84">
        <f t="shared" si="4"/>
        <v>184064.76181094936</v>
      </c>
      <c r="K57" s="84">
        <f t="shared" si="5"/>
        <v>311211.41846712201</v>
      </c>
      <c r="L57" s="243">
        <f t="shared" si="6"/>
        <v>1.2244955472653408E-3</v>
      </c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</row>
    <row r="58" spans="1:54" ht="13.5" thickBot="1">
      <c r="A58" s="72" t="s">
        <v>52</v>
      </c>
      <c r="B58" s="168">
        <f>SUM(B7:B57)</f>
        <v>5784442</v>
      </c>
      <c r="C58" s="217">
        <f>SUM(C7:C57)</f>
        <v>1.0000000000000002</v>
      </c>
      <c r="D58" s="154">
        <f>SUM(D7:D57)</f>
        <v>5685888</v>
      </c>
      <c r="E58" s="217">
        <f t="shared" si="1"/>
        <v>1</v>
      </c>
      <c r="F58" s="71"/>
      <c r="G58" s="220">
        <f t="shared" ref="G58:L58" si="7">SUM(G7:G57)</f>
        <v>0.99999999999999978</v>
      </c>
      <c r="H58" s="85">
        <f t="shared" si="7"/>
        <v>88954179.299999967</v>
      </c>
      <c r="I58" s="86">
        <f t="shared" si="7"/>
        <v>88954179.299999967</v>
      </c>
      <c r="J58" s="86">
        <f t="shared" si="7"/>
        <v>76246439.399999961</v>
      </c>
      <c r="K58" s="86">
        <f t="shared" si="7"/>
        <v>254154797.99999991</v>
      </c>
      <c r="L58" s="221">
        <f t="shared" si="7"/>
        <v>1.0000000000000002</v>
      </c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</row>
    <row r="59" spans="1:54" ht="13.5" thickTop="1">
      <c r="A59" s="71"/>
      <c r="B59" s="71"/>
      <c r="C59" s="74"/>
      <c r="D59" s="71"/>
      <c r="E59" s="74"/>
      <c r="F59" s="71"/>
      <c r="G59" s="74"/>
      <c r="H59" s="71"/>
      <c r="I59" s="71"/>
      <c r="J59" s="71"/>
      <c r="K59" s="71"/>
      <c r="L59" s="74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</row>
    <row r="60" spans="1:54" ht="15.75" customHeight="1">
      <c r="A60" s="71" t="s">
        <v>72</v>
      </c>
      <c r="B60" s="71"/>
      <c r="C60" s="74"/>
      <c r="D60" s="71"/>
      <c r="E60" s="74"/>
      <c r="F60" s="71"/>
      <c r="G60" s="74"/>
      <c r="H60" s="71"/>
      <c r="I60" s="71"/>
      <c r="J60" s="71"/>
      <c r="K60" s="71"/>
      <c r="L60" s="74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</row>
    <row r="61" spans="1:54">
      <c r="A61" s="71" t="s">
        <v>285</v>
      </c>
      <c r="B61" s="71"/>
      <c r="C61" s="74"/>
      <c r="D61" s="71"/>
      <c r="E61" s="74"/>
      <c r="F61" s="71"/>
      <c r="G61" s="74"/>
      <c r="H61" s="71"/>
      <c r="I61" s="71"/>
      <c r="J61" s="71"/>
      <c r="K61" s="71"/>
      <c r="L61" s="74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</row>
    <row r="62" spans="1:54">
      <c r="A62" s="71" t="s">
        <v>99</v>
      </c>
      <c r="B62" s="71"/>
      <c r="C62" s="74"/>
      <c r="D62" s="71"/>
      <c r="E62" s="74"/>
      <c r="F62" s="71"/>
      <c r="G62" s="74"/>
      <c r="H62" s="71"/>
      <c r="I62" s="71"/>
      <c r="J62" s="71"/>
      <c r="K62" s="71"/>
      <c r="L62" s="74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</row>
    <row r="63" spans="1:54">
      <c r="A63" s="71"/>
      <c r="B63" s="71"/>
      <c r="C63" s="74"/>
      <c r="D63" s="71"/>
      <c r="E63" s="74"/>
      <c r="F63" s="71"/>
      <c r="G63" s="74"/>
      <c r="H63" s="71"/>
      <c r="I63" s="71"/>
      <c r="J63" s="71"/>
      <c r="K63" s="71"/>
      <c r="L63" s="74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</row>
    <row r="64" spans="1:54">
      <c r="A64" s="71"/>
      <c r="B64" s="71"/>
      <c r="C64" s="74"/>
      <c r="D64" s="71"/>
      <c r="E64" s="74"/>
      <c r="F64" s="71"/>
      <c r="G64" s="74"/>
      <c r="H64" s="71"/>
      <c r="I64" s="71"/>
      <c r="J64" s="71"/>
      <c r="K64" s="71"/>
      <c r="L64" s="74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</row>
    <row r="65" spans="1:54">
      <c r="A65" s="71"/>
      <c r="B65" s="71"/>
      <c r="C65" s="74"/>
      <c r="D65" s="71"/>
      <c r="E65" s="74"/>
      <c r="F65" s="71"/>
      <c r="G65" s="74"/>
      <c r="H65" s="71"/>
      <c r="I65" s="71"/>
      <c r="J65" s="71"/>
      <c r="K65" s="71"/>
      <c r="L65" s="74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</row>
    <row r="66" spans="1:54">
      <c r="A66" s="71"/>
      <c r="B66" s="71"/>
      <c r="C66" s="74"/>
      <c r="D66" s="71"/>
      <c r="E66" s="74"/>
      <c r="F66" s="71"/>
      <c r="G66" s="74"/>
      <c r="H66" s="71"/>
      <c r="I66" s="71"/>
      <c r="J66" s="71"/>
      <c r="K66" s="71"/>
      <c r="L66" s="74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</row>
    <row r="67" spans="1:54">
      <c r="A67" s="71"/>
      <c r="B67" s="71"/>
      <c r="C67" s="74"/>
      <c r="D67" s="71"/>
      <c r="E67" s="74"/>
      <c r="F67" s="71"/>
      <c r="G67" s="74"/>
      <c r="H67" s="71"/>
      <c r="I67" s="71"/>
      <c r="J67" s="71"/>
      <c r="K67" s="71"/>
      <c r="L67" s="74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</row>
    <row r="68" spans="1:54">
      <c r="A68" s="71"/>
      <c r="B68" s="71"/>
      <c r="C68" s="74"/>
      <c r="D68" s="71"/>
      <c r="E68" s="74"/>
      <c r="F68" s="71"/>
      <c r="G68" s="74"/>
      <c r="H68" s="71"/>
      <c r="I68" s="71"/>
      <c r="J68" s="71"/>
      <c r="K68" s="71"/>
      <c r="L68" s="74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</row>
    <row r="69" spans="1:54">
      <c r="A69" s="71"/>
      <c r="B69" s="71"/>
      <c r="C69" s="74"/>
      <c r="D69" s="71"/>
      <c r="E69" s="74"/>
      <c r="F69" s="71"/>
      <c r="G69" s="74"/>
      <c r="H69" s="71"/>
      <c r="I69" s="71"/>
      <c r="J69" s="71"/>
      <c r="K69" s="71"/>
      <c r="L69" s="74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</row>
    <row r="70" spans="1:54">
      <c r="A70" s="71"/>
      <c r="B70" s="71"/>
      <c r="C70" s="74"/>
      <c r="D70" s="71"/>
      <c r="E70" s="74"/>
      <c r="F70" s="71"/>
      <c r="G70" s="74"/>
      <c r="H70" s="71"/>
      <c r="I70" s="71"/>
      <c r="J70" s="71"/>
      <c r="K70" s="71"/>
      <c r="L70" s="74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</row>
    <row r="71" spans="1:54">
      <c r="A71" s="71"/>
      <c r="B71" s="71"/>
      <c r="C71" s="74"/>
      <c r="D71" s="71"/>
      <c r="E71" s="74"/>
      <c r="F71" s="71"/>
      <c r="G71" s="74"/>
      <c r="H71" s="71"/>
      <c r="I71" s="71"/>
      <c r="J71" s="71"/>
      <c r="K71" s="71"/>
      <c r="L71" s="74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</row>
    <row r="72" spans="1:54">
      <c r="A72" s="71"/>
      <c r="B72" s="71"/>
      <c r="C72" s="74"/>
      <c r="D72" s="71"/>
      <c r="E72" s="74"/>
      <c r="F72" s="71"/>
      <c r="G72" s="74"/>
      <c r="H72" s="71"/>
      <c r="I72" s="71"/>
      <c r="J72" s="71"/>
      <c r="K72" s="71"/>
      <c r="L72" s="74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</row>
    <row r="73" spans="1:54">
      <c r="A73" s="71"/>
      <c r="B73" s="71"/>
      <c r="C73" s="74"/>
      <c r="D73" s="71"/>
      <c r="E73" s="74"/>
      <c r="F73" s="71"/>
      <c r="G73" s="74"/>
      <c r="H73" s="71"/>
      <c r="I73" s="71"/>
      <c r="J73" s="71"/>
      <c r="K73" s="71"/>
      <c r="L73" s="74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</row>
    <row r="74" spans="1:54">
      <c r="A74" s="71"/>
      <c r="B74" s="71"/>
      <c r="C74" s="74"/>
      <c r="D74" s="71"/>
      <c r="E74" s="74"/>
      <c r="F74" s="71"/>
      <c r="G74" s="74"/>
      <c r="H74" s="71"/>
      <c r="I74" s="71"/>
      <c r="J74" s="71"/>
      <c r="K74" s="71"/>
      <c r="L74" s="74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</row>
    <row r="75" spans="1:54">
      <c r="A75" s="71"/>
      <c r="B75" s="71"/>
      <c r="C75" s="74"/>
      <c r="D75" s="71"/>
      <c r="E75" s="74"/>
      <c r="F75" s="71"/>
      <c r="G75" s="74"/>
      <c r="H75" s="71"/>
      <c r="I75" s="71"/>
      <c r="J75" s="71"/>
      <c r="K75" s="71"/>
      <c r="L75" s="74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</row>
    <row r="76" spans="1:54">
      <c r="A76" s="71"/>
      <c r="B76" s="71"/>
      <c r="C76" s="74"/>
      <c r="D76" s="71"/>
      <c r="E76" s="74"/>
      <c r="F76" s="71"/>
      <c r="G76" s="74"/>
      <c r="H76" s="71"/>
      <c r="I76" s="71"/>
      <c r="J76" s="71"/>
      <c r="K76" s="71"/>
      <c r="L76" s="74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</row>
    <row r="77" spans="1:54">
      <c r="A77" s="71"/>
      <c r="B77" s="71"/>
      <c r="C77" s="74"/>
      <c r="D77" s="71"/>
      <c r="E77" s="74"/>
      <c r="F77" s="71"/>
      <c r="G77" s="74"/>
      <c r="H77" s="71"/>
      <c r="I77" s="71"/>
      <c r="J77" s="71"/>
      <c r="K77" s="71"/>
      <c r="L77" s="74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</row>
    <row r="78" spans="1:54">
      <c r="A78" s="71"/>
      <c r="B78" s="71"/>
      <c r="C78" s="74"/>
      <c r="D78" s="71"/>
      <c r="E78" s="74"/>
      <c r="F78" s="71"/>
      <c r="G78" s="74"/>
      <c r="H78" s="71"/>
      <c r="I78" s="71"/>
      <c r="J78" s="71"/>
      <c r="K78" s="71"/>
      <c r="L78" s="74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</row>
    <row r="79" spans="1:54">
      <c r="A79" s="71"/>
      <c r="B79" s="71"/>
      <c r="C79" s="74"/>
      <c r="D79" s="71"/>
      <c r="E79" s="74"/>
      <c r="F79" s="71"/>
      <c r="G79" s="74"/>
      <c r="H79" s="71"/>
      <c r="I79" s="71"/>
      <c r="J79" s="71"/>
      <c r="K79" s="71"/>
      <c r="L79" s="74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</row>
    <row r="80" spans="1:54">
      <c r="A80" s="71"/>
      <c r="B80" s="71"/>
      <c r="C80" s="74"/>
      <c r="D80" s="71"/>
      <c r="E80" s="74"/>
      <c r="F80" s="71"/>
      <c r="G80" s="74"/>
      <c r="H80" s="71"/>
      <c r="I80" s="71"/>
      <c r="J80" s="71"/>
      <c r="K80" s="71"/>
      <c r="L80" s="74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</row>
    <row r="81" spans="1:54">
      <c r="A81" s="71"/>
      <c r="B81" s="71"/>
      <c r="C81" s="74"/>
      <c r="D81" s="71"/>
      <c r="E81" s="74"/>
      <c r="F81" s="71"/>
      <c r="G81" s="74"/>
      <c r="H81" s="71"/>
      <c r="I81" s="71"/>
      <c r="J81" s="71"/>
      <c r="K81" s="71"/>
      <c r="L81" s="74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</row>
    <row r="82" spans="1:54">
      <c r="A82" s="71"/>
      <c r="B82" s="71"/>
      <c r="C82" s="74"/>
      <c r="D82" s="71"/>
      <c r="E82" s="74"/>
      <c r="F82" s="71"/>
      <c r="G82" s="74"/>
      <c r="H82" s="71"/>
      <c r="I82" s="71"/>
      <c r="J82" s="71"/>
      <c r="K82" s="71"/>
      <c r="L82" s="74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</row>
    <row r="83" spans="1:54">
      <c r="A83" s="71"/>
      <c r="B83" s="71"/>
      <c r="C83" s="74"/>
      <c r="D83" s="71"/>
      <c r="E83" s="74"/>
      <c r="F83" s="71"/>
      <c r="G83" s="74"/>
      <c r="H83" s="71"/>
      <c r="I83" s="71"/>
      <c r="J83" s="71"/>
      <c r="K83" s="71"/>
      <c r="L83" s="74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</row>
    <row r="84" spans="1:54">
      <c r="A84" s="71"/>
      <c r="B84" s="71"/>
      <c r="C84" s="74"/>
      <c r="D84" s="71"/>
      <c r="E84" s="74"/>
      <c r="F84" s="71"/>
      <c r="G84" s="74"/>
      <c r="H84" s="71"/>
      <c r="I84" s="71"/>
      <c r="J84" s="71"/>
      <c r="K84" s="71"/>
      <c r="L84" s="74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</row>
    <row r="85" spans="1:54">
      <c r="A85" s="71"/>
      <c r="B85" s="71"/>
      <c r="C85" s="74"/>
      <c r="D85" s="71"/>
      <c r="E85" s="74"/>
      <c r="F85" s="71"/>
      <c r="G85" s="74"/>
      <c r="H85" s="71"/>
      <c r="I85" s="71"/>
      <c r="J85" s="71"/>
      <c r="K85" s="71"/>
      <c r="L85" s="74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</row>
    <row r="86" spans="1:54">
      <c r="A86" s="71"/>
      <c r="B86" s="71"/>
      <c r="C86" s="74"/>
      <c r="D86" s="71"/>
      <c r="E86" s="74"/>
      <c r="F86" s="71"/>
      <c r="G86" s="74"/>
      <c r="H86" s="71"/>
      <c r="I86" s="71"/>
      <c r="J86" s="71"/>
      <c r="K86" s="71"/>
      <c r="L86" s="74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</row>
    <row r="87" spans="1:54">
      <c r="A87" s="71"/>
      <c r="B87" s="71"/>
      <c r="C87" s="74"/>
      <c r="D87" s="71"/>
      <c r="E87" s="74"/>
      <c r="F87" s="71"/>
      <c r="G87" s="74"/>
      <c r="H87" s="71"/>
      <c r="I87" s="71"/>
      <c r="J87" s="71"/>
      <c r="K87" s="71"/>
      <c r="L87" s="74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</row>
    <row r="88" spans="1:54">
      <c r="A88" s="71"/>
      <c r="B88" s="71"/>
      <c r="C88" s="74"/>
      <c r="D88" s="71"/>
      <c r="E88" s="74"/>
      <c r="F88" s="71"/>
      <c r="G88" s="74"/>
      <c r="H88" s="71"/>
      <c r="I88" s="71"/>
      <c r="J88" s="71"/>
      <c r="K88" s="71"/>
      <c r="L88" s="74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</row>
    <row r="89" spans="1:54">
      <c r="A89" s="71"/>
      <c r="B89" s="71"/>
      <c r="C89" s="74"/>
      <c r="D89" s="71"/>
      <c r="E89" s="74"/>
      <c r="F89" s="71"/>
      <c r="G89" s="74"/>
      <c r="H89" s="71"/>
      <c r="I89" s="71"/>
      <c r="J89" s="71"/>
      <c r="K89" s="71"/>
      <c r="L89" s="74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</row>
    <row r="90" spans="1:54">
      <c r="A90" s="71"/>
      <c r="B90" s="71"/>
      <c r="C90" s="74"/>
      <c r="D90" s="71"/>
      <c r="E90" s="74"/>
      <c r="F90" s="71"/>
      <c r="G90" s="74"/>
      <c r="H90" s="71"/>
      <c r="I90" s="71"/>
      <c r="J90" s="71"/>
      <c r="K90" s="71"/>
      <c r="L90" s="74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</row>
    <row r="91" spans="1:54">
      <c r="A91" s="71"/>
      <c r="B91" s="71"/>
      <c r="C91" s="74"/>
      <c r="D91" s="71"/>
      <c r="E91" s="74"/>
      <c r="F91" s="71"/>
      <c r="G91" s="74"/>
      <c r="H91" s="71"/>
      <c r="I91" s="71"/>
      <c r="J91" s="71"/>
      <c r="K91" s="71"/>
      <c r="L91" s="74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</row>
    <row r="92" spans="1:54">
      <c r="A92" s="71"/>
      <c r="B92" s="71"/>
      <c r="C92" s="74"/>
      <c r="D92" s="71"/>
      <c r="E92" s="74"/>
      <c r="F92" s="71"/>
      <c r="G92" s="74"/>
      <c r="H92" s="71"/>
      <c r="I92" s="71"/>
      <c r="J92" s="71"/>
      <c r="K92" s="71"/>
      <c r="L92" s="74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</row>
    <row r="93" spans="1:54">
      <c r="A93" s="71"/>
      <c r="B93" s="71"/>
      <c r="C93" s="74"/>
      <c r="D93" s="71"/>
      <c r="E93" s="74"/>
      <c r="F93" s="71"/>
      <c r="G93" s="74"/>
      <c r="H93" s="71"/>
      <c r="I93" s="71"/>
      <c r="J93" s="71"/>
      <c r="K93" s="71"/>
      <c r="L93" s="74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</row>
    <row r="94" spans="1:54">
      <c r="A94" s="71"/>
      <c r="B94" s="71"/>
      <c r="C94" s="74"/>
      <c r="D94" s="71"/>
      <c r="E94" s="74"/>
      <c r="F94" s="71"/>
      <c r="G94" s="74"/>
      <c r="H94" s="71"/>
      <c r="I94" s="71"/>
      <c r="J94" s="71"/>
      <c r="K94" s="71"/>
      <c r="L94" s="74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</row>
    <row r="95" spans="1:54">
      <c r="A95" s="71"/>
      <c r="B95" s="71"/>
      <c r="C95" s="74"/>
      <c r="D95" s="71"/>
      <c r="E95" s="74"/>
      <c r="F95" s="71"/>
      <c r="G95" s="74"/>
      <c r="H95" s="71"/>
      <c r="I95" s="71"/>
      <c r="J95" s="71"/>
      <c r="K95" s="71"/>
      <c r="L95" s="74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</row>
    <row r="96" spans="1:54">
      <c r="A96" s="71"/>
      <c r="B96" s="71"/>
      <c r="C96" s="74"/>
      <c r="D96" s="71"/>
      <c r="E96" s="74"/>
      <c r="F96" s="71"/>
      <c r="G96" s="74"/>
      <c r="H96" s="71"/>
      <c r="I96" s="71"/>
      <c r="J96" s="71"/>
      <c r="K96" s="71"/>
      <c r="L96" s="74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</row>
    <row r="97" spans="1:54">
      <c r="A97" s="71"/>
      <c r="B97" s="71"/>
      <c r="C97" s="74"/>
      <c r="D97" s="71"/>
      <c r="E97" s="74"/>
      <c r="F97" s="71"/>
      <c r="G97" s="74"/>
      <c r="H97" s="71"/>
      <c r="I97" s="71"/>
      <c r="J97" s="71"/>
      <c r="K97" s="71"/>
      <c r="L97" s="74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</row>
    <row r="98" spans="1:54">
      <c r="A98" s="71"/>
      <c r="B98" s="71"/>
      <c r="C98" s="74"/>
      <c r="D98" s="71"/>
      <c r="E98" s="74"/>
      <c r="F98" s="71"/>
      <c r="G98" s="74"/>
      <c r="H98" s="71"/>
      <c r="I98" s="71"/>
      <c r="J98" s="71"/>
      <c r="K98" s="71"/>
      <c r="L98" s="74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</row>
    <row r="99" spans="1:54">
      <c r="A99" s="71"/>
      <c r="B99" s="71"/>
      <c r="C99" s="74"/>
      <c r="D99" s="71"/>
      <c r="E99" s="74"/>
      <c r="F99" s="71"/>
      <c r="G99" s="74"/>
      <c r="H99" s="71"/>
      <c r="I99" s="71"/>
      <c r="J99" s="71"/>
      <c r="K99" s="71"/>
      <c r="L99" s="74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</row>
    <row r="100" spans="1:54">
      <c r="A100" s="71"/>
      <c r="B100" s="71"/>
      <c r="C100" s="74"/>
      <c r="D100" s="71"/>
      <c r="E100" s="74"/>
      <c r="F100" s="71"/>
      <c r="G100" s="74"/>
      <c r="H100" s="71"/>
      <c r="I100" s="71"/>
      <c r="J100" s="71"/>
      <c r="K100" s="71"/>
      <c r="L100" s="74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</row>
    <row r="101" spans="1:54">
      <c r="A101" s="71"/>
      <c r="B101" s="71"/>
      <c r="C101" s="74"/>
      <c r="D101" s="71"/>
      <c r="E101" s="74"/>
      <c r="F101" s="71"/>
      <c r="G101" s="74"/>
      <c r="H101" s="71"/>
      <c r="I101" s="71"/>
      <c r="J101" s="71"/>
      <c r="K101" s="71"/>
      <c r="L101" s="74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</row>
    <row r="102" spans="1:54">
      <c r="A102" s="71"/>
      <c r="B102" s="71"/>
      <c r="C102" s="74"/>
      <c r="D102" s="71"/>
      <c r="E102" s="74"/>
      <c r="F102" s="71"/>
      <c r="G102" s="74"/>
      <c r="H102" s="71"/>
      <c r="I102" s="71"/>
      <c r="J102" s="71"/>
      <c r="K102" s="71"/>
      <c r="L102" s="74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</row>
    <row r="103" spans="1:54">
      <c r="A103" s="71"/>
      <c r="B103" s="71"/>
      <c r="C103" s="74"/>
      <c r="D103" s="71"/>
      <c r="E103" s="74"/>
      <c r="F103" s="71"/>
      <c r="G103" s="74"/>
      <c r="H103" s="71"/>
      <c r="I103" s="71"/>
      <c r="J103" s="71"/>
      <c r="K103" s="71"/>
      <c r="L103" s="74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</row>
    <row r="104" spans="1:54">
      <c r="A104" s="71"/>
      <c r="B104" s="71"/>
      <c r="C104" s="74"/>
      <c r="D104" s="71"/>
      <c r="E104" s="74"/>
      <c r="F104" s="71"/>
      <c r="G104" s="74"/>
      <c r="H104" s="71"/>
      <c r="I104" s="71"/>
      <c r="J104" s="71"/>
      <c r="K104" s="71"/>
      <c r="L104" s="74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</row>
    <row r="105" spans="1:54">
      <c r="A105" s="71"/>
      <c r="B105" s="71"/>
      <c r="C105" s="74"/>
      <c r="D105" s="71"/>
      <c r="E105" s="74"/>
      <c r="F105" s="71"/>
      <c r="G105" s="74"/>
      <c r="H105" s="71"/>
      <c r="I105" s="71"/>
      <c r="J105" s="71"/>
      <c r="K105" s="71"/>
      <c r="L105" s="74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</row>
    <row r="106" spans="1:54">
      <c r="A106" s="71"/>
      <c r="B106" s="71"/>
      <c r="C106" s="74"/>
      <c r="D106" s="71"/>
      <c r="E106" s="74"/>
      <c r="F106" s="71"/>
      <c r="G106" s="74"/>
      <c r="H106" s="71"/>
      <c r="I106" s="71"/>
      <c r="J106" s="71"/>
      <c r="K106" s="71"/>
      <c r="L106" s="74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</row>
    <row r="107" spans="1:54">
      <c r="A107" s="71"/>
      <c r="B107" s="71"/>
      <c r="C107" s="74"/>
      <c r="D107" s="71"/>
      <c r="E107" s="74"/>
      <c r="F107" s="71"/>
      <c r="G107" s="74"/>
      <c r="H107" s="71"/>
      <c r="I107" s="71"/>
      <c r="J107" s="71"/>
      <c r="K107" s="71"/>
      <c r="L107" s="74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</row>
    <row r="108" spans="1:54">
      <c r="A108" s="71"/>
      <c r="B108" s="71"/>
      <c r="C108" s="74"/>
      <c r="D108" s="71"/>
      <c r="E108" s="74"/>
      <c r="F108" s="71"/>
      <c r="G108" s="74"/>
      <c r="H108" s="71"/>
      <c r="I108" s="71"/>
      <c r="J108" s="71"/>
      <c r="K108" s="71"/>
      <c r="L108" s="74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</row>
    <row r="109" spans="1:54">
      <c r="A109" s="71"/>
      <c r="B109" s="71"/>
      <c r="C109" s="74"/>
      <c r="D109" s="71"/>
      <c r="E109" s="74"/>
      <c r="F109" s="71"/>
      <c r="G109" s="74"/>
      <c r="H109" s="71"/>
      <c r="I109" s="71"/>
      <c r="J109" s="71"/>
      <c r="K109" s="71"/>
      <c r="L109" s="74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</row>
    <row r="110" spans="1:54">
      <c r="A110" s="71"/>
      <c r="B110" s="71"/>
      <c r="C110" s="74"/>
      <c r="D110" s="71"/>
      <c r="E110" s="74"/>
      <c r="F110" s="71"/>
      <c r="G110" s="74"/>
      <c r="H110" s="71"/>
      <c r="I110" s="71"/>
      <c r="J110" s="71"/>
      <c r="K110" s="71"/>
      <c r="L110" s="74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</row>
    <row r="111" spans="1:54">
      <c r="A111" s="71"/>
      <c r="B111" s="71"/>
      <c r="C111" s="74"/>
      <c r="D111" s="71"/>
      <c r="E111" s="74"/>
      <c r="F111" s="71"/>
      <c r="G111" s="74"/>
      <c r="H111" s="71"/>
      <c r="I111" s="71"/>
      <c r="J111" s="71"/>
      <c r="K111" s="71"/>
      <c r="L111" s="74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</row>
    <row r="112" spans="1:54">
      <c r="A112" s="71"/>
      <c r="B112" s="71"/>
      <c r="C112" s="74"/>
      <c r="D112" s="71"/>
      <c r="E112" s="74"/>
      <c r="F112" s="71"/>
      <c r="G112" s="74"/>
      <c r="H112" s="71"/>
      <c r="I112" s="71"/>
      <c r="J112" s="71"/>
      <c r="K112" s="71"/>
      <c r="L112" s="74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</row>
    <row r="113" spans="1:54">
      <c r="A113" s="71"/>
      <c r="B113" s="71"/>
      <c r="C113" s="74"/>
      <c r="D113" s="71"/>
      <c r="E113" s="74"/>
      <c r="F113" s="71"/>
      <c r="G113" s="74"/>
      <c r="H113" s="71"/>
      <c r="I113" s="71"/>
      <c r="J113" s="71"/>
      <c r="K113" s="71"/>
      <c r="L113" s="74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</row>
    <row r="114" spans="1:54">
      <c r="A114" s="71"/>
      <c r="B114" s="71"/>
      <c r="C114" s="74"/>
      <c r="D114" s="71"/>
      <c r="E114" s="74"/>
      <c r="F114" s="71"/>
      <c r="G114" s="74"/>
      <c r="H114" s="71"/>
      <c r="I114" s="71"/>
      <c r="J114" s="71"/>
      <c r="K114" s="71"/>
      <c r="L114" s="74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</row>
    <row r="115" spans="1:54">
      <c r="A115" s="71"/>
      <c r="B115" s="71"/>
      <c r="C115" s="74"/>
      <c r="D115" s="71"/>
      <c r="E115" s="74"/>
      <c r="F115" s="71"/>
      <c r="G115" s="74"/>
      <c r="H115" s="71"/>
      <c r="I115" s="71"/>
      <c r="J115" s="71"/>
      <c r="K115" s="71"/>
      <c r="L115" s="74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</row>
    <row r="116" spans="1:54">
      <c r="A116" s="71"/>
      <c r="B116" s="71"/>
      <c r="C116" s="74"/>
      <c r="D116" s="71"/>
      <c r="E116" s="74"/>
      <c r="F116" s="71"/>
      <c r="G116" s="74"/>
      <c r="H116" s="71"/>
      <c r="I116" s="71"/>
      <c r="J116" s="71"/>
      <c r="K116" s="71"/>
      <c r="L116" s="74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</row>
    <row r="117" spans="1:54">
      <c r="A117" s="71"/>
      <c r="B117" s="71"/>
      <c r="C117" s="74"/>
      <c r="D117" s="71"/>
      <c r="E117" s="74"/>
      <c r="F117" s="71"/>
      <c r="G117" s="74"/>
      <c r="H117" s="71"/>
      <c r="I117" s="71"/>
      <c r="J117" s="71"/>
      <c r="K117" s="71"/>
      <c r="L117" s="74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</row>
    <row r="118" spans="1:54">
      <c r="A118" s="71"/>
      <c r="B118" s="71"/>
      <c r="C118" s="74"/>
      <c r="D118" s="71"/>
      <c r="E118" s="74"/>
      <c r="F118" s="71"/>
      <c r="G118" s="74"/>
      <c r="H118" s="71"/>
      <c r="I118" s="71"/>
      <c r="J118" s="71"/>
      <c r="K118" s="71"/>
      <c r="L118" s="74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</row>
    <row r="119" spans="1:54">
      <c r="A119" s="71"/>
      <c r="B119" s="71"/>
      <c r="C119" s="74"/>
      <c r="D119" s="71"/>
      <c r="E119" s="74"/>
      <c r="F119" s="71"/>
      <c r="G119" s="74"/>
      <c r="H119" s="71"/>
      <c r="I119" s="71"/>
      <c r="J119" s="71"/>
      <c r="K119" s="71"/>
      <c r="L119" s="74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</row>
    <row r="120" spans="1:54">
      <c r="A120" s="71"/>
      <c r="B120" s="71"/>
      <c r="C120" s="74"/>
      <c r="D120" s="71"/>
      <c r="E120" s="74"/>
      <c r="F120" s="71"/>
      <c r="G120" s="74"/>
      <c r="H120" s="71"/>
      <c r="I120" s="71"/>
      <c r="J120" s="71"/>
      <c r="K120" s="71"/>
      <c r="L120" s="74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</row>
    <row r="121" spans="1:54">
      <c r="A121" s="71"/>
      <c r="B121" s="71"/>
      <c r="C121" s="74"/>
      <c r="D121" s="71"/>
      <c r="E121" s="74"/>
      <c r="F121" s="71"/>
      <c r="G121" s="74"/>
      <c r="H121" s="71"/>
      <c r="I121" s="71"/>
      <c r="J121" s="71"/>
      <c r="K121" s="71"/>
      <c r="L121" s="74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</row>
    <row r="122" spans="1:54">
      <c r="A122" s="71"/>
      <c r="B122" s="71"/>
      <c r="C122" s="74"/>
      <c r="D122" s="71"/>
      <c r="E122" s="74"/>
      <c r="F122" s="71"/>
      <c r="G122" s="74"/>
      <c r="H122" s="71"/>
      <c r="I122" s="71"/>
      <c r="J122" s="71"/>
      <c r="K122" s="71"/>
      <c r="L122" s="74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</row>
    <row r="123" spans="1:54">
      <c r="A123" s="71"/>
      <c r="B123" s="71"/>
      <c r="C123" s="74"/>
      <c r="D123" s="71"/>
      <c r="E123" s="74"/>
      <c r="F123" s="71"/>
      <c r="G123" s="74"/>
      <c r="H123" s="71"/>
      <c r="I123" s="71"/>
      <c r="J123" s="71"/>
      <c r="K123" s="71"/>
      <c r="L123" s="74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</row>
    <row r="124" spans="1:54">
      <c r="A124" s="71"/>
      <c r="B124" s="71"/>
      <c r="C124" s="74"/>
      <c r="D124" s="71"/>
      <c r="E124" s="74"/>
      <c r="F124" s="71"/>
      <c r="G124" s="74"/>
      <c r="H124" s="71"/>
      <c r="I124" s="71"/>
      <c r="J124" s="71"/>
      <c r="K124" s="71"/>
      <c r="L124" s="74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</row>
    <row r="125" spans="1:54">
      <c r="A125" s="71"/>
      <c r="B125" s="71"/>
      <c r="C125" s="74"/>
      <c r="D125" s="71"/>
      <c r="E125" s="74"/>
      <c r="F125" s="71"/>
      <c r="G125" s="74"/>
      <c r="H125" s="71"/>
      <c r="I125" s="71"/>
      <c r="J125" s="71"/>
      <c r="K125" s="71"/>
      <c r="L125" s="74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</row>
    <row r="126" spans="1:54">
      <c r="A126" s="71"/>
      <c r="B126" s="71"/>
      <c r="C126" s="74"/>
      <c r="D126" s="71"/>
      <c r="E126" s="74"/>
      <c r="F126" s="71"/>
      <c r="G126" s="74"/>
      <c r="H126" s="71"/>
      <c r="I126" s="71"/>
      <c r="J126" s="71"/>
      <c r="K126" s="71"/>
      <c r="L126" s="74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</row>
    <row r="127" spans="1:54">
      <c r="A127" s="71"/>
      <c r="B127" s="71"/>
      <c r="C127" s="74"/>
      <c r="D127" s="71"/>
      <c r="E127" s="74"/>
      <c r="F127" s="71"/>
      <c r="G127" s="74"/>
      <c r="H127" s="71"/>
      <c r="I127" s="71"/>
      <c r="J127" s="71"/>
      <c r="K127" s="71"/>
      <c r="L127" s="74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</row>
    <row r="128" spans="1:54">
      <c r="A128" s="71"/>
      <c r="B128" s="71"/>
      <c r="C128" s="74"/>
      <c r="D128" s="71"/>
      <c r="E128" s="74"/>
      <c r="F128" s="71"/>
      <c r="G128" s="74"/>
      <c r="H128" s="71"/>
      <c r="I128" s="71"/>
      <c r="J128" s="71"/>
      <c r="K128" s="71"/>
      <c r="L128" s="74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</row>
    <row r="129" spans="1:54">
      <c r="A129" s="71"/>
      <c r="B129" s="71"/>
      <c r="C129" s="74"/>
      <c r="D129" s="71"/>
      <c r="E129" s="74"/>
      <c r="F129" s="71"/>
      <c r="G129" s="74"/>
      <c r="H129" s="71"/>
      <c r="I129" s="71"/>
      <c r="J129" s="71"/>
      <c r="K129" s="71"/>
      <c r="L129" s="74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</row>
    <row r="130" spans="1:54">
      <c r="A130" s="71"/>
      <c r="B130" s="71"/>
      <c r="C130" s="74"/>
      <c r="D130" s="71"/>
      <c r="E130" s="74"/>
      <c r="F130" s="71"/>
      <c r="G130" s="74"/>
      <c r="H130" s="71"/>
      <c r="I130" s="71"/>
      <c r="J130" s="71"/>
      <c r="K130" s="71"/>
      <c r="L130" s="74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</row>
    <row r="131" spans="1:54">
      <c r="A131" s="71"/>
      <c r="B131" s="71"/>
      <c r="C131" s="74"/>
      <c r="D131" s="71"/>
      <c r="E131" s="74"/>
      <c r="F131" s="71"/>
      <c r="G131" s="74"/>
      <c r="H131" s="71"/>
      <c r="I131" s="71"/>
      <c r="J131" s="71"/>
      <c r="K131" s="71"/>
      <c r="L131" s="74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</row>
    <row r="132" spans="1:54">
      <c r="A132" s="71"/>
      <c r="B132" s="71"/>
      <c r="C132" s="74"/>
      <c r="D132" s="71"/>
      <c r="E132" s="74"/>
      <c r="F132" s="71"/>
      <c r="G132" s="74"/>
      <c r="H132" s="71"/>
      <c r="I132" s="71"/>
      <c r="J132" s="71"/>
      <c r="K132" s="71"/>
      <c r="L132" s="74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</row>
    <row r="133" spans="1:54">
      <c r="A133" s="71"/>
      <c r="B133" s="71"/>
      <c r="C133" s="74"/>
      <c r="D133" s="71"/>
      <c r="E133" s="74"/>
      <c r="F133" s="71"/>
      <c r="G133" s="74"/>
      <c r="H133" s="71"/>
      <c r="I133" s="71"/>
      <c r="J133" s="71"/>
      <c r="K133" s="71"/>
      <c r="L133" s="74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</row>
    <row r="134" spans="1:54">
      <c r="A134" s="71"/>
      <c r="B134" s="71"/>
      <c r="C134" s="74"/>
      <c r="D134" s="71"/>
      <c r="E134" s="74"/>
      <c r="F134" s="71"/>
      <c r="G134" s="74"/>
      <c r="H134" s="71"/>
      <c r="I134" s="71"/>
      <c r="J134" s="71"/>
      <c r="K134" s="71"/>
      <c r="L134" s="74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</row>
    <row r="135" spans="1:54">
      <c r="A135" s="71"/>
      <c r="B135" s="71"/>
      <c r="C135" s="74"/>
      <c r="D135" s="71"/>
      <c r="E135" s="74"/>
      <c r="F135" s="71"/>
      <c r="G135" s="74"/>
      <c r="H135" s="71"/>
      <c r="I135" s="71"/>
      <c r="J135" s="71"/>
      <c r="K135" s="71"/>
      <c r="L135" s="74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</row>
    <row r="136" spans="1:54">
      <c r="A136" s="71"/>
      <c r="B136" s="71"/>
      <c r="C136" s="74"/>
      <c r="D136" s="71"/>
      <c r="E136" s="74"/>
      <c r="F136" s="71"/>
      <c r="G136" s="74"/>
      <c r="H136" s="71"/>
      <c r="I136" s="71"/>
      <c r="J136" s="71"/>
      <c r="K136" s="71"/>
      <c r="L136" s="74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</row>
    <row r="137" spans="1:54">
      <c r="A137" s="71"/>
      <c r="B137" s="71"/>
      <c r="C137" s="74"/>
      <c r="D137" s="71"/>
      <c r="E137" s="74"/>
      <c r="F137" s="71"/>
      <c r="G137" s="74"/>
      <c r="H137" s="71"/>
      <c r="I137" s="71"/>
      <c r="J137" s="71"/>
      <c r="K137" s="71"/>
      <c r="L137" s="74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</row>
    <row r="138" spans="1:54">
      <c r="A138" s="71"/>
      <c r="B138" s="71"/>
      <c r="C138" s="74"/>
      <c r="D138" s="71"/>
      <c r="E138" s="74"/>
      <c r="F138" s="71"/>
      <c r="G138" s="74"/>
      <c r="H138" s="71"/>
      <c r="I138" s="71"/>
      <c r="J138" s="71"/>
      <c r="K138" s="71"/>
      <c r="L138" s="74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</row>
    <row r="139" spans="1:54">
      <c r="A139" s="71"/>
      <c r="B139" s="71"/>
      <c r="C139" s="74"/>
      <c r="D139" s="71"/>
      <c r="E139" s="74"/>
      <c r="F139" s="71"/>
      <c r="G139" s="74"/>
      <c r="H139" s="71"/>
      <c r="I139" s="71"/>
      <c r="J139" s="71"/>
      <c r="K139" s="71"/>
      <c r="L139" s="74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</row>
    <row r="140" spans="1:54">
      <c r="A140" s="71"/>
      <c r="B140" s="71"/>
      <c r="C140" s="74"/>
      <c r="D140" s="71"/>
      <c r="E140" s="74"/>
      <c r="F140" s="71"/>
      <c r="G140" s="74"/>
      <c r="H140" s="71"/>
      <c r="I140" s="71"/>
      <c r="J140" s="71"/>
      <c r="K140" s="71"/>
      <c r="L140" s="74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</row>
    <row r="141" spans="1:54">
      <c r="A141" s="71"/>
      <c r="B141" s="71"/>
      <c r="C141" s="74"/>
      <c r="D141" s="71"/>
      <c r="E141" s="74"/>
      <c r="F141" s="71"/>
      <c r="G141" s="74"/>
      <c r="H141" s="71"/>
      <c r="I141" s="71"/>
      <c r="J141" s="71"/>
      <c r="K141" s="71"/>
      <c r="L141" s="74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</row>
    <row r="142" spans="1:54">
      <c r="A142" s="71"/>
      <c r="B142" s="71"/>
      <c r="C142" s="74"/>
      <c r="D142" s="71"/>
      <c r="E142" s="74"/>
      <c r="F142" s="71"/>
      <c r="G142" s="74"/>
      <c r="H142" s="71"/>
      <c r="I142" s="71"/>
      <c r="J142" s="71"/>
      <c r="K142" s="71"/>
      <c r="L142" s="74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</row>
    <row r="143" spans="1:54">
      <c r="A143" s="71"/>
      <c r="B143" s="71"/>
      <c r="C143" s="74"/>
      <c r="D143" s="71"/>
      <c r="E143" s="74"/>
      <c r="F143" s="71"/>
      <c r="G143" s="74"/>
      <c r="H143" s="71"/>
      <c r="I143" s="71"/>
      <c r="J143" s="71"/>
      <c r="K143" s="71"/>
      <c r="L143" s="74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</row>
    <row r="144" spans="1:54">
      <c r="A144" s="71"/>
      <c r="B144" s="71"/>
      <c r="C144" s="74"/>
      <c r="D144" s="71"/>
      <c r="E144" s="74"/>
      <c r="F144" s="71"/>
      <c r="G144" s="74"/>
      <c r="H144" s="71"/>
      <c r="I144" s="71"/>
      <c r="J144" s="71"/>
      <c r="K144" s="71"/>
      <c r="L144" s="74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</row>
    <row r="145" spans="1:54">
      <c r="A145" s="71"/>
      <c r="B145" s="71"/>
      <c r="C145" s="74"/>
      <c r="D145" s="71"/>
      <c r="E145" s="74"/>
      <c r="F145" s="71"/>
      <c r="G145" s="74"/>
      <c r="H145" s="71"/>
      <c r="I145" s="71"/>
      <c r="J145" s="71"/>
      <c r="K145" s="71"/>
      <c r="L145" s="74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</row>
    <row r="146" spans="1:54">
      <c r="A146" s="71"/>
      <c r="B146" s="71"/>
      <c r="C146" s="74"/>
      <c r="D146" s="71"/>
      <c r="E146" s="74"/>
      <c r="F146" s="71"/>
      <c r="G146" s="74"/>
      <c r="H146" s="71"/>
      <c r="I146" s="71"/>
      <c r="J146" s="71"/>
      <c r="K146" s="71"/>
      <c r="L146" s="74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</row>
    <row r="147" spans="1:54">
      <c r="A147" s="71"/>
      <c r="B147" s="71"/>
      <c r="C147" s="74"/>
      <c r="D147" s="71"/>
      <c r="E147" s="74"/>
      <c r="F147" s="71"/>
      <c r="G147" s="74"/>
      <c r="H147" s="71"/>
      <c r="I147" s="71"/>
      <c r="J147" s="71"/>
      <c r="K147" s="71"/>
      <c r="L147" s="74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</row>
    <row r="148" spans="1:54">
      <c r="A148" s="71"/>
      <c r="B148" s="71"/>
      <c r="C148" s="74"/>
      <c r="D148" s="71"/>
      <c r="E148" s="74"/>
      <c r="F148" s="71"/>
      <c r="G148" s="74"/>
      <c r="H148" s="71"/>
      <c r="I148" s="71"/>
      <c r="J148" s="71"/>
      <c r="K148" s="71"/>
      <c r="L148" s="74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</row>
    <row r="149" spans="1:54">
      <c r="A149" s="71"/>
      <c r="B149" s="71"/>
      <c r="C149" s="74"/>
      <c r="D149" s="71"/>
      <c r="E149" s="74"/>
      <c r="F149" s="71"/>
      <c r="G149" s="74"/>
      <c r="H149" s="71"/>
      <c r="I149" s="71"/>
      <c r="J149" s="71"/>
      <c r="K149" s="71"/>
      <c r="L149" s="74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</row>
    <row r="150" spans="1:54">
      <c r="A150" s="71"/>
      <c r="B150" s="71"/>
      <c r="C150" s="74"/>
      <c r="D150" s="71"/>
      <c r="E150" s="74"/>
      <c r="F150" s="71"/>
      <c r="G150" s="74"/>
      <c r="H150" s="71"/>
      <c r="I150" s="71"/>
      <c r="J150" s="71"/>
      <c r="K150" s="71"/>
      <c r="L150" s="74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</row>
    <row r="151" spans="1:54">
      <c r="A151" s="71"/>
      <c r="B151" s="71"/>
      <c r="C151" s="74"/>
      <c r="D151" s="71"/>
      <c r="E151" s="74"/>
      <c r="F151" s="71"/>
      <c r="G151" s="74"/>
      <c r="H151" s="71"/>
      <c r="I151" s="71"/>
      <c r="J151" s="71"/>
      <c r="K151" s="71"/>
      <c r="L151" s="74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</row>
    <row r="152" spans="1:54">
      <c r="A152" s="71"/>
      <c r="B152" s="71"/>
      <c r="C152" s="74"/>
      <c r="D152" s="71"/>
      <c r="E152" s="74"/>
      <c r="F152" s="71"/>
      <c r="G152" s="74"/>
      <c r="H152" s="71"/>
      <c r="I152" s="71"/>
      <c r="J152" s="71"/>
      <c r="K152" s="71"/>
      <c r="L152" s="74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</row>
    <row r="153" spans="1:54">
      <c r="A153" s="71"/>
      <c r="B153" s="71"/>
      <c r="C153" s="74"/>
      <c r="D153" s="71"/>
      <c r="E153" s="74"/>
      <c r="F153" s="71"/>
      <c r="G153" s="74"/>
      <c r="H153" s="71"/>
      <c r="I153" s="71"/>
      <c r="J153" s="71"/>
      <c r="K153" s="71"/>
      <c r="L153" s="74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</row>
    <row r="154" spans="1:54">
      <c r="A154" s="71"/>
      <c r="B154" s="71"/>
      <c r="C154" s="74"/>
      <c r="D154" s="71"/>
      <c r="E154" s="74"/>
      <c r="F154" s="71"/>
      <c r="G154" s="74"/>
      <c r="H154" s="71"/>
      <c r="I154" s="71"/>
      <c r="J154" s="71"/>
      <c r="K154" s="71"/>
      <c r="L154" s="74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</row>
    <row r="155" spans="1:54">
      <c r="A155" s="71"/>
      <c r="B155" s="71"/>
      <c r="C155" s="74"/>
      <c r="D155" s="71"/>
      <c r="E155" s="74"/>
      <c r="F155" s="71"/>
      <c r="G155" s="74"/>
      <c r="H155" s="71"/>
      <c r="I155" s="71"/>
      <c r="J155" s="71"/>
      <c r="K155" s="71"/>
      <c r="L155" s="74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</row>
    <row r="156" spans="1:54">
      <c r="A156" s="71"/>
      <c r="B156" s="71"/>
      <c r="C156" s="74"/>
      <c r="D156" s="71"/>
      <c r="E156" s="74"/>
      <c r="F156" s="71"/>
      <c r="G156" s="74"/>
      <c r="H156" s="71"/>
      <c r="I156" s="71"/>
      <c r="J156" s="71"/>
      <c r="K156" s="71"/>
      <c r="L156" s="74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</row>
    <row r="157" spans="1:54">
      <c r="A157" s="71"/>
      <c r="B157" s="71"/>
      <c r="C157" s="74"/>
      <c r="D157" s="71"/>
      <c r="E157" s="74"/>
      <c r="F157" s="71"/>
      <c r="G157" s="74"/>
      <c r="H157" s="71"/>
      <c r="I157" s="71"/>
      <c r="J157" s="71"/>
      <c r="K157" s="71"/>
      <c r="L157" s="74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</row>
    <row r="158" spans="1:54">
      <c r="A158" s="71"/>
      <c r="B158" s="71"/>
      <c r="C158" s="74"/>
      <c r="D158" s="71"/>
      <c r="E158" s="74"/>
      <c r="F158" s="71"/>
      <c r="G158" s="74"/>
      <c r="H158" s="71"/>
      <c r="I158" s="71"/>
      <c r="J158" s="71"/>
      <c r="K158" s="71"/>
      <c r="L158" s="74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</row>
    <row r="159" spans="1:54">
      <c r="A159" s="71"/>
      <c r="B159" s="71"/>
      <c r="C159" s="74"/>
      <c r="D159" s="71"/>
      <c r="E159" s="74"/>
      <c r="F159" s="71"/>
      <c r="G159" s="74"/>
      <c r="H159" s="71"/>
      <c r="I159" s="71"/>
      <c r="J159" s="71"/>
      <c r="K159" s="71"/>
      <c r="L159" s="74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</row>
    <row r="160" spans="1:54">
      <c r="A160" s="71"/>
      <c r="B160" s="71"/>
      <c r="C160" s="74"/>
      <c r="D160" s="71"/>
      <c r="E160" s="74"/>
      <c r="F160" s="71"/>
      <c r="G160" s="74"/>
      <c r="H160" s="71"/>
      <c r="I160" s="71"/>
      <c r="J160" s="71"/>
      <c r="K160" s="71"/>
      <c r="L160" s="74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</row>
    <row r="161" spans="1:54">
      <c r="A161" s="71"/>
      <c r="B161" s="71"/>
      <c r="C161" s="74"/>
      <c r="D161" s="71"/>
      <c r="E161" s="74"/>
      <c r="F161" s="71"/>
      <c r="G161" s="74"/>
      <c r="H161" s="71"/>
      <c r="I161" s="71"/>
      <c r="J161" s="71"/>
      <c r="K161" s="71"/>
      <c r="L161" s="74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</row>
    <row r="162" spans="1:54">
      <c r="A162" s="71"/>
      <c r="B162" s="71"/>
      <c r="C162" s="74"/>
      <c r="D162" s="71"/>
      <c r="E162" s="74"/>
      <c r="F162" s="71"/>
      <c r="G162" s="74"/>
      <c r="H162" s="71"/>
      <c r="I162" s="71"/>
      <c r="J162" s="71"/>
      <c r="K162" s="71"/>
      <c r="L162" s="74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</row>
    <row r="163" spans="1:54">
      <c r="A163" s="71"/>
      <c r="B163" s="71"/>
      <c r="C163" s="74"/>
      <c r="D163" s="71"/>
      <c r="E163" s="74"/>
      <c r="F163" s="71"/>
      <c r="G163" s="74"/>
      <c r="H163" s="71"/>
      <c r="I163" s="71"/>
      <c r="J163" s="71"/>
      <c r="K163" s="71"/>
      <c r="L163" s="74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</row>
    <row r="164" spans="1:54">
      <c r="A164" s="71"/>
      <c r="B164" s="71"/>
      <c r="C164" s="74"/>
      <c r="D164" s="71"/>
      <c r="E164" s="74"/>
      <c r="F164" s="71"/>
      <c r="G164" s="74"/>
      <c r="H164" s="71"/>
      <c r="I164" s="71"/>
      <c r="J164" s="71"/>
      <c r="K164" s="71"/>
      <c r="L164" s="74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</row>
    <row r="165" spans="1:54">
      <c r="A165" s="71"/>
      <c r="B165" s="71"/>
      <c r="C165" s="74"/>
      <c r="D165" s="71"/>
      <c r="E165" s="74"/>
      <c r="F165" s="71"/>
      <c r="G165" s="74"/>
      <c r="H165" s="71"/>
      <c r="I165" s="71"/>
      <c r="J165" s="71"/>
      <c r="K165" s="71"/>
      <c r="L165" s="74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</row>
    <row r="166" spans="1:54">
      <c r="A166" s="71"/>
      <c r="B166" s="71"/>
      <c r="C166" s="74"/>
      <c r="D166" s="71"/>
      <c r="E166" s="74"/>
      <c r="F166" s="71"/>
      <c r="G166" s="74"/>
      <c r="H166" s="71"/>
      <c r="I166" s="71"/>
      <c r="J166" s="71"/>
      <c r="K166" s="71"/>
      <c r="L166" s="74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</row>
    <row r="167" spans="1:54">
      <c r="A167" s="71"/>
      <c r="B167" s="71"/>
      <c r="C167" s="74"/>
      <c r="D167" s="71"/>
      <c r="E167" s="74"/>
      <c r="F167" s="71"/>
      <c r="G167" s="74"/>
      <c r="H167" s="71"/>
      <c r="I167" s="71"/>
      <c r="J167" s="71"/>
      <c r="K167" s="71"/>
      <c r="L167" s="74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</row>
    <row r="168" spans="1:54">
      <c r="A168" s="71"/>
      <c r="B168" s="71"/>
      <c r="C168" s="74"/>
      <c r="D168" s="71"/>
      <c r="E168" s="74"/>
      <c r="F168" s="71"/>
      <c r="G168" s="74"/>
      <c r="H168" s="71"/>
      <c r="I168" s="71"/>
      <c r="J168" s="71"/>
      <c r="K168" s="71"/>
      <c r="L168" s="74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</row>
    <row r="169" spans="1:54">
      <c r="A169" s="71"/>
      <c r="B169" s="71"/>
      <c r="C169" s="74"/>
      <c r="D169" s="71"/>
      <c r="E169" s="74"/>
      <c r="F169" s="71"/>
      <c r="G169" s="74"/>
      <c r="H169" s="71"/>
      <c r="I169" s="71"/>
      <c r="J169" s="71"/>
      <c r="K169" s="71"/>
      <c r="L169" s="74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</row>
    <row r="170" spans="1:54">
      <c r="A170" s="71"/>
      <c r="B170" s="71"/>
      <c r="C170" s="74"/>
      <c r="D170" s="71"/>
      <c r="E170" s="74"/>
      <c r="F170" s="71"/>
      <c r="G170" s="74"/>
      <c r="H170" s="71"/>
      <c r="I170" s="71"/>
      <c r="J170" s="71"/>
      <c r="K170" s="71"/>
      <c r="L170" s="74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</row>
    <row r="171" spans="1:54">
      <c r="A171" s="71"/>
      <c r="B171" s="71"/>
      <c r="C171" s="74"/>
      <c r="D171" s="71"/>
      <c r="E171" s="74"/>
      <c r="F171" s="71"/>
      <c r="G171" s="74"/>
      <c r="H171" s="71"/>
      <c r="I171" s="71"/>
      <c r="J171" s="71"/>
      <c r="K171" s="71"/>
      <c r="L171" s="74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</row>
    <row r="172" spans="1:54">
      <c r="A172" s="71"/>
      <c r="B172" s="71"/>
      <c r="C172" s="74"/>
      <c r="D172" s="71"/>
      <c r="E172" s="74"/>
      <c r="F172" s="71"/>
      <c r="G172" s="74"/>
      <c r="H172" s="71"/>
      <c r="I172" s="71"/>
      <c r="J172" s="71"/>
      <c r="K172" s="71"/>
      <c r="L172" s="74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</row>
    <row r="173" spans="1:54">
      <c r="A173" s="71"/>
      <c r="B173" s="71"/>
      <c r="C173" s="74"/>
      <c r="D173" s="71"/>
      <c r="E173" s="74"/>
      <c r="F173" s="71"/>
      <c r="G173" s="74"/>
      <c r="H173" s="71"/>
      <c r="I173" s="71"/>
      <c r="J173" s="71"/>
      <c r="K173" s="71"/>
      <c r="L173" s="74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</row>
    <row r="174" spans="1:54">
      <c r="A174" s="71"/>
      <c r="B174" s="71"/>
      <c r="C174" s="74"/>
      <c r="D174" s="71"/>
      <c r="E174" s="74"/>
      <c r="F174" s="71"/>
      <c r="G174" s="74"/>
      <c r="H174" s="71"/>
      <c r="I174" s="71"/>
      <c r="J174" s="71"/>
      <c r="K174" s="71"/>
      <c r="L174" s="74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</row>
    <row r="175" spans="1:54">
      <c r="A175" s="71"/>
      <c r="B175" s="71"/>
      <c r="C175" s="74"/>
      <c r="D175" s="71"/>
      <c r="E175" s="74"/>
      <c r="F175" s="71"/>
      <c r="G175" s="74"/>
      <c r="H175" s="71"/>
      <c r="I175" s="71"/>
      <c r="J175" s="71"/>
      <c r="K175" s="71"/>
      <c r="L175" s="74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</row>
    <row r="176" spans="1:54">
      <c r="A176" s="71"/>
      <c r="B176" s="71"/>
      <c r="C176" s="74"/>
      <c r="D176" s="71"/>
      <c r="E176" s="74"/>
      <c r="F176" s="71"/>
      <c r="G176" s="74"/>
      <c r="H176" s="71"/>
      <c r="I176" s="71"/>
      <c r="J176" s="71"/>
      <c r="K176" s="71"/>
      <c r="L176" s="74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</row>
    <row r="177" spans="1:54">
      <c r="A177" s="71"/>
      <c r="B177" s="71"/>
      <c r="C177" s="74"/>
      <c r="D177" s="71"/>
      <c r="E177" s="74"/>
      <c r="F177" s="71"/>
      <c r="G177" s="74"/>
      <c r="H177" s="71"/>
      <c r="I177" s="71"/>
      <c r="J177" s="71"/>
      <c r="K177" s="71"/>
      <c r="L177" s="74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</row>
    <row r="178" spans="1:54">
      <c r="A178" s="71"/>
      <c r="B178" s="71"/>
      <c r="C178" s="74"/>
      <c r="D178" s="71"/>
      <c r="E178" s="74"/>
      <c r="F178" s="71"/>
      <c r="G178" s="74"/>
      <c r="H178" s="71"/>
      <c r="I178" s="71"/>
      <c r="J178" s="71"/>
      <c r="K178" s="71"/>
      <c r="L178" s="74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</row>
    <row r="179" spans="1:54">
      <c r="A179" s="71"/>
      <c r="B179" s="71"/>
      <c r="C179" s="74"/>
      <c r="D179" s="71"/>
      <c r="E179" s="74"/>
      <c r="F179" s="71"/>
      <c r="G179" s="74"/>
      <c r="H179" s="71"/>
      <c r="I179" s="71"/>
      <c r="J179" s="71"/>
      <c r="K179" s="71"/>
      <c r="L179" s="74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</row>
    <row r="180" spans="1:54">
      <c r="A180" s="71"/>
      <c r="B180" s="71"/>
      <c r="C180" s="74"/>
      <c r="D180" s="71"/>
      <c r="E180" s="74"/>
      <c r="F180" s="71"/>
      <c r="G180" s="74"/>
      <c r="H180" s="71"/>
      <c r="I180" s="71"/>
      <c r="J180" s="71"/>
      <c r="K180" s="71"/>
      <c r="L180" s="74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</row>
    <row r="181" spans="1:54">
      <c r="A181" s="71"/>
      <c r="B181" s="71"/>
      <c r="C181" s="74"/>
      <c r="D181" s="71"/>
      <c r="E181" s="74"/>
      <c r="F181" s="71"/>
      <c r="G181" s="74"/>
      <c r="H181" s="71"/>
      <c r="I181" s="71"/>
      <c r="J181" s="71"/>
      <c r="K181" s="71"/>
      <c r="L181" s="74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</row>
    <row r="182" spans="1:54">
      <c r="A182" s="71"/>
      <c r="B182" s="71"/>
      <c r="C182" s="74"/>
      <c r="D182" s="71"/>
      <c r="E182" s="74"/>
      <c r="F182" s="71"/>
      <c r="G182" s="74"/>
      <c r="H182" s="71"/>
      <c r="I182" s="71"/>
      <c r="J182" s="71"/>
      <c r="K182" s="71"/>
      <c r="L182" s="74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</row>
    <row r="183" spans="1:54">
      <c r="A183" s="71"/>
      <c r="B183" s="71"/>
      <c r="C183" s="74"/>
      <c r="D183" s="71"/>
      <c r="E183" s="74"/>
      <c r="F183" s="71"/>
      <c r="G183" s="74"/>
      <c r="H183" s="71"/>
      <c r="I183" s="71"/>
      <c r="J183" s="71"/>
      <c r="K183" s="71"/>
      <c r="L183" s="74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</row>
    <row r="184" spans="1:54">
      <c r="A184" s="71"/>
      <c r="B184" s="71"/>
      <c r="C184" s="74"/>
      <c r="D184" s="71"/>
      <c r="E184" s="74"/>
      <c r="F184" s="71"/>
      <c r="G184" s="74"/>
      <c r="H184" s="71"/>
      <c r="I184" s="71"/>
      <c r="J184" s="71"/>
      <c r="K184" s="71"/>
      <c r="L184" s="74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</row>
    <row r="185" spans="1:54">
      <c r="A185" s="71"/>
      <c r="B185" s="71"/>
      <c r="C185" s="74"/>
      <c r="D185" s="71"/>
      <c r="E185" s="74"/>
      <c r="F185" s="71"/>
      <c r="G185" s="74"/>
      <c r="H185" s="71"/>
      <c r="I185" s="71"/>
      <c r="J185" s="71"/>
      <c r="K185" s="71"/>
      <c r="L185" s="74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</row>
    <row r="186" spans="1:54">
      <c r="A186" s="71"/>
      <c r="B186" s="71"/>
      <c r="C186" s="74"/>
      <c r="D186" s="71"/>
      <c r="E186" s="74"/>
      <c r="F186" s="71"/>
      <c r="G186" s="74"/>
      <c r="H186" s="71"/>
      <c r="I186" s="71"/>
      <c r="J186" s="71"/>
      <c r="K186" s="71"/>
      <c r="L186" s="74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</row>
    <row r="187" spans="1:54">
      <c r="A187" s="71"/>
      <c r="B187" s="71"/>
      <c r="C187" s="74"/>
      <c r="D187" s="71"/>
      <c r="E187" s="74"/>
      <c r="F187" s="71"/>
      <c r="G187" s="74"/>
      <c r="H187" s="71"/>
      <c r="I187" s="71"/>
      <c r="J187" s="71"/>
      <c r="K187" s="71"/>
      <c r="L187" s="74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</row>
    <row r="188" spans="1:54">
      <c r="A188" s="71"/>
      <c r="B188" s="71"/>
      <c r="C188" s="74"/>
      <c r="D188" s="71"/>
      <c r="E188" s="74"/>
      <c r="F188" s="71"/>
      <c r="G188" s="74"/>
      <c r="H188" s="71"/>
      <c r="I188" s="71"/>
      <c r="J188" s="71"/>
      <c r="K188" s="71"/>
      <c r="L188" s="74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</row>
    <row r="189" spans="1:54">
      <c r="A189" s="71"/>
      <c r="B189" s="71"/>
      <c r="C189" s="74"/>
      <c r="D189" s="71"/>
      <c r="E189" s="74"/>
      <c r="F189" s="71"/>
      <c r="G189" s="74"/>
      <c r="H189" s="71"/>
      <c r="I189" s="71"/>
      <c r="J189" s="71"/>
      <c r="K189" s="71"/>
      <c r="L189" s="74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</row>
    <row r="190" spans="1:54">
      <c r="A190" s="71"/>
      <c r="B190" s="71"/>
      <c r="C190" s="74"/>
      <c r="D190" s="71"/>
      <c r="E190" s="74"/>
      <c r="F190" s="71"/>
      <c r="G190" s="74"/>
      <c r="H190" s="71"/>
      <c r="I190" s="71"/>
      <c r="J190" s="71"/>
      <c r="K190" s="71"/>
      <c r="L190" s="74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</row>
    <row r="191" spans="1:54">
      <c r="A191" s="71"/>
      <c r="B191" s="71"/>
      <c r="C191" s="74"/>
      <c r="D191" s="71"/>
      <c r="E191" s="74"/>
      <c r="F191" s="71"/>
      <c r="G191" s="74"/>
      <c r="H191" s="71"/>
      <c r="I191" s="71"/>
      <c r="J191" s="71"/>
      <c r="K191" s="71"/>
      <c r="L191" s="74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</row>
    <row r="192" spans="1:54">
      <c r="A192" s="71"/>
      <c r="B192" s="71"/>
      <c r="C192" s="74"/>
      <c r="D192" s="71"/>
      <c r="E192" s="74"/>
      <c r="F192" s="71"/>
      <c r="G192" s="74"/>
      <c r="H192" s="71"/>
      <c r="I192" s="71"/>
      <c r="J192" s="71"/>
      <c r="K192" s="71"/>
      <c r="L192" s="74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</row>
    <row r="193" spans="1:54">
      <c r="A193" s="71"/>
      <c r="B193" s="71"/>
      <c r="C193" s="74"/>
      <c r="D193" s="71"/>
      <c r="E193" s="74"/>
      <c r="F193" s="71"/>
      <c r="G193" s="74"/>
      <c r="H193" s="71"/>
      <c r="I193" s="71"/>
      <c r="J193" s="71"/>
      <c r="K193" s="71"/>
      <c r="L193" s="74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</row>
    <row r="194" spans="1:54">
      <c r="A194" s="71"/>
      <c r="B194" s="71"/>
      <c r="C194" s="74"/>
      <c r="D194" s="71"/>
      <c r="E194" s="74"/>
      <c r="F194" s="71"/>
      <c r="G194" s="74"/>
      <c r="H194" s="71"/>
      <c r="I194" s="71"/>
      <c r="J194" s="71"/>
      <c r="K194" s="71"/>
      <c r="L194" s="74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</row>
    <row r="195" spans="1:54">
      <c r="A195" s="71"/>
      <c r="B195" s="71"/>
      <c r="C195" s="74"/>
      <c r="D195" s="71"/>
      <c r="E195" s="74"/>
      <c r="F195" s="71"/>
      <c r="G195" s="74"/>
      <c r="H195" s="71"/>
      <c r="I195" s="71"/>
      <c r="J195" s="71"/>
      <c r="K195" s="71"/>
      <c r="L195" s="74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</row>
    <row r="196" spans="1:54">
      <c r="A196" s="71"/>
      <c r="B196" s="71"/>
      <c r="C196" s="74"/>
      <c r="D196" s="71"/>
      <c r="E196" s="74"/>
      <c r="F196" s="71"/>
      <c r="G196" s="74"/>
      <c r="H196" s="71"/>
      <c r="I196" s="71"/>
      <c r="J196" s="71"/>
      <c r="K196" s="71"/>
      <c r="L196" s="74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</row>
    <row r="197" spans="1:54">
      <c r="A197" s="71"/>
      <c r="B197" s="71"/>
      <c r="C197" s="74"/>
      <c r="D197" s="71"/>
      <c r="E197" s="74"/>
      <c r="F197" s="71"/>
      <c r="G197" s="74"/>
      <c r="H197" s="71"/>
      <c r="I197" s="71"/>
      <c r="J197" s="71"/>
      <c r="K197" s="71"/>
      <c r="L197" s="74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</row>
    <row r="198" spans="1:54">
      <c r="A198" s="71"/>
      <c r="B198" s="71"/>
      <c r="C198" s="74"/>
      <c r="D198" s="71"/>
      <c r="E198" s="74"/>
      <c r="F198" s="71"/>
      <c r="G198" s="74"/>
      <c r="H198" s="71"/>
      <c r="I198" s="71"/>
      <c r="J198" s="71"/>
      <c r="K198" s="71"/>
      <c r="L198" s="74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</row>
    <row r="199" spans="1:54">
      <c r="A199" s="71"/>
      <c r="B199" s="71"/>
      <c r="C199" s="74"/>
      <c r="D199" s="71"/>
      <c r="E199" s="74"/>
      <c r="F199" s="71"/>
      <c r="G199" s="74"/>
      <c r="H199" s="71"/>
      <c r="I199" s="71"/>
      <c r="J199" s="71"/>
      <c r="K199" s="71"/>
      <c r="L199" s="74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</row>
    <row r="200" spans="1:54">
      <c r="A200" s="71"/>
      <c r="B200" s="71"/>
      <c r="C200" s="74"/>
      <c r="D200" s="71"/>
      <c r="E200" s="74"/>
      <c r="F200" s="71"/>
      <c r="G200" s="74"/>
      <c r="H200" s="71"/>
      <c r="I200" s="71"/>
      <c r="J200" s="71"/>
      <c r="K200" s="71"/>
      <c r="L200" s="74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</row>
    <row r="201" spans="1:54">
      <c r="A201" s="71"/>
      <c r="B201" s="71"/>
      <c r="C201" s="74"/>
      <c r="D201" s="71"/>
      <c r="E201" s="74"/>
      <c r="F201" s="71"/>
      <c r="G201" s="74"/>
      <c r="H201" s="71"/>
      <c r="I201" s="71"/>
      <c r="J201" s="71"/>
      <c r="K201" s="71"/>
      <c r="L201" s="74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</row>
    <row r="202" spans="1:54">
      <c r="A202" s="71"/>
      <c r="B202" s="71"/>
      <c r="C202" s="74"/>
      <c r="D202" s="71"/>
      <c r="E202" s="74"/>
      <c r="F202" s="71"/>
      <c r="G202" s="74"/>
      <c r="H202" s="71"/>
      <c r="I202" s="71"/>
      <c r="J202" s="71"/>
      <c r="K202" s="71"/>
      <c r="L202" s="74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</row>
    <row r="203" spans="1:54">
      <c r="A203" s="71"/>
      <c r="B203" s="71"/>
      <c r="C203" s="74"/>
      <c r="D203" s="71"/>
      <c r="E203" s="74"/>
      <c r="F203" s="71"/>
      <c r="G203" s="74"/>
      <c r="H203" s="71"/>
      <c r="I203" s="71"/>
      <c r="J203" s="71"/>
      <c r="K203" s="71"/>
      <c r="L203" s="74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</row>
    <row r="204" spans="1:54">
      <c r="A204" s="71"/>
      <c r="B204" s="71"/>
      <c r="C204" s="74"/>
      <c r="D204" s="71"/>
      <c r="E204" s="74"/>
      <c r="F204" s="71"/>
      <c r="G204" s="74"/>
      <c r="H204" s="71"/>
      <c r="I204" s="71"/>
      <c r="J204" s="71"/>
      <c r="K204" s="71"/>
      <c r="L204" s="74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</row>
    <row r="205" spans="1:54">
      <c r="A205" s="71"/>
      <c r="B205" s="71"/>
      <c r="C205" s="74"/>
      <c r="D205" s="71"/>
      <c r="E205" s="74"/>
      <c r="F205" s="71"/>
      <c r="G205" s="74"/>
      <c r="H205" s="71"/>
      <c r="I205" s="71"/>
      <c r="J205" s="71"/>
      <c r="K205" s="71"/>
      <c r="L205" s="74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</row>
    <row r="206" spans="1:54">
      <c r="A206" s="71"/>
      <c r="B206" s="71"/>
      <c r="C206" s="74"/>
      <c r="D206" s="71"/>
      <c r="E206" s="74"/>
      <c r="F206" s="71"/>
      <c r="G206" s="74"/>
      <c r="H206" s="71"/>
      <c r="I206" s="71"/>
      <c r="J206" s="71"/>
      <c r="K206" s="71"/>
      <c r="L206" s="74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</row>
    <row r="207" spans="1:54">
      <c r="A207" s="71"/>
      <c r="B207" s="71"/>
      <c r="C207" s="74"/>
      <c r="D207" s="71"/>
      <c r="E207" s="74"/>
      <c r="F207" s="71"/>
      <c r="G207" s="74"/>
      <c r="H207" s="71"/>
      <c r="I207" s="71"/>
      <c r="J207" s="71"/>
      <c r="K207" s="71"/>
      <c r="L207" s="74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</row>
    <row r="208" spans="1:54">
      <c r="A208" s="71"/>
      <c r="B208" s="71"/>
      <c r="C208" s="74"/>
      <c r="D208" s="71"/>
      <c r="E208" s="74"/>
      <c r="F208" s="71"/>
      <c r="G208" s="74"/>
      <c r="H208" s="71"/>
      <c r="I208" s="71"/>
      <c r="J208" s="71"/>
      <c r="K208" s="71"/>
      <c r="L208" s="74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</row>
    <row r="209" spans="1:54">
      <c r="A209" s="71"/>
      <c r="B209" s="71"/>
      <c r="C209" s="74"/>
      <c r="D209" s="71"/>
      <c r="E209" s="74"/>
      <c r="F209" s="71"/>
      <c r="G209" s="74"/>
      <c r="H209" s="71"/>
      <c r="I209" s="71"/>
      <c r="J209" s="71"/>
      <c r="K209" s="71"/>
      <c r="L209" s="74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</row>
    <row r="210" spans="1:54">
      <c r="A210" s="71"/>
      <c r="B210" s="71"/>
      <c r="C210" s="74"/>
      <c r="D210" s="71"/>
      <c r="E210" s="74"/>
      <c r="F210" s="71"/>
      <c r="G210" s="74"/>
      <c r="H210" s="71"/>
      <c r="I210" s="71"/>
      <c r="J210" s="71"/>
      <c r="K210" s="71"/>
      <c r="L210" s="74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</row>
    <row r="211" spans="1:54">
      <c r="A211" s="71"/>
      <c r="B211" s="71"/>
      <c r="C211" s="74"/>
      <c r="D211" s="71"/>
      <c r="E211" s="74"/>
      <c r="F211" s="71"/>
      <c r="G211" s="74"/>
      <c r="H211" s="71"/>
      <c r="I211" s="71"/>
      <c r="J211" s="71"/>
      <c r="K211" s="71"/>
      <c r="L211" s="74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</row>
    <row r="212" spans="1:54">
      <c r="A212" s="71"/>
      <c r="B212" s="71"/>
      <c r="C212" s="74"/>
      <c r="D212" s="71"/>
      <c r="E212" s="74"/>
      <c r="F212" s="71"/>
      <c r="G212" s="74"/>
      <c r="H212" s="71"/>
      <c r="I212" s="71"/>
      <c r="J212" s="71"/>
      <c r="K212" s="71"/>
      <c r="L212" s="74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</row>
    <row r="213" spans="1:54">
      <c r="A213" s="71"/>
      <c r="B213" s="71"/>
      <c r="C213" s="74"/>
      <c r="D213" s="71"/>
      <c r="E213" s="74"/>
      <c r="F213" s="71"/>
      <c r="G213" s="74"/>
      <c r="H213" s="71"/>
      <c r="I213" s="71"/>
      <c r="J213" s="71"/>
      <c r="K213" s="71"/>
      <c r="L213" s="74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</row>
    <row r="214" spans="1:54">
      <c r="A214" s="71"/>
      <c r="B214" s="71"/>
      <c r="C214" s="74"/>
      <c r="D214" s="71"/>
      <c r="E214" s="74"/>
      <c r="F214" s="71"/>
      <c r="G214" s="74"/>
      <c r="H214" s="71"/>
      <c r="I214" s="71"/>
      <c r="J214" s="71"/>
      <c r="K214" s="71"/>
      <c r="L214" s="74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</row>
    <row r="215" spans="1:54">
      <c r="A215" s="71"/>
      <c r="B215" s="71"/>
      <c r="C215" s="74"/>
      <c r="D215" s="71"/>
      <c r="E215" s="74"/>
      <c r="F215" s="71"/>
      <c r="G215" s="74"/>
      <c r="H215" s="71"/>
      <c r="I215" s="71"/>
      <c r="J215" s="71"/>
      <c r="K215" s="71"/>
      <c r="L215" s="74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</row>
    <row r="216" spans="1:54">
      <c r="A216" s="71"/>
      <c r="B216" s="71"/>
      <c r="C216" s="74"/>
      <c r="D216" s="71"/>
      <c r="E216" s="74"/>
      <c r="F216" s="71"/>
      <c r="G216" s="74"/>
      <c r="H216" s="71"/>
      <c r="I216" s="71"/>
      <c r="J216" s="71"/>
      <c r="K216" s="71"/>
      <c r="L216" s="74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</row>
    <row r="217" spans="1:54">
      <c r="A217" s="71"/>
      <c r="B217" s="71"/>
      <c r="C217" s="74"/>
      <c r="D217" s="71"/>
      <c r="E217" s="74"/>
      <c r="F217" s="71"/>
      <c r="G217" s="74"/>
      <c r="H217" s="71"/>
      <c r="I217" s="71"/>
      <c r="J217" s="71"/>
      <c r="K217" s="71"/>
      <c r="L217" s="74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</row>
    <row r="218" spans="1:54">
      <c r="A218" s="71"/>
      <c r="B218" s="71"/>
      <c r="C218" s="74"/>
      <c r="D218" s="71"/>
      <c r="E218" s="74"/>
      <c r="F218" s="71"/>
      <c r="G218" s="74"/>
      <c r="H218" s="71"/>
      <c r="I218" s="71"/>
      <c r="J218" s="71"/>
      <c r="K218" s="71"/>
      <c r="L218" s="74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</row>
    <row r="219" spans="1:54">
      <c r="A219" s="71"/>
      <c r="B219" s="71"/>
      <c r="C219" s="74"/>
      <c r="D219" s="71"/>
      <c r="E219" s="74"/>
      <c r="F219" s="71"/>
      <c r="G219" s="74"/>
      <c r="H219" s="71"/>
      <c r="I219" s="71"/>
      <c r="J219" s="71"/>
      <c r="K219" s="71"/>
      <c r="L219" s="74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</row>
    <row r="220" spans="1:54">
      <c r="A220" s="71"/>
      <c r="B220" s="71"/>
      <c r="C220" s="74"/>
      <c r="D220" s="71"/>
      <c r="E220" s="74"/>
      <c r="F220" s="71"/>
      <c r="G220" s="74"/>
      <c r="H220" s="71"/>
      <c r="I220" s="71"/>
      <c r="J220" s="71"/>
      <c r="K220" s="71"/>
      <c r="L220" s="74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</row>
    <row r="221" spans="1:54">
      <c r="A221" s="71"/>
      <c r="B221" s="71"/>
      <c r="C221" s="74"/>
      <c r="D221" s="71"/>
      <c r="E221" s="74"/>
      <c r="F221" s="71"/>
      <c r="G221" s="74"/>
      <c r="H221" s="71"/>
      <c r="I221" s="71"/>
      <c r="J221" s="71"/>
      <c r="K221" s="71"/>
      <c r="L221" s="74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</row>
    <row r="222" spans="1:54">
      <c r="A222" s="71"/>
      <c r="B222" s="71"/>
      <c r="C222" s="74"/>
      <c r="D222" s="71"/>
      <c r="E222" s="74"/>
      <c r="F222" s="71"/>
      <c r="G222" s="74"/>
      <c r="H222" s="71"/>
      <c r="I222" s="71"/>
      <c r="J222" s="71"/>
      <c r="K222" s="71"/>
      <c r="L222" s="74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</row>
    <row r="223" spans="1:54">
      <c r="A223" s="71"/>
      <c r="B223" s="71"/>
      <c r="C223" s="74"/>
      <c r="D223" s="71"/>
      <c r="E223" s="74"/>
      <c r="F223" s="71"/>
      <c r="G223" s="74"/>
      <c r="H223" s="71"/>
      <c r="I223" s="71"/>
      <c r="J223" s="71"/>
      <c r="K223" s="71"/>
      <c r="L223" s="74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</row>
    <row r="224" spans="1:54">
      <c r="A224" s="71"/>
      <c r="B224" s="71"/>
      <c r="C224" s="74"/>
      <c r="D224" s="71"/>
      <c r="E224" s="74"/>
      <c r="F224" s="71"/>
      <c r="G224" s="74"/>
      <c r="H224" s="71"/>
      <c r="I224" s="71"/>
      <c r="J224" s="71"/>
      <c r="K224" s="71"/>
      <c r="L224" s="74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</row>
    <row r="225" spans="1:54">
      <c r="A225" s="71"/>
      <c r="B225" s="71"/>
      <c r="C225" s="74"/>
      <c r="D225" s="71"/>
      <c r="E225" s="74"/>
      <c r="F225" s="71"/>
      <c r="G225" s="74"/>
      <c r="H225" s="71"/>
      <c r="I225" s="71"/>
      <c r="J225" s="71"/>
      <c r="K225" s="71"/>
      <c r="L225" s="74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</row>
    <row r="226" spans="1:54">
      <c r="A226" s="71"/>
      <c r="B226" s="71"/>
      <c r="C226" s="74"/>
      <c r="D226" s="71"/>
      <c r="E226" s="74"/>
      <c r="F226" s="71"/>
      <c r="G226" s="74"/>
      <c r="H226" s="71"/>
      <c r="I226" s="71"/>
      <c r="J226" s="71"/>
      <c r="K226" s="71"/>
      <c r="L226" s="74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</row>
    <row r="227" spans="1:54">
      <c r="A227" s="71"/>
      <c r="B227" s="71"/>
      <c r="C227" s="74"/>
      <c r="D227" s="71"/>
      <c r="E227" s="74"/>
      <c r="F227" s="71"/>
      <c r="G227" s="74"/>
      <c r="H227" s="71"/>
      <c r="I227" s="71"/>
      <c r="J227" s="71"/>
      <c r="K227" s="71"/>
      <c r="L227" s="74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</row>
    <row r="228" spans="1:54">
      <c r="A228" s="71"/>
      <c r="B228" s="71"/>
      <c r="C228" s="74"/>
      <c r="D228" s="71"/>
      <c r="E228" s="74"/>
      <c r="F228" s="71"/>
      <c r="G228" s="74"/>
      <c r="H228" s="71"/>
      <c r="I228" s="71"/>
      <c r="J228" s="71"/>
      <c r="K228" s="71"/>
      <c r="L228" s="74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</row>
    <row r="229" spans="1:54">
      <c r="A229" s="71"/>
      <c r="B229" s="71"/>
      <c r="C229" s="74"/>
      <c r="D229" s="71"/>
      <c r="E229" s="74"/>
      <c r="F229" s="71"/>
      <c r="G229" s="74"/>
      <c r="H229" s="71"/>
      <c r="I229" s="71"/>
      <c r="J229" s="71"/>
      <c r="K229" s="71"/>
      <c r="L229" s="74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</row>
    <row r="230" spans="1:54">
      <c r="A230" s="71"/>
      <c r="B230" s="71"/>
      <c r="C230" s="74"/>
      <c r="D230" s="71"/>
      <c r="E230" s="74"/>
      <c r="F230" s="71"/>
      <c r="G230" s="74"/>
      <c r="H230" s="71"/>
      <c r="I230" s="71"/>
      <c r="J230" s="71"/>
      <c r="K230" s="71"/>
      <c r="L230" s="74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</row>
    <row r="231" spans="1:54">
      <c r="A231" s="71"/>
      <c r="B231" s="71"/>
      <c r="C231" s="74"/>
      <c r="D231" s="71"/>
      <c r="E231" s="74"/>
      <c r="F231" s="71"/>
      <c r="G231" s="74"/>
      <c r="H231" s="71"/>
      <c r="I231" s="71"/>
      <c r="J231" s="71"/>
      <c r="K231" s="71"/>
      <c r="L231" s="74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</row>
    <row r="232" spans="1:54">
      <c r="A232" s="71"/>
      <c r="B232" s="71"/>
      <c r="C232" s="74"/>
      <c r="D232" s="71"/>
      <c r="E232" s="74"/>
      <c r="F232" s="71"/>
      <c r="G232" s="74"/>
      <c r="H232" s="71"/>
      <c r="I232" s="71"/>
      <c r="J232" s="71"/>
      <c r="K232" s="71"/>
      <c r="L232" s="74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</row>
    <row r="233" spans="1:54">
      <c r="A233" s="71"/>
      <c r="B233" s="71"/>
      <c r="C233" s="74"/>
      <c r="D233" s="71"/>
      <c r="E233" s="74"/>
      <c r="F233" s="71"/>
      <c r="G233" s="74"/>
      <c r="H233" s="71"/>
      <c r="I233" s="71"/>
      <c r="J233" s="71"/>
      <c r="K233" s="71"/>
      <c r="L233" s="74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</row>
    <row r="234" spans="1:54">
      <c r="A234" s="71"/>
      <c r="B234" s="71"/>
      <c r="C234" s="74"/>
      <c r="D234" s="71"/>
      <c r="E234" s="74"/>
      <c r="F234" s="71"/>
      <c r="G234" s="74"/>
      <c r="H234" s="71"/>
      <c r="I234" s="71"/>
      <c r="J234" s="71"/>
      <c r="K234" s="71"/>
      <c r="L234" s="74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</row>
    <row r="235" spans="1:54">
      <c r="A235" s="71"/>
      <c r="B235" s="71"/>
      <c r="C235" s="74"/>
      <c r="D235" s="71"/>
      <c r="E235" s="74"/>
      <c r="F235" s="71"/>
      <c r="G235" s="74"/>
      <c r="H235" s="71"/>
      <c r="I235" s="71"/>
      <c r="J235" s="71"/>
      <c r="K235" s="71"/>
      <c r="L235" s="74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</row>
    <row r="236" spans="1:54">
      <c r="A236" s="71"/>
      <c r="B236" s="71"/>
      <c r="C236" s="74"/>
      <c r="D236" s="71"/>
      <c r="E236" s="74"/>
      <c r="F236" s="71"/>
      <c r="G236" s="74"/>
      <c r="H236" s="71"/>
      <c r="I236" s="71"/>
      <c r="J236" s="71"/>
      <c r="K236" s="71"/>
      <c r="L236" s="74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</row>
    <row r="237" spans="1:54">
      <c r="A237" s="71"/>
      <c r="B237" s="71"/>
      <c r="C237" s="74"/>
      <c r="D237" s="71"/>
      <c r="E237" s="74"/>
      <c r="F237" s="71"/>
      <c r="G237" s="74"/>
      <c r="H237" s="71"/>
      <c r="I237" s="71"/>
      <c r="J237" s="71"/>
      <c r="K237" s="71"/>
      <c r="L237" s="74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</row>
    <row r="238" spans="1:54">
      <c r="A238" s="71"/>
      <c r="B238" s="71"/>
      <c r="C238" s="74"/>
      <c r="D238" s="71"/>
      <c r="E238" s="74"/>
      <c r="F238" s="71"/>
      <c r="G238" s="74"/>
      <c r="H238" s="71"/>
      <c r="I238" s="71"/>
      <c r="J238" s="71"/>
      <c r="K238" s="71"/>
      <c r="L238" s="74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</row>
    <row r="239" spans="1:54">
      <c r="A239" s="71"/>
      <c r="B239" s="71"/>
      <c r="C239" s="74"/>
      <c r="D239" s="71"/>
      <c r="E239" s="74"/>
      <c r="F239" s="71"/>
      <c r="G239" s="74"/>
      <c r="H239" s="71"/>
      <c r="I239" s="71"/>
      <c r="J239" s="71"/>
      <c r="K239" s="71"/>
      <c r="L239" s="74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</row>
    <row r="240" spans="1:54">
      <c r="A240" s="71"/>
      <c r="B240" s="71"/>
      <c r="C240" s="74"/>
      <c r="D240" s="71"/>
      <c r="E240" s="74"/>
      <c r="F240" s="71"/>
      <c r="G240" s="74"/>
      <c r="H240" s="71"/>
      <c r="I240" s="71"/>
      <c r="J240" s="71"/>
      <c r="K240" s="71"/>
      <c r="L240" s="74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</row>
    <row r="241" spans="1:54">
      <c r="A241" s="71"/>
      <c r="B241" s="71"/>
      <c r="C241" s="74"/>
      <c r="D241" s="71"/>
      <c r="E241" s="74"/>
      <c r="F241" s="71"/>
      <c r="G241" s="74"/>
      <c r="H241" s="71"/>
      <c r="I241" s="71"/>
      <c r="J241" s="71"/>
      <c r="K241" s="71"/>
      <c r="L241" s="74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</row>
    <row r="242" spans="1:54">
      <c r="A242" s="71"/>
      <c r="B242" s="71"/>
      <c r="C242" s="74"/>
      <c r="D242" s="71"/>
      <c r="E242" s="74"/>
      <c r="F242" s="71"/>
      <c r="G242" s="74"/>
      <c r="H242" s="71"/>
      <c r="I242" s="71"/>
      <c r="J242" s="71"/>
      <c r="K242" s="71"/>
      <c r="L242" s="74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</row>
    <row r="243" spans="1:54">
      <c r="A243" s="71"/>
      <c r="B243" s="71"/>
      <c r="C243" s="74"/>
      <c r="D243" s="71"/>
      <c r="E243" s="74"/>
      <c r="F243" s="71"/>
      <c r="G243" s="74"/>
      <c r="H243" s="71"/>
      <c r="I243" s="71"/>
      <c r="J243" s="71"/>
      <c r="K243" s="71"/>
      <c r="L243" s="74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</row>
    <row r="244" spans="1:54">
      <c r="A244" s="71"/>
      <c r="B244" s="71"/>
      <c r="C244" s="74"/>
      <c r="D244" s="71"/>
      <c r="E244" s="74"/>
      <c r="F244" s="71"/>
      <c r="G244" s="74"/>
      <c r="H244" s="71"/>
      <c r="I244" s="71"/>
      <c r="J244" s="71"/>
      <c r="K244" s="71"/>
      <c r="L244" s="74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</row>
    <row r="245" spans="1:54">
      <c r="A245" s="71"/>
      <c r="B245" s="71"/>
      <c r="C245" s="74"/>
      <c r="D245" s="71"/>
      <c r="E245" s="74"/>
      <c r="F245" s="71"/>
      <c r="G245" s="74"/>
      <c r="H245" s="71"/>
      <c r="I245" s="71"/>
      <c r="J245" s="71"/>
      <c r="K245" s="71"/>
      <c r="L245" s="74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</row>
    <row r="246" spans="1:54">
      <c r="A246" s="71"/>
      <c r="B246" s="71"/>
      <c r="C246" s="74"/>
      <c r="D246" s="71"/>
      <c r="E246" s="74"/>
      <c r="F246" s="71"/>
      <c r="G246" s="74"/>
      <c r="H246" s="71"/>
      <c r="I246" s="71"/>
      <c r="J246" s="71"/>
      <c r="K246" s="71"/>
      <c r="L246" s="74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</row>
    <row r="247" spans="1:54">
      <c r="A247" s="71"/>
      <c r="B247" s="71"/>
      <c r="C247" s="74"/>
      <c r="D247" s="71"/>
      <c r="E247" s="74"/>
      <c r="F247" s="71"/>
      <c r="G247" s="74"/>
      <c r="H247" s="71"/>
      <c r="I247" s="71"/>
      <c r="J247" s="71"/>
      <c r="K247" s="71"/>
      <c r="L247" s="74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</row>
    <row r="248" spans="1:54">
      <c r="A248" s="71"/>
      <c r="B248" s="71"/>
      <c r="C248" s="74"/>
      <c r="D248" s="71"/>
      <c r="E248" s="74"/>
      <c r="F248" s="71"/>
      <c r="G248" s="74"/>
      <c r="H248" s="71"/>
      <c r="I248" s="71"/>
      <c r="J248" s="71"/>
      <c r="K248" s="71"/>
      <c r="L248" s="74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</row>
    <row r="249" spans="1:54">
      <c r="A249" s="71"/>
      <c r="B249" s="71"/>
      <c r="C249" s="74"/>
      <c r="D249" s="71"/>
      <c r="E249" s="74"/>
      <c r="F249" s="71"/>
      <c r="G249" s="74"/>
      <c r="H249" s="71"/>
      <c r="I249" s="71"/>
      <c r="J249" s="71"/>
      <c r="K249" s="71"/>
      <c r="L249" s="74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</row>
    <row r="250" spans="1:54">
      <c r="A250" s="71"/>
      <c r="B250" s="71"/>
      <c r="C250" s="74"/>
      <c r="D250" s="71"/>
      <c r="E250" s="74"/>
      <c r="F250" s="71"/>
      <c r="G250" s="74"/>
      <c r="H250" s="71"/>
      <c r="I250" s="71"/>
      <c r="J250" s="71"/>
      <c r="K250" s="71"/>
      <c r="L250" s="74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</row>
    <row r="251" spans="1:54">
      <c r="A251" s="71"/>
      <c r="B251" s="71"/>
      <c r="C251" s="74"/>
      <c r="D251" s="71"/>
      <c r="E251" s="74"/>
      <c r="F251" s="71"/>
      <c r="G251" s="74"/>
      <c r="H251" s="71"/>
      <c r="I251" s="71"/>
      <c r="J251" s="71"/>
      <c r="K251" s="71"/>
      <c r="L251" s="74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</row>
    <row r="252" spans="1:54">
      <c r="A252" s="71"/>
      <c r="B252" s="71"/>
      <c r="C252" s="74"/>
      <c r="D252" s="71"/>
      <c r="E252" s="74"/>
      <c r="F252" s="71"/>
      <c r="G252" s="74"/>
      <c r="H252" s="71"/>
      <c r="I252" s="71"/>
      <c r="J252" s="71"/>
      <c r="K252" s="71"/>
      <c r="L252" s="74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</row>
    <row r="253" spans="1:54">
      <c r="A253" s="71"/>
      <c r="B253" s="71"/>
      <c r="C253" s="74"/>
      <c r="D253" s="71"/>
      <c r="E253" s="74"/>
      <c r="F253" s="71"/>
      <c r="G253" s="74"/>
      <c r="H253" s="71"/>
      <c r="I253" s="71"/>
      <c r="J253" s="71"/>
      <c r="K253" s="71"/>
      <c r="L253" s="74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</row>
    <row r="254" spans="1:54">
      <c r="A254" s="71"/>
      <c r="B254" s="71"/>
      <c r="C254" s="74"/>
      <c r="D254" s="71"/>
      <c r="E254" s="74"/>
      <c r="F254" s="71"/>
      <c r="G254" s="74"/>
      <c r="H254" s="71"/>
      <c r="I254" s="71"/>
      <c r="J254" s="71"/>
      <c r="K254" s="71"/>
      <c r="L254" s="74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</row>
    <row r="255" spans="1:54">
      <c r="A255" s="71"/>
      <c r="B255" s="71"/>
      <c r="C255" s="74"/>
      <c r="D255" s="71"/>
      <c r="E255" s="74"/>
      <c r="F255" s="71"/>
      <c r="G255" s="74"/>
      <c r="H255" s="71"/>
      <c r="I255" s="71"/>
      <c r="J255" s="71"/>
      <c r="K255" s="71"/>
      <c r="L255" s="74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</row>
    <row r="256" spans="1:54">
      <c r="A256" s="71"/>
      <c r="B256" s="71"/>
      <c r="C256" s="74"/>
      <c r="D256" s="71"/>
      <c r="E256" s="74"/>
      <c r="F256" s="71"/>
      <c r="G256" s="74"/>
      <c r="H256" s="71"/>
      <c r="I256" s="71"/>
      <c r="J256" s="71"/>
      <c r="K256" s="71"/>
      <c r="L256" s="74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</row>
    <row r="257" spans="1:54">
      <c r="A257" s="71"/>
      <c r="B257" s="71"/>
      <c r="C257" s="74"/>
      <c r="D257" s="71"/>
      <c r="E257" s="74"/>
      <c r="F257" s="71"/>
      <c r="G257" s="74"/>
      <c r="H257" s="71"/>
      <c r="I257" s="71"/>
      <c r="J257" s="71"/>
      <c r="K257" s="71"/>
      <c r="L257" s="74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</row>
    <row r="258" spans="1:54">
      <c r="A258" s="71"/>
      <c r="B258" s="71"/>
      <c r="C258" s="74"/>
      <c r="D258" s="71"/>
      <c r="E258" s="74"/>
      <c r="F258" s="71"/>
      <c r="G258" s="74"/>
      <c r="H258" s="71"/>
      <c r="I258" s="71"/>
      <c r="J258" s="71"/>
      <c r="K258" s="71"/>
      <c r="L258" s="74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</row>
    <row r="259" spans="1:54">
      <c r="A259" s="71"/>
      <c r="B259" s="71"/>
      <c r="C259" s="74"/>
      <c r="D259" s="71"/>
      <c r="E259" s="74"/>
      <c r="F259" s="71"/>
      <c r="G259" s="74"/>
      <c r="H259" s="71"/>
      <c r="I259" s="71"/>
      <c r="J259" s="71"/>
      <c r="K259" s="71"/>
      <c r="L259" s="74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</row>
    <row r="260" spans="1:54">
      <c r="A260" s="71"/>
      <c r="B260" s="71"/>
      <c r="C260" s="74"/>
      <c r="D260" s="71"/>
      <c r="E260" s="74"/>
      <c r="F260" s="71"/>
      <c r="G260" s="74"/>
      <c r="H260" s="71"/>
      <c r="I260" s="71"/>
      <c r="J260" s="71"/>
      <c r="K260" s="71"/>
      <c r="L260" s="74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</row>
    <row r="261" spans="1:54">
      <c r="A261" s="71"/>
      <c r="B261" s="71"/>
      <c r="C261" s="74"/>
      <c r="D261" s="71"/>
      <c r="E261" s="74"/>
      <c r="F261" s="71"/>
      <c r="G261" s="74"/>
      <c r="H261" s="71"/>
      <c r="I261" s="71"/>
      <c r="J261" s="71"/>
      <c r="K261" s="71"/>
      <c r="L261" s="74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</row>
    <row r="262" spans="1:54">
      <c r="A262" s="71"/>
      <c r="B262" s="71"/>
      <c r="C262" s="74"/>
      <c r="D262" s="71"/>
      <c r="E262" s="74"/>
      <c r="F262" s="71"/>
      <c r="G262" s="74"/>
      <c r="H262" s="71"/>
      <c r="I262" s="71"/>
      <c r="J262" s="71"/>
      <c r="K262" s="71"/>
      <c r="L262" s="74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</row>
    <row r="263" spans="1:54">
      <c r="A263" s="71"/>
      <c r="B263" s="71"/>
      <c r="C263" s="74"/>
      <c r="D263" s="71"/>
      <c r="E263" s="74"/>
      <c r="F263" s="71"/>
      <c r="G263" s="74"/>
      <c r="H263" s="71"/>
      <c r="I263" s="71"/>
      <c r="J263" s="71"/>
      <c r="K263" s="71"/>
      <c r="L263" s="74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</row>
    <row r="264" spans="1:54">
      <c r="A264" s="71"/>
      <c r="B264" s="71"/>
      <c r="C264" s="74"/>
      <c r="D264" s="71"/>
      <c r="E264" s="74"/>
      <c r="F264" s="71"/>
      <c r="G264" s="74"/>
      <c r="H264" s="71"/>
      <c r="I264" s="71"/>
      <c r="J264" s="71"/>
      <c r="K264" s="71"/>
      <c r="L264" s="74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</row>
    <row r="265" spans="1:54">
      <c r="A265" s="71"/>
      <c r="B265" s="71"/>
      <c r="C265" s="74"/>
      <c r="D265" s="71"/>
      <c r="E265" s="74"/>
      <c r="F265" s="71"/>
      <c r="G265" s="74"/>
      <c r="H265" s="71"/>
      <c r="I265" s="71"/>
      <c r="J265" s="71"/>
      <c r="K265" s="71"/>
      <c r="L265" s="74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</row>
    <row r="266" spans="1:54">
      <c r="A266" s="71"/>
      <c r="B266" s="71"/>
      <c r="C266" s="74"/>
      <c r="D266" s="71"/>
      <c r="E266" s="74"/>
      <c r="F266" s="71"/>
      <c r="G266" s="74"/>
      <c r="H266" s="71"/>
      <c r="I266" s="71"/>
      <c r="J266" s="71"/>
      <c r="K266" s="71"/>
      <c r="L266" s="74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</row>
    <row r="267" spans="1:54">
      <c r="A267" s="71"/>
      <c r="B267" s="71"/>
      <c r="C267" s="74"/>
      <c r="D267" s="71"/>
      <c r="E267" s="74"/>
      <c r="F267" s="71"/>
      <c r="G267" s="74"/>
      <c r="H267" s="71"/>
      <c r="I267" s="71"/>
      <c r="J267" s="71"/>
      <c r="K267" s="71"/>
      <c r="L267" s="74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</row>
    <row r="268" spans="1:54">
      <c r="A268" s="71"/>
      <c r="B268" s="71"/>
      <c r="C268" s="74"/>
      <c r="D268" s="71"/>
      <c r="E268" s="74"/>
      <c r="F268" s="71"/>
      <c r="G268" s="74"/>
      <c r="H268" s="71"/>
      <c r="I268" s="71"/>
      <c r="J268" s="71"/>
      <c r="K268" s="71"/>
      <c r="L268" s="74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</row>
    <row r="269" spans="1:54">
      <c r="A269" s="71"/>
      <c r="B269" s="71"/>
      <c r="C269" s="74"/>
      <c r="D269" s="71"/>
      <c r="E269" s="74"/>
      <c r="F269" s="71"/>
      <c r="G269" s="74"/>
      <c r="H269" s="71"/>
      <c r="I269" s="71"/>
      <c r="J269" s="71"/>
      <c r="K269" s="71"/>
      <c r="L269" s="74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</row>
    <row r="270" spans="1:54">
      <c r="A270" s="71"/>
      <c r="B270" s="71"/>
      <c r="C270" s="74"/>
      <c r="D270" s="71"/>
      <c r="E270" s="74"/>
      <c r="F270" s="71"/>
      <c r="G270" s="74"/>
      <c r="H270" s="71"/>
      <c r="I270" s="71"/>
      <c r="J270" s="71"/>
      <c r="K270" s="71"/>
      <c r="L270" s="74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</row>
    <row r="271" spans="1:54">
      <c r="A271" s="71"/>
      <c r="B271" s="71"/>
      <c r="C271" s="74"/>
      <c r="D271" s="71"/>
      <c r="E271" s="74"/>
      <c r="F271" s="71"/>
      <c r="G271" s="74"/>
      <c r="H271" s="71"/>
      <c r="I271" s="71"/>
      <c r="J271" s="71"/>
      <c r="K271" s="71"/>
      <c r="L271" s="74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</row>
    <row r="272" spans="1:54">
      <c r="A272" s="71"/>
      <c r="B272" s="71"/>
      <c r="C272" s="74"/>
      <c r="D272" s="71"/>
      <c r="E272" s="74"/>
      <c r="F272" s="71"/>
      <c r="G272" s="74"/>
      <c r="H272" s="71"/>
      <c r="I272" s="71"/>
      <c r="J272" s="71"/>
      <c r="K272" s="71"/>
      <c r="L272" s="74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</row>
    <row r="273" spans="1:54">
      <c r="A273" s="71"/>
      <c r="B273" s="71"/>
      <c r="C273" s="74"/>
      <c r="D273" s="71"/>
      <c r="E273" s="74"/>
      <c r="F273" s="71"/>
      <c r="G273" s="74"/>
      <c r="H273" s="71"/>
      <c r="I273" s="71"/>
      <c r="J273" s="71"/>
      <c r="K273" s="71"/>
      <c r="L273" s="74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</row>
    <row r="274" spans="1:54">
      <c r="A274" s="71"/>
      <c r="B274" s="71"/>
      <c r="C274" s="74"/>
      <c r="D274" s="71"/>
      <c r="E274" s="74"/>
      <c r="F274" s="71"/>
      <c r="G274" s="74"/>
      <c r="H274" s="71"/>
      <c r="I274" s="71"/>
      <c r="J274" s="71"/>
      <c r="K274" s="71"/>
      <c r="L274" s="74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</row>
    <row r="275" spans="1:54">
      <c r="A275" s="71"/>
      <c r="B275" s="71"/>
      <c r="C275" s="74"/>
      <c r="D275" s="71"/>
      <c r="E275" s="74"/>
      <c r="F275" s="71"/>
      <c r="G275" s="74"/>
      <c r="H275" s="71"/>
      <c r="I275" s="71"/>
      <c r="J275" s="71"/>
      <c r="K275" s="71"/>
      <c r="L275" s="74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</row>
    <row r="276" spans="1:54">
      <c r="A276" s="71"/>
      <c r="B276" s="71"/>
      <c r="C276" s="74"/>
      <c r="D276" s="71"/>
      <c r="E276" s="74"/>
      <c r="F276" s="71"/>
      <c r="G276" s="74"/>
      <c r="H276" s="71"/>
      <c r="I276" s="71"/>
      <c r="J276" s="71"/>
      <c r="K276" s="71"/>
      <c r="L276" s="74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</row>
    <row r="277" spans="1:54">
      <c r="A277" s="71"/>
      <c r="B277" s="71"/>
      <c r="C277" s="74"/>
      <c r="D277" s="71"/>
      <c r="E277" s="74"/>
      <c r="F277" s="71"/>
      <c r="G277" s="74"/>
      <c r="H277" s="71"/>
      <c r="I277" s="71"/>
      <c r="J277" s="71"/>
      <c r="K277" s="71"/>
      <c r="L277" s="74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</row>
    <row r="278" spans="1:54">
      <c r="A278" s="71"/>
      <c r="B278" s="71"/>
      <c r="C278" s="74"/>
      <c r="D278" s="71"/>
      <c r="E278" s="74"/>
      <c r="F278" s="71"/>
      <c r="G278" s="74"/>
      <c r="H278" s="71"/>
      <c r="I278" s="71"/>
      <c r="J278" s="71"/>
      <c r="K278" s="71"/>
      <c r="L278" s="74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</row>
    <row r="279" spans="1:54">
      <c r="A279" s="71"/>
      <c r="B279" s="71"/>
      <c r="C279" s="74"/>
      <c r="D279" s="71"/>
      <c r="E279" s="74"/>
      <c r="F279" s="71"/>
      <c r="G279" s="74"/>
      <c r="H279" s="71"/>
      <c r="I279" s="71"/>
      <c r="J279" s="71"/>
      <c r="K279" s="71"/>
      <c r="L279" s="74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</row>
    <row r="280" spans="1:54">
      <c r="A280" s="71"/>
      <c r="B280" s="71"/>
      <c r="C280" s="74"/>
      <c r="D280" s="71"/>
      <c r="E280" s="74"/>
      <c r="F280" s="71"/>
      <c r="G280" s="74"/>
      <c r="H280" s="71"/>
      <c r="I280" s="71"/>
      <c r="J280" s="71"/>
      <c r="K280" s="71"/>
      <c r="L280" s="74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</row>
    <row r="281" spans="1:54">
      <c r="A281" s="71"/>
      <c r="B281" s="71"/>
      <c r="C281" s="74"/>
      <c r="D281" s="71"/>
      <c r="E281" s="74"/>
      <c r="F281" s="71"/>
      <c r="G281" s="74"/>
      <c r="H281" s="71"/>
      <c r="I281" s="71"/>
      <c r="J281" s="71"/>
      <c r="K281" s="71"/>
      <c r="L281" s="74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</row>
    <row r="282" spans="1:54">
      <c r="A282" s="71"/>
      <c r="B282" s="71"/>
      <c r="C282" s="74"/>
      <c r="D282" s="71"/>
      <c r="E282" s="74"/>
      <c r="F282" s="71"/>
      <c r="G282" s="74"/>
      <c r="H282" s="71"/>
      <c r="I282" s="71"/>
      <c r="J282" s="71"/>
      <c r="K282" s="71"/>
      <c r="L282" s="74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</row>
    <row r="283" spans="1:54">
      <c r="A283" s="71"/>
      <c r="B283" s="71"/>
      <c r="C283" s="74"/>
      <c r="D283" s="71"/>
      <c r="E283" s="74"/>
      <c r="F283" s="71"/>
      <c r="G283" s="74"/>
      <c r="H283" s="71"/>
      <c r="I283" s="71"/>
      <c r="J283" s="71"/>
      <c r="K283" s="71"/>
      <c r="L283" s="74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</row>
    <row r="284" spans="1:54">
      <c r="A284" s="71"/>
      <c r="B284" s="71"/>
      <c r="C284" s="74"/>
      <c r="D284" s="71"/>
      <c r="E284" s="74"/>
      <c r="F284" s="71"/>
      <c r="G284" s="74"/>
      <c r="H284" s="71"/>
      <c r="I284" s="71"/>
      <c r="J284" s="71"/>
      <c r="K284" s="71"/>
      <c r="L284" s="74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</row>
    <row r="285" spans="1:54">
      <c r="A285" s="71"/>
      <c r="B285" s="71"/>
      <c r="C285" s="74"/>
      <c r="D285" s="71"/>
      <c r="E285" s="74"/>
      <c r="F285" s="71"/>
      <c r="G285" s="74"/>
      <c r="H285" s="71"/>
      <c r="I285" s="71"/>
      <c r="J285" s="71"/>
      <c r="K285" s="71"/>
      <c r="L285" s="74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</row>
    <row r="286" spans="1:54">
      <c r="A286" s="71"/>
      <c r="B286" s="71"/>
      <c r="C286" s="74"/>
      <c r="D286" s="71"/>
      <c r="E286" s="74"/>
      <c r="F286" s="71"/>
      <c r="G286" s="74"/>
      <c r="H286" s="71"/>
      <c r="I286" s="71"/>
      <c r="J286" s="71"/>
      <c r="K286" s="71"/>
      <c r="L286" s="74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</row>
    <row r="287" spans="1:54">
      <c r="A287" s="71"/>
      <c r="B287" s="71"/>
      <c r="C287" s="74"/>
      <c r="D287" s="71"/>
      <c r="E287" s="74"/>
      <c r="F287" s="71"/>
      <c r="G287" s="74"/>
      <c r="H287" s="71"/>
      <c r="I287" s="71"/>
      <c r="J287" s="71"/>
      <c r="K287" s="71"/>
      <c r="L287" s="74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</row>
    <row r="288" spans="1:54">
      <c r="A288" s="71"/>
      <c r="B288" s="71"/>
      <c r="C288" s="74"/>
      <c r="D288" s="71"/>
      <c r="E288" s="74"/>
      <c r="F288" s="71"/>
      <c r="G288" s="74"/>
      <c r="H288" s="71"/>
      <c r="I288" s="71"/>
      <c r="J288" s="71"/>
      <c r="K288" s="71"/>
      <c r="L288" s="74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</row>
    <row r="289" spans="1:54">
      <c r="A289" s="71"/>
      <c r="B289" s="71"/>
      <c r="C289" s="74"/>
      <c r="D289" s="71"/>
      <c r="E289" s="74"/>
      <c r="F289" s="71"/>
      <c r="G289" s="74"/>
      <c r="H289" s="71"/>
      <c r="I289" s="71"/>
      <c r="J289" s="71"/>
      <c r="K289" s="71"/>
      <c r="L289" s="74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</row>
    <row r="290" spans="1:54">
      <c r="A290" s="71"/>
      <c r="B290" s="71"/>
      <c r="C290" s="74"/>
      <c r="D290" s="71"/>
      <c r="E290" s="74"/>
      <c r="F290" s="71"/>
      <c r="G290" s="74"/>
      <c r="H290" s="71"/>
      <c r="I290" s="71"/>
      <c r="J290" s="71"/>
      <c r="K290" s="71"/>
      <c r="L290" s="74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</row>
    <row r="291" spans="1:54">
      <c r="A291" s="71"/>
      <c r="B291" s="71"/>
      <c r="C291" s="74"/>
      <c r="D291" s="71"/>
      <c r="E291" s="74"/>
      <c r="F291" s="71"/>
      <c r="G291" s="74"/>
      <c r="H291" s="71"/>
      <c r="I291" s="71"/>
      <c r="J291" s="71"/>
      <c r="K291" s="71"/>
      <c r="L291" s="74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</row>
    <row r="292" spans="1:54">
      <c r="A292" s="71"/>
      <c r="B292" s="71"/>
      <c r="C292" s="74"/>
      <c r="D292" s="71"/>
      <c r="E292" s="74"/>
      <c r="F292" s="71"/>
      <c r="G292" s="74"/>
      <c r="H292" s="71"/>
      <c r="I292" s="71"/>
      <c r="J292" s="71"/>
      <c r="K292" s="71"/>
      <c r="L292" s="74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</row>
    <row r="293" spans="1:54">
      <c r="A293" s="71"/>
      <c r="B293" s="71"/>
      <c r="C293" s="74"/>
      <c r="D293" s="71"/>
      <c r="E293" s="74"/>
      <c r="F293" s="71"/>
      <c r="G293" s="74"/>
      <c r="H293" s="71"/>
      <c r="I293" s="71"/>
      <c r="J293" s="71"/>
      <c r="K293" s="71"/>
      <c r="L293" s="74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</row>
    <row r="294" spans="1:54">
      <c r="A294" s="71"/>
      <c r="B294" s="71"/>
      <c r="C294" s="74"/>
      <c r="D294" s="71"/>
      <c r="E294" s="74"/>
      <c r="F294" s="71"/>
      <c r="G294" s="74"/>
      <c r="H294" s="71"/>
      <c r="I294" s="71"/>
      <c r="J294" s="71"/>
      <c r="K294" s="71"/>
      <c r="L294" s="74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</row>
    <row r="295" spans="1:54">
      <c r="A295" s="71"/>
      <c r="B295" s="71"/>
      <c r="C295" s="74"/>
      <c r="D295" s="71"/>
      <c r="E295" s="74"/>
      <c r="F295" s="71"/>
      <c r="G295" s="74"/>
      <c r="H295" s="71"/>
      <c r="I295" s="71"/>
      <c r="J295" s="71"/>
      <c r="K295" s="71"/>
      <c r="L295" s="74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</row>
    <row r="296" spans="1:54">
      <c r="A296" s="71"/>
      <c r="B296" s="71"/>
      <c r="C296" s="74"/>
      <c r="D296" s="71"/>
      <c r="E296" s="74"/>
      <c r="F296" s="71"/>
      <c r="G296" s="74"/>
      <c r="H296" s="71"/>
      <c r="I296" s="71"/>
      <c r="J296" s="71"/>
      <c r="K296" s="71"/>
      <c r="L296" s="74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</row>
    <row r="297" spans="1:54">
      <c r="A297" s="71"/>
      <c r="B297" s="71"/>
      <c r="C297" s="74"/>
      <c r="D297" s="71"/>
      <c r="E297" s="74"/>
      <c r="F297" s="71"/>
      <c r="G297" s="74"/>
      <c r="H297" s="71"/>
      <c r="I297" s="71"/>
      <c r="J297" s="71"/>
      <c r="K297" s="71"/>
      <c r="L297" s="74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</row>
    <row r="298" spans="1:54">
      <c r="A298" s="71"/>
      <c r="B298" s="71"/>
      <c r="C298" s="74"/>
      <c r="D298" s="71"/>
      <c r="E298" s="74"/>
      <c r="F298" s="71"/>
      <c r="G298" s="74"/>
      <c r="H298" s="71"/>
      <c r="I298" s="71"/>
      <c r="J298" s="71"/>
      <c r="K298" s="71"/>
      <c r="L298" s="74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</row>
    <row r="299" spans="1:54">
      <c r="A299" s="71"/>
      <c r="B299" s="71"/>
      <c r="C299" s="74"/>
      <c r="D299" s="71"/>
      <c r="E299" s="74"/>
      <c r="F299" s="71"/>
      <c r="G299" s="74"/>
      <c r="H299" s="71"/>
      <c r="I299" s="71"/>
      <c r="J299" s="71"/>
      <c r="K299" s="71"/>
      <c r="L299" s="74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</row>
    <row r="300" spans="1:54">
      <c r="A300" s="71"/>
      <c r="B300" s="71"/>
      <c r="C300" s="74"/>
      <c r="D300" s="71"/>
      <c r="E300" s="74"/>
      <c r="F300" s="71"/>
      <c r="G300" s="74"/>
      <c r="H300" s="71"/>
      <c r="I300" s="71"/>
      <c r="J300" s="71"/>
      <c r="K300" s="71"/>
      <c r="L300" s="74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</row>
    <row r="301" spans="1:54">
      <c r="A301" s="71"/>
      <c r="B301" s="71"/>
      <c r="C301" s="74"/>
      <c r="D301" s="71"/>
      <c r="E301" s="74"/>
      <c r="F301" s="71"/>
      <c r="G301" s="74"/>
      <c r="H301" s="71"/>
      <c r="I301" s="71"/>
      <c r="J301" s="71"/>
      <c r="K301" s="71"/>
      <c r="L301" s="74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</row>
    <row r="302" spans="1:54">
      <c r="A302" s="71"/>
      <c r="B302" s="71"/>
      <c r="C302" s="74"/>
      <c r="D302" s="71"/>
      <c r="E302" s="74"/>
      <c r="F302" s="71"/>
      <c r="G302" s="74"/>
      <c r="H302" s="71"/>
      <c r="I302" s="71"/>
      <c r="J302" s="71"/>
      <c r="K302" s="71"/>
      <c r="L302" s="74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</row>
    <row r="303" spans="1:54">
      <c r="A303" s="71"/>
      <c r="B303" s="71"/>
      <c r="C303" s="74"/>
      <c r="D303" s="71"/>
      <c r="E303" s="74"/>
      <c r="F303" s="71"/>
      <c r="G303" s="74"/>
      <c r="H303" s="71"/>
      <c r="I303" s="71"/>
      <c r="J303" s="71"/>
      <c r="K303" s="71"/>
      <c r="L303" s="74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</row>
    <row r="304" spans="1:54">
      <c r="A304" s="71"/>
      <c r="B304" s="71"/>
      <c r="C304" s="74"/>
      <c r="D304" s="71"/>
      <c r="E304" s="74"/>
      <c r="F304" s="71"/>
      <c r="G304" s="74"/>
      <c r="H304" s="71"/>
      <c r="I304" s="71"/>
      <c r="J304" s="71"/>
      <c r="K304" s="71"/>
      <c r="L304" s="74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</row>
    <row r="305" spans="1:54">
      <c r="A305" s="71"/>
      <c r="B305" s="71"/>
      <c r="C305" s="74"/>
      <c r="D305" s="71"/>
      <c r="E305" s="74"/>
      <c r="F305" s="71"/>
      <c r="G305" s="74"/>
      <c r="H305" s="71"/>
      <c r="I305" s="71"/>
      <c r="J305" s="71"/>
      <c r="K305" s="71"/>
      <c r="L305" s="74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</row>
    <row r="306" spans="1:54">
      <c r="A306" s="71"/>
      <c r="B306" s="71"/>
      <c r="C306" s="74"/>
      <c r="D306" s="71"/>
      <c r="E306" s="74"/>
      <c r="F306" s="71"/>
      <c r="G306" s="74"/>
      <c r="H306" s="71"/>
      <c r="I306" s="71"/>
      <c r="J306" s="71"/>
      <c r="K306" s="71"/>
      <c r="L306" s="74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</row>
    <row r="307" spans="1:54">
      <c r="A307" s="71"/>
      <c r="B307" s="71"/>
      <c r="C307" s="74"/>
      <c r="D307" s="71"/>
      <c r="E307" s="74"/>
      <c r="F307" s="71"/>
      <c r="G307" s="74"/>
      <c r="H307" s="71"/>
      <c r="I307" s="71"/>
      <c r="J307" s="71"/>
      <c r="K307" s="71"/>
      <c r="L307" s="74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</row>
    <row r="308" spans="1:54">
      <c r="A308" s="71"/>
      <c r="B308" s="71"/>
      <c r="C308" s="74"/>
      <c r="D308" s="71"/>
      <c r="E308" s="74"/>
      <c r="F308" s="71"/>
      <c r="G308" s="74"/>
      <c r="H308" s="71"/>
      <c r="I308" s="71"/>
      <c r="J308" s="71"/>
      <c r="K308" s="71"/>
      <c r="L308" s="74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</row>
    <row r="309" spans="1:54">
      <c r="A309" s="71"/>
      <c r="B309" s="71"/>
      <c r="C309" s="74"/>
      <c r="D309" s="71"/>
      <c r="E309" s="74"/>
      <c r="F309" s="71"/>
      <c r="G309" s="74"/>
      <c r="H309" s="71"/>
      <c r="I309" s="71"/>
      <c r="J309" s="71"/>
      <c r="K309" s="71"/>
      <c r="L309" s="74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</row>
    <row r="310" spans="1:54">
      <c r="A310" s="71"/>
      <c r="B310" s="71"/>
      <c r="C310" s="74"/>
      <c r="D310" s="71"/>
      <c r="E310" s="74"/>
      <c r="F310" s="71"/>
      <c r="G310" s="74"/>
      <c r="H310" s="71"/>
      <c r="I310" s="71"/>
      <c r="J310" s="71"/>
      <c r="K310" s="71"/>
      <c r="L310" s="74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</row>
    <row r="311" spans="1:54">
      <c r="A311" s="71"/>
      <c r="B311" s="71"/>
      <c r="C311" s="74"/>
      <c r="D311" s="71"/>
      <c r="E311" s="74"/>
      <c r="F311" s="71"/>
      <c r="G311" s="74"/>
      <c r="H311" s="71"/>
      <c r="I311" s="71"/>
      <c r="J311" s="71"/>
      <c r="K311" s="71"/>
      <c r="L311" s="74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</row>
    <row r="312" spans="1:54">
      <c r="A312" s="71"/>
      <c r="B312" s="71"/>
      <c r="C312" s="74"/>
      <c r="D312" s="71"/>
      <c r="E312" s="74"/>
      <c r="F312" s="71"/>
      <c r="G312" s="74"/>
      <c r="H312" s="71"/>
      <c r="I312" s="71"/>
      <c r="J312" s="71"/>
      <c r="K312" s="71"/>
      <c r="L312" s="74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</row>
    <row r="313" spans="1:54">
      <c r="A313" s="71"/>
      <c r="B313" s="71"/>
      <c r="C313" s="74"/>
      <c r="D313" s="71"/>
      <c r="E313" s="74"/>
      <c r="F313" s="71"/>
      <c r="G313" s="74"/>
      <c r="H313" s="71"/>
      <c r="I313" s="71"/>
      <c r="J313" s="71"/>
      <c r="K313" s="71"/>
      <c r="L313" s="74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</row>
    <row r="314" spans="1:54">
      <c r="A314" s="71"/>
      <c r="B314" s="71"/>
      <c r="C314" s="74"/>
      <c r="D314" s="71"/>
      <c r="E314" s="74"/>
      <c r="F314" s="71"/>
      <c r="G314" s="74"/>
      <c r="H314" s="71"/>
      <c r="I314" s="71"/>
      <c r="J314" s="71"/>
      <c r="K314" s="71"/>
      <c r="L314" s="74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</row>
    <row r="315" spans="1:54">
      <c r="A315" s="71"/>
      <c r="B315" s="71"/>
      <c r="C315" s="74"/>
      <c r="D315" s="71"/>
      <c r="E315" s="74"/>
      <c r="F315" s="71"/>
      <c r="G315" s="74"/>
      <c r="H315" s="71"/>
      <c r="I315" s="71"/>
      <c r="J315" s="71"/>
      <c r="K315" s="71"/>
      <c r="L315" s="74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</row>
    <row r="316" spans="1:54">
      <c r="A316" s="71"/>
      <c r="B316" s="71"/>
      <c r="C316" s="74"/>
      <c r="D316" s="71"/>
      <c r="E316" s="74"/>
      <c r="F316" s="71"/>
      <c r="G316" s="74"/>
      <c r="H316" s="71"/>
      <c r="I316" s="71"/>
      <c r="J316" s="71"/>
      <c r="K316" s="71"/>
      <c r="L316" s="74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</row>
    <row r="317" spans="1:54">
      <c r="A317" s="71"/>
      <c r="B317" s="71"/>
      <c r="C317" s="74"/>
      <c r="D317" s="71"/>
      <c r="E317" s="74"/>
      <c r="F317" s="71"/>
      <c r="G317" s="74"/>
      <c r="H317" s="71"/>
      <c r="I317" s="71"/>
      <c r="J317" s="71"/>
      <c r="K317" s="71"/>
      <c r="L317" s="74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</row>
    <row r="318" spans="1:54">
      <c r="A318" s="71"/>
      <c r="B318" s="71"/>
      <c r="C318" s="74"/>
      <c r="D318" s="71"/>
      <c r="E318" s="74"/>
      <c r="F318" s="71"/>
      <c r="G318" s="74"/>
      <c r="H318" s="71"/>
      <c r="I318" s="71"/>
      <c r="J318" s="71"/>
      <c r="K318" s="71"/>
      <c r="L318" s="74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</row>
    <row r="319" spans="1:54">
      <c r="A319" s="71"/>
      <c r="B319" s="71"/>
      <c r="C319" s="74"/>
      <c r="D319" s="71"/>
      <c r="E319" s="74"/>
      <c r="F319" s="71"/>
      <c r="G319" s="74"/>
      <c r="H319" s="71"/>
      <c r="I319" s="71"/>
      <c r="J319" s="71"/>
      <c r="K319" s="71"/>
      <c r="L319" s="74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</row>
    <row r="320" spans="1:54">
      <c r="A320" s="71"/>
      <c r="B320" s="71"/>
      <c r="C320" s="74"/>
      <c r="D320" s="71"/>
      <c r="E320" s="74"/>
      <c r="F320" s="71"/>
      <c r="G320" s="74"/>
      <c r="H320" s="71"/>
      <c r="I320" s="71"/>
      <c r="J320" s="71"/>
      <c r="K320" s="71"/>
      <c r="L320" s="74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</row>
    <row r="321" spans="1:54">
      <c r="A321" s="71"/>
      <c r="B321" s="71"/>
      <c r="C321" s="74"/>
      <c r="D321" s="71"/>
      <c r="E321" s="74"/>
      <c r="F321" s="71"/>
      <c r="G321" s="74"/>
      <c r="H321" s="71"/>
      <c r="I321" s="71"/>
      <c r="J321" s="71"/>
      <c r="K321" s="71"/>
      <c r="L321" s="74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</row>
    <row r="322" spans="1:54">
      <c r="A322" s="71"/>
      <c r="B322" s="71"/>
      <c r="C322" s="74"/>
      <c r="D322" s="71"/>
      <c r="E322" s="74"/>
      <c r="F322" s="71"/>
      <c r="G322" s="74"/>
      <c r="H322" s="71"/>
      <c r="I322" s="71"/>
      <c r="J322" s="71"/>
      <c r="K322" s="71"/>
      <c r="L322" s="74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</row>
    <row r="323" spans="1:54">
      <c r="A323" s="71"/>
      <c r="B323" s="71"/>
      <c r="C323" s="74"/>
      <c r="D323" s="71"/>
      <c r="E323" s="74"/>
      <c r="F323" s="71"/>
      <c r="G323" s="74"/>
      <c r="H323" s="71"/>
      <c r="I323" s="71"/>
      <c r="J323" s="71"/>
      <c r="K323" s="71"/>
      <c r="L323" s="74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</row>
    <row r="324" spans="1:54">
      <c r="A324" s="71"/>
      <c r="B324" s="71"/>
      <c r="C324" s="74"/>
      <c r="D324" s="71"/>
      <c r="E324" s="74"/>
      <c r="F324" s="71"/>
      <c r="G324" s="74"/>
      <c r="H324" s="71"/>
      <c r="I324" s="71"/>
      <c r="J324" s="71"/>
      <c r="K324" s="71"/>
      <c r="L324" s="74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</row>
    <row r="325" spans="1:54">
      <c r="A325" s="71"/>
      <c r="B325" s="71"/>
      <c r="C325" s="74"/>
      <c r="D325" s="71"/>
      <c r="E325" s="74"/>
      <c r="F325" s="71"/>
      <c r="G325" s="74"/>
      <c r="H325" s="71"/>
      <c r="I325" s="71"/>
      <c r="J325" s="71"/>
      <c r="K325" s="71"/>
      <c r="L325" s="74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</row>
    <row r="326" spans="1:54">
      <c r="A326" s="71"/>
      <c r="B326" s="71"/>
      <c r="C326" s="74"/>
      <c r="D326" s="71"/>
      <c r="E326" s="74"/>
      <c r="F326" s="71"/>
      <c r="G326" s="74"/>
      <c r="H326" s="71"/>
      <c r="I326" s="71"/>
      <c r="J326" s="71"/>
      <c r="K326" s="71"/>
      <c r="L326" s="74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</row>
    <row r="327" spans="1:54">
      <c r="A327" s="71"/>
      <c r="B327" s="71"/>
      <c r="C327" s="74"/>
      <c r="D327" s="71"/>
      <c r="E327" s="74"/>
      <c r="F327" s="71"/>
      <c r="G327" s="74"/>
      <c r="H327" s="71"/>
      <c r="I327" s="71"/>
      <c r="J327" s="71"/>
      <c r="K327" s="71"/>
      <c r="L327" s="74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</row>
    <row r="328" spans="1:54">
      <c r="A328" s="71"/>
      <c r="B328" s="71"/>
      <c r="C328" s="74"/>
      <c r="D328" s="71"/>
      <c r="E328" s="74"/>
      <c r="F328" s="71"/>
      <c r="G328" s="74"/>
      <c r="H328" s="71"/>
      <c r="I328" s="71"/>
      <c r="J328" s="71"/>
      <c r="K328" s="71"/>
      <c r="L328" s="74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</row>
    <row r="329" spans="1:54">
      <c r="A329" s="71"/>
      <c r="B329" s="71"/>
      <c r="C329" s="74"/>
      <c r="D329" s="71"/>
      <c r="E329" s="74"/>
      <c r="F329" s="71"/>
      <c r="G329" s="74"/>
      <c r="H329" s="71"/>
      <c r="I329" s="71"/>
      <c r="J329" s="71"/>
      <c r="K329" s="71"/>
      <c r="L329" s="74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</row>
    <row r="330" spans="1:54">
      <c r="A330" s="71"/>
      <c r="B330" s="71"/>
      <c r="C330" s="74"/>
      <c r="D330" s="71"/>
      <c r="E330" s="74"/>
      <c r="F330" s="71"/>
      <c r="G330" s="74"/>
      <c r="H330" s="71"/>
      <c r="I330" s="71"/>
      <c r="J330" s="71"/>
      <c r="K330" s="71"/>
      <c r="L330" s="74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</row>
    <row r="331" spans="1:54">
      <c r="A331" s="71"/>
      <c r="B331" s="71"/>
      <c r="C331" s="74"/>
      <c r="D331" s="71"/>
      <c r="E331" s="74"/>
      <c r="F331" s="71"/>
      <c r="G331" s="74"/>
      <c r="H331" s="71"/>
      <c r="I331" s="71"/>
      <c r="J331" s="71"/>
      <c r="K331" s="71"/>
      <c r="L331" s="74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</row>
    <row r="332" spans="1:54">
      <c r="A332" s="71"/>
      <c r="B332" s="71"/>
      <c r="C332" s="74"/>
      <c r="D332" s="71"/>
      <c r="E332" s="74"/>
      <c r="F332" s="71"/>
      <c r="G332" s="74"/>
      <c r="H332" s="71"/>
      <c r="I332" s="71"/>
      <c r="J332" s="71"/>
      <c r="K332" s="71"/>
      <c r="L332" s="74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</row>
    <row r="333" spans="1:54">
      <c r="A333" s="71"/>
      <c r="B333" s="71"/>
      <c r="C333" s="74"/>
      <c r="D333" s="71"/>
      <c r="E333" s="74"/>
      <c r="F333" s="71"/>
      <c r="G333" s="74"/>
      <c r="H333" s="71"/>
      <c r="I333" s="71"/>
      <c r="J333" s="71"/>
      <c r="K333" s="71"/>
      <c r="L333" s="74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</row>
    <row r="334" spans="1:54">
      <c r="A334" s="71"/>
      <c r="B334" s="71"/>
      <c r="C334" s="74"/>
      <c r="D334" s="71"/>
      <c r="E334" s="74"/>
      <c r="F334" s="71"/>
      <c r="G334" s="74"/>
      <c r="H334" s="71"/>
      <c r="I334" s="71"/>
      <c r="J334" s="71"/>
      <c r="K334" s="71"/>
      <c r="L334" s="74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</row>
    <row r="335" spans="1:54">
      <c r="A335" s="71"/>
      <c r="B335" s="71"/>
      <c r="C335" s="74"/>
      <c r="D335" s="71"/>
      <c r="E335" s="74"/>
      <c r="F335" s="71"/>
      <c r="G335" s="74"/>
      <c r="H335" s="71"/>
      <c r="I335" s="71"/>
      <c r="J335" s="71"/>
      <c r="K335" s="71"/>
      <c r="L335" s="74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</row>
    <row r="336" spans="1:54">
      <c r="A336" s="71"/>
      <c r="B336" s="71"/>
      <c r="C336" s="74"/>
      <c r="D336" s="71"/>
      <c r="E336" s="74"/>
      <c r="F336" s="71"/>
      <c r="G336" s="74"/>
      <c r="H336" s="71"/>
      <c r="I336" s="71"/>
      <c r="J336" s="71"/>
      <c r="K336" s="71"/>
      <c r="L336" s="74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</row>
    <row r="337" spans="1:54">
      <c r="A337" s="71"/>
      <c r="B337" s="71"/>
      <c r="C337" s="74"/>
      <c r="D337" s="71"/>
      <c r="E337" s="74"/>
      <c r="F337" s="71"/>
      <c r="G337" s="74"/>
      <c r="H337" s="71"/>
      <c r="I337" s="71"/>
      <c r="J337" s="71"/>
      <c r="K337" s="71"/>
      <c r="L337" s="74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</row>
    <row r="338" spans="1:54">
      <c r="A338" s="71"/>
      <c r="B338" s="71"/>
      <c r="C338" s="74"/>
      <c r="D338" s="71"/>
      <c r="E338" s="74"/>
      <c r="F338" s="71"/>
      <c r="G338" s="74"/>
      <c r="H338" s="71"/>
      <c r="I338" s="71"/>
      <c r="J338" s="71"/>
      <c r="K338" s="71"/>
      <c r="L338" s="74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</row>
    <row r="339" spans="1:54">
      <c r="A339" s="71"/>
      <c r="B339" s="71"/>
      <c r="C339" s="74"/>
      <c r="D339" s="71"/>
      <c r="E339" s="74"/>
      <c r="F339" s="71"/>
      <c r="G339" s="74"/>
      <c r="H339" s="71"/>
      <c r="I339" s="71"/>
      <c r="J339" s="71"/>
      <c r="K339" s="71"/>
      <c r="L339" s="74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</row>
    <row r="340" spans="1:54">
      <c r="A340" s="71"/>
      <c r="B340" s="71"/>
      <c r="C340" s="74"/>
      <c r="D340" s="71"/>
      <c r="E340" s="74"/>
      <c r="F340" s="71"/>
      <c r="G340" s="74"/>
      <c r="H340" s="71"/>
      <c r="I340" s="71"/>
      <c r="J340" s="71"/>
      <c r="K340" s="71"/>
      <c r="L340" s="74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</row>
    <row r="341" spans="1:54">
      <c r="A341" s="71"/>
      <c r="B341" s="71"/>
      <c r="C341" s="74"/>
      <c r="D341" s="71"/>
      <c r="E341" s="74"/>
      <c r="F341" s="71"/>
      <c r="G341" s="74"/>
      <c r="H341" s="71"/>
      <c r="I341" s="71"/>
      <c r="J341" s="71"/>
      <c r="K341" s="71"/>
      <c r="L341" s="74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</row>
    <row r="342" spans="1:54">
      <c r="A342" s="71"/>
      <c r="B342" s="71"/>
      <c r="C342" s="74"/>
      <c r="D342" s="71"/>
      <c r="E342" s="74"/>
      <c r="F342" s="71"/>
      <c r="G342" s="74"/>
      <c r="H342" s="71"/>
      <c r="I342" s="71"/>
      <c r="J342" s="71"/>
      <c r="K342" s="71"/>
      <c r="L342" s="74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</row>
    <row r="343" spans="1:54">
      <c r="A343" s="71"/>
      <c r="B343" s="71"/>
      <c r="C343" s="74"/>
      <c r="D343" s="71"/>
      <c r="E343" s="74"/>
      <c r="F343" s="71"/>
      <c r="G343" s="74"/>
      <c r="H343" s="71"/>
      <c r="I343" s="71"/>
      <c r="J343" s="71"/>
      <c r="K343" s="71"/>
      <c r="L343" s="74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</row>
    <row r="344" spans="1:54">
      <c r="A344" s="71"/>
      <c r="B344" s="71"/>
      <c r="C344" s="74"/>
      <c r="D344" s="71"/>
      <c r="E344" s="74"/>
      <c r="F344" s="71"/>
      <c r="G344" s="74"/>
      <c r="H344" s="71"/>
      <c r="I344" s="71"/>
      <c r="J344" s="71"/>
      <c r="K344" s="71"/>
      <c r="L344" s="74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</row>
    <row r="345" spans="1:54">
      <c r="A345" s="71"/>
      <c r="B345" s="71"/>
      <c r="C345" s="74"/>
      <c r="D345" s="71"/>
      <c r="E345" s="74"/>
      <c r="F345" s="71"/>
      <c r="G345" s="74"/>
      <c r="H345" s="71"/>
      <c r="I345" s="71"/>
      <c r="J345" s="71"/>
      <c r="K345" s="71"/>
      <c r="L345" s="74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</row>
    <row r="346" spans="1:54">
      <c r="A346" s="71"/>
      <c r="B346" s="71"/>
      <c r="C346" s="74"/>
      <c r="D346" s="71"/>
      <c r="E346" s="74"/>
      <c r="F346" s="71"/>
      <c r="G346" s="74"/>
      <c r="H346" s="71"/>
      <c r="I346" s="71"/>
      <c r="J346" s="71"/>
      <c r="K346" s="71"/>
      <c r="L346" s="74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</row>
    <row r="347" spans="1:54">
      <c r="A347" s="71"/>
      <c r="B347" s="71"/>
      <c r="C347" s="74"/>
      <c r="D347" s="71"/>
      <c r="E347" s="74"/>
      <c r="F347" s="71"/>
      <c r="G347" s="74"/>
      <c r="H347" s="71"/>
      <c r="I347" s="71"/>
      <c r="J347" s="71"/>
      <c r="K347" s="71"/>
      <c r="L347" s="74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</row>
    <row r="348" spans="1:54">
      <c r="A348" s="71"/>
      <c r="B348" s="71"/>
      <c r="C348" s="74"/>
      <c r="D348" s="71"/>
      <c r="E348" s="74"/>
      <c r="F348" s="71"/>
      <c r="G348" s="74"/>
      <c r="H348" s="71"/>
      <c r="I348" s="71"/>
      <c r="J348" s="71"/>
      <c r="K348" s="71"/>
      <c r="L348" s="74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</row>
    <row r="349" spans="1:54">
      <c r="A349" s="71"/>
      <c r="B349" s="71"/>
      <c r="C349" s="74"/>
      <c r="D349" s="71"/>
      <c r="E349" s="74"/>
      <c r="F349" s="71"/>
      <c r="G349" s="74"/>
      <c r="H349" s="71"/>
      <c r="I349" s="71"/>
      <c r="J349" s="71"/>
      <c r="K349" s="71"/>
      <c r="L349" s="74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</row>
    <row r="350" spans="1:54">
      <c r="A350" s="71"/>
      <c r="B350" s="71"/>
      <c r="C350" s="74"/>
      <c r="D350" s="71"/>
      <c r="E350" s="74"/>
      <c r="F350" s="71"/>
      <c r="G350" s="74"/>
      <c r="H350" s="71"/>
      <c r="I350" s="71"/>
      <c r="J350" s="71"/>
      <c r="K350" s="71"/>
      <c r="L350" s="74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</row>
    <row r="351" spans="1:54">
      <c r="A351" s="71"/>
      <c r="B351" s="71"/>
      <c r="C351" s="74"/>
      <c r="D351" s="71"/>
      <c r="E351" s="74"/>
      <c r="F351" s="71"/>
      <c r="G351" s="74"/>
      <c r="H351" s="71"/>
      <c r="I351" s="71"/>
      <c r="J351" s="71"/>
      <c r="K351" s="71"/>
      <c r="L351" s="74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</row>
    <row r="352" spans="1:54">
      <c r="A352" s="71"/>
      <c r="B352" s="71"/>
      <c r="C352" s="74"/>
      <c r="D352" s="71"/>
      <c r="E352" s="74"/>
      <c r="F352" s="71"/>
      <c r="G352" s="74"/>
      <c r="H352" s="71"/>
      <c r="I352" s="71"/>
      <c r="J352" s="71"/>
      <c r="K352" s="71"/>
      <c r="L352" s="74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</row>
    <row r="353" spans="1:54">
      <c r="A353" s="71"/>
      <c r="B353" s="71"/>
      <c r="C353" s="74"/>
      <c r="D353" s="71"/>
      <c r="E353" s="74"/>
      <c r="F353" s="71"/>
      <c r="G353" s="74"/>
      <c r="H353" s="71"/>
      <c r="I353" s="71"/>
      <c r="J353" s="71"/>
      <c r="K353" s="71"/>
      <c r="L353" s="74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</row>
    <row r="354" spans="1:54">
      <c r="A354" s="71"/>
      <c r="B354" s="71"/>
      <c r="C354" s="74"/>
      <c r="D354" s="71"/>
      <c r="E354" s="74"/>
      <c r="F354" s="71"/>
      <c r="G354" s="74"/>
      <c r="H354" s="71"/>
      <c r="I354" s="71"/>
      <c r="J354" s="71"/>
      <c r="K354" s="71"/>
      <c r="L354" s="74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</row>
    <row r="355" spans="1:54">
      <c r="A355" s="71"/>
      <c r="B355" s="71"/>
      <c r="C355" s="74"/>
      <c r="D355" s="71"/>
      <c r="E355" s="74"/>
      <c r="F355" s="71"/>
      <c r="G355" s="74"/>
      <c r="H355" s="71"/>
      <c r="I355" s="71"/>
      <c r="J355" s="71"/>
      <c r="K355" s="71"/>
      <c r="L355" s="74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</row>
    <row r="356" spans="1:54">
      <c r="A356" s="71"/>
      <c r="B356" s="71"/>
      <c r="C356" s="74"/>
      <c r="D356" s="71"/>
      <c r="E356" s="74"/>
      <c r="F356" s="71"/>
      <c r="G356" s="74"/>
      <c r="H356" s="71"/>
      <c r="I356" s="71"/>
      <c r="J356" s="71"/>
      <c r="K356" s="71"/>
      <c r="L356" s="74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</row>
    <row r="357" spans="1:54">
      <c r="A357" s="71"/>
      <c r="B357" s="71"/>
      <c r="C357" s="74"/>
      <c r="D357" s="71"/>
      <c r="E357" s="74"/>
      <c r="F357" s="71"/>
      <c r="G357" s="74"/>
      <c r="H357" s="71"/>
      <c r="I357" s="71"/>
      <c r="J357" s="71"/>
      <c r="K357" s="71"/>
      <c r="L357" s="74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</row>
    <row r="358" spans="1:54">
      <c r="A358" s="71"/>
      <c r="B358" s="71"/>
      <c r="C358" s="74"/>
      <c r="D358" s="71"/>
      <c r="E358" s="74"/>
      <c r="F358" s="71"/>
      <c r="G358" s="74"/>
      <c r="H358" s="71"/>
      <c r="I358" s="71"/>
      <c r="J358" s="71"/>
      <c r="K358" s="71"/>
      <c r="L358" s="74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</row>
    <row r="359" spans="1:54">
      <c r="A359" s="71"/>
      <c r="B359" s="71"/>
      <c r="C359" s="74"/>
      <c r="D359" s="71"/>
      <c r="E359" s="74"/>
      <c r="F359" s="71"/>
      <c r="G359" s="74"/>
      <c r="H359" s="71"/>
      <c r="I359" s="71"/>
      <c r="J359" s="71"/>
      <c r="K359" s="71"/>
      <c r="L359" s="74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</row>
    <row r="360" spans="1:54">
      <c r="A360" s="71"/>
      <c r="B360" s="71"/>
      <c r="C360" s="74"/>
      <c r="D360" s="71"/>
      <c r="E360" s="74"/>
      <c r="F360" s="71"/>
      <c r="G360" s="74"/>
      <c r="H360" s="71"/>
      <c r="I360" s="71"/>
      <c r="J360" s="71"/>
      <c r="K360" s="71"/>
      <c r="L360" s="74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</row>
    <row r="361" spans="1:54">
      <c r="A361" s="71"/>
      <c r="B361" s="71"/>
      <c r="C361" s="74"/>
      <c r="D361" s="71"/>
      <c r="E361" s="74"/>
      <c r="F361" s="71"/>
      <c r="G361" s="74"/>
      <c r="H361" s="71"/>
      <c r="I361" s="71"/>
      <c r="J361" s="71"/>
      <c r="K361" s="71"/>
      <c r="L361" s="74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</row>
    <row r="362" spans="1:54">
      <c r="A362" s="71"/>
      <c r="B362" s="71"/>
      <c r="C362" s="74"/>
      <c r="D362" s="71"/>
      <c r="E362" s="74"/>
      <c r="F362" s="71"/>
      <c r="G362" s="74"/>
      <c r="H362" s="71"/>
      <c r="I362" s="71"/>
      <c r="J362" s="71"/>
      <c r="K362" s="71"/>
      <c r="L362" s="74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</row>
    <row r="363" spans="1:54">
      <c r="A363" s="71"/>
      <c r="B363" s="71"/>
      <c r="C363" s="74"/>
      <c r="D363" s="71"/>
      <c r="E363" s="74"/>
      <c r="F363" s="71"/>
      <c r="G363" s="74"/>
      <c r="H363" s="71"/>
      <c r="I363" s="71"/>
      <c r="J363" s="71"/>
      <c r="K363" s="71"/>
      <c r="L363" s="74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</row>
    <row r="364" spans="1:54">
      <c r="A364" s="71"/>
      <c r="B364" s="71"/>
      <c r="C364" s="74"/>
      <c r="D364" s="71"/>
      <c r="E364" s="74"/>
      <c r="F364" s="71"/>
      <c r="G364" s="74"/>
      <c r="H364" s="71"/>
      <c r="I364" s="71"/>
      <c r="J364" s="71"/>
      <c r="K364" s="71"/>
      <c r="L364" s="74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</row>
    <row r="365" spans="1:54">
      <c r="A365" s="71"/>
      <c r="B365" s="71"/>
      <c r="C365" s="74"/>
      <c r="D365" s="71"/>
      <c r="E365" s="74"/>
      <c r="F365" s="71"/>
      <c r="G365" s="74"/>
      <c r="H365" s="71"/>
      <c r="I365" s="71"/>
      <c r="J365" s="71"/>
      <c r="K365" s="71"/>
      <c r="L365" s="74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</row>
    <row r="366" spans="1:54">
      <c r="A366" s="71"/>
      <c r="B366" s="71"/>
      <c r="C366" s="74"/>
      <c r="D366" s="71"/>
      <c r="E366" s="74"/>
      <c r="F366" s="71"/>
      <c r="G366" s="74"/>
      <c r="H366" s="71"/>
      <c r="I366" s="71"/>
      <c r="J366" s="71"/>
      <c r="K366" s="71"/>
      <c r="L366" s="74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</row>
    <row r="367" spans="1:54">
      <c r="A367" s="71"/>
      <c r="B367" s="71"/>
      <c r="C367" s="74"/>
      <c r="D367" s="71"/>
      <c r="E367" s="74"/>
      <c r="F367" s="71"/>
      <c r="G367" s="74"/>
      <c r="H367" s="71"/>
      <c r="I367" s="71"/>
      <c r="J367" s="71"/>
      <c r="K367" s="71"/>
      <c r="L367" s="74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</row>
    <row r="368" spans="1:54">
      <c r="A368" s="71"/>
      <c r="B368" s="71"/>
      <c r="C368" s="74"/>
      <c r="D368" s="71"/>
      <c r="E368" s="74"/>
      <c r="F368" s="71"/>
      <c r="G368" s="74"/>
      <c r="H368" s="71"/>
      <c r="I368" s="71"/>
      <c r="J368" s="71"/>
      <c r="K368" s="71"/>
      <c r="L368" s="74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</row>
    <row r="369" spans="1:54">
      <c r="A369" s="71"/>
      <c r="B369" s="71"/>
      <c r="C369" s="74"/>
      <c r="D369" s="71"/>
      <c r="E369" s="74"/>
      <c r="F369" s="71"/>
      <c r="G369" s="74"/>
      <c r="H369" s="71"/>
      <c r="I369" s="71"/>
      <c r="J369" s="71"/>
      <c r="K369" s="71"/>
      <c r="L369" s="74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</row>
    <row r="370" spans="1:54">
      <c r="A370" s="71"/>
      <c r="B370" s="71"/>
      <c r="C370" s="74"/>
      <c r="D370" s="71"/>
      <c r="E370" s="74"/>
      <c r="F370" s="71"/>
      <c r="G370" s="74"/>
      <c r="H370" s="71"/>
      <c r="I370" s="71"/>
      <c r="J370" s="71"/>
      <c r="K370" s="71"/>
      <c r="L370" s="74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</row>
    <row r="371" spans="1:54">
      <c r="A371" s="71"/>
      <c r="B371" s="71"/>
      <c r="C371" s="74"/>
      <c r="D371" s="71"/>
      <c r="E371" s="74"/>
      <c r="F371" s="71"/>
      <c r="G371" s="74"/>
      <c r="H371" s="71"/>
      <c r="I371" s="71"/>
      <c r="J371" s="71"/>
      <c r="K371" s="71"/>
      <c r="L371" s="74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</row>
    <row r="372" spans="1:54">
      <c r="A372" s="71"/>
      <c r="B372" s="71"/>
      <c r="C372" s="74"/>
      <c r="D372" s="71"/>
      <c r="E372" s="74"/>
      <c r="F372" s="71"/>
      <c r="G372" s="74"/>
      <c r="H372" s="71"/>
      <c r="I372" s="71"/>
      <c r="J372" s="71"/>
      <c r="K372" s="71"/>
      <c r="L372" s="74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</row>
    <row r="373" spans="1:54">
      <c r="A373" s="71"/>
      <c r="B373" s="71"/>
      <c r="C373" s="74"/>
      <c r="D373" s="71"/>
      <c r="E373" s="74"/>
      <c r="F373" s="71"/>
      <c r="G373" s="74"/>
      <c r="H373" s="71"/>
      <c r="I373" s="71"/>
      <c r="J373" s="71"/>
      <c r="K373" s="71"/>
      <c r="L373" s="74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</row>
    <row r="374" spans="1:54">
      <c r="A374" s="71"/>
      <c r="B374" s="71"/>
      <c r="C374" s="74"/>
      <c r="D374" s="71"/>
      <c r="E374" s="74"/>
      <c r="F374" s="71"/>
      <c r="G374" s="74"/>
      <c r="H374" s="71"/>
      <c r="I374" s="71"/>
      <c r="J374" s="71"/>
      <c r="K374" s="71"/>
      <c r="L374" s="74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</row>
    <row r="375" spans="1:54">
      <c r="A375" s="71"/>
      <c r="B375" s="71"/>
      <c r="C375" s="74"/>
      <c r="D375" s="71"/>
      <c r="E375" s="74"/>
      <c r="F375" s="71"/>
      <c r="G375" s="74"/>
      <c r="H375" s="71"/>
      <c r="I375" s="71"/>
      <c r="J375" s="71"/>
      <c r="K375" s="71"/>
      <c r="L375" s="74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</row>
    <row r="376" spans="1:54">
      <c r="A376" s="71"/>
      <c r="B376" s="71"/>
      <c r="C376" s="74"/>
      <c r="D376" s="71"/>
      <c r="E376" s="74"/>
      <c r="F376" s="71"/>
      <c r="G376" s="74"/>
      <c r="H376" s="71"/>
      <c r="I376" s="71"/>
      <c r="J376" s="71"/>
      <c r="K376" s="71"/>
      <c r="L376" s="74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</row>
    <row r="377" spans="1:54">
      <c r="A377" s="71"/>
      <c r="B377" s="71"/>
      <c r="C377" s="74"/>
      <c r="D377" s="71"/>
      <c r="E377" s="74"/>
      <c r="F377" s="71"/>
      <c r="G377" s="74"/>
      <c r="H377" s="71"/>
      <c r="I377" s="71"/>
      <c r="J377" s="71"/>
      <c r="K377" s="71"/>
      <c r="L377" s="74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</row>
    <row r="378" spans="1:54">
      <c r="A378" s="71"/>
      <c r="B378" s="71"/>
      <c r="C378" s="74"/>
      <c r="D378" s="71"/>
      <c r="E378" s="74"/>
      <c r="F378" s="71"/>
      <c r="G378" s="74"/>
      <c r="H378" s="71"/>
      <c r="I378" s="71"/>
      <c r="J378" s="71"/>
      <c r="K378" s="71"/>
      <c r="L378" s="74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</row>
    <row r="379" spans="1:54">
      <c r="A379" s="71"/>
      <c r="B379" s="71"/>
      <c r="C379" s="74"/>
      <c r="D379" s="71"/>
      <c r="E379" s="74"/>
      <c r="F379" s="71"/>
      <c r="G379" s="74"/>
      <c r="H379" s="71"/>
      <c r="I379" s="71"/>
      <c r="J379" s="71"/>
      <c r="K379" s="71"/>
      <c r="L379" s="74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</row>
    <row r="380" spans="1:54">
      <c r="A380" s="71"/>
      <c r="B380" s="71"/>
      <c r="C380" s="74"/>
      <c r="D380" s="71"/>
      <c r="E380" s="74"/>
      <c r="F380" s="71"/>
      <c r="G380" s="74"/>
      <c r="H380" s="71"/>
      <c r="I380" s="71"/>
      <c r="J380" s="71"/>
      <c r="K380" s="71"/>
      <c r="L380" s="74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</row>
    <row r="381" spans="1:54">
      <c r="A381" s="71"/>
      <c r="B381" s="71"/>
      <c r="C381" s="74"/>
      <c r="D381" s="71"/>
      <c r="E381" s="74"/>
      <c r="F381" s="71"/>
      <c r="G381" s="74"/>
      <c r="H381" s="71"/>
      <c r="I381" s="71"/>
      <c r="J381" s="71"/>
      <c r="K381" s="71"/>
      <c r="L381" s="74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</row>
    <row r="382" spans="1:54">
      <c r="A382" s="71"/>
      <c r="B382" s="71"/>
      <c r="C382" s="74"/>
      <c r="D382" s="71"/>
      <c r="E382" s="74"/>
      <c r="F382" s="71"/>
      <c r="G382" s="74"/>
      <c r="H382" s="71"/>
      <c r="I382" s="71"/>
      <c r="J382" s="71"/>
      <c r="K382" s="71"/>
      <c r="L382" s="74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</row>
    <row r="383" spans="1:54">
      <c r="A383" s="71"/>
      <c r="B383" s="71"/>
      <c r="C383" s="74"/>
      <c r="D383" s="71"/>
      <c r="E383" s="74"/>
      <c r="F383" s="71"/>
      <c r="G383" s="74"/>
      <c r="H383" s="71"/>
      <c r="I383" s="71"/>
      <c r="J383" s="71"/>
      <c r="K383" s="71"/>
      <c r="L383" s="74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</row>
    <row r="384" spans="1:54">
      <c r="A384" s="71"/>
      <c r="B384" s="71"/>
      <c r="C384" s="74"/>
      <c r="D384" s="71"/>
      <c r="E384" s="74"/>
      <c r="F384" s="71"/>
      <c r="G384" s="74"/>
      <c r="H384" s="71"/>
      <c r="I384" s="71"/>
      <c r="J384" s="71"/>
      <c r="K384" s="71"/>
      <c r="L384" s="74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</row>
    <row r="385" spans="1:54">
      <c r="A385" s="71"/>
      <c r="B385" s="71"/>
      <c r="C385" s="74"/>
      <c r="D385" s="71"/>
      <c r="E385" s="74"/>
      <c r="F385" s="71"/>
      <c r="G385" s="74"/>
      <c r="H385" s="71"/>
      <c r="I385" s="71"/>
      <c r="J385" s="71"/>
      <c r="K385" s="71"/>
      <c r="L385" s="74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</row>
    <row r="386" spans="1:54">
      <c r="A386" s="71"/>
      <c r="B386" s="71"/>
      <c r="C386" s="74"/>
      <c r="D386" s="71"/>
      <c r="E386" s="74"/>
      <c r="F386" s="71"/>
      <c r="G386" s="74"/>
      <c r="H386" s="71"/>
      <c r="I386" s="71"/>
      <c r="J386" s="71"/>
      <c r="K386" s="71"/>
      <c r="L386" s="74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</row>
    <row r="387" spans="1:54">
      <c r="A387" s="71"/>
      <c r="B387" s="71"/>
      <c r="C387" s="74"/>
      <c r="D387" s="71"/>
      <c r="E387" s="74"/>
      <c r="F387" s="71"/>
      <c r="G387" s="74"/>
      <c r="H387" s="71"/>
      <c r="I387" s="71"/>
      <c r="J387" s="71"/>
      <c r="K387" s="71"/>
      <c r="L387" s="74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</row>
    <row r="388" spans="1:54">
      <c r="A388" s="71"/>
      <c r="B388" s="71"/>
      <c r="C388" s="74"/>
      <c r="D388" s="71"/>
      <c r="E388" s="74"/>
      <c r="F388" s="71"/>
      <c r="G388" s="74"/>
      <c r="H388" s="71"/>
      <c r="I388" s="71"/>
      <c r="J388" s="71"/>
      <c r="K388" s="71"/>
      <c r="L388" s="74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</row>
    <row r="389" spans="1:54">
      <c r="A389" s="71"/>
      <c r="B389" s="71"/>
      <c r="C389" s="74"/>
      <c r="D389" s="71"/>
      <c r="E389" s="74"/>
      <c r="F389" s="71"/>
      <c r="G389" s="74"/>
      <c r="H389" s="71"/>
      <c r="I389" s="71"/>
      <c r="J389" s="71"/>
      <c r="K389" s="71"/>
      <c r="L389" s="74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</row>
    <row r="390" spans="1:54">
      <c r="A390" s="71"/>
      <c r="B390" s="71"/>
      <c r="C390" s="74"/>
      <c r="D390" s="71"/>
      <c r="E390" s="74"/>
      <c r="F390" s="71"/>
      <c r="G390" s="74"/>
      <c r="H390" s="71"/>
      <c r="I390" s="71"/>
      <c r="J390" s="71"/>
      <c r="K390" s="71"/>
      <c r="L390" s="74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</row>
    <row r="391" spans="1:54">
      <c r="A391" s="71"/>
      <c r="B391" s="71"/>
      <c r="C391" s="74"/>
      <c r="D391" s="71"/>
      <c r="E391" s="74"/>
      <c r="F391" s="71"/>
      <c r="G391" s="74"/>
      <c r="H391" s="71"/>
      <c r="I391" s="71"/>
      <c r="J391" s="71"/>
      <c r="K391" s="71"/>
      <c r="L391" s="74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</row>
    <row r="392" spans="1:54">
      <c r="A392" s="71"/>
      <c r="B392" s="71"/>
      <c r="C392" s="74"/>
      <c r="D392" s="71"/>
      <c r="E392" s="74"/>
      <c r="F392" s="71"/>
      <c r="G392" s="74"/>
      <c r="H392" s="71"/>
      <c r="I392" s="71"/>
      <c r="J392" s="71"/>
      <c r="K392" s="71"/>
      <c r="L392" s="74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</row>
    <row r="393" spans="1:54">
      <c r="A393" s="71"/>
      <c r="B393" s="71"/>
      <c r="C393" s="74"/>
      <c r="D393" s="71"/>
      <c r="E393" s="74"/>
      <c r="F393" s="71"/>
      <c r="G393" s="74"/>
      <c r="H393" s="71"/>
      <c r="I393" s="71"/>
      <c r="J393" s="71"/>
      <c r="K393" s="71"/>
      <c r="L393" s="74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</row>
    <row r="394" spans="1:54">
      <c r="A394" s="71"/>
      <c r="B394" s="71"/>
      <c r="C394" s="74"/>
      <c r="D394" s="71"/>
      <c r="E394" s="74"/>
      <c r="F394" s="71"/>
      <c r="G394" s="74"/>
      <c r="H394" s="71"/>
      <c r="I394" s="71"/>
      <c r="J394" s="71"/>
      <c r="K394" s="71"/>
      <c r="L394" s="74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</row>
    <row r="395" spans="1:54">
      <c r="A395" s="71"/>
      <c r="B395" s="71"/>
      <c r="C395" s="74"/>
      <c r="D395" s="71"/>
      <c r="E395" s="74"/>
      <c r="F395" s="71"/>
      <c r="G395" s="74"/>
      <c r="H395" s="71"/>
      <c r="I395" s="71"/>
      <c r="J395" s="71"/>
      <c r="K395" s="71"/>
      <c r="L395" s="74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</row>
    <row r="396" spans="1:54">
      <c r="A396" s="71"/>
      <c r="B396" s="71"/>
      <c r="C396" s="74"/>
      <c r="D396" s="71"/>
      <c r="E396" s="74"/>
      <c r="F396" s="71"/>
      <c r="G396" s="74"/>
      <c r="H396" s="71"/>
      <c r="I396" s="71"/>
      <c r="J396" s="71"/>
      <c r="K396" s="71"/>
      <c r="L396" s="74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</row>
    <row r="397" spans="1:54">
      <c r="A397" s="71"/>
      <c r="B397" s="71"/>
      <c r="C397" s="74"/>
      <c r="D397" s="71"/>
      <c r="E397" s="74"/>
      <c r="F397" s="71"/>
      <c r="G397" s="74"/>
      <c r="H397" s="71"/>
      <c r="I397" s="71"/>
      <c r="J397" s="71"/>
      <c r="K397" s="71"/>
      <c r="L397" s="74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</row>
    <row r="398" spans="1:54">
      <c r="A398" s="71"/>
      <c r="B398" s="71"/>
      <c r="C398" s="74"/>
      <c r="D398" s="71"/>
      <c r="E398" s="74"/>
      <c r="F398" s="71"/>
      <c r="G398" s="74"/>
      <c r="H398" s="71"/>
      <c r="I398" s="71"/>
      <c r="J398" s="71"/>
      <c r="K398" s="71"/>
      <c r="L398" s="74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</row>
    <row r="399" spans="1:54">
      <c r="A399" s="71"/>
      <c r="B399" s="71"/>
      <c r="C399" s="74"/>
      <c r="D399" s="71"/>
      <c r="E399" s="74"/>
      <c r="F399" s="71"/>
      <c r="G399" s="74"/>
      <c r="H399" s="71"/>
      <c r="I399" s="71"/>
      <c r="J399" s="71"/>
      <c r="K399" s="71"/>
      <c r="L399" s="74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</row>
    <row r="400" spans="1:54">
      <c r="A400" s="71"/>
      <c r="B400" s="71"/>
      <c r="C400" s="74"/>
      <c r="D400" s="71"/>
      <c r="E400" s="74"/>
      <c r="F400" s="71"/>
      <c r="G400" s="74"/>
      <c r="H400" s="71"/>
      <c r="I400" s="71"/>
      <c r="J400" s="71"/>
      <c r="K400" s="71"/>
      <c r="L400" s="74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</row>
    <row r="401" spans="1:54">
      <c r="A401" s="71"/>
      <c r="B401" s="71"/>
      <c r="C401" s="74"/>
      <c r="D401" s="71"/>
      <c r="E401" s="74"/>
      <c r="F401" s="71"/>
      <c r="G401" s="74"/>
      <c r="H401" s="71"/>
      <c r="I401" s="71"/>
      <c r="J401" s="71"/>
      <c r="K401" s="71"/>
      <c r="L401" s="74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</row>
    <row r="402" spans="1:54">
      <c r="A402" s="71"/>
      <c r="B402" s="71"/>
      <c r="C402" s="74"/>
      <c r="D402" s="71"/>
      <c r="E402" s="74"/>
      <c r="F402" s="71"/>
      <c r="G402" s="74"/>
      <c r="H402" s="71"/>
      <c r="I402" s="71"/>
      <c r="J402" s="71"/>
      <c r="K402" s="71"/>
      <c r="L402" s="74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</row>
    <row r="403" spans="1:54">
      <c r="A403" s="71"/>
      <c r="B403" s="71"/>
      <c r="C403" s="74"/>
      <c r="D403" s="71"/>
      <c r="E403" s="74"/>
      <c r="F403" s="71"/>
      <c r="G403" s="74"/>
      <c r="H403" s="71"/>
      <c r="I403" s="71"/>
      <c r="J403" s="71"/>
      <c r="K403" s="71"/>
      <c r="L403" s="74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</row>
    <row r="404" spans="1:54">
      <c r="A404" s="71"/>
      <c r="B404" s="71"/>
      <c r="C404" s="74"/>
      <c r="D404" s="71"/>
      <c r="E404" s="74"/>
      <c r="F404" s="71"/>
      <c r="G404" s="74"/>
      <c r="H404" s="71"/>
      <c r="I404" s="71"/>
      <c r="J404" s="71"/>
      <c r="K404" s="71"/>
      <c r="L404" s="74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</row>
    <row r="405" spans="1:54">
      <c r="A405" s="71"/>
      <c r="B405" s="71"/>
      <c r="C405" s="74"/>
      <c r="D405" s="71"/>
      <c r="E405" s="74"/>
      <c r="F405" s="71"/>
      <c r="G405" s="74"/>
      <c r="H405" s="71"/>
      <c r="I405" s="71"/>
      <c r="J405" s="71"/>
      <c r="K405" s="71"/>
      <c r="L405" s="74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</row>
    <row r="406" spans="1:54">
      <c r="A406" s="71"/>
      <c r="B406" s="71"/>
      <c r="C406" s="74"/>
      <c r="D406" s="71"/>
      <c r="E406" s="74"/>
      <c r="F406" s="71"/>
      <c r="G406" s="74"/>
      <c r="H406" s="71"/>
      <c r="I406" s="71"/>
      <c r="J406" s="71"/>
      <c r="K406" s="71"/>
      <c r="L406" s="74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</row>
    <row r="407" spans="1:54">
      <c r="A407" s="71"/>
      <c r="B407" s="71"/>
      <c r="C407" s="74"/>
      <c r="D407" s="71"/>
      <c r="E407" s="74"/>
      <c r="F407" s="71"/>
      <c r="G407" s="74"/>
      <c r="H407" s="71"/>
      <c r="I407" s="71"/>
      <c r="J407" s="71"/>
      <c r="K407" s="71"/>
      <c r="L407" s="74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</row>
  </sheetData>
  <mergeCells count="3">
    <mergeCell ref="A1:L1"/>
    <mergeCell ref="B2:C2"/>
    <mergeCell ref="D2:E2"/>
  </mergeCells>
  <printOptions horizontalCentered="1"/>
  <pageMargins left="0.2" right="0.2" top="0.37" bottom="0.15748031496062992" header="0.15748031496062992" footer="0.15748031496062992"/>
  <pageSetup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222"/>
  <sheetViews>
    <sheetView zoomScaleNormal="100" workbookViewId="0">
      <selection activeCell="A2" sqref="A2"/>
    </sheetView>
  </sheetViews>
  <sheetFormatPr baseColWidth="10" defaultColWidth="11.42578125" defaultRowHeight="12.75"/>
  <cols>
    <col min="1" max="1" width="28.28515625" style="21" bestFit="1" customWidth="1"/>
    <col min="2" max="2" width="17.7109375" style="21" customWidth="1"/>
    <col min="3" max="3" width="18.28515625" style="21" customWidth="1"/>
    <col min="4" max="4" width="15.5703125" style="21" customWidth="1"/>
    <col min="5" max="5" width="21.7109375" style="21" customWidth="1"/>
    <col min="6" max="6" width="23.42578125" style="21" customWidth="1"/>
    <col min="7" max="7" width="18.28515625" style="21" customWidth="1"/>
    <col min="8" max="8" width="17.5703125" style="21" customWidth="1"/>
    <col min="9" max="9" width="18.42578125" style="21" customWidth="1"/>
    <col min="10" max="10" width="21.42578125" style="21" customWidth="1"/>
    <col min="11" max="11" width="17.140625" style="21" customWidth="1"/>
    <col min="12" max="12" width="33.28515625" style="21" customWidth="1"/>
    <col min="13" max="13" width="21.42578125" style="21" customWidth="1"/>
    <col min="14" max="14" width="17.7109375" style="21" customWidth="1"/>
    <col min="15" max="15" width="17.7109375" style="21" bestFit="1" customWidth="1"/>
    <col min="16" max="16" width="22.7109375" style="21" customWidth="1"/>
    <col min="17" max="17" width="20.7109375" style="21" customWidth="1"/>
    <col min="18" max="18" width="0.28515625" style="21" customWidth="1"/>
    <col min="19" max="20" width="11.42578125" style="21" customWidth="1"/>
    <col min="21" max="21" width="21.28515625" style="21" customWidth="1"/>
    <col min="22" max="22" width="16.7109375" style="21" bestFit="1" customWidth="1"/>
    <col min="23" max="24" width="15.28515625" style="21" bestFit="1" customWidth="1"/>
    <col min="25" max="25" width="14.28515625" style="21" bestFit="1" customWidth="1"/>
    <col min="26" max="26" width="13.28515625" style="21" bestFit="1" customWidth="1"/>
    <col min="27" max="27" width="12.5703125" style="21" bestFit="1" customWidth="1"/>
    <col min="28" max="28" width="14.28515625" style="21" bestFit="1" customWidth="1"/>
    <col min="29" max="16384" width="11.42578125" style="21"/>
  </cols>
  <sheetData>
    <row r="1" spans="1:29" ht="38.25" customHeight="1" thickBot="1">
      <c r="A1" s="42"/>
      <c r="B1" s="483" t="s">
        <v>153</v>
      </c>
      <c r="C1" s="483"/>
      <c r="D1" s="483"/>
      <c r="E1" s="483"/>
      <c r="F1" s="483" t="s">
        <v>152</v>
      </c>
      <c r="G1" s="483"/>
      <c r="H1" s="483"/>
      <c r="I1" s="483"/>
      <c r="J1" s="53" t="s">
        <v>151</v>
      </c>
      <c r="L1" s="484" t="s">
        <v>150</v>
      </c>
      <c r="M1" s="484"/>
      <c r="N1" s="484"/>
      <c r="O1" s="484"/>
      <c r="P1" s="484"/>
      <c r="Q1" s="484"/>
      <c r="T1" s="52"/>
    </row>
    <row r="2" spans="1:29" ht="68.25" customHeight="1" thickTop="1" thickBot="1">
      <c r="A2" s="51" t="s">
        <v>0</v>
      </c>
      <c r="B2" s="50" t="s">
        <v>288</v>
      </c>
      <c r="C2" s="49" t="s">
        <v>287</v>
      </c>
      <c r="D2" s="49" t="s">
        <v>149</v>
      </c>
      <c r="E2" s="48" t="s">
        <v>148</v>
      </c>
      <c r="F2" s="49" t="s">
        <v>215</v>
      </c>
      <c r="G2" s="49" t="s">
        <v>147</v>
      </c>
      <c r="H2" s="49" t="s">
        <v>146</v>
      </c>
      <c r="I2" s="46" t="s">
        <v>286</v>
      </c>
      <c r="J2" s="47" t="s">
        <v>145</v>
      </c>
      <c r="L2" s="51" t="s">
        <v>0</v>
      </c>
      <c r="M2" s="50" t="s">
        <v>144</v>
      </c>
      <c r="N2" s="49" t="s">
        <v>143</v>
      </c>
      <c r="O2" s="48" t="s">
        <v>142</v>
      </c>
      <c r="P2" s="47" t="s">
        <v>141</v>
      </c>
      <c r="Q2" s="46" t="s">
        <v>78</v>
      </c>
    </row>
    <row r="3" spans="1:29" ht="26.25" customHeight="1" thickTop="1">
      <c r="A3" s="42"/>
      <c r="B3" s="45" t="s">
        <v>140</v>
      </c>
      <c r="C3" s="45" t="s">
        <v>139</v>
      </c>
      <c r="D3" s="45" t="s">
        <v>138</v>
      </c>
      <c r="E3" s="45" t="s">
        <v>137</v>
      </c>
      <c r="F3" s="45" t="s">
        <v>136</v>
      </c>
      <c r="G3" s="45" t="s">
        <v>135</v>
      </c>
      <c r="H3" s="45"/>
      <c r="I3" s="45" t="s">
        <v>134</v>
      </c>
      <c r="J3" s="45" t="s">
        <v>133</v>
      </c>
      <c r="M3" s="44">
        <f>M4*P3</f>
        <v>18721436.155000001</v>
      </c>
      <c r="N3" s="44">
        <f>P3*N4</f>
        <v>11232861.693</v>
      </c>
      <c r="O3" s="44">
        <f>P3*O4</f>
        <v>7488574.4620000012</v>
      </c>
      <c r="P3" s="44">
        <f>+'PART MES'!F11</f>
        <v>37442872.310000002</v>
      </c>
    </row>
    <row r="4" spans="1:29" ht="13.5" thickBot="1">
      <c r="F4" s="43"/>
      <c r="G4" s="42"/>
      <c r="H4" s="42"/>
      <c r="I4" s="42"/>
      <c r="M4" s="224">
        <v>0.5</v>
      </c>
      <c r="N4" s="224">
        <v>0.3</v>
      </c>
      <c r="O4" s="224">
        <v>0.2</v>
      </c>
      <c r="P4" s="41" t="s">
        <v>132</v>
      </c>
      <c r="Q4" s="41"/>
    </row>
    <row r="5" spans="1:29" ht="13.5" thickTop="1">
      <c r="A5" s="37" t="s">
        <v>1</v>
      </c>
      <c r="B5" s="36">
        <v>626624</v>
      </c>
      <c r="C5" s="35">
        <v>145672.85</v>
      </c>
      <c r="D5" s="225">
        <f t="shared" ref="D5:D55" si="0">IFERROR(C5/B5,0)</f>
        <v>0.23247250344704321</v>
      </c>
      <c r="E5" s="40">
        <f t="shared" ref="E5:E55" si="1">IFERROR(D5/$D$56,0)</f>
        <v>1.7129206960559418E-2</v>
      </c>
      <c r="F5" s="211">
        <v>110684</v>
      </c>
      <c r="G5" s="212">
        <f t="shared" ref="G5:G55" si="2">IFERROR((C5/F5)-1,0)</f>
        <v>0.31611479527302966</v>
      </c>
      <c r="H5" s="39">
        <f t="shared" ref="H5:H55" si="3">IF(G5&lt;0,0,G5)</f>
        <v>0.31611479527302966</v>
      </c>
      <c r="I5" s="32">
        <f t="shared" ref="I5:I55" si="4">IFERROR(H5/$H$56,0)</f>
        <v>0.11047203821567791</v>
      </c>
      <c r="J5" s="38">
        <f t="shared" ref="J5:J55" si="5">IFERROR(C5/$C$56,0)</f>
        <v>6.9888220261119801E-5</v>
      </c>
      <c r="L5" s="37" t="s">
        <v>1</v>
      </c>
      <c r="M5" s="36">
        <f t="shared" ref="M5:M55" si="6">IFERROR($M$3*E5,0)</f>
        <v>320683.35449789476</v>
      </c>
      <c r="N5" s="35">
        <f t="shared" ref="N5:N55" si="7">IFERROR($N$3*I5,0)</f>
        <v>1240917.1262205206</v>
      </c>
      <c r="O5" s="34">
        <f t="shared" ref="O5:O55" si="8">IFERROR($O$3*J5,0)</f>
        <v>523.36314144205278</v>
      </c>
      <c r="P5" s="33">
        <f>IFERROR(SUM(M5:O5),2)</f>
        <v>1562123.8438598572</v>
      </c>
      <c r="Q5" s="245">
        <f t="shared" ref="Q5:Q55" si="9">IFERROR(P5/$P$56,0)</f>
        <v>4.1720192589035303E-2</v>
      </c>
      <c r="S5" s="22" t="s">
        <v>158</v>
      </c>
      <c r="T5" s="22"/>
      <c r="AC5" s="22"/>
    </row>
    <row r="6" spans="1:29">
      <c r="A6" s="27" t="s">
        <v>2</v>
      </c>
      <c r="B6" s="26">
        <v>2597546</v>
      </c>
      <c r="C6" s="25">
        <v>768052</v>
      </c>
      <c r="D6" s="226">
        <f t="shared" si="0"/>
        <v>0.29568369530318234</v>
      </c>
      <c r="E6" s="31">
        <f t="shared" si="1"/>
        <v>2.1786779669041415E-2</v>
      </c>
      <c r="F6" s="62">
        <v>953414</v>
      </c>
      <c r="G6" s="213">
        <f t="shared" si="2"/>
        <v>-0.19441921347913915</v>
      </c>
      <c r="H6" s="29">
        <f t="shared" si="3"/>
        <v>0</v>
      </c>
      <c r="I6" s="23">
        <f t="shared" si="4"/>
        <v>0</v>
      </c>
      <c r="J6" s="28">
        <f t="shared" si="5"/>
        <v>3.6848175447925667E-4</v>
      </c>
      <c r="L6" s="27" t="s">
        <v>2</v>
      </c>
      <c r="M6" s="26">
        <f t="shared" si="6"/>
        <v>407879.80459701089</v>
      </c>
      <c r="N6" s="25">
        <f t="shared" si="7"/>
        <v>0</v>
      </c>
      <c r="O6" s="24">
        <f t="shared" si="8"/>
        <v>2759.4030563063161</v>
      </c>
      <c r="P6" s="214">
        <f t="shared" ref="P6:P55" si="10">IFERROR(SUM(M6:O6),2)</f>
        <v>410639.20765331719</v>
      </c>
      <c r="Q6" s="246">
        <f t="shared" si="9"/>
        <v>1.0967086185416558E-2</v>
      </c>
      <c r="S6" s="22"/>
      <c r="T6" s="22"/>
      <c r="U6" s="22"/>
      <c r="V6" s="22"/>
      <c r="W6" s="22"/>
      <c r="X6" s="22"/>
      <c r="Y6" s="22"/>
      <c r="Z6" s="22"/>
    </row>
    <row r="7" spans="1:29">
      <c r="A7" s="27" t="s">
        <v>3</v>
      </c>
      <c r="B7" s="26">
        <v>1129316</v>
      </c>
      <c r="C7" s="25">
        <v>272877</v>
      </c>
      <c r="D7" s="226">
        <f t="shared" si="0"/>
        <v>0.24163033198856654</v>
      </c>
      <c r="E7" s="31">
        <f t="shared" si="1"/>
        <v>1.780398069969457E-2</v>
      </c>
      <c r="F7" s="62">
        <v>293401</v>
      </c>
      <c r="G7" s="213">
        <f t="shared" si="2"/>
        <v>-6.9952045153220288E-2</v>
      </c>
      <c r="H7" s="29">
        <f t="shared" si="3"/>
        <v>0</v>
      </c>
      <c r="I7" s="23">
        <f t="shared" si="4"/>
        <v>0</v>
      </c>
      <c r="J7" s="28">
        <f t="shared" si="5"/>
        <v>1.3091586991119888E-4</v>
      </c>
      <c r="L7" s="27" t="s">
        <v>3</v>
      </c>
      <c r="M7" s="26">
        <f t="shared" si="6"/>
        <v>333316.08797418413</v>
      </c>
      <c r="N7" s="25">
        <f t="shared" si="7"/>
        <v>0</v>
      </c>
      <c r="O7" s="24">
        <f t="shared" si="8"/>
        <v>980.3732400875183</v>
      </c>
      <c r="P7" s="214">
        <f t="shared" si="10"/>
        <v>334296.46121427167</v>
      </c>
      <c r="Q7" s="246">
        <f t="shared" si="9"/>
        <v>8.9281735238295242E-3</v>
      </c>
      <c r="S7" s="22"/>
      <c r="T7" s="22"/>
      <c r="U7" s="22"/>
      <c r="V7" s="22"/>
      <c r="W7" s="22"/>
      <c r="X7" s="22"/>
      <c r="Y7" s="22"/>
      <c r="Z7" s="22"/>
    </row>
    <row r="8" spans="1:29">
      <c r="A8" s="27" t="s">
        <v>4</v>
      </c>
      <c r="B8" s="26">
        <v>54890194.010000005</v>
      </c>
      <c r="C8" s="25">
        <v>23142962</v>
      </c>
      <c r="D8" s="226">
        <f t="shared" si="0"/>
        <v>0.42162288578873974</v>
      </c>
      <c r="E8" s="31">
        <f t="shared" si="1"/>
        <v>3.1066322093566658E-2</v>
      </c>
      <c r="F8" s="62">
        <v>18200124</v>
      </c>
      <c r="G8" s="213">
        <f t="shared" si="2"/>
        <v>0.27158265515114066</v>
      </c>
      <c r="H8" s="29">
        <f t="shared" si="3"/>
        <v>0.27158265515114066</v>
      </c>
      <c r="I8" s="23">
        <f t="shared" si="4"/>
        <v>9.4909475631025059E-2</v>
      </c>
      <c r="J8" s="28">
        <f t="shared" si="5"/>
        <v>1.11031014066844E-2</v>
      </c>
      <c r="L8" s="27" t="s">
        <v>4</v>
      </c>
      <c r="M8" s="26">
        <f t="shared" si="6"/>
        <v>581606.16564537422</v>
      </c>
      <c r="N8" s="25">
        <f t="shared" si="7"/>
        <v>1066105.0131184584</v>
      </c>
      <c r="O8" s="24">
        <f t="shared" si="8"/>
        <v>83146.401643093093</v>
      </c>
      <c r="P8" s="214">
        <f t="shared" si="10"/>
        <v>1730857.5804069256</v>
      </c>
      <c r="Q8" s="246">
        <f t="shared" si="9"/>
        <v>4.6226624017427727E-2</v>
      </c>
      <c r="S8" s="22"/>
      <c r="T8" s="22"/>
      <c r="U8" s="22"/>
      <c r="V8" s="22"/>
      <c r="W8" s="22"/>
      <c r="X8" s="22"/>
      <c r="Y8" s="22"/>
      <c r="Z8" s="22"/>
    </row>
    <row r="9" spans="1:29">
      <c r="A9" s="27" t="s">
        <v>5</v>
      </c>
      <c r="B9" s="26">
        <v>10678636</v>
      </c>
      <c r="C9" s="25">
        <v>2531264</v>
      </c>
      <c r="D9" s="226">
        <f t="shared" si="0"/>
        <v>0.23704001147712123</v>
      </c>
      <c r="E9" s="31">
        <f t="shared" si="1"/>
        <v>1.7465753387259923E-2</v>
      </c>
      <c r="F9" s="62">
        <v>1756976</v>
      </c>
      <c r="G9" s="213">
        <f t="shared" si="2"/>
        <v>0.44069355529045362</v>
      </c>
      <c r="H9" s="29">
        <f t="shared" si="3"/>
        <v>0.44069355529045362</v>
      </c>
      <c r="I9" s="23">
        <f t="shared" si="4"/>
        <v>0.15400834130335822</v>
      </c>
      <c r="J9" s="28">
        <f t="shared" si="5"/>
        <v>1.2144029307523203E-3</v>
      </c>
      <c r="L9" s="27" t="s">
        <v>5</v>
      </c>
      <c r="M9" s="26">
        <f t="shared" si="6"/>
        <v>326983.98693856166</v>
      </c>
      <c r="N9" s="25">
        <f t="shared" si="7"/>
        <v>1729954.3974289622</v>
      </c>
      <c r="O9" s="24">
        <f t="shared" si="8"/>
        <v>9094.1467738097817</v>
      </c>
      <c r="P9" s="214">
        <f t="shared" si="10"/>
        <v>2066032.5311413335</v>
      </c>
      <c r="Q9" s="246">
        <f t="shared" si="9"/>
        <v>5.5178259670787884E-2</v>
      </c>
      <c r="S9" s="22"/>
      <c r="T9" s="22"/>
      <c r="U9" s="22"/>
      <c r="V9" s="22"/>
      <c r="W9" s="22"/>
      <c r="X9" s="22"/>
      <c r="Y9" s="22"/>
      <c r="Z9" s="22"/>
    </row>
    <row r="10" spans="1:29">
      <c r="A10" s="27" t="s">
        <v>6</v>
      </c>
      <c r="B10" s="26">
        <v>683317463.73000002</v>
      </c>
      <c r="C10" s="25">
        <v>299493654.98000002</v>
      </c>
      <c r="D10" s="226">
        <f t="shared" si="0"/>
        <v>0.43829357637834249</v>
      </c>
      <c r="E10" s="31">
        <f t="shared" si="1"/>
        <v>3.2294663962177388E-2</v>
      </c>
      <c r="F10" s="62">
        <v>292840828.44</v>
      </c>
      <c r="G10" s="213">
        <f t="shared" si="2"/>
        <v>2.2718234255245218E-2</v>
      </c>
      <c r="H10" s="29">
        <f t="shared" si="3"/>
        <v>2.2718234255245218E-2</v>
      </c>
      <c r="I10" s="23">
        <f t="shared" si="4"/>
        <v>7.9392982560987334E-3</v>
      </c>
      <c r="J10" s="28">
        <f t="shared" si="5"/>
        <v>0.14368551535890223</v>
      </c>
      <c r="L10" s="27" t="s">
        <v>6</v>
      </c>
      <c r="M10" s="26">
        <f t="shared" si="6"/>
        <v>604602.48951508338</v>
      </c>
      <c r="N10" s="25">
        <f t="shared" si="7"/>
        <v>89181.039250233167</v>
      </c>
      <c r="O10" s="24">
        <f t="shared" si="8"/>
        <v>1075999.6808759843</v>
      </c>
      <c r="P10" s="214">
        <f t="shared" si="10"/>
        <v>1769783.2096413008</v>
      </c>
      <c r="Q10" s="246">
        <f t="shared" si="9"/>
        <v>4.7266224529698767E-2</v>
      </c>
      <c r="S10" s="22"/>
      <c r="T10" s="22"/>
      <c r="U10" s="22"/>
      <c r="V10" s="22"/>
      <c r="W10" s="22"/>
      <c r="X10" s="22"/>
      <c r="Y10" s="22"/>
      <c r="Z10" s="22"/>
    </row>
    <row r="11" spans="1:29">
      <c r="A11" s="27" t="s">
        <v>7</v>
      </c>
      <c r="B11" s="26"/>
      <c r="C11" s="25"/>
      <c r="D11" s="226">
        <f t="shared" si="0"/>
        <v>0</v>
      </c>
      <c r="E11" s="31">
        <f t="shared" si="1"/>
        <v>0</v>
      </c>
      <c r="F11" s="62">
        <v>0</v>
      </c>
      <c r="G11" s="213">
        <f t="shared" si="2"/>
        <v>0</v>
      </c>
      <c r="H11" s="29">
        <f t="shared" si="3"/>
        <v>0</v>
      </c>
      <c r="I11" s="23">
        <f t="shared" si="4"/>
        <v>0</v>
      </c>
      <c r="J11" s="28">
        <f t="shared" si="5"/>
        <v>0</v>
      </c>
      <c r="L11" s="27" t="s">
        <v>7</v>
      </c>
      <c r="M11" s="26">
        <f t="shared" si="6"/>
        <v>0</v>
      </c>
      <c r="N11" s="25">
        <f t="shared" si="7"/>
        <v>0</v>
      </c>
      <c r="O11" s="24">
        <f t="shared" si="8"/>
        <v>0</v>
      </c>
      <c r="P11" s="214">
        <f t="shared" si="10"/>
        <v>0</v>
      </c>
      <c r="Q11" s="246">
        <f t="shared" si="9"/>
        <v>0</v>
      </c>
      <c r="S11" s="22"/>
      <c r="T11" s="22"/>
      <c r="U11" s="22"/>
      <c r="V11" s="22"/>
      <c r="W11" s="22"/>
      <c r="X11" s="22"/>
      <c r="Y11" s="22"/>
      <c r="Z11" s="22"/>
    </row>
    <row r="12" spans="1:29">
      <c r="A12" s="27" t="s">
        <v>8</v>
      </c>
      <c r="B12" s="26">
        <v>2185720</v>
      </c>
      <c r="C12" s="25">
        <v>799410</v>
      </c>
      <c r="D12" s="226">
        <f t="shared" si="0"/>
        <v>0.36574218106619327</v>
      </c>
      <c r="E12" s="31">
        <f t="shared" si="1"/>
        <v>2.6948879634345002E-2</v>
      </c>
      <c r="F12" s="62">
        <v>927656</v>
      </c>
      <c r="G12" s="213">
        <f t="shared" si="2"/>
        <v>-0.13824736755866396</v>
      </c>
      <c r="H12" s="29">
        <f t="shared" si="3"/>
        <v>0</v>
      </c>
      <c r="I12" s="23">
        <f t="shared" si="4"/>
        <v>0</v>
      </c>
      <c r="J12" s="28">
        <f t="shared" si="5"/>
        <v>3.835261145707095E-4</v>
      </c>
      <c r="L12" s="27" t="s">
        <v>8</v>
      </c>
      <c r="M12" s="26">
        <f t="shared" si="6"/>
        <v>504521.72952316975</v>
      </c>
      <c r="N12" s="25">
        <f t="shared" si="7"/>
        <v>0</v>
      </c>
      <c r="O12" s="24">
        <f t="shared" si="8"/>
        <v>2872.0638670843018</v>
      </c>
      <c r="P12" s="214">
        <f t="shared" si="10"/>
        <v>507393.79339025402</v>
      </c>
      <c r="Q12" s="246">
        <f t="shared" si="9"/>
        <v>1.3551145040086643E-2</v>
      </c>
      <c r="S12" s="22"/>
      <c r="T12" s="22"/>
      <c r="U12" s="22"/>
      <c r="V12" s="22"/>
      <c r="W12" s="22"/>
      <c r="X12" s="22"/>
      <c r="Y12" s="22"/>
      <c r="Z12" s="22"/>
    </row>
    <row r="13" spans="1:29">
      <c r="A13" s="27" t="s">
        <v>9</v>
      </c>
      <c r="B13" s="26">
        <v>110141115</v>
      </c>
      <c r="C13" s="25">
        <v>27527682</v>
      </c>
      <c r="D13" s="226">
        <f t="shared" si="0"/>
        <v>0.24993102711916435</v>
      </c>
      <c r="E13" s="31">
        <f t="shared" si="1"/>
        <v>1.8415598515566317E-2</v>
      </c>
      <c r="F13" s="62">
        <v>28519495.5</v>
      </c>
      <c r="G13" s="213">
        <f t="shared" si="2"/>
        <v>-3.4776684601591223E-2</v>
      </c>
      <c r="H13" s="29">
        <f t="shared" si="3"/>
        <v>0</v>
      </c>
      <c r="I13" s="23">
        <f t="shared" si="4"/>
        <v>0</v>
      </c>
      <c r="J13" s="28">
        <f t="shared" si="5"/>
        <v>1.3206721107564401E-2</v>
      </c>
      <c r="L13" s="27" t="s">
        <v>9</v>
      </c>
      <c r="M13" s="26">
        <f t="shared" si="6"/>
        <v>344766.45186528761</v>
      </c>
      <c r="N13" s="25">
        <f t="shared" si="7"/>
        <v>0</v>
      </c>
      <c r="O13" s="24">
        <f t="shared" si="8"/>
        <v>98899.514412863151</v>
      </c>
      <c r="P13" s="214">
        <f t="shared" si="10"/>
        <v>443665.96627815079</v>
      </c>
      <c r="Q13" s="246">
        <f t="shared" si="9"/>
        <v>1.184914347929604E-2</v>
      </c>
      <c r="S13" s="22"/>
      <c r="T13" s="22"/>
      <c r="U13" s="22"/>
      <c r="V13" s="22"/>
      <c r="W13" s="22"/>
      <c r="X13" s="22"/>
      <c r="Y13" s="22"/>
      <c r="Z13" s="22"/>
    </row>
    <row r="14" spans="1:29">
      <c r="A14" s="27" t="s">
        <v>10</v>
      </c>
      <c r="B14" s="26">
        <v>32779189</v>
      </c>
      <c r="C14" s="25">
        <v>4946842.92</v>
      </c>
      <c r="D14" s="226">
        <f t="shared" si="0"/>
        <v>0.15091413396469328</v>
      </c>
      <c r="E14" s="31">
        <f t="shared" si="1"/>
        <v>1.1119764254372078E-2</v>
      </c>
      <c r="F14" s="62">
        <v>6103961.7199999997</v>
      </c>
      <c r="G14" s="213">
        <f t="shared" si="2"/>
        <v>-0.1895684889714544</v>
      </c>
      <c r="H14" s="29">
        <f t="shared" si="3"/>
        <v>0</v>
      </c>
      <c r="I14" s="23">
        <f t="shared" si="4"/>
        <v>0</v>
      </c>
      <c r="J14" s="28">
        <f t="shared" si="5"/>
        <v>2.3733046177796414E-3</v>
      </c>
      <c r="L14" s="27" t="s">
        <v>10</v>
      </c>
      <c r="M14" s="26">
        <f t="shared" si="6"/>
        <v>208177.95654687806</v>
      </c>
      <c r="N14" s="25">
        <f t="shared" si="7"/>
        <v>0</v>
      </c>
      <c r="O14" s="24">
        <f t="shared" si="8"/>
        <v>17772.668351251297</v>
      </c>
      <c r="P14" s="214">
        <f t="shared" si="10"/>
        <v>225950.62489812938</v>
      </c>
      <c r="Q14" s="246">
        <f t="shared" si="9"/>
        <v>6.0345430507419678E-3</v>
      </c>
      <c r="S14" s="22"/>
      <c r="T14" s="22"/>
      <c r="U14" s="22"/>
      <c r="V14" s="22"/>
      <c r="W14" s="22"/>
      <c r="X14" s="22"/>
      <c r="Y14" s="22"/>
      <c r="Z14" s="22"/>
    </row>
    <row r="15" spans="1:29">
      <c r="A15" s="27" t="s">
        <v>11</v>
      </c>
      <c r="B15" s="26">
        <v>2853628</v>
      </c>
      <c r="C15" s="25">
        <v>1221813</v>
      </c>
      <c r="D15" s="226">
        <f t="shared" si="0"/>
        <v>0.42816127399927389</v>
      </c>
      <c r="E15" s="31">
        <f t="shared" si="1"/>
        <v>3.1548088337686075E-2</v>
      </c>
      <c r="F15" s="62">
        <v>826855</v>
      </c>
      <c r="G15" s="213">
        <f t="shared" si="2"/>
        <v>0.47766295178719353</v>
      </c>
      <c r="H15" s="29">
        <f t="shared" si="3"/>
        <v>0.47766295178719353</v>
      </c>
      <c r="I15" s="23">
        <f t="shared" si="4"/>
        <v>0.16692796621073072</v>
      </c>
      <c r="J15" s="28">
        <f t="shared" si="5"/>
        <v>5.8617879764073788E-4</v>
      </c>
      <c r="L15" s="27" t="s">
        <v>11</v>
      </c>
      <c r="M15" s="26">
        <f t="shared" si="6"/>
        <v>590625.52162628993</v>
      </c>
      <c r="N15" s="25">
        <f t="shared" si="7"/>
        <v>1875078.7571389156</v>
      </c>
      <c r="O15" s="24">
        <f t="shared" si="8"/>
        <v>4389.6435741782961</v>
      </c>
      <c r="P15" s="214">
        <f t="shared" si="10"/>
        <v>2470093.9223393835</v>
      </c>
      <c r="Q15" s="246">
        <f t="shared" si="9"/>
        <v>6.5969669791590385E-2</v>
      </c>
      <c r="S15" s="22"/>
      <c r="T15" s="22"/>
      <c r="U15" s="22"/>
      <c r="V15" s="22"/>
      <c r="W15" s="22"/>
      <c r="X15" s="22"/>
      <c r="Y15" s="22"/>
      <c r="Z15" s="22"/>
    </row>
    <row r="16" spans="1:29">
      <c r="A16" s="27" t="s">
        <v>12</v>
      </c>
      <c r="B16" s="26">
        <v>4729640</v>
      </c>
      <c r="C16" s="25">
        <v>1408205</v>
      </c>
      <c r="D16" s="226">
        <f t="shared" si="0"/>
        <v>0.29774041998968209</v>
      </c>
      <c r="E16" s="31">
        <f t="shared" si="1"/>
        <v>2.1938324743377362E-2</v>
      </c>
      <c r="F16" s="62">
        <v>1648610</v>
      </c>
      <c r="G16" s="213">
        <f t="shared" si="2"/>
        <v>-0.14582284469947415</v>
      </c>
      <c r="H16" s="29">
        <f t="shared" si="3"/>
        <v>0</v>
      </c>
      <c r="I16" s="23">
        <f t="shared" si="4"/>
        <v>0</v>
      </c>
      <c r="J16" s="28">
        <f t="shared" si="5"/>
        <v>6.7560249705288396E-4</v>
      </c>
      <c r="L16" s="27" t="s">
        <v>12</v>
      </c>
      <c r="M16" s="26">
        <f t="shared" si="6"/>
        <v>410716.94603079604</v>
      </c>
      <c r="N16" s="25">
        <f t="shared" si="7"/>
        <v>0</v>
      </c>
      <c r="O16" s="24">
        <f t="shared" si="8"/>
        <v>5059.2996058936578</v>
      </c>
      <c r="P16" s="214">
        <f t="shared" si="10"/>
        <v>415776.24563668971</v>
      </c>
      <c r="Q16" s="246">
        <f t="shared" si="9"/>
        <v>1.1104282871099257E-2</v>
      </c>
      <c r="S16" s="22"/>
      <c r="T16" s="22"/>
      <c r="U16" s="22"/>
      <c r="V16" s="22"/>
      <c r="W16" s="22"/>
      <c r="X16" s="22"/>
      <c r="Y16" s="22"/>
      <c r="Z16" s="22"/>
    </row>
    <row r="17" spans="1:26">
      <c r="A17" s="27" t="s">
        <v>13</v>
      </c>
      <c r="B17" s="26">
        <v>49791403.200000003</v>
      </c>
      <c r="C17" s="25">
        <v>12990205</v>
      </c>
      <c r="D17" s="226">
        <f t="shared" si="0"/>
        <v>0.26089252692521026</v>
      </c>
      <c r="E17" s="31">
        <f t="shared" si="1"/>
        <v>1.9223271663967992E-2</v>
      </c>
      <c r="F17" s="62">
        <v>14225141</v>
      </c>
      <c r="G17" s="213">
        <f t="shared" si="2"/>
        <v>-8.6813621038975941E-2</v>
      </c>
      <c r="H17" s="29">
        <f t="shared" si="3"/>
        <v>0</v>
      </c>
      <c r="I17" s="23">
        <f t="shared" si="4"/>
        <v>0</v>
      </c>
      <c r="J17" s="28">
        <f t="shared" si="5"/>
        <v>6.2321998112695662E-3</v>
      </c>
      <c r="L17" s="27" t="s">
        <v>13</v>
      </c>
      <c r="M17" s="26">
        <f t="shared" si="6"/>
        <v>359887.25314719742</v>
      </c>
      <c r="N17" s="25">
        <f t="shared" si="7"/>
        <v>0</v>
      </c>
      <c r="O17" s="24">
        <f t="shared" si="8"/>
        <v>46670.292348754498</v>
      </c>
      <c r="P17" s="214">
        <f t="shared" si="10"/>
        <v>406557.5454959519</v>
      </c>
      <c r="Q17" s="246">
        <f t="shared" si="9"/>
        <v>1.085807579423791E-2</v>
      </c>
      <c r="S17" s="22"/>
      <c r="T17" s="22"/>
      <c r="U17" s="22"/>
      <c r="V17" s="22"/>
      <c r="W17" s="22"/>
      <c r="X17" s="22"/>
      <c r="Y17" s="22"/>
      <c r="Z17" s="22"/>
    </row>
    <row r="18" spans="1:26">
      <c r="A18" s="27" t="s">
        <v>14</v>
      </c>
      <c r="B18" s="26">
        <v>6711875</v>
      </c>
      <c r="C18" s="25">
        <v>691812</v>
      </c>
      <c r="D18" s="226">
        <f t="shared" si="0"/>
        <v>0.10307283732191079</v>
      </c>
      <c r="E18" s="31">
        <f t="shared" si="1"/>
        <v>7.5946872697625215E-3</v>
      </c>
      <c r="F18" s="62">
        <v>766514</v>
      </c>
      <c r="G18" s="213">
        <f t="shared" si="2"/>
        <v>-9.7456797918889948E-2</v>
      </c>
      <c r="H18" s="29">
        <f t="shared" si="3"/>
        <v>0</v>
      </c>
      <c r="I18" s="23">
        <f t="shared" si="4"/>
        <v>0</v>
      </c>
      <c r="J18" s="28">
        <f t="shared" si="5"/>
        <v>3.3190474021264644E-4</v>
      </c>
      <c r="L18" s="27" t="s">
        <v>14</v>
      </c>
      <c r="M18" s="26">
        <f t="shared" si="6"/>
        <v>142183.45283805032</v>
      </c>
      <c r="N18" s="25">
        <f t="shared" si="7"/>
        <v>0</v>
      </c>
      <c r="O18" s="24">
        <f t="shared" si="8"/>
        <v>2485.4933613731691</v>
      </c>
      <c r="P18" s="214">
        <f t="shared" si="10"/>
        <v>144668.94619942349</v>
      </c>
      <c r="Q18" s="246">
        <f t="shared" si="9"/>
        <v>3.8637245829237902E-3</v>
      </c>
      <c r="S18" s="22"/>
      <c r="T18" s="22"/>
      <c r="U18" s="22"/>
      <c r="V18" s="22"/>
      <c r="W18" s="22"/>
      <c r="X18" s="22"/>
      <c r="Y18" s="22"/>
      <c r="Z18" s="22"/>
    </row>
    <row r="19" spans="1:26">
      <c r="A19" s="27" t="s">
        <v>15</v>
      </c>
      <c r="B19" s="26">
        <v>1548836</v>
      </c>
      <c r="C19" s="25">
        <v>329170</v>
      </c>
      <c r="D19" s="226">
        <f t="shared" si="0"/>
        <v>0.21252734311444207</v>
      </c>
      <c r="E19" s="31">
        <f t="shared" si="1"/>
        <v>1.5659593246538005E-2</v>
      </c>
      <c r="F19" s="62">
        <v>328496</v>
      </c>
      <c r="G19" s="213">
        <f t="shared" si="2"/>
        <v>2.05177536408363E-3</v>
      </c>
      <c r="H19" s="29">
        <f t="shared" si="3"/>
        <v>2.05177536408363E-3</v>
      </c>
      <c r="I19" s="23">
        <f t="shared" si="4"/>
        <v>7.17030046743819E-4</v>
      </c>
      <c r="J19" s="28">
        <f t="shared" si="5"/>
        <v>1.5792308218966545E-4</v>
      </c>
      <c r="L19" s="27" t="s">
        <v>15</v>
      </c>
      <c r="M19" s="26">
        <f t="shared" si="6"/>
        <v>293170.07517833047</v>
      </c>
      <c r="N19" s="25">
        <f t="shared" si="7"/>
        <v>8054.2993447986437</v>
      </c>
      <c r="O19" s="24">
        <f t="shared" si="8"/>
        <v>1182.6187602458558</v>
      </c>
      <c r="P19" s="214">
        <f t="shared" si="10"/>
        <v>302406.99328337499</v>
      </c>
      <c r="Q19" s="246">
        <f t="shared" si="9"/>
        <v>8.0764902537300825E-3</v>
      </c>
      <c r="S19" s="22"/>
      <c r="T19" s="22"/>
      <c r="U19" s="22"/>
      <c r="V19" s="22"/>
      <c r="W19" s="22"/>
      <c r="X19" s="22"/>
      <c r="Y19" s="22"/>
      <c r="Z19" s="22"/>
    </row>
    <row r="20" spans="1:26">
      <c r="A20" s="27" t="s">
        <v>16</v>
      </c>
      <c r="B20" s="26">
        <v>2192867</v>
      </c>
      <c r="C20" s="25">
        <v>632096</v>
      </c>
      <c r="D20" s="226">
        <f t="shared" si="0"/>
        <v>0.28825095183611227</v>
      </c>
      <c r="E20" s="31">
        <f t="shared" si="1"/>
        <v>2.1239114894737506E-2</v>
      </c>
      <c r="F20" s="62">
        <v>704192</v>
      </c>
      <c r="G20" s="213">
        <f t="shared" si="2"/>
        <v>-0.10238116877215309</v>
      </c>
      <c r="H20" s="29">
        <f t="shared" si="3"/>
        <v>0</v>
      </c>
      <c r="I20" s="23">
        <f t="shared" si="4"/>
        <v>0</v>
      </c>
      <c r="J20" s="28">
        <f t="shared" si="5"/>
        <v>3.0325530443162731E-4</v>
      </c>
      <c r="L20" s="27" t="s">
        <v>16</v>
      </c>
      <c r="M20" s="26">
        <f t="shared" si="6"/>
        <v>397626.73349053779</v>
      </c>
      <c r="N20" s="25">
        <f t="shared" si="7"/>
        <v>0</v>
      </c>
      <c r="O20" s="24">
        <f t="shared" si="8"/>
        <v>2270.9499282327201</v>
      </c>
      <c r="P20" s="214">
        <f t="shared" si="10"/>
        <v>399897.6834187705</v>
      </c>
      <c r="Q20" s="246">
        <f t="shared" si="9"/>
        <v>1.0680208508255079E-2</v>
      </c>
      <c r="S20" s="22"/>
      <c r="T20" s="22"/>
      <c r="U20" s="22"/>
      <c r="V20" s="22"/>
      <c r="W20" s="22"/>
      <c r="X20" s="22"/>
      <c r="Y20" s="22"/>
      <c r="Z20" s="22"/>
    </row>
    <row r="21" spans="1:26">
      <c r="A21" s="27" t="s">
        <v>17</v>
      </c>
      <c r="B21" s="26">
        <v>10046865</v>
      </c>
      <c r="C21" s="25">
        <v>1193413</v>
      </c>
      <c r="D21" s="226">
        <f t="shared" si="0"/>
        <v>0.11878461589759591</v>
      </c>
      <c r="E21" s="31">
        <f t="shared" si="1"/>
        <v>8.7523738905490572E-3</v>
      </c>
      <c r="F21" s="62">
        <v>1253081</v>
      </c>
      <c r="G21" s="213">
        <f t="shared" si="2"/>
        <v>-4.7617033535741093E-2</v>
      </c>
      <c r="H21" s="29">
        <f t="shared" si="3"/>
        <v>0</v>
      </c>
      <c r="I21" s="23">
        <f t="shared" si="4"/>
        <v>0</v>
      </c>
      <c r="J21" s="28">
        <f t="shared" si="5"/>
        <v>5.7255357196954525E-4</v>
      </c>
      <c r="L21" s="27" t="s">
        <v>17</v>
      </c>
      <c r="M21" s="26">
        <f t="shared" si="6"/>
        <v>163857.00899660314</v>
      </c>
      <c r="N21" s="25">
        <f t="shared" si="7"/>
        <v>0</v>
      </c>
      <c r="O21" s="24">
        <f t="shared" si="8"/>
        <v>4287.6100571780162</v>
      </c>
      <c r="P21" s="214">
        <f t="shared" si="10"/>
        <v>168144.61905378115</v>
      </c>
      <c r="Q21" s="246">
        <f t="shared" si="9"/>
        <v>4.4906976596684372E-3</v>
      </c>
      <c r="S21" s="22"/>
      <c r="T21" s="22"/>
      <c r="U21" s="22"/>
      <c r="V21" s="22"/>
      <c r="W21" s="22"/>
      <c r="X21" s="22"/>
      <c r="Y21" s="22"/>
      <c r="Z21" s="22"/>
    </row>
    <row r="22" spans="1:26">
      <c r="A22" s="27" t="s">
        <v>18</v>
      </c>
      <c r="B22" s="26">
        <v>425436337.39000034</v>
      </c>
      <c r="C22" s="25">
        <v>90011508</v>
      </c>
      <c r="D22" s="226">
        <f t="shared" si="0"/>
        <v>0.21157456495655624</v>
      </c>
      <c r="E22" s="31">
        <f t="shared" si="1"/>
        <v>1.5589389957925661E-2</v>
      </c>
      <c r="F22" s="62">
        <v>89654721.319999993</v>
      </c>
      <c r="G22" s="213">
        <f t="shared" si="2"/>
        <v>3.9795637613611046E-3</v>
      </c>
      <c r="H22" s="29">
        <f t="shared" si="3"/>
        <v>3.9795637613611046E-3</v>
      </c>
      <c r="I22" s="23">
        <f t="shared" si="4"/>
        <v>1.3907306032515819E-3</v>
      </c>
      <c r="J22" s="28">
        <f t="shared" si="5"/>
        <v>4.31840531515622E-2</v>
      </c>
      <c r="L22" s="27" t="s">
        <v>18</v>
      </c>
      <c r="M22" s="26">
        <f t="shared" si="6"/>
        <v>291855.7687927034</v>
      </c>
      <c r="N22" s="25">
        <f t="shared" si="7"/>
        <v>15621.884518547475</v>
      </c>
      <c r="O22" s="24">
        <f t="shared" si="8"/>
        <v>323386.99759643938</v>
      </c>
      <c r="P22" s="214">
        <f t="shared" si="10"/>
        <v>630864.65090769017</v>
      </c>
      <c r="Q22" s="246">
        <f t="shared" si="9"/>
        <v>1.6848724790250742E-2</v>
      </c>
      <c r="S22" s="22"/>
      <c r="T22" s="22"/>
      <c r="U22" s="22"/>
      <c r="V22" s="22"/>
      <c r="W22" s="22"/>
      <c r="X22" s="22"/>
      <c r="Y22" s="22"/>
      <c r="Z22" s="22"/>
    </row>
    <row r="23" spans="1:26">
      <c r="A23" s="27" t="s">
        <v>19</v>
      </c>
      <c r="B23" s="26">
        <v>5541859</v>
      </c>
      <c r="C23" s="25">
        <v>877317</v>
      </c>
      <c r="D23" s="226">
        <f t="shared" si="0"/>
        <v>0.15830734776904284</v>
      </c>
      <c r="E23" s="31">
        <f t="shared" si="1"/>
        <v>1.1664516375507198E-2</v>
      </c>
      <c r="F23" s="62">
        <v>1101010</v>
      </c>
      <c r="G23" s="213">
        <f t="shared" si="2"/>
        <v>-0.20317072506153444</v>
      </c>
      <c r="H23" s="29">
        <f t="shared" si="3"/>
        <v>0</v>
      </c>
      <c r="I23" s="23">
        <f t="shared" si="4"/>
        <v>0</v>
      </c>
      <c r="J23" s="28">
        <f t="shared" si="5"/>
        <v>4.2090289120330139E-4</v>
      </c>
      <c r="L23" s="27" t="s">
        <v>19</v>
      </c>
      <c r="M23" s="26">
        <f t="shared" si="6"/>
        <v>218376.49860301003</v>
      </c>
      <c r="N23" s="25">
        <f t="shared" si="7"/>
        <v>0</v>
      </c>
      <c r="O23" s="24">
        <f t="shared" si="8"/>
        <v>3151.9626420470076</v>
      </c>
      <c r="P23" s="214">
        <f t="shared" si="10"/>
        <v>221528.46124505703</v>
      </c>
      <c r="Q23" s="246">
        <f t="shared" si="9"/>
        <v>5.9164387659942589E-3</v>
      </c>
      <c r="S23" s="22"/>
      <c r="T23" s="22"/>
      <c r="U23" s="22"/>
      <c r="V23" s="22"/>
      <c r="W23" s="22"/>
      <c r="X23" s="22"/>
      <c r="Y23" s="22"/>
      <c r="Z23" s="22"/>
    </row>
    <row r="24" spans="1:26">
      <c r="A24" s="27" t="s">
        <v>20</v>
      </c>
      <c r="B24" s="26">
        <v>449264751.14000052</v>
      </c>
      <c r="C24" s="25">
        <v>130662277.23999999</v>
      </c>
      <c r="D24" s="226">
        <f t="shared" si="0"/>
        <v>0.29083580874850967</v>
      </c>
      <c r="E24" s="31">
        <f t="shared" si="1"/>
        <v>2.1429574189318013E-2</v>
      </c>
      <c r="F24" s="62">
        <v>149244141.31999999</v>
      </c>
      <c r="G24" s="213">
        <f t="shared" si="2"/>
        <v>-0.12450648927087815</v>
      </c>
      <c r="H24" s="29">
        <f t="shared" si="3"/>
        <v>0</v>
      </c>
      <c r="I24" s="23">
        <f t="shared" si="4"/>
        <v>0</v>
      </c>
      <c r="J24" s="28">
        <f t="shared" si="5"/>
        <v>6.2686725848836083E-2</v>
      </c>
      <c r="L24" s="27" t="s">
        <v>20</v>
      </c>
      <c r="M24" s="26">
        <f t="shared" si="6"/>
        <v>401192.4050141531</v>
      </c>
      <c r="N24" s="25">
        <f t="shared" si="7"/>
        <v>0</v>
      </c>
      <c r="O24" s="24">
        <f t="shared" si="8"/>
        <v>469434.21429798927</v>
      </c>
      <c r="P24" s="214">
        <f t="shared" si="10"/>
        <v>870626.61931214237</v>
      </c>
      <c r="Q24" s="246">
        <f t="shared" si="9"/>
        <v>2.3252132264426226E-2</v>
      </c>
      <c r="S24" s="22"/>
      <c r="T24" s="22"/>
      <c r="U24" s="22"/>
      <c r="V24" s="22"/>
      <c r="W24" s="22"/>
      <c r="X24" s="22"/>
      <c r="Y24" s="22"/>
      <c r="Z24" s="22"/>
    </row>
    <row r="25" spans="1:26">
      <c r="A25" s="27" t="s">
        <v>21</v>
      </c>
      <c r="B25" s="26">
        <v>12500507</v>
      </c>
      <c r="C25" s="25">
        <v>3648762.03</v>
      </c>
      <c r="D25" s="226">
        <f t="shared" si="0"/>
        <v>0.29188912337715578</v>
      </c>
      <c r="E25" s="31">
        <f t="shared" si="1"/>
        <v>2.1507185278806597E-2</v>
      </c>
      <c r="F25" s="62">
        <v>4417747</v>
      </c>
      <c r="G25" s="213">
        <f t="shared" si="2"/>
        <v>-0.17406722702771349</v>
      </c>
      <c r="H25" s="29">
        <f t="shared" si="3"/>
        <v>0</v>
      </c>
      <c r="I25" s="23">
        <f t="shared" si="4"/>
        <v>0</v>
      </c>
      <c r="J25" s="28">
        <f t="shared" si="5"/>
        <v>1.7505354253249705E-3</v>
      </c>
      <c r="L25" s="27" t="s">
        <v>21</v>
      </c>
      <c r="M25" s="26">
        <f t="shared" si="6"/>
        <v>402645.39607093361</v>
      </c>
      <c r="N25" s="25">
        <f t="shared" si="7"/>
        <v>0</v>
      </c>
      <c r="O25" s="24">
        <f t="shared" si="8"/>
        <v>13109.014880914883</v>
      </c>
      <c r="P25" s="214">
        <f t="shared" si="10"/>
        <v>415754.41095184849</v>
      </c>
      <c r="Q25" s="246">
        <f t="shared" si="9"/>
        <v>1.1103699724468293E-2</v>
      </c>
      <c r="S25" s="22"/>
      <c r="T25" s="22"/>
      <c r="U25" s="22"/>
      <c r="V25" s="22"/>
      <c r="W25" s="22"/>
      <c r="X25" s="22"/>
      <c r="Y25" s="22"/>
      <c r="Z25" s="22"/>
    </row>
    <row r="26" spans="1:26">
      <c r="A26" s="27" t="s">
        <v>22</v>
      </c>
      <c r="B26" s="26">
        <v>796636</v>
      </c>
      <c r="C26" s="25">
        <v>218938</v>
      </c>
      <c r="D26" s="226">
        <f t="shared" si="0"/>
        <v>0.27482815238076108</v>
      </c>
      <c r="E26" s="31">
        <f t="shared" si="1"/>
        <v>2.0250086487284706E-2</v>
      </c>
      <c r="F26" s="62">
        <v>320606.25</v>
      </c>
      <c r="G26" s="213">
        <f t="shared" si="2"/>
        <v>-0.31711250170575278</v>
      </c>
      <c r="H26" s="29">
        <f t="shared" si="3"/>
        <v>0</v>
      </c>
      <c r="I26" s="23">
        <f t="shared" si="4"/>
        <v>0</v>
      </c>
      <c r="J26" s="28">
        <f t="shared" si="5"/>
        <v>1.0503801612674598E-4</v>
      </c>
      <c r="L26" s="27" t="s">
        <v>22</v>
      </c>
      <c r="M26" s="26">
        <f t="shared" si="6"/>
        <v>379110.70130492887</v>
      </c>
      <c r="N26" s="25">
        <f t="shared" si="7"/>
        <v>0</v>
      </c>
      <c r="O26" s="24">
        <f t="shared" si="8"/>
        <v>786.5850051058942</v>
      </c>
      <c r="P26" s="214">
        <f t="shared" si="10"/>
        <v>379897.28631003475</v>
      </c>
      <c r="Q26" s="246">
        <f t="shared" si="9"/>
        <v>1.0146050846867701E-2</v>
      </c>
      <c r="S26" s="22"/>
      <c r="T26" s="22"/>
      <c r="U26" s="22"/>
      <c r="V26" s="22"/>
      <c r="W26" s="22"/>
      <c r="X26" s="22"/>
      <c r="Y26" s="22"/>
      <c r="Z26" s="22"/>
    </row>
    <row r="27" spans="1:26">
      <c r="A27" s="27" t="s">
        <v>23</v>
      </c>
      <c r="B27" s="26">
        <v>1746864</v>
      </c>
      <c r="C27" s="25">
        <v>140414</v>
      </c>
      <c r="D27" s="226">
        <f t="shared" si="0"/>
        <v>8.0380613487941815E-2</v>
      </c>
      <c r="E27" s="31">
        <f t="shared" si="1"/>
        <v>5.92266243807769E-3</v>
      </c>
      <c r="F27" s="62">
        <v>194672</v>
      </c>
      <c r="G27" s="213">
        <f t="shared" si="2"/>
        <v>-0.2787149667132407</v>
      </c>
      <c r="H27" s="29">
        <f t="shared" si="3"/>
        <v>0</v>
      </c>
      <c r="I27" s="23">
        <f t="shared" si="4"/>
        <v>0</v>
      </c>
      <c r="J27" s="28">
        <f t="shared" si="5"/>
        <v>6.7365226668832768E-5</v>
      </c>
      <c r="L27" s="27" t="s">
        <v>23</v>
      </c>
      <c r="M27" s="26">
        <f t="shared" si="6"/>
        <v>110880.74670208812</v>
      </c>
      <c r="N27" s="25">
        <f t="shared" si="7"/>
        <v>0</v>
      </c>
      <c r="O27" s="24">
        <f t="shared" si="8"/>
        <v>504.46951605906247</v>
      </c>
      <c r="P27" s="214">
        <f t="shared" si="10"/>
        <v>111385.21621814718</v>
      </c>
      <c r="Q27" s="246">
        <f t="shared" si="9"/>
        <v>2.9748042643726116E-3</v>
      </c>
      <c r="S27" s="22"/>
      <c r="T27" s="22"/>
      <c r="U27" s="22"/>
      <c r="V27" s="22"/>
      <c r="W27" s="22"/>
      <c r="X27" s="22"/>
      <c r="Y27" s="22"/>
      <c r="Z27" s="22"/>
    </row>
    <row r="28" spans="1:26">
      <c r="A28" s="27" t="s">
        <v>24</v>
      </c>
      <c r="B28" s="26">
        <v>63133792</v>
      </c>
      <c r="C28" s="25">
        <v>9156806</v>
      </c>
      <c r="D28" s="226">
        <f t="shared" si="0"/>
        <v>0.14503811207791859</v>
      </c>
      <c r="E28" s="31">
        <f t="shared" si="1"/>
        <v>1.0686802964280113E-2</v>
      </c>
      <c r="F28" s="62">
        <v>7133102</v>
      </c>
      <c r="G28" s="213">
        <f t="shared" si="2"/>
        <v>0.28370602298971748</v>
      </c>
      <c r="H28" s="29">
        <f t="shared" si="3"/>
        <v>0.28370602298971748</v>
      </c>
      <c r="I28" s="23">
        <f t="shared" si="4"/>
        <v>9.9146206006170037E-2</v>
      </c>
      <c r="J28" s="28">
        <f t="shared" si="5"/>
        <v>4.3930826823003971E-3</v>
      </c>
      <c r="L28" s="27" t="s">
        <v>24</v>
      </c>
      <c r="M28" s="26">
        <f t="shared" si="6"/>
        <v>200072.29939683489</v>
      </c>
      <c r="N28" s="25">
        <f t="shared" si="7"/>
        <v>1113695.6194529939</v>
      </c>
      <c r="O28" s="24">
        <f t="shared" si="8"/>
        <v>32897.926784129217</v>
      </c>
      <c r="P28" s="214">
        <f t="shared" si="10"/>
        <v>1346665.8456339578</v>
      </c>
      <c r="Q28" s="246">
        <f t="shared" si="9"/>
        <v>3.5965879820451137E-2</v>
      </c>
      <c r="S28" s="22"/>
      <c r="T28" s="22"/>
      <c r="U28" s="22"/>
      <c r="V28" s="22"/>
      <c r="W28" s="22"/>
      <c r="X28" s="22"/>
      <c r="Y28" s="22"/>
      <c r="Z28" s="22"/>
    </row>
    <row r="29" spans="1:26">
      <c r="A29" s="27" t="s">
        <v>25</v>
      </c>
      <c r="B29" s="26">
        <v>516795710.3599999</v>
      </c>
      <c r="C29" s="25">
        <v>215375991.11000001</v>
      </c>
      <c r="D29" s="226">
        <f t="shared" si="0"/>
        <v>0.41675266801260619</v>
      </c>
      <c r="E29" s="31">
        <f t="shared" si="1"/>
        <v>3.0707471188649249E-2</v>
      </c>
      <c r="F29" s="62">
        <v>259353547.03</v>
      </c>
      <c r="G29" s="213">
        <f t="shared" si="2"/>
        <v>-0.16956604767357586</v>
      </c>
      <c r="H29" s="29">
        <f t="shared" si="3"/>
        <v>0</v>
      </c>
      <c r="I29" s="23">
        <f t="shared" si="4"/>
        <v>0</v>
      </c>
      <c r="J29" s="28">
        <f t="shared" si="5"/>
        <v>0.10332910151515991</v>
      </c>
      <c r="L29" s="27" t="s">
        <v>25</v>
      </c>
      <c r="M29" s="26">
        <f t="shared" si="6"/>
        <v>574887.96133979887</v>
      </c>
      <c r="N29" s="25">
        <f t="shared" si="7"/>
        <v>0</v>
      </c>
      <c r="O29" s="24">
        <f t="shared" si="8"/>
        <v>773787.67078783212</v>
      </c>
      <c r="P29" s="214">
        <f t="shared" si="10"/>
        <v>1348675.632127631</v>
      </c>
      <c r="Q29" s="246">
        <f t="shared" si="9"/>
        <v>3.6019555897356607E-2</v>
      </c>
      <c r="S29" s="22"/>
      <c r="T29" s="22"/>
      <c r="U29" s="22"/>
      <c r="V29" s="22"/>
      <c r="W29" s="22"/>
      <c r="X29" s="22"/>
      <c r="Y29" s="22"/>
      <c r="Z29" s="22"/>
    </row>
    <row r="30" spans="1:26">
      <c r="A30" s="27" t="s">
        <v>26</v>
      </c>
      <c r="B30" s="26">
        <v>997290</v>
      </c>
      <c r="C30" s="25">
        <v>288216.5</v>
      </c>
      <c r="D30" s="226">
        <f t="shared" si="0"/>
        <v>0.28899968915761715</v>
      </c>
      <c r="E30" s="31">
        <f t="shared" si="1"/>
        <v>2.1294283899023957E-2</v>
      </c>
      <c r="F30" s="62">
        <v>294751</v>
      </c>
      <c r="G30" s="213">
        <f t="shared" si="2"/>
        <v>-2.2169560069346672E-2</v>
      </c>
      <c r="H30" s="29">
        <f t="shared" si="3"/>
        <v>0</v>
      </c>
      <c r="I30" s="23">
        <f t="shared" si="4"/>
        <v>0</v>
      </c>
      <c r="J30" s="28">
        <f t="shared" si="5"/>
        <v>1.3827517093877847E-4</v>
      </c>
      <c r="L30" s="27" t="s">
        <v>26</v>
      </c>
      <c r="M30" s="26">
        <f t="shared" si="6"/>
        <v>398659.57648202148</v>
      </c>
      <c r="N30" s="25">
        <f t="shared" si="7"/>
        <v>0</v>
      </c>
      <c r="O30" s="24">
        <f t="shared" si="8"/>
        <v>1035.4839138208213</v>
      </c>
      <c r="P30" s="214">
        <f t="shared" si="10"/>
        <v>399695.0603958423</v>
      </c>
      <c r="Q30" s="246">
        <f t="shared" si="9"/>
        <v>1.0674796983699733E-2</v>
      </c>
      <c r="S30" s="22"/>
      <c r="T30" s="22"/>
      <c r="U30" s="22"/>
      <c r="V30" s="22"/>
      <c r="W30" s="22"/>
      <c r="X30" s="22"/>
      <c r="Y30" s="22"/>
      <c r="Z30" s="22"/>
    </row>
    <row r="31" spans="1:26">
      <c r="A31" s="27" t="s">
        <v>27</v>
      </c>
      <c r="B31" s="26">
        <v>2347113</v>
      </c>
      <c r="C31" s="25">
        <v>518824</v>
      </c>
      <c r="D31" s="226">
        <f t="shared" si="0"/>
        <v>0.22104772970027434</v>
      </c>
      <c r="E31" s="31">
        <f t="shared" si="1"/>
        <v>1.6287398526941593E-2</v>
      </c>
      <c r="F31" s="62">
        <v>501704</v>
      </c>
      <c r="G31" s="213">
        <f t="shared" si="2"/>
        <v>3.4123706408559551E-2</v>
      </c>
      <c r="H31" s="29">
        <f t="shared" si="3"/>
        <v>3.4123706408559551E-2</v>
      </c>
      <c r="I31" s="23">
        <f t="shared" si="4"/>
        <v>1.1925146987097028E-2</v>
      </c>
      <c r="J31" s="28">
        <f t="shared" si="5"/>
        <v>2.4891176350812948E-4</v>
      </c>
      <c r="L31" s="27" t="s">
        <v>27</v>
      </c>
      <c r="M31" s="26">
        <f t="shared" si="6"/>
        <v>304923.49165317812</v>
      </c>
      <c r="N31" s="25">
        <f t="shared" si="7"/>
        <v>133953.52677475658</v>
      </c>
      <c r="O31" s="24">
        <f t="shared" si="8"/>
        <v>1863.9942754983622</v>
      </c>
      <c r="P31" s="214">
        <f t="shared" si="10"/>
        <v>440741.01270343311</v>
      </c>
      <c r="Q31" s="246">
        <f t="shared" si="9"/>
        <v>1.1771025712301533E-2</v>
      </c>
      <c r="S31" s="22"/>
      <c r="T31" s="22"/>
      <c r="U31" s="22"/>
      <c r="V31" s="22"/>
      <c r="W31" s="22"/>
      <c r="X31" s="22"/>
      <c r="Y31" s="22"/>
      <c r="Z31" s="22"/>
    </row>
    <row r="32" spans="1:26">
      <c r="A32" s="27" t="s">
        <v>28</v>
      </c>
      <c r="B32" s="26">
        <v>702996</v>
      </c>
      <c r="C32" s="25">
        <v>336929</v>
      </c>
      <c r="D32" s="226">
        <f t="shared" si="0"/>
        <v>0.47927584225230302</v>
      </c>
      <c r="E32" s="31">
        <f t="shared" si="1"/>
        <v>3.531434888602325E-2</v>
      </c>
      <c r="F32" s="62">
        <v>314751</v>
      </c>
      <c r="G32" s="213">
        <f t="shared" si="2"/>
        <v>7.0462047777449577E-2</v>
      </c>
      <c r="H32" s="29">
        <f t="shared" si="3"/>
        <v>7.0462047777449577E-2</v>
      </c>
      <c r="I32" s="23">
        <f t="shared" si="4"/>
        <v>2.4624238255290091E-2</v>
      </c>
      <c r="J32" s="28">
        <f t="shared" si="5"/>
        <v>1.6164555141441137E-4</v>
      </c>
      <c r="L32" s="27" t="s">
        <v>28</v>
      </c>
      <c r="M32" s="26">
        <f t="shared" si="6"/>
        <v>661135.32802507968</v>
      </c>
      <c r="N32" s="25">
        <f t="shared" si="7"/>
        <v>276600.6626171532</v>
      </c>
      <c r="O32" s="24">
        <f t="shared" si="8"/>
        <v>1210.4947482178691</v>
      </c>
      <c r="P32" s="214">
        <f t="shared" si="10"/>
        <v>938946.48539045069</v>
      </c>
      <c r="Q32" s="246">
        <f t="shared" si="9"/>
        <v>2.507677502988153E-2</v>
      </c>
      <c r="S32" s="22"/>
      <c r="T32" s="22"/>
      <c r="U32" s="22"/>
      <c r="V32" s="22"/>
      <c r="W32" s="22"/>
      <c r="X32" s="22"/>
      <c r="Y32" s="22"/>
      <c r="Z32" s="22"/>
    </row>
    <row r="33" spans="1:26">
      <c r="A33" s="27" t="s">
        <v>29</v>
      </c>
      <c r="B33" s="26">
        <v>1978005</v>
      </c>
      <c r="C33" s="25">
        <v>629171</v>
      </c>
      <c r="D33" s="226">
        <f t="shared" si="0"/>
        <v>0.31808362466222279</v>
      </c>
      <c r="E33" s="31">
        <f t="shared" si="1"/>
        <v>2.3437267448041563E-2</v>
      </c>
      <c r="F33" s="62">
        <v>586273</v>
      </c>
      <c r="G33" s="213">
        <f t="shared" si="2"/>
        <v>7.3170690105121672E-2</v>
      </c>
      <c r="H33" s="29">
        <f t="shared" si="3"/>
        <v>7.3170690105121672E-2</v>
      </c>
      <c r="I33" s="23">
        <f t="shared" si="4"/>
        <v>2.5570822354515022E-2</v>
      </c>
      <c r="J33" s="28">
        <f t="shared" si="5"/>
        <v>3.0185200213978794E-4</v>
      </c>
      <c r="L33" s="27" t="s">
        <v>29</v>
      </c>
      <c r="M33" s="26">
        <f t="shared" si="6"/>
        <v>438779.30617616995</v>
      </c>
      <c r="N33" s="25">
        <f t="shared" si="7"/>
        <v>287233.51088453986</v>
      </c>
      <c r="O33" s="24">
        <f t="shared" si="8"/>
        <v>2260.4411945275856</v>
      </c>
      <c r="P33" s="214">
        <f t="shared" si="10"/>
        <v>728273.25825523736</v>
      </c>
      <c r="Q33" s="246">
        <f t="shared" si="9"/>
        <v>1.9450250830803244E-2</v>
      </c>
      <c r="S33" s="22"/>
      <c r="T33" s="22"/>
      <c r="U33" s="22"/>
      <c r="V33" s="22"/>
      <c r="W33" s="22"/>
      <c r="X33" s="22"/>
      <c r="Y33" s="22"/>
      <c r="Z33" s="22"/>
    </row>
    <row r="34" spans="1:26">
      <c r="A34" s="27" t="s">
        <v>30</v>
      </c>
      <c r="B34" s="26">
        <v>579083</v>
      </c>
      <c r="C34" s="25">
        <v>112915</v>
      </c>
      <c r="D34" s="226">
        <f t="shared" si="0"/>
        <v>0.19498931932037375</v>
      </c>
      <c r="E34" s="31">
        <f t="shared" si="1"/>
        <v>1.4367343906106889E-2</v>
      </c>
      <c r="F34" s="62">
        <v>107675</v>
      </c>
      <c r="G34" s="213">
        <f t="shared" si="2"/>
        <v>4.866496401207332E-2</v>
      </c>
      <c r="H34" s="29">
        <f t="shared" si="3"/>
        <v>4.866496401207332E-2</v>
      </c>
      <c r="I34" s="23">
        <f t="shared" si="4"/>
        <v>1.7006852714574711E-2</v>
      </c>
      <c r="J34" s="28">
        <f t="shared" si="5"/>
        <v>5.4172266079673339E-5</v>
      </c>
      <c r="L34" s="27" t="s">
        <v>30</v>
      </c>
      <c r="M34" s="26">
        <f t="shared" si="6"/>
        <v>268977.31165510847</v>
      </c>
      <c r="N34" s="25">
        <f t="shared" si="7"/>
        <v>191035.62437603934</v>
      </c>
      <c r="O34" s="24">
        <f t="shared" si="8"/>
        <v>405.67304831291068</v>
      </c>
      <c r="P34" s="214">
        <f t="shared" si="10"/>
        <v>460418.60907946073</v>
      </c>
      <c r="Q34" s="246">
        <f t="shared" si="9"/>
        <v>1.2296562220641793E-2</v>
      </c>
      <c r="S34" s="22"/>
      <c r="T34" s="22"/>
      <c r="U34" s="22"/>
      <c r="V34" s="22"/>
      <c r="W34" s="22"/>
      <c r="X34" s="22"/>
      <c r="Y34" s="22"/>
      <c r="Z34" s="22"/>
    </row>
    <row r="35" spans="1:26">
      <c r="A35" s="27" t="s">
        <v>31</v>
      </c>
      <c r="B35" s="26"/>
      <c r="C35" s="25"/>
      <c r="D35" s="226">
        <f t="shared" si="0"/>
        <v>0</v>
      </c>
      <c r="E35" s="31">
        <f t="shared" si="1"/>
        <v>0</v>
      </c>
      <c r="F35" s="62">
        <v>0</v>
      </c>
      <c r="G35" s="213">
        <f t="shared" si="2"/>
        <v>0</v>
      </c>
      <c r="H35" s="29">
        <f t="shared" si="3"/>
        <v>0</v>
      </c>
      <c r="I35" s="23">
        <f t="shared" si="4"/>
        <v>0</v>
      </c>
      <c r="J35" s="28">
        <f t="shared" si="5"/>
        <v>0</v>
      </c>
      <c r="L35" s="27" t="s">
        <v>31</v>
      </c>
      <c r="M35" s="26">
        <f t="shared" si="6"/>
        <v>0</v>
      </c>
      <c r="N35" s="25">
        <f t="shared" si="7"/>
        <v>0</v>
      </c>
      <c r="O35" s="24">
        <f t="shared" si="8"/>
        <v>0</v>
      </c>
      <c r="P35" s="214">
        <f t="shared" si="10"/>
        <v>0</v>
      </c>
      <c r="Q35" s="246">
        <f t="shared" si="9"/>
        <v>0</v>
      </c>
      <c r="S35" s="22"/>
      <c r="T35" s="22"/>
      <c r="U35" s="22"/>
      <c r="V35" s="22"/>
      <c r="W35" s="22"/>
      <c r="X35" s="22"/>
      <c r="Y35" s="22"/>
      <c r="Z35" s="22"/>
    </row>
    <row r="36" spans="1:26">
      <c r="A36" s="27" t="s">
        <v>32</v>
      </c>
      <c r="B36" s="26">
        <v>3788861</v>
      </c>
      <c r="C36" s="25">
        <v>1194083</v>
      </c>
      <c r="D36" s="226">
        <f t="shared" si="0"/>
        <v>0.3151561907391166</v>
      </c>
      <c r="E36" s="31">
        <f t="shared" si="1"/>
        <v>2.3221566146645844E-2</v>
      </c>
      <c r="F36" s="62">
        <v>1383880</v>
      </c>
      <c r="G36" s="213">
        <f t="shared" si="2"/>
        <v>-0.13714845217793448</v>
      </c>
      <c r="H36" s="29">
        <f t="shared" si="3"/>
        <v>0</v>
      </c>
      <c r="I36" s="23">
        <f t="shared" si="4"/>
        <v>0</v>
      </c>
      <c r="J36" s="28">
        <f t="shared" si="5"/>
        <v>5.7287501215263321E-4</v>
      </c>
      <c r="L36" s="27" t="s">
        <v>32</v>
      </c>
      <c r="M36" s="26">
        <f t="shared" si="6"/>
        <v>434741.06803353957</v>
      </c>
      <c r="N36" s="25">
        <f t="shared" si="7"/>
        <v>0</v>
      </c>
      <c r="O36" s="24">
        <f t="shared" si="8"/>
        <v>4290.0171859241491</v>
      </c>
      <c r="P36" s="214">
        <f t="shared" si="10"/>
        <v>439031.08521946374</v>
      </c>
      <c r="Q36" s="246">
        <f t="shared" si="9"/>
        <v>1.1725358075753449E-2</v>
      </c>
      <c r="S36" s="22"/>
      <c r="T36" s="22"/>
      <c r="U36" s="22"/>
      <c r="V36" s="22"/>
      <c r="W36" s="22"/>
      <c r="X36" s="22"/>
      <c r="Y36" s="22"/>
      <c r="Z36" s="22"/>
    </row>
    <row r="37" spans="1:26">
      <c r="A37" s="27" t="s">
        <v>33</v>
      </c>
      <c r="B37" s="26">
        <v>39384069</v>
      </c>
      <c r="C37" s="25">
        <v>10280239</v>
      </c>
      <c r="D37" s="226">
        <f t="shared" si="0"/>
        <v>0.26102531457579969</v>
      </c>
      <c r="E37" s="31">
        <f t="shared" si="1"/>
        <v>1.9233055819577908E-2</v>
      </c>
      <c r="F37" s="62">
        <v>10865396</v>
      </c>
      <c r="G37" s="213">
        <f t="shared" si="2"/>
        <v>-5.385510109341618E-2</v>
      </c>
      <c r="H37" s="29">
        <f t="shared" si="3"/>
        <v>0</v>
      </c>
      <c r="I37" s="23">
        <f t="shared" si="4"/>
        <v>0</v>
      </c>
      <c r="J37" s="28">
        <f t="shared" si="5"/>
        <v>4.9320625467886023E-3</v>
      </c>
      <c r="L37" s="27" t="s">
        <v>33</v>
      </c>
      <c r="M37" s="26">
        <f t="shared" si="6"/>
        <v>360070.42659177905</v>
      </c>
      <c r="N37" s="25">
        <f t="shared" si="7"/>
        <v>0</v>
      </c>
      <c r="O37" s="24">
        <f t="shared" si="8"/>
        <v>36934.117632867812</v>
      </c>
      <c r="P37" s="214">
        <f t="shared" si="10"/>
        <v>397004.54422464687</v>
      </c>
      <c r="Q37" s="246">
        <f t="shared" si="9"/>
        <v>1.0602940419146676E-2</v>
      </c>
      <c r="S37" s="22"/>
      <c r="T37" s="22"/>
      <c r="U37" s="22"/>
      <c r="V37" s="22"/>
      <c r="W37" s="22"/>
      <c r="X37" s="22"/>
      <c r="Y37" s="22"/>
      <c r="Z37" s="22"/>
    </row>
    <row r="38" spans="1:26">
      <c r="A38" s="27" t="s">
        <v>34</v>
      </c>
      <c r="B38" s="26">
        <v>2191945</v>
      </c>
      <c r="C38" s="25">
        <v>940947</v>
      </c>
      <c r="D38" s="226">
        <f t="shared" si="0"/>
        <v>0.42927491337601992</v>
      </c>
      <c r="E38" s="31">
        <f t="shared" si="1"/>
        <v>3.1630144318848842E-2</v>
      </c>
      <c r="F38" s="62">
        <v>1126052</v>
      </c>
      <c r="G38" s="213">
        <f t="shared" si="2"/>
        <v>-0.16438406041639286</v>
      </c>
      <c r="H38" s="29">
        <f t="shared" si="3"/>
        <v>0</v>
      </c>
      <c r="I38" s="23">
        <f t="shared" si="4"/>
        <v>0</v>
      </c>
      <c r="J38" s="28">
        <f t="shared" si="5"/>
        <v>4.5143011336731516E-4</v>
      </c>
      <c r="L38" s="27" t="s">
        <v>34</v>
      </c>
      <c r="M38" s="26">
        <f t="shared" si="6"/>
        <v>592161.72743876465</v>
      </c>
      <c r="N38" s="25">
        <f t="shared" si="7"/>
        <v>0</v>
      </c>
      <c r="O38" s="24">
        <f t="shared" si="8"/>
        <v>3380.5680183402419</v>
      </c>
      <c r="P38" s="214">
        <f t="shared" si="10"/>
        <v>595542.29545710492</v>
      </c>
      <c r="Q38" s="246">
        <f t="shared" si="9"/>
        <v>1.5905358182097887E-2</v>
      </c>
      <c r="S38" s="22"/>
      <c r="T38" s="22"/>
      <c r="U38" s="22"/>
      <c r="V38" s="22"/>
      <c r="W38" s="22"/>
      <c r="X38" s="22"/>
      <c r="Y38" s="22"/>
      <c r="Z38" s="22"/>
    </row>
    <row r="39" spans="1:26">
      <c r="A39" s="27" t="s">
        <v>35</v>
      </c>
      <c r="B39" s="26">
        <v>739738</v>
      </c>
      <c r="C39" s="25">
        <v>301669</v>
      </c>
      <c r="D39" s="226">
        <f t="shared" si="0"/>
        <v>0.40780519589368125</v>
      </c>
      <c r="E39" s="31">
        <f t="shared" si="1"/>
        <v>3.0048197083426677E-2</v>
      </c>
      <c r="F39" s="62">
        <v>319251</v>
      </c>
      <c r="G39" s="213">
        <f t="shared" si="2"/>
        <v>-5.5072654431779333E-2</v>
      </c>
      <c r="H39" s="29">
        <f t="shared" si="3"/>
        <v>0</v>
      </c>
      <c r="I39" s="23">
        <f t="shared" si="4"/>
        <v>0</v>
      </c>
      <c r="J39" s="28">
        <f t="shared" si="5"/>
        <v>1.4472916207757143E-4</v>
      </c>
      <c r="L39" s="27" t="s">
        <v>35</v>
      </c>
      <c r="M39" s="26">
        <f t="shared" si="6"/>
        <v>562545.40327022981</v>
      </c>
      <c r="N39" s="25">
        <f t="shared" si="7"/>
        <v>0</v>
      </c>
      <c r="O39" s="24">
        <f t="shared" si="8"/>
        <v>1083.8151070407605</v>
      </c>
      <c r="P39" s="214">
        <f t="shared" si="10"/>
        <v>563629.21837727062</v>
      </c>
      <c r="Q39" s="246">
        <f t="shared" si="9"/>
        <v>1.5053044374128854E-2</v>
      </c>
      <c r="S39" s="22"/>
      <c r="T39" s="22"/>
      <c r="U39" s="22"/>
      <c r="V39" s="22"/>
      <c r="W39" s="22"/>
      <c r="X39" s="22"/>
      <c r="Y39" s="22"/>
      <c r="Z39" s="22"/>
    </row>
    <row r="40" spans="1:26">
      <c r="A40" s="27" t="s">
        <v>36</v>
      </c>
      <c r="B40" s="26">
        <v>841795</v>
      </c>
      <c r="C40" s="25">
        <v>64774</v>
      </c>
      <c r="D40" s="226">
        <f t="shared" si="0"/>
        <v>7.6947475335443896E-2</v>
      </c>
      <c r="E40" s="31">
        <f t="shared" si="1"/>
        <v>5.6696994722802083E-3</v>
      </c>
      <c r="F40" s="62">
        <v>69817</v>
      </c>
      <c r="G40" s="213">
        <f t="shared" si="2"/>
        <v>-7.2231691421860034E-2</v>
      </c>
      <c r="H40" s="29">
        <f t="shared" si="3"/>
        <v>0</v>
      </c>
      <c r="I40" s="23">
        <f t="shared" si="4"/>
        <v>0</v>
      </c>
      <c r="J40" s="28">
        <f t="shared" si="5"/>
        <v>3.1076069282599838E-5</v>
      </c>
      <c r="L40" s="27" t="s">
        <v>36</v>
      </c>
      <c r="M40" s="26">
        <f t="shared" si="6"/>
        <v>106144.91668833111</v>
      </c>
      <c r="N40" s="25">
        <f t="shared" si="7"/>
        <v>0</v>
      </c>
      <c r="O40" s="24">
        <f t="shared" si="8"/>
        <v>232.71545880901985</v>
      </c>
      <c r="P40" s="214">
        <f t="shared" si="10"/>
        <v>106377.63214714013</v>
      </c>
      <c r="Q40" s="246">
        <f t="shared" si="9"/>
        <v>2.8410649499966238E-3</v>
      </c>
      <c r="S40" s="22"/>
      <c r="T40" s="22"/>
      <c r="U40" s="22"/>
      <c r="V40" s="22"/>
      <c r="W40" s="22"/>
      <c r="X40" s="22"/>
      <c r="Y40" s="22"/>
      <c r="Z40" s="22"/>
    </row>
    <row r="41" spans="1:26">
      <c r="A41" s="27" t="s">
        <v>37</v>
      </c>
      <c r="B41" s="26">
        <v>4742394</v>
      </c>
      <c r="C41" s="25">
        <v>1105076</v>
      </c>
      <c r="D41" s="226">
        <f t="shared" si="0"/>
        <v>0.23302070641958469</v>
      </c>
      <c r="E41" s="31">
        <f t="shared" si="1"/>
        <v>1.7169600048059317E-2</v>
      </c>
      <c r="F41" s="62">
        <v>875732</v>
      </c>
      <c r="G41" s="213">
        <f t="shared" si="2"/>
        <v>0.26188834026848395</v>
      </c>
      <c r="H41" s="29">
        <f t="shared" si="3"/>
        <v>0.26188834026848395</v>
      </c>
      <c r="I41" s="23">
        <f t="shared" si="4"/>
        <v>9.1521621787402585E-2</v>
      </c>
      <c r="J41" s="28">
        <f t="shared" si="5"/>
        <v>5.301728832330611E-4</v>
      </c>
      <c r="L41" s="27" t="s">
        <v>37</v>
      </c>
      <c r="M41" s="26">
        <f t="shared" si="6"/>
        <v>321439.57110662747</v>
      </c>
      <c r="N41" s="25">
        <f t="shared" si="7"/>
        <v>1028049.7194569487</v>
      </c>
      <c r="O41" s="24">
        <f t="shared" si="8"/>
        <v>3970.23911382401</v>
      </c>
      <c r="P41" s="214">
        <f t="shared" si="10"/>
        <v>1353459.5296774001</v>
      </c>
      <c r="Q41" s="246">
        <f t="shared" si="9"/>
        <v>3.6147321136897045E-2</v>
      </c>
      <c r="S41" s="22"/>
      <c r="T41" s="22"/>
      <c r="U41" s="22"/>
      <c r="V41" s="22"/>
      <c r="W41" s="22"/>
      <c r="X41" s="22"/>
      <c r="Y41" s="22"/>
      <c r="Z41" s="22"/>
    </row>
    <row r="42" spans="1:26">
      <c r="A42" s="27" t="s">
        <v>38</v>
      </c>
      <c r="B42" s="26">
        <v>59084249</v>
      </c>
      <c r="C42" s="25">
        <v>16891683.199999999</v>
      </c>
      <c r="D42" s="226">
        <f t="shared" si="0"/>
        <v>0.2858914767622755</v>
      </c>
      <c r="E42" s="31">
        <f t="shared" si="1"/>
        <v>2.1065262347624389E-2</v>
      </c>
      <c r="F42" s="62">
        <v>15135193.17</v>
      </c>
      <c r="G42" s="213">
        <f t="shared" si="2"/>
        <v>0.1160533605531775</v>
      </c>
      <c r="H42" s="29">
        <f t="shared" si="3"/>
        <v>0.1160533605531775</v>
      </c>
      <c r="I42" s="23">
        <f t="shared" si="4"/>
        <v>4.0556947899307347E-2</v>
      </c>
      <c r="J42" s="28">
        <f t="shared" si="5"/>
        <v>8.1039787171230393E-3</v>
      </c>
      <c r="L42" s="27" t="s">
        <v>38</v>
      </c>
      <c r="M42" s="26">
        <f t="shared" si="6"/>
        <v>394371.96412937541</v>
      </c>
      <c r="N42" s="25">
        <f t="shared" si="7"/>
        <v>455570.58644312632</v>
      </c>
      <c r="O42" s="24">
        <f t="shared" si="8"/>
        <v>60687.248061639126</v>
      </c>
      <c r="P42" s="214">
        <f t="shared" si="10"/>
        <v>910629.79863414087</v>
      </c>
      <c r="Q42" s="246">
        <f t="shared" si="9"/>
        <v>2.4320511287029004E-2</v>
      </c>
      <c r="S42" s="22"/>
      <c r="T42" s="22"/>
      <c r="U42" s="22"/>
      <c r="V42" s="22"/>
      <c r="W42" s="22"/>
      <c r="X42" s="22"/>
      <c r="Y42" s="22"/>
      <c r="Z42" s="22"/>
    </row>
    <row r="43" spans="1:26">
      <c r="A43" s="27" t="s">
        <v>39</v>
      </c>
      <c r="B43" s="26"/>
      <c r="C43" s="25"/>
      <c r="D43" s="226">
        <f t="shared" si="0"/>
        <v>0</v>
      </c>
      <c r="E43" s="31">
        <f t="shared" si="1"/>
        <v>0</v>
      </c>
      <c r="F43" s="62">
        <v>0</v>
      </c>
      <c r="G43" s="213">
        <f t="shared" si="2"/>
        <v>0</v>
      </c>
      <c r="H43" s="29">
        <f t="shared" si="3"/>
        <v>0</v>
      </c>
      <c r="I43" s="23">
        <f t="shared" si="4"/>
        <v>0</v>
      </c>
      <c r="J43" s="28">
        <f t="shared" si="5"/>
        <v>0</v>
      </c>
      <c r="L43" s="27" t="s">
        <v>39</v>
      </c>
      <c r="M43" s="26">
        <f t="shared" si="6"/>
        <v>0</v>
      </c>
      <c r="N43" s="25">
        <f t="shared" si="7"/>
        <v>0</v>
      </c>
      <c r="O43" s="24">
        <f t="shared" si="8"/>
        <v>0</v>
      </c>
      <c r="P43" s="214">
        <f t="shared" si="10"/>
        <v>0</v>
      </c>
      <c r="Q43" s="246">
        <f t="shared" si="9"/>
        <v>0</v>
      </c>
      <c r="S43" s="22"/>
      <c r="T43" s="22"/>
      <c r="U43" s="22"/>
      <c r="V43" s="22"/>
      <c r="W43" s="22"/>
      <c r="X43" s="22"/>
      <c r="Y43" s="22"/>
      <c r="Z43" s="22"/>
    </row>
    <row r="44" spans="1:26">
      <c r="A44" s="27" t="s">
        <v>40</v>
      </c>
      <c r="B44" s="26">
        <v>1346236</v>
      </c>
      <c r="C44" s="25">
        <v>451420</v>
      </c>
      <c r="D44" s="226">
        <f t="shared" si="0"/>
        <v>0.33532010732145034</v>
      </c>
      <c r="E44" s="31">
        <f t="shared" si="1"/>
        <v>2.4707298416711626E-2</v>
      </c>
      <c r="F44" s="62">
        <v>468889</v>
      </c>
      <c r="G44" s="213">
        <f t="shared" si="2"/>
        <v>-3.7256152308968615E-2</v>
      </c>
      <c r="H44" s="29">
        <f t="shared" si="3"/>
        <v>0</v>
      </c>
      <c r="I44" s="23">
        <f t="shared" si="4"/>
        <v>0</v>
      </c>
      <c r="J44" s="28">
        <f t="shared" si="5"/>
        <v>2.1657392156654244E-4</v>
      </c>
      <c r="L44" s="27" t="s">
        <v>40</v>
      </c>
      <c r="M44" s="26">
        <f t="shared" si="6"/>
        <v>462556.10987099929</v>
      </c>
      <c r="N44" s="25">
        <f t="shared" si="7"/>
        <v>0</v>
      </c>
      <c r="O44" s="24">
        <f t="shared" si="8"/>
        <v>1621.8299381784011</v>
      </c>
      <c r="P44" s="214">
        <f t="shared" si="10"/>
        <v>464177.93980917771</v>
      </c>
      <c r="Q44" s="246">
        <f t="shared" si="9"/>
        <v>1.2396963992669121E-2</v>
      </c>
      <c r="S44" s="22"/>
      <c r="T44" s="22"/>
      <c r="U44" s="22"/>
      <c r="V44" s="22"/>
      <c r="W44" s="22"/>
      <c r="X44" s="22"/>
      <c r="Y44" s="22"/>
      <c r="Z44" s="22"/>
    </row>
    <row r="45" spans="1:26">
      <c r="A45" s="27" t="s">
        <v>41</v>
      </c>
      <c r="B45" s="26">
        <v>105243330.84</v>
      </c>
      <c r="C45" s="25">
        <v>17252658</v>
      </c>
      <c r="D45" s="226">
        <f t="shared" si="0"/>
        <v>0.16393112857886435</v>
      </c>
      <c r="E45" s="31">
        <f t="shared" si="1"/>
        <v>1.2078891856322714E-2</v>
      </c>
      <c r="F45" s="62">
        <v>15857010</v>
      </c>
      <c r="G45" s="213">
        <f t="shared" si="2"/>
        <v>8.8014575257252092E-2</v>
      </c>
      <c r="H45" s="29">
        <f t="shared" si="3"/>
        <v>8.8014575257252092E-2</v>
      </c>
      <c r="I45" s="23">
        <f t="shared" si="4"/>
        <v>3.0758286757688415E-2</v>
      </c>
      <c r="J45" s="28">
        <f t="shared" si="5"/>
        <v>8.277160516827746E-3</v>
      </c>
      <c r="L45" s="27" t="s">
        <v>41</v>
      </c>
      <c r="M45" s="26">
        <f t="shared" si="6"/>
        <v>226134.20271129513</v>
      </c>
      <c r="N45" s="25">
        <f t="shared" si="7"/>
        <v>345503.58106274734</v>
      </c>
      <c r="O45" s="24">
        <f t="shared" si="8"/>
        <v>61984.132864190993</v>
      </c>
      <c r="P45" s="214">
        <f t="shared" si="10"/>
        <v>633621.91663823347</v>
      </c>
      <c r="Q45" s="246">
        <f t="shared" si="9"/>
        <v>1.692236405883343E-2</v>
      </c>
      <c r="S45" s="22"/>
      <c r="T45" s="22"/>
      <c r="U45" s="22"/>
      <c r="V45" s="22"/>
      <c r="W45" s="22"/>
      <c r="X45" s="22"/>
      <c r="Y45" s="22"/>
      <c r="Z45" s="22"/>
    </row>
    <row r="46" spans="1:26">
      <c r="A46" s="27" t="s">
        <v>42</v>
      </c>
      <c r="B46" s="26">
        <v>7778604</v>
      </c>
      <c r="C46" s="25">
        <v>1075933</v>
      </c>
      <c r="D46" s="226">
        <f t="shared" si="0"/>
        <v>0.13831954936901275</v>
      </c>
      <c r="E46" s="31">
        <f t="shared" si="1"/>
        <v>1.0191760972595446E-2</v>
      </c>
      <c r="F46" s="62">
        <v>1139783</v>
      </c>
      <c r="G46" s="213">
        <f t="shared" si="2"/>
        <v>-5.6019435278469643E-2</v>
      </c>
      <c r="H46" s="29">
        <f t="shared" si="3"/>
        <v>0</v>
      </c>
      <c r="I46" s="23">
        <f t="shared" si="4"/>
        <v>0</v>
      </c>
      <c r="J46" s="28">
        <f t="shared" si="5"/>
        <v>5.1619119479166787E-4</v>
      </c>
      <c r="L46" s="27" t="s">
        <v>42</v>
      </c>
      <c r="M46" s="26">
        <f t="shared" si="6"/>
        <v>190804.40235546636</v>
      </c>
      <c r="N46" s="25">
        <f t="shared" si="7"/>
        <v>0</v>
      </c>
      <c r="O46" s="24">
        <f t="shared" si="8"/>
        <v>3865.536198826152</v>
      </c>
      <c r="P46" s="214">
        <f t="shared" si="10"/>
        <v>194669.93855429252</v>
      </c>
      <c r="Q46" s="246">
        <f t="shared" si="9"/>
        <v>5.1991187252560566E-3</v>
      </c>
      <c r="S46" s="22"/>
      <c r="T46" s="22"/>
      <c r="U46" s="22"/>
      <c r="V46" s="22"/>
      <c r="W46" s="22"/>
      <c r="X46" s="22"/>
      <c r="Y46" s="22"/>
      <c r="Z46" s="22"/>
    </row>
    <row r="47" spans="1:26">
      <c r="A47" s="27" t="s">
        <v>43</v>
      </c>
      <c r="B47" s="26">
        <v>938475</v>
      </c>
      <c r="C47" s="25">
        <v>222448</v>
      </c>
      <c r="D47" s="226">
        <f t="shared" si="0"/>
        <v>0.23703135405844589</v>
      </c>
      <c r="E47" s="31">
        <f t="shared" si="1"/>
        <v>1.7465115485082096E-2</v>
      </c>
      <c r="F47" s="62">
        <v>622808</v>
      </c>
      <c r="G47" s="213">
        <f t="shared" si="2"/>
        <v>-0.64283053525324019</v>
      </c>
      <c r="H47" s="29">
        <f t="shared" si="3"/>
        <v>0</v>
      </c>
      <c r="I47" s="23">
        <f t="shared" si="4"/>
        <v>0</v>
      </c>
      <c r="J47" s="28">
        <f t="shared" si="5"/>
        <v>1.0672197887695325E-4</v>
      </c>
      <c r="L47" s="27" t="s">
        <v>43</v>
      </c>
      <c r="M47" s="26">
        <f t="shared" si="6"/>
        <v>326972.04449366633</v>
      </c>
      <c r="N47" s="25">
        <f t="shared" si="7"/>
        <v>0</v>
      </c>
      <c r="O47" s="24">
        <f t="shared" si="8"/>
        <v>799.19548555205563</v>
      </c>
      <c r="P47" s="214">
        <f t="shared" si="10"/>
        <v>327771.2399792184</v>
      </c>
      <c r="Q47" s="246">
        <f t="shared" si="9"/>
        <v>8.7539021383164391E-3</v>
      </c>
      <c r="S47" s="22"/>
      <c r="T47" s="22"/>
      <c r="U47" s="22"/>
      <c r="V47" s="22"/>
      <c r="W47" s="22"/>
      <c r="X47" s="22"/>
      <c r="Y47" s="22"/>
      <c r="Z47" s="22"/>
    </row>
    <row r="48" spans="1:26">
      <c r="A48" s="27" t="s">
        <v>44</v>
      </c>
      <c r="B48" s="26">
        <v>19310735</v>
      </c>
      <c r="C48" s="25">
        <v>7881801</v>
      </c>
      <c r="D48" s="226">
        <f t="shared" si="0"/>
        <v>0.4081564476960613</v>
      </c>
      <c r="E48" s="31">
        <f t="shared" si="1"/>
        <v>3.0074078272509359E-2</v>
      </c>
      <c r="F48" s="62">
        <v>9313018</v>
      </c>
      <c r="G48" s="213">
        <f t="shared" si="2"/>
        <v>-0.15367918326798036</v>
      </c>
      <c r="H48" s="29">
        <f t="shared" si="3"/>
        <v>0</v>
      </c>
      <c r="I48" s="23">
        <f t="shared" si="4"/>
        <v>0</v>
      </c>
      <c r="J48" s="28">
        <f t="shared" si="5"/>
        <v>3.7813844126912757E-3</v>
      </c>
      <c r="L48" s="27" t="s">
        <v>44</v>
      </c>
      <c r="M48" s="26">
        <f t="shared" si="6"/>
        <v>563029.93629925675</v>
      </c>
      <c r="N48" s="25">
        <f t="shared" si="7"/>
        <v>0</v>
      </c>
      <c r="O48" s="24">
        <f t="shared" si="8"/>
        <v>28317.17874388476</v>
      </c>
      <c r="P48" s="214">
        <f t="shared" si="10"/>
        <v>591347.11504314153</v>
      </c>
      <c r="Q48" s="246">
        <f t="shared" si="9"/>
        <v>1.5793316018792938E-2</v>
      </c>
      <c r="S48" s="22"/>
      <c r="T48" s="22"/>
      <c r="U48" s="22"/>
      <c r="V48" s="22"/>
      <c r="W48" s="22"/>
      <c r="X48" s="22"/>
      <c r="Y48" s="22"/>
      <c r="Z48" s="22"/>
    </row>
    <row r="49" spans="1:26">
      <c r="A49" s="27" t="s">
        <v>45</v>
      </c>
      <c r="B49" s="26">
        <v>125378961.84</v>
      </c>
      <c r="C49" s="25">
        <v>19038713.890000001</v>
      </c>
      <c r="D49" s="226">
        <f t="shared" si="0"/>
        <v>0.15184935024662188</v>
      </c>
      <c r="E49" s="31">
        <f t="shared" si="1"/>
        <v>1.1188673536151671E-2</v>
      </c>
      <c r="F49" s="62">
        <v>20380807</v>
      </c>
      <c r="G49" s="213">
        <f t="shared" si="2"/>
        <v>-6.5850832599513853E-2</v>
      </c>
      <c r="H49" s="29">
        <f t="shared" si="3"/>
        <v>0</v>
      </c>
      <c r="I49" s="23">
        <f t="shared" si="4"/>
        <v>0</v>
      </c>
      <c r="J49" s="28">
        <f t="shared" si="5"/>
        <v>9.1340413112859474E-3</v>
      </c>
      <c r="L49" s="27" t="s">
        <v>45</v>
      </c>
      <c r="M49" s="26">
        <f t="shared" si="6"/>
        <v>209468.0372662016</v>
      </c>
      <c r="N49" s="25">
        <f t="shared" si="7"/>
        <v>0</v>
      </c>
      <c r="O49" s="24">
        <f t="shared" si="8"/>
        <v>68400.948498548954</v>
      </c>
      <c r="P49" s="214">
        <f t="shared" si="10"/>
        <v>277868.98576475057</v>
      </c>
      <c r="Q49" s="246">
        <f t="shared" si="9"/>
        <v>7.4211450303330257E-3</v>
      </c>
      <c r="S49" s="22"/>
      <c r="T49" s="22"/>
      <c r="U49" s="22"/>
      <c r="V49" s="22"/>
      <c r="W49" s="22"/>
      <c r="X49" s="22"/>
      <c r="Y49" s="22"/>
      <c r="Z49" s="22"/>
    </row>
    <row r="50" spans="1:26">
      <c r="A50" s="27" t="s">
        <v>46</v>
      </c>
      <c r="B50" s="26">
        <v>658439418</v>
      </c>
      <c r="C50" s="25">
        <v>306694612.58999997</v>
      </c>
      <c r="D50" s="226">
        <f t="shared" si="0"/>
        <v>0.46579017629530794</v>
      </c>
      <c r="E50" s="31">
        <f t="shared" si="1"/>
        <v>3.4320688303575229E-2</v>
      </c>
      <c r="F50" s="62">
        <v>291911120</v>
      </c>
      <c r="G50" s="213">
        <f t="shared" si="2"/>
        <v>5.0643814425431977E-2</v>
      </c>
      <c r="H50" s="29">
        <f t="shared" si="3"/>
        <v>5.0643814425431977E-2</v>
      </c>
      <c r="I50" s="23">
        <f t="shared" si="4"/>
        <v>1.7698397817039326E-2</v>
      </c>
      <c r="J50" s="28">
        <f t="shared" si="5"/>
        <v>0.14714025734780864</v>
      </c>
      <c r="L50" s="27" t="s">
        <v>46</v>
      </c>
      <c r="M50" s="26">
        <f t="shared" si="6"/>
        <v>642532.5748710389</v>
      </c>
      <c r="N50" s="25">
        <f t="shared" si="7"/>
        <v>198803.65486649587</v>
      </c>
      <c r="O50" s="24">
        <f t="shared" si="8"/>
        <v>1101870.7735069077</v>
      </c>
      <c r="P50" s="214">
        <f t="shared" si="10"/>
        <v>1943207.0032444424</v>
      </c>
      <c r="Q50" s="246">
        <f t="shared" si="9"/>
        <v>5.1897914966461137E-2</v>
      </c>
      <c r="S50" s="22"/>
      <c r="T50" s="22"/>
      <c r="U50" s="22"/>
      <c r="V50" s="22"/>
      <c r="W50" s="22"/>
      <c r="X50" s="22"/>
      <c r="Y50" s="22"/>
      <c r="Z50" s="22"/>
    </row>
    <row r="51" spans="1:26">
      <c r="A51" s="27" t="s">
        <v>47</v>
      </c>
      <c r="B51" s="26">
        <v>1139151243</v>
      </c>
      <c r="C51" s="25">
        <v>671271036.40999997</v>
      </c>
      <c r="D51" s="226">
        <f t="shared" si="0"/>
        <v>0.58927297014765223</v>
      </c>
      <c r="E51" s="31">
        <f t="shared" si="1"/>
        <v>4.3419236736623477E-2</v>
      </c>
      <c r="F51" s="62">
        <v>707374780.13</v>
      </c>
      <c r="G51" s="213">
        <f t="shared" si="2"/>
        <v>-5.1039059822524324E-2</v>
      </c>
      <c r="H51" s="29">
        <f t="shared" si="3"/>
        <v>0</v>
      </c>
      <c r="I51" s="23">
        <f t="shared" si="4"/>
        <v>0</v>
      </c>
      <c r="J51" s="28">
        <f t="shared" si="5"/>
        <v>0.32204997738104424</v>
      </c>
      <c r="L51" s="27" t="s">
        <v>47</v>
      </c>
      <c r="M51" s="26">
        <f t="shared" si="6"/>
        <v>812870.46846352704</v>
      </c>
      <c r="N51" s="25">
        <f t="shared" si="7"/>
        <v>0</v>
      </c>
      <c r="O51" s="24">
        <f t="shared" si="8"/>
        <v>2411695.2361033661</v>
      </c>
      <c r="P51" s="214">
        <f t="shared" si="10"/>
        <v>3224565.7045668932</v>
      </c>
      <c r="Q51" s="246">
        <f t="shared" si="9"/>
        <v>8.6119613844520604E-2</v>
      </c>
      <c r="S51" s="22"/>
      <c r="T51" s="22"/>
      <c r="U51" s="22"/>
      <c r="V51" s="22"/>
      <c r="W51" s="22"/>
      <c r="X51" s="22"/>
      <c r="Y51" s="22"/>
      <c r="Z51" s="22"/>
    </row>
    <row r="52" spans="1:26">
      <c r="A52" s="27" t="s">
        <v>48</v>
      </c>
      <c r="B52" s="26">
        <v>289861941.84000015</v>
      </c>
      <c r="C52" s="25">
        <v>112141719.38</v>
      </c>
      <c r="D52" s="226">
        <f t="shared" si="0"/>
        <v>0.38687976306286082</v>
      </c>
      <c r="E52" s="31">
        <f t="shared" si="1"/>
        <v>2.8506354222943786E-2</v>
      </c>
      <c r="F52" s="62">
        <v>114179634.2</v>
      </c>
      <c r="G52" s="213">
        <f t="shared" si="2"/>
        <v>-1.7848321500402942E-2</v>
      </c>
      <c r="H52" s="29">
        <f t="shared" si="3"/>
        <v>0</v>
      </c>
      <c r="I52" s="23">
        <f t="shared" si="4"/>
        <v>0</v>
      </c>
      <c r="J52" s="28">
        <f t="shared" si="5"/>
        <v>5.3801275834790954E-2</v>
      </c>
      <c r="L52" s="27" t="s">
        <v>48</v>
      </c>
      <c r="M52" s="26">
        <f t="shared" si="6"/>
        <v>533679.89059665671</v>
      </c>
      <c r="N52" s="25">
        <f t="shared" si="7"/>
        <v>0</v>
      </c>
      <c r="O52" s="24">
        <f t="shared" si="8"/>
        <v>402894.86023943336</v>
      </c>
      <c r="P52" s="214">
        <f t="shared" si="10"/>
        <v>936574.75083609007</v>
      </c>
      <c r="Q52" s="246">
        <f t="shared" si="9"/>
        <v>2.5013432278430083E-2</v>
      </c>
      <c r="S52" s="22"/>
      <c r="T52" s="22"/>
      <c r="U52" s="22"/>
      <c r="V52" s="22"/>
      <c r="W52" s="22"/>
      <c r="X52" s="22"/>
      <c r="Y52" s="22"/>
      <c r="Z52" s="22"/>
    </row>
    <row r="53" spans="1:26">
      <c r="A53" s="27" t="s">
        <v>49</v>
      </c>
      <c r="B53" s="26">
        <v>198838484.40000001</v>
      </c>
      <c r="C53" s="25">
        <v>85362095.170000002</v>
      </c>
      <c r="D53" s="226">
        <f t="shared" si="0"/>
        <v>0.4293036905183733</v>
      </c>
      <c r="E53" s="31">
        <f t="shared" si="1"/>
        <v>3.1632264697043236E-2</v>
      </c>
      <c r="F53" s="62">
        <v>77757928.799999997</v>
      </c>
      <c r="G53" s="213">
        <f t="shared" si="2"/>
        <v>9.7792810165489019E-2</v>
      </c>
      <c r="H53" s="29">
        <f t="shared" si="3"/>
        <v>9.7792810165489019E-2</v>
      </c>
      <c r="I53" s="23">
        <f t="shared" si="4"/>
        <v>3.4175467973555369E-2</v>
      </c>
      <c r="J53" s="28">
        <f t="shared" si="5"/>
        <v>4.0953444030178796E-2</v>
      </c>
      <c r="L53" s="27" t="s">
        <v>49</v>
      </c>
      <c r="M53" s="26">
        <f t="shared" si="6"/>
        <v>592201.42396375537</v>
      </c>
      <c r="N53" s="25">
        <f t="shared" si="7"/>
        <v>383888.30504049844</v>
      </c>
      <c r="O53" s="24">
        <f t="shared" si="8"/>
        <v>306682.91509534331</v>
      </c>
      <c r="P53" s="214">
        <f t="shared" si="10"/>
        <v>1282772.6440995971</v>
      </c>
      <c r="Q53" s="246">
        <f t="shared" si="9"/>
        <v>3.4259461546623987E-2</v>
      </c>
      <c r="S53" s="22"/>
      <c r="T53" s="22"/>
      <c r="U53" s="22"/>
      <c r="V53" s="22"/>
      <c r="W53" s="22"/>
      <c r="X53" s="22"/>
      <c r="Y53" s="22"/>
      <c r="Z53" s="22"/>
    </row>
    <row r="54" spans="1:26">
      <c r="A54" s="27" t="s">
        <v>50</v>
      </c>
      <c r="B54" s="26">
        <v>4541705</v>
      </c>
      <c r="C54" s="25">
        <v>1456869</v>
      </c>
      <c r="D54" s="226">
        <f t="shared" si="0"/>
        <v>0.32077578794747785</v>
      </c>
      <c r="E54" s="31">
        <f t="shared" si="1"/>
        <v>2.3635633368315909E-2</v>
      </c>
      <c r="F54" s="62">
        <v>1324391</v>
      </c>
      <c r="G54" s="213">
        <f t="shared" si="2"/>
        <v>0.10002937199059803</v>
      </c>
      <c r="H54" s="29">
        <f t="shared" si="3"/>
        <v>0.10002937199059803</v>
      </c>
      <c r="I54" s="23">
        <f t="shared" si="4"/>
        <v>3.4957074994516751E-2</v>
      </c>
      <c r="J54" s="28">
        <f t="shared" si="5"/>
        <v>6.989496090973531E-4</v>
      </c>
      <c r="L54" s="27" t="s">
        <v>50</v>
      </c>
      <c r="M54" s="26">
        <f t="shared" si="6"/>
        <v>442493.00108791393</v>
      </c>
      <c r="N54" s="25">
        <f t="shared" si="7"/>
        <v>392667.98860523541</v>
      </c>
      <c r="O54" s="24">
        <f t="shared" si="8"/>
        <v>5234.1361929113218</v>
      </c>
      <c r="P54" s="214">
        <f t="shared" si="10"/>
        <v>840395.12588606065</v>
      </c>
      <c r="Q54" s="246">
        <f t="shared" si="9"/>
        <v>2.2444729104332449E-2</v>
      </c>
      <c r="S54" s="22"/>
      <c r="T54" s="22"/>
      <c r="U54" s="22"/>
      <c r="V54" s="22"/>
      <c r="W54" s="22"/>
      <c r="X54" s="22"/>
      <c r="Y54" s="22"/>
      <c r="Z54" s="22"/>
    </row>
    <row r="55" spans="1:26">
      <c r="A55" s="27" t="s">
        <v>51</v>
      </c>
      <c r="B55" s="26">
        <v>3020813</v>
      </c>
      <c r="C55" s="25">
        <v>668168</v>
      </c>
      <c r="D55" s="226">
        <f t="shared" si="0"/>
        <v>0.22118813710084007</v>
      </c>
      <c r="E55" s="31">
        <f t="shared" si="1"/>
        <v>1.6297744126474539E-2</v>
      </c>
      <c r="F55" s="62">
        <v>606247</v>
      </c>
      <c r="G55" s="213">
        <f t="shared" si="2"/>
        <v>0.10213823738509231</v>
      </c>
      <c r="H55" s="29">
        <f t="shared" si="3"/>
        <v>0.10213823738509231</v>
      </c>
      <c r="I55" s="23">
        <f t="shared" si="4"/>
        <v>3.5694056185957272E-2</v>
      </c>
      <c r="J55" s="28">
        <f t="shared" si="5"/>
        <v>3.2056126007991124E-4</v>
      </c>
      <c r="L55" s="27" t="s">
        <v>51</v>
      </c>
      <c r="M55" s="26">
        <f t="shared" si="6"/>
        <v>305117.17613431934</v>
      </c>
      <c r="N55" s="25">
        <f t="shared" si="7"/>
        <v>400946.39639902912</v>
      </c>
      <c r="O55" s="24">
        <f t="shared" si="8"/>
        <v>2400.5468657409638</v>
      </c>
      <c r="P55" s="214">
        <f t="shared" si="10"/>
        <v>708464.11939908937</v>
      </c>
      <c r="Q55" s="246">
        <f t="shared" si="9"/>
        <v>1.892120117104043E-2</v>
      </c>
      <c r="S55" s="22"/>
      <c r="T55" s="22"/>
      <c r="U55" s="22"/>
      <c r="V55" s="22"/>
      <c r="W55" s="22"/>
      <c r="X55" s="22"/>
      <c r="Y55" s="22"/>
      <c r="Z55" s="22"/>
    </row>
    <row r="56" spans="1:26" ht="13.5" thickBot="1">
      <c r="A56" s="227" t="s">
        <v>52</v>
      </c>
      <c r="B56" s="228">
        <f>SUM(B5:B55)</f>
        <v>5122664860.750001</v>
      </c>
      <c r="C56" s="229">
        <f>SUM(C5:C55)</f>
        <v>2084369146.27</v>
      </c>
      <c r="D56" s="230">
        <f>SUM(D5:D55)</f>
        <v>13.571702646965447</v>
      </c>
      <c r="E56" s="231">
        <f>SUM(E5:E55)</f>
        <v>1</v>
      </c>
      <c r="F56" s="232">
        <f>SUM(F5:F55)</f>
        <v>2153395867.8800001</v>
      </c>
      <c r="G56" s="233"/>
      <c r="H56" s="234">
        <f>SUM(H5:H55)</f>
        <v>2.8614914722209539</v>
      </c>
      <c r="I56" s="235">
        <f>SUM(I5:I55)</f>
        <v>0.99999999999999989</v>
      </c>
      <c r="J56" s="236">
        <f>SUM(J5:J55)</f>
        <v>1</v>
      </c>
      <c r="L56" s="227" t="s">
        <v>52</v>
      </c>
      <c r="M56" s="237">
        <f>SUM(M5:M55)</f>
        <v>18721436.155000005</v>
      </c>
      <c r="N56" s="232">
        <f>SUM(N5:N55)</f>
        <v>11232861.693</v>
      </c>
      <c r="O56" s="238">
        <f>SUM(O5:O55)</f>
        <v>7488574.4620000003</v>
      </c>
      <c r="P56" s="239">
        <f>SUM(P5:P55)</f>
        <v>37442872.310000002</v>
      </c>
      <c r="Q56" s="247">
        <f>SUM(Q5:Q55)</f>
        <v>0.99999999999999978</v>
      </c>
      <c r="S56" s="22"/>
      <c r="T56" s="22"/>
      <c r="U56" s="22"/>
      <c r="V56" s="22"/>
      <c r="W56" s="22"/>
      <c r="X56" s="22"/>
      <c r="Y56" s="22"/>
      <c r="Z56" s="22"/>
    </row>
    <row r="57" spans="1:26" ht="13.5" thickTop="1"/>
    <row r="59" spans="1:26">
      <c r="L59" s="485" t="s">
        <v>131</v>
      </c>
      <c r="M59" s="485"/>
      <c r="N59" s="485"/>
      <c r="O59" s="485"/>
      <c r="P59" s="485"/>
      <c r="Q59" s="485"/>
    </row>
    <row r="60" spans="1:26">
      <c r="L60" s="485"/>
      <c r="M60" s="485"/>
      <c r="N60" s="485"/>
      <c r="O60" s="485"/>
      <c r="P60" s="485"/>
      <c r="Q60" s="485"/>
    </row>
    <row r="61" spans="1:26">
      <c r="L61" s="485"/>
      <c r="M61" s="485"/>
      <c r="N61" s="485"/>
      <c r="O61" s="485"/>
      <c r="P61" s="485"/>
      <c r="Q61" s="485"/>
    </row>
    <row r="62" spans="1:26">
      <c r="L62" s="485"/>
      <c r="M62" s="485"/>
      <c r="N62" s="485"/>
      <c r="O62" s="485"/>
      <c r="P62" s="485"/>
      <c r="Q62" s="485"/>
    </row>
    <row r="63" spans="1:26">
      <c r="L63" s="485"/>
      <c r="M63" s="485"/>
      <c r="N63" s="485"/>
      <c r="O63" s="485"/>
      <c r="P63" s="485"/>
      <c r="Q63" s="485"/>
    </row>
    <row r="64" spans="1:26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</row>
    <row r="65" spans="1:2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</row>
    <row r="66" spans="1:2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</row>
    <row r="67" spans="1:2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</row>
    <row r="68" spans="1:22">
      <c r="A68" s="88"/>
      <c r="B68" s="486"/>
      <c r="C68" s="486"/>
      <c r="D68" s="486"/>
      <c r="E68" s="486"/>
      <c r="F68" s="486"/>
      <c r="G68" s="486"/>
      <c r="H68" s="486"/>
      <c r="I68" s="486"/>
      <c r="J68" s="89"/>
      <c r="K68" s="87"/>
      <c r="L68" s="487"/>
      <c r="M68" s="487"/>
      <c r="N68" s="487"/>
      <c r="O68" s="487"/>
      <c r="P68" s="487"/>
      <c r="Q68" s="487"/>
      <c r="R68" s="87"/>
      <c r="S68" s="87"/>
      <c r="T68" s="87"/>
      <c r="U68" s="87"/>
      <c r="V68" s="87"/>
    </row>
    <row r="69" spans="1:22">
      <c r="A69" s="223"/>
      <c r="B69" s="89"/>
      <c r="C69" s="89"/>
      <c r="D69" s="89"/>
      <c r="E69" s="89"/>
      <c r="F69" s="89"/>
      <c r="G69" s="89"/>
      <c r="H69" s="89"/>
      <c r="I69" s="89"/>
      <c r="J69" s="89"/>
      <c r="K69" s="87"/>
      <c r="L69" s="223"/>
      <c r="M69" s="89"/>
      <c r="N69" s="89"/>
      <c r="O69" s="89"/>
      <c r="P69" s="89"/>
      <c r="Q69" s="89"/>
      <c r="R69" s="87"/>
      <c r="S69" s="87"/>
      <c r="T69" s="87"/>
      <c r="U69" s="87"/>
      <c r="V69" s="87"/>
    </row>
    <row r="70" spans="1:22">
      <c r="A70" s="88"/>
      <c r="B70" s="90"/>
      <c r="C70" s="90"/>
      <c r="D70" s="90"/>
      <c r="E70" s="90"/>
      <c r="F70" s="90"/>
      <c r="G70" s="90"/>
      <c r="H70" s="90"/>
      <c r="I70" s="90"/>
      <c r="J70" s="90"/>
      <c r="K70" s="87"/>
      <c r="L70" s="87"/>
      <c r="M70" s="91"/>
      <c r="N70" s="91"/>
      <c r="O70" s="91"/>
      <c r="P70" s="91"/>
      <c r="Q70" s="87"/>
      <c r="R70" s="87"/>
      <c r="S70" s="87"/>
      <c r="T70" s="87"/>
      <c r="U70" s="87"/>
      <c r="V70" s="87"/>
    </row>
    <row r="71" spans="1:22">
      <c r="A71" s="87"/>
      <c r="B71" s="87"/>
      <c r="C71" s="87"/>
      <c r="D71" s="87"/>
      <c r="E71" s="87"/>
      <c r="F71" s="92"/>
      <c r="G71" s="88"/>
      <c r="H71" s="88"/>
      <c r="I71" s="88"/>
      <c r="J71" s="87"/>
      <c r="K71" s="87"/>
      <c r="L71" s="87"/>
      <c r="M71" s="240"/>
      <c r="N71" s="240"/>
      <c r="O71" s="240"/>
      <c r="P71" s="93"/>
      <c r="Q71" s="93"/>
      <c r="R71" s="87"/>
      <c r="S71" s="87"/>
      <c r="T71" s="87"/>
      <c r="U71" s="87"/>
      <c r="V71" s="87"/>
    </row>
    <row r="72" spans="1:22">
      <c r="A72" s="88"/>
      <c r="B72" s="25"/>
      <c r="C72" s="25"/>
      <c r="D72" s="226"/>
      <c r="E72" s="29"/>
      <c r="F72" s="25"/>
      <c r="G72" s="30"/>
      <c r="H72" s="29"/>
      <c r="I72" s="94"/>
      <c r="J72" s="95"/>
      <c r="K72" s="87"/>
      <c r="L72" s="88"/>
      <c r="M72" s="62"/>
      <c r="N72" s="62"/>
      <c r="O72" s="62"/>
      <c r="P72" s="62"/>
      <c r="Q72" s="96"/>
      <c r="R72" s="87"/>
      <c r="S72" s="87"/>
      <c r="T72" s="87"/>
      <c r="U72" s="87"/>
      <c r="V72" s="87"/>
    </row>
    <row r="73" spans="1:22">
      <c r="A73" s="88"/>
      <c r="B73" s="25"/>
      <c r="C73" s="25"/>
      <c r="D73" s="226"/>
      <c r="E73" s="29"/>
      <c r="F73" s="25"/>
      <c r="G73" s="30"/>
      <c r="H73" s="29"/>
      <c r="I73" s="94"/>
      <c r="J73" s="95"/>
      <c r="K73" s="87"/>
      <c r="L73" s="88"/>
      <c r="M73" s="62"/>
      <c r="N73" s="62"/>
      <c r="O73" s="62"/>
      <c r="P73" s="96"/>
      <c r="Q73" s="96"/>
      <c r="R73" s="87"/>
      <c r="S73" s="87"/>
      <c r="T73" s="87"/>
      <c r="U73" s="87"/>
      <c r="V73" s="87"/>
    </row>
    <row r="74" spans="1:22">
      <c r="A74" s="88"/>
      <c r="B74" s="25"/>
      <c r="C74" s="25"/>
      <c r="D74" s="226"/>
      <c r="E74" s="29"/>
      <c r="F74" s="25"/>
      <c r="G74" s="30"/>
      <c r="H74" s="29"/>
      <c r="I74" s="94"/>
      <c r="J74" s="95"/>
      <c r="K74" s="87"/>
      <c r="L74" s="88"/>
      <c r="M74" s="62"/>
      <c r="N74" s="62"/>
      <c r="O74" s="62"/>
      <c r="P74" s="96"/>
      <c r="Q74" s="96"/>
      <c r="R74" s="87"/>
      <c r="S74" s="87"/>
      <c r="T74" s="87"/>
      <c r="U74" s="87"/>
      <c r="V74" s="87"/>
    </row>
    <row r="75" spans="1:22">
      <c r="A75" s="88"/>
      <c r="B75" s="25"/>
      <c r="C75" s="25"/>
      <c r="D75" s="226"/>
      <c r="E75" s="29"/>
      <c r="F75" s="25"/>
      <c r="G75" s="30"/>
      <c r="H75" s="29"/>
      <c r="I75" s="94"/>
      <c r="J75" s="95"/>
      <c r="K75" s="87"/>
      <c r="L75" s="88"/>
      <c r="M75" s="62"/>
      <c r="N75" s="62"/>
      <c r="O75" s="62"/>
      <c r="P75" s="96"/>
      <c r="Q75" s="96"/>
      <c r="R75" s="87"/>
      <c r="S75" s="87"/>
      <c r="T75" s="87"/>
      <c r="U75" s="87"/>
      <c r="V75" s="87"/>
    </row>
    <row r="76" spans="1:22">
      <c r="A76" s="88"/>
      <c r="B76" s="25"/>
      <c r="C76" s="25"/>
      <c r="D76" s="226"/>
      <c r="E76" s="29"/>
      <c r="F76" s="25"/>
      <c r="G76" s="30"/>
      <c r="H76" s="29"/>
      <c r="I76" s="94"/>
      <c r="J76" s="95"/>
      <c r="K76" s="87"/>
      <c r="L76" s="88"/>
      <c r="M76" s="62"/>
      <c r="N76" s="62"/>
      <c r="O76" s="62"/>
      <c r="P76" s="96"/>
      <c r="Q76" s="96"/>
      <c r="R76" s="87"/>
      <c r="S76" s="87"/>
      <c r="T76" s="87"/>
      <c r="U76" s="87"/>
      <c r="V76" s="87"/>
    </row>
    <row r="77" spans="1:22">
      <c r="A77" s="88"/>
      <c r="B77" s="25"/>
      <c r="C77" s="25"/>
      <c r="D77" s="226"/>
      <c r="E77" s="29"/>
      <c r="F77" s="25"/>
      <c r="G77" s="30"/>
      <c r="H77" s="29"/>
      <c r="I77" s="94"/>
      <c r="J77" s="95"/>
      <c r="K77" s="87"/>
      <c r="L77" s="88"/>
      <c r="M77" s="62"/>
      <c r="N77" s="62"/>
      <c r="O77" s="62"/>
      <c r="P77" s="96"/>
      <c r="Q77" s="96"/>
      <c r="R77" s="87"/>
      <c r="S77" s="87"/>
      <c r="T77" s="87"/>
      <c r="U77" s="87"/>
      <c r="V77" s="87"/>
    </row>
    <row r="78" spans="1:22">
      <c r="A78" s="88"/>
      <c r="B78" s="25"/>
      <c r="C78" s="25"/>
      <c r="D78" s="226"/>
      <c r="E78" s="29"/>
      <c r="F78" s="25"/>
      <c r="G78" s="30"/>
      <c r="H78" s="29"/>
      <c r="I78" s="94"/>
      <c r="J78" s="95"/>
      <c r="K78" s="87"/>
      <c r="L78" s="88"/>
      <c r="M78" s="62"/>
      <c r="N78" s="62"/>
      <c r="O78" s="62"/>
      <c r="P78" s="96"/>
      <c r="Q78" s="96"/>
      <c r="R78" s="87"/>
      <c r="S78" s="87"/>
      <c r="T78" s="87"/>
      <c r="U78" s="87"/>
      <c r="V78" s="87"/>
    </row>
    <row r="79" spans="1:22">
      <c r="A79" s="88"/>
      <c r="B79" s="25"/>
      <c r="C79" s="25"/>
      <c r="D79" s="226"/>
      <c r="E79" s="29"/>
      <c r="F79" s="25"/>
      <c r="G79" s="30"/>
      <c r="H79" s="29"/>
      <c r="I79" s="94"/>
      <c r="J79" s="95"/>
      <c r="K79" s="87"/>
      <c r="L79" s="88"/>
      <c r="M79" s="62"/>
      <c r="N79" s="62"/>
      <c r="O79" s="62"/>
      <c r="P79" s="96"/>
      <c r="Q79" s="96"/>
      <c r="R79" s="87"/>
      <c r="S79" s="87"/>
      <c r="T79" s="87"/>
      <c r="U79" s="87"/>
      <c r="V79" s="87"/>
    </row>
    <row r="80" spans="1:22">
      <c r="A80" s="88"/>
      <c r="B80" s="25"/>
      <c r="C80" s="25"/>
      <c r="D80" s="226"/>
      <c r="E80" s="29"/>
      <c r="F80" s="25"/>
      <c r="G80" s="30"/>
      <c r="H80" s="29"/>
      <c r="I80" s="94"/>
      <c r="J80" s="95"/>
      <c r="K80" s="87"/>
      <c r="L80" s="88"/>
      <c r="M80" s="62"/>
      <c r="N80" s="62"/>
      <c r="O80" s="62"/>
      <c r="P80" s="96"/>
      <c r="Q80" s="96"/>
      <c r="R80" s="87"/>
      <c r="S80" s="87"/>
      <c r="T80" s="87"/>
      <c r="U80" s="87"/>
      <c r="V80" s="87"/>
    </row>
    <row r="81" spans="1:22">
      <c r="A81" s="88"/>
      <c r="B81" s="25"/>
      <c r="C81" s="25"/>
      <c r="D81" s="226"/>
      <c r="E81" s="29"/>
      <c r="F81" s="25"/>
      <c r="G81" s="30"/>
      <c r="H81" s="29"/>
      <c r="I81" s="94"/>
      <c r="J81" s="95"/>
      <c r="K81" s="87"/>
      <c r="L81" s="88"/>
      <c r="M81" s="62"/>
      <c r="N81" s="62"/>
      <c r="O81" s="62"/>
      <c r="P81" s="96"/>
      <c r="Q81" s="96"/>
      <c r="R81" s="87"/>
      <c r="S81" s="87"/>
      <c r="T81" s="87"/>
      <c r="U81" s="87"/>
      <c r="V81" s="87"/>
    </row>
    <row r="82" spans="1:22">
      <c r="A82" s="88"/>
      <c r="B82" s="25"/>
      <c r="C82" s="25"/>
      <c r="D82" s="226"/>
      <c r="E82" s="29"/>
      <c r="F82" s="25"/>
      <c r="G82" s="30"/>
      <c r="H82" s="29"/>
      <c r="I82" s="94"/>
      <c r="J82" s="95"/>
      <c r="K82" s="87"/>
      <c r="L82" s="88"/>
      <c r="M82" s="62"/>
      <c r="N82" s="62"/>
      <c r="O82" s="62"/>
      <c r="P82" s="96"/>
      <c r="Q82" s="96"/>
      <c r="R82" s="87"/>
      <c r="S82" s="87"/>
      <c r="T82" s="87"/>
      <c r="U82" s="87"/>
      <c r="V82" s="87"/>
    </row>
    <row r="83" spans="1:22">
      <c r="A83" s="88"/>
      <c r="B83" s="25"/>
      <c r="C83" s="25"/>
      <c r="D83" s="226"/>
      <c r="E83" s="29"/>
      <c r="F83" s="25"/>
      <c r="G83" s="30"/>
      <c r="H83" s="29"/>
      <c r="I83" s="94"/>
      <c r="J83" s="95"/>
      <c r="K83" s="87"/>
      <c r="L83" s="88"/>
      <c r="M83" s="62"/>
      <c r="N83" s="62"/>
      <c r="O83" s="62"/>
      <c r="P83" s="96"/>
      <c r="Q83" s="96"/>
      <c r="R83" s="87"/>
      <c r="S83" s="87"/>
      <c r="T83" s="87"/>
      <c r="U83" s="87"/>
      <c r="V83" s="87"/>
    </row>
    <row r="84" spans="1:22">
      <c r="A84" s="88"/>
      <c r="B84" s="25"/>
      <c r="C84" s="25"/>
      <c r="D84" s="226"/>
      <c r="E84" s="29"/>
      <c r="F84" s="25"/>
      <c r="G84" s="30"/>
      <c r="H84" s="29"/>
      <c r="I84" s="94"/>
      <c r="J84" s="95"/>
      <c r="K84" s="87"/>
      <c r="L84" s="88"/>
      <c r="M84" s="62"/>
      <c r="N84" s="62"/>
      <c r="O84" s="62"/>
      <c r="P84" s="96"/>
      <c r="Q84" s="96"/>
      <c r="R84" s="87"/>
      <c r="S84" s="87"/>
      <c r="T84" s="87"/>
      <c r="U84" s="87"/>
      <c r="V84" s="87"/>
    </row>
    <row r="85" spans="1:22">
      <c r="A85" s="88"/>
      <c r="B85" s="25"/>
      <c r="C85" s="25"/>
      <c r="D85" s="226"/>
      <c r="E85" s="29"/>
      <c r="F85" s="25"/>
      <c r="G85" s="30"/>
      <c r="H85" s="29"/>
      <c r="I85" s="94"/>
      <c r="J85" s="95"/>
      <c r="K85" s="87"/>
      <c r="L85" s="88"/>
      <c r="M85" s="62"/>
      <c r="N85" s="62"/>
      <c r="O85" s="62"/>
      <c r="P85" s="96"/>
      <c r="Q85" s="96"/>
      <c r="R85" s="87"/>
      <c r="S85" s="87"/>
      <c r="T85" s="87"/>
      <c r="U85" s="87"/>
      <c r="V85" s="87"/>
    </row>
    <row r="86" spans="1:22">
      <c r="A86" s="88"/>
      <c r="B86" s="25"/>
      <c r="C86" s="25"/>
      <c r="D86" s="226"/>
      <c r="E86" s="29"/>
      <c r="F86" s="25"/>
      <c r="G86" s="30"/>
      <c r="H86" s="29"/>
      <c r="I86" s="94"/>
      <c r="J86" s="95"/>
      <c r="K86" s="87"/>
      <c r="L86" s="88"/>
      <c r="M86" s="62"/>
      <c r="N86" s="62"/>
      <c r="O86" s="62"/>
      <c r="P86" s="96"/>
      <c r="Q86" s="96"/>
      <c r="R86" s="87"/>
      <c r="S86" s="87"/>
      <c r="T86" s="87"/>
      <c r="U86" s="87"/>
      <c r="V86" s="87"/>
    </row>
    <row r="87" spans="1:22">
      <c r="A87" s="88"/>
      <c r="B87" s="25"/>
      <c r="C87" s="25"/>
      <c r="D87" s="226"/>
      <c r="E87" s="29"/>
      <c r="F87" s="25"/>
      <c r="G87" s="30"/>
      <c r="H87" s="29"/>
      <c r="I87" s="94"/>
      <c r="J87" s="95"/>
      <c r="K87" s="87"/>
      <c r="L87" s="88"/>
      <c r="M87" s="62"/>
      <c r="N87" s="62"/>
      <c r="O87" s="62"/>
      <c r="P87" s="96"/>
      <c r="Q87" s="96"/>
      <c r="R87" s="87"/>
      <c r="S87" s="87"/>
      <c r="T87" s="87"/>
      <c r="U87" s="87"/>
      <c r="V87" s="87"/>
    </row>
    <row r="88" spans="1:22">
      <c r="A88" s="88"/>
      <c r="B88" s="25"/>
      <c r="C88" s="25"/>
      <c r="D88" s="226"/>
      <c r="E88" s="29"/>
      <c r="F88" s="25"/>
      <c r="G88" s="30"/>
      <c r="H88" s="29"/>
      <c r="I88" s="94"/>
      <c r="J88" s="95"/>
      <c r="K88" s="87"/>
      <c r="L88" s="88"/>
      <c r="M88" s="62"/>
      <c r="N88" s="62"/>
      <c r="O88" s="62"/>
      <c r="P88" s="96"/>
      <c r="Q88" s="96"/>
      <c r="R88" s="87"/>
      <c r="S88" s="87"/>
      <c r="T88" s="87"/>
      <c r="U88" s="87"/>
      <c r="V88" s="87"/>
    </row>
    <row r="89" spans="1:22">
      <c r="A89" s="88"/>
      <c r="B89" s="25"/>
      <c r="C89" s="25"/>
      <c r="D89" s="226"/>
      <c r="E89" s="29"/>
      <c r="F89" s="25"/>
      <c r="G89" s="30"/>
      <c r="H89" s="29"/>
      <c r="I89" s="94"/>
      <c r="J89" s="95"/>
      <c r="K89" s="87"/>
      <c r="L89" s="88"/>
      <c r="M89" s="62"/>
      <c r="N89" s="62"/>
      <c r="O89" s="62"/>
      <c r="P89" s="96"/>
      <c r="Q89" s="96"/>
      <c r="R89" s="87"/>
      <c r="S89" s="87"/>
      <c r="T89" s="87"/>
      <c r="U89" s="87"/>
      <c r="V89" s="87"/>
    </row>
    <row r="90" spans="1:22">
      <c r="A90" s="88"/>
      <c r="B90" s="25"/>
      <c r="C90" s="25"/>
      <c r="D90" s="226"/>
      <c r="E90" s="29"/>
      <c r="F90" s="25"/>
      <c r="G90" s="30"/>
      <c r="H90" s="29"/>
      <c r="I90" s="94"/>
      <c r="J90" s="95"/>
      <c r="K90" s="87"/>
      <c r="L90" s="88"/>
      <c r="M90" s="62"/>
      <c r="N90" s="62"/>
      <c r="O90" s="62"/>
      <c r="P90" s="96"/>
      <c r="Q90" s="96"/>
      <c r="R90" s="87"/>
      <c r="S90" s="87"/>
      <c r="T90" s="87"/>
      <c r="U90" s="87"/>
      <c r="V90" s="87"/>
    </row>
    <row r="91" spans="1:22">
      <c r="A91" s="88"/>
      <c r="B91" s="25"/>
      <c r="C91" s="25"/>
      <c r="D91" s="226"/>
      <c r="E91" s="29"/>
      <c r="F91" s="25"/>
      <c r="G91" s="30"/>
      <c r="H91" s="29"/>
      <c r="I91" s="94"/>
      <c r="J91" s="95"/>
      <c r="K91" s="87"/>
      <c r="L91" s="88"/>
      <c r="M91" s="62"/>
      <c r="N91" s="62"/>
      <c r="O91" s="62"/>
      <c r="P91" s="96"/>
      <c r="Q91" s="96"/>
      <c r="R91" s="87"/>
      <c r="S91" s="87"/>
      <c r="T91" s="87"/>
      <c r="U91" s="87"/>
      <c r="V91" s="87"/>
    </row>
    <row r="92" spans="1:22">
      <c r="A92" s="88"/>
      <c r="B92" s="25"/>
      <c r="C92" s="25"/>
      <c r="D92" s="226"/>
      <c r="E92" s="29"/>
      <c r="F92" s="25"/>
      <c r="G92" s="30"/>
      <c r="H92" s="29"/>
      <c r="I92" s="94"/>
      <c r="J92" s="95"/>
      <c r="K92" s="87"/>
      <c r="L92" s="88"/>
      <c r="M92" s="62"/>
      <c r="N92" s="62"/>
      <c r="O92" s="62"/>
      <c r="P92" s="96"/>
      <c r="Q92" s="96"/>
      <c r="R92" s="87"/>
      <c r="S92" s="87"/>
      <c r="T92" s="87"/>
      <c r="U92" s="87"/>
      <c r="V92" s="87"/>
    </row>
    <row r="93" spans="1:22">
      <c r="A93" s="88"/>
      <c r="B93" s="25"/>
      <c r="C93" s="25"/>
      <c r="D93" s="226"/>
      <c r="E93" s="29"/>
      <c r="F93" s="25"/>
      <c r="G93" s="30"/>
      <c r="H93" s="29"/>
      <c r="I93" s="94"/>
      <c r="J93" s="95"/>
      <c r="K93" s="87"/>
      <c r="L93" s="88"/>
      <c r="M93" s="62"/>
      <c r="N93" s="62"/>
      <c r="O93" s="62"/>
      <c r="P93" s="96"/>
      <c r="Q93" s="96"/>
      <c r="R93" s="87"/>
      <c r="S93" s="87"/>
      <c r="T93" s="87"/>
      <c r="U93" s="87"/>
      <c r="V93" s="87"/>
    </row>
    <row r="94" spans="1:22">
      <c r="A94" s="88"/>
      <c r="B94" s="25"/>
      <c r="C94" s="25"/>
      <c r="D94" s="226"/>
      <c r="E94" s="29"/>
      <c r="F94" s="25"/>
      <c r="G94" s="30"/>
      <c r="H94" s="29"/>
      <c r="I94" s="94"/>
      <c r="J94" s="95"/>
      <c r="K94" s="87"/>
      <c r="L94" s="88"/>
      <c r="M94" s="62"/>
      <c r="N94" s="62"/>
      <c r="O94" s="62"/>
      <c r="P94" s="96"/>
      <c r="Q94" s="96"/>
      <c r="R94" s="87"/>
      <c r="S94" s="87"/>
      <c r="T94" s="87"/>
      <c r="U94" s="87"/>
      <c r="V94" s="87"/>
    </row>
    <row r="95" spans="1:22">
      <c r="A95" s="88"/>
      <c r="B95" s="25"/>
      <c r="C95" s="25"/>
      <c r="D95" s="226"/>
      <c r="E95" s="29"/>
      <c r="F95" s="25"/>
      <c r="G95" s="30"/>
      <c r="H95" s="29"/>
      <c r="I95" s="94"/>
      <c r="J95" s="95"/>
      <c r="K95" s="87"/>
      <c r="L95" s="88"/>
      <c r="M95" s="62"/>
      <c r="N95" s="62"/>
      <c r="O95" s="62"/>
      <c r="P95" s="96"/>
      <c r="Q95" s="96"/>
      <c r="R95" s="87"/>
      <c r="S95" s="87"/>
      <c r="T95" s="87"/>
      <c r="U95" s="87"/>
      <c r="V95" s="87"/>
    </row>
    <row r="96" spans="1:22">
      <c r="A96" s="88"/>
      <c r="B96" s="25"/>
      <c r="C96" s="25"/>
      <c r="D96" s="226"/>
      <c r="E96" s="29"/>
      <c r="F96" s="25"/>
      <c r="G96" s="30"/>
      <c r="H96" s="29"/>
      <c r="I96" s="94"/>
      <c r="J96" s="95"/>
      <c r="K96" s="87"/>
      <c r="L96" s="88"/>
      <c r="M96" s="62"/>
      <c r="N96" s="62"/>
      <c r="O96" s="62"/>
      <c r="P96" s="96"/>
      <c r="Q96" s="96"/>
      <c r="R96" s="87"/>
      <c r="S96" s="87"/>
      <c r="T96" s="87"/>
      <c r="U96" s="87"/>
      <c r="V96" s="87"/>
    </row>
    <row r="97" spans="1:22">
      <c r="A97" s="88"/>
      <c r="B97" s="25"/>
      <c r="C97" s="25"/>
      <c r="D97" s="226"/>
      <c r="E97" s="29"/>
      <c r="F97" s="25"/>
      <c r="G97" s="30"/>
      <c r="H97" s="29"/>
      <c r="I97" s="94"/>
      <c r="J97" s="95"/>
      <c r="K97" s="87"/>
      <c r="L97" s="88"/>
      <c r="M97" s="62"/>
      <c r="N97" s="62"/>
      <c r="O97" s="62"/>
      <c r="P97" s="96"/>
      <c r="Q97" s="96"/>
      <c r="R97" s="87"/>
      <c r="S97" s="87"/>
      <c r="T97" s="87"/>
      <c r="U97" s="87"/>
      <c r="V97" s="87"/>
    </row>
    <row r="98" spans="1:22">
      <c r="A98" s="88"/>
      <c r="B98" s="25"/>
      <c r="C98" s="25"/>
      <c r="D98" s="226"/>
      <c r="E98" s="29"/>
      <c r="F98" s="25"/>
      <c r="G98" s="30"/>
      <c r="H98" s="29"/>
      <c r="I98" s="94"/>
      <c r="J98" s="95"/>
      <c r="K98" s="87"/>
      <c r="L98" s="88"/>
      <c r="M98" s="62"/>
      <c r="N98" s="62"/>
      <c r="O98" s="62"/>
      <c r="P98" s="96"/>
      <c r="Q98" s="96"/>
      <c r="R98" s="87"/>
      <c r="S98" s="87"/>
      <c r="T98" s="87"/>
      <c r="U98" s="87"/>
      <c r="V98" s="87"/>
    </row>
    <row r="99" spans="1:22">
      <c r="A99" s="88"/>
      <c r="B99" s="25"/>
      <c r="C99" s="25"/>
      <c r="D99" s="226"/>
      <c r="E99" s="29"/>
      <c r="F99" s="25"/>
      <c r="G99" s="30"/>
      <c r="H99" s="29"/>
      <c r="I99" s="94"/>
      <c r="J99" s="95"/>
      <c r="K99" s="87"/>
      <c r="L99" s="88"/>
      <c r="M99" s="62"/>
      <c r="N99" s="62"/>
      <c r="O99" s="62"/>
      <c r="P99" s="96"/>
      <c r="Q99" s="96"/>
      <c r="R99" s="87"/>
      <c r="S99" s="87"/>
      <c r="T99" s="87"/>
      <c r="U99" s="87"/>
      <c r="V99" s="87"/>
    </row>
    <row r="100" spans="1:22">
      <c r="A100" s="88"/>
      <c r="B100" s="25"/>
      <c r="C100" s="25"/>
      <c r="D100" s="226"/>
      <c r="E100" s="29"/>
      <c r="F100" s="25"/>
      <c r="G100" s="30"/>
      <c r="H100" s="29"/>
      <c r="I100" s="94"/>
      <c r="J100" s="95"/>
      <c r="K100" s="87"/>
      <c r="L100" s="88"/>
      <c r="M100" s="62"/>
      <c r="N100" s="62"/>
      <c r="O100" s="62"/>
      <c r="P100" s="96"/>
      <c r="Q100" s="96"/>
      <c r="R100" s="87"/>
      <c r="S100" s="87"/>
      <c r="T100" s="87"/>
      <c r="U100" s="87"/>
      <c r="V100" s="87"/>
    </row>
    <row r="101" spans="1:22">
      <c r="A101" s="88"/>
      <c r="B101" s="25"/>
      <c r="C101" s="25"/>
      <c r="D101" s="226"/>
      <c r="E101" s="29"/>
      <c r="F101" s="25"/>
      <c r="G101" s="30"/>
      <c r="H101" s="29"/>
      <c r="I101" s="94"/>
      <c r="J101" s="95"/>
      <c r="K101" s="87"/>
      <c r="L101" s="88"/>
      <c r="M101" s="62"/>
      <c r="N101" s="62"/>
      <c r="O101" s="62"/>
      <c r="P101" s="96"/>
      <c r="Q101" s="96"/>
      <c r="R101" s="87"/>
      <c r="S101" s="87"/>
      <c r="T101" s="87"/>
      <c r="U101" s="87"/>
      <c r="V101" s="87"/>
    </row>
    <row r="102" spans="1:22">
      <c r="A102" s="88"/>
      <c r="B102" s="25"/>
      <c r="C102" s="25"/>
      <c r="D102" s="226"/>
      <c r="E102" s="29"/>
      <c r="F102" s="25"/>
      <c r="G102" s="30"/>
      <c r="H102" s="29"/>
      <c r="I102" s="94"/>
      <c r="J102" s="95"/>
      <c r="K102" s="87"/>
      <c r="L102" s="88"/>
      <c r="M102" s="62"/>
      <c r="N102" s="62"/>
      <c r="O102" s="62"/>
      <c r="P102" s="96"/>
      <c r="Q102" s="96"/>
      <c r="R102" s="87"/>
      <c r="S102" s="87"/>
      <c r="T102" s="87"/>
      <c r="U102" s="87"/>
      <c r="V102" s="87"/>
    </row>
    <row r="103" spans="1:22">
      <c r="A103" s="88"/>
      <c r="B103" s="25"/>
      <c r="C103" s="25"/>
      <c r="D103" s="226"/>
      <c r="E103" s="29"/>
      <c r="F103" s="25"/>
      <c r="G103" s="30"/>
      <c r="H103" s="29"/>
      <c r="I103" s="94"/>
      <c r="J103" s="95"/>
      <c r="K103" s="87"/>
      <c r="L103" s="88"/>
      <c r="M103" s="62"/>
      <c r="N103" s="62"/>
      <c r="O103" s="62"/>
      <c r="P103" s="96"/>
      <c r="Q103" s="96"/>
      <c r="R103" s="87"/>
      <c r="S103" s="87"/>
      <c r="T103" s="87"/>
      <c r="U103" s="87"/>
      <c r="V103" s="87"/>
    </row>
    <row r="104" spans="1:22">
      <c r="A104" s="88"/>
      <c r="B104" s="25"/>
      <c r="C104" s="25"/>
      <c r="D104" s="226"/>
      <c r="E104" s="29"/>
      <c r="F104" s="25"/>
      <c r="G104" s="30"/>
      <c r="H104" s="29"/>
      <c r="I104" s="94"/>
      <c r="J104" s="95"/>
      <c r="K104" s="87"/>
      <c r="L104" s="88"/>
      <c r="M104" s="62"/>
      <c r="N104" s="62"/>
      <c r="O104" s="62"/>
      <c r="P104" s="96"/>
      <c r="Q104" s="96"/>
      <c r="R104" s="87"/>
      <c r="S104" s="87"/>
      <c r="T104" s="87"/>
      <c r="U104" s="87"/>
      <c r="V104" s="87"/>
    </row>
    <row r="105" spans="1:22">
      <c r="A105" s="88"/>
      <c r="B105" s="25"/>
      <c r="C105" s="25"/>
      <c r="D105" s="226"/>
      <c r="E105" s="29"/>
      <c r="F105" s="25"/>
      <c r="G105" s="30"/>
      <c r="H105" s="29"/>
      <c r="I105" s="94"/>
      <c r="J105" s="95"/>
      <c r="K105" s="87"/>
      <c r="L105" s="88"/>
      <c r="M105" s="62"/>
      <c r="N105" s="62"/>
      <c r="O105" s="62"/>
      <c r="P105" s="96"/>
      <c r="Q105" s="96"/>
      <c r="R105" s="87"/>
      <c r="S105" s="87"/>
      <c r="T105" s="87"/>
      <c r="U105" s="87"/>
      <c r="V105" s="87"/>
    </row>
    <row r="106" spans="1:22">
      <c r="A106" s="88"/>
      <c r="B106" s="25"/>
      <c r="C106" s="25"/>
      <c r="D106" s="226"/>
      <c r="E106" s="29"/>
      <c r="F106" s="25"/>
      <c r="G106" s="30"/>
      <c r="H106" s="29"/>
      <c r="I106" s="94"/>
      <c r="J106" s="95"/>
      <c r="K106" s="87"/>
      <c r="L106" s="88"/>
      <c r="M106" s="62"/>
      <c r="N106" s="62"/>
      <c r="O106" s="62"/>
      <c r="P106" s="96"/>
      <c r="Q106" s="96"/>
      <c r="R106" s="87"/>
      <c r="S106" s="87"/>
      <c r="T106" s="87"/>
      <c r="U106" s="87"/>
      <c r="V106" s="87"/>
    </row>
    <row r="107" spans="1:22">
      <c r="A107" s="88"/>
      <c r="B107" s="25"/>
      <c r="C107" s="25"/>
      <c r="D107" s="226"/>
      <c r="E107" s="29"/>
      <c r="F107" s="25"/>
      <c r="G107" s="30"/>
      <c r="H107" s="29"/>
      <c r="I107" s="94"/>
      <c r="J107" s="95"/>
      <c r="K107" s="87"/>
      <c r="L107" s="88"/>
      <c r="M107" s="62"/>
      <c r="N107" s="62"/>
      <c r="O107" s="62"/>
      <c r="P107" s="96"/>
      <c r="Q107" s="96"/>
      <c r="R107" s="87"/>
      <c r="S107" s="87"/>
      <c r="T107" s="87"/>
      <c r="U107" s="87"/>
      <c r="V107" s="87"/>
    </row>
    <row r="108" spans="1:22">
      <c r="A108" s="88"/>
      <c r="B108" s="25"/>
      <c r="C108" s="25"/>
      <c r="D108" s="226"/>
      <c r="E108" s="29"/>
      <c r="F108" s="25"/>
      <c r="G108" s="30"/>
      <c r="H108" s="29"/>
      <c r="I108" s="94"/>
      <c r="J108" s="95"/>
      <c r="K108" s="87"/>
      <c r="L108" s="88"/>
      <c r="M108" s="62"/>
      <c r="N108" s="62"/>
      <c r="O108" s="62"/>
      <c r="P108" s="96"/>
      <c r="Q108" s="96"/>
      <c r="R108" s="87"/>
      <c r="S108" s="87"/>
      <c r="T108" s="87"/>
      <c r="U108" s="87"/>
      <c r="V108" s="87"/>
    </row>
    <row r="109" spans="1:22">
      <c r="A109" s="88"/>
      <c r="B109" s="25"/>
      <c r="C109" s="25"/>
      <c r="D109" s="226"/>
      <c r="E109" s="29"/>
      <c r="F109" s="25"/>
      <c r="G109" s="30"/>
      <c r="H109" s="29"/>
      <c r="I109" s="94"/>
      <c r="J109" s="95"/>
      <c r="K109" s="87"/>
      <c r="L109" s="88"/>
      <c r="M109" s="62"/>
      <c r="N109" s="62"/>
      <c r="O109" s="62"/>
      <c r="P109" s="96"/>
      <c r="Q109" s="96"/>
      <c r="R109" s="87"/>
      <c r="S109" s="87"/>
      <c r="T109" s="87"/>
      <c r="U109" s="87"/>
      <c r="V109" s="87"/>
    </row>
    <row r="110" spans="1:22">
      <c r="A110" s="88"/>
      <c r="B110" s="25"/>
      <c r="C110" s="25"/>
      <c r="D110" s="226"/>
      <c r="E110" s="29"/>
      <c r="F110" s="25"/>
      <c r="G110" s="30"/>
      <c r="H110" s="29"/>
      <c r="I110" s="94"/>
      <c r="J110" s="95"/>
      <c r="K110" s="87"/>
      <c r="L110" s="88"/>
      <c r="M110" s="62"/>
      <c r="N110" s="62"/>
      <c r="O110" s="62"/>
      <c r="P110" s="96"/>
      <c r="Q110" s="96"/>
      <c r="R110" s="87"/>
      <c r="S110" s="87"/>
      <c r="T110" s="87"/>
      <c r="U110" s="87"/>
      <c r="V110" s="87"/>
    </row>
    <row r="111" spans="1:22">
      <c r="A111" s="88"/>
      <c r="B111" s="25"/>
      <c r="C111" s="25"/>
      <c r="D111" s="226"/>
      <c r="E111" s="29"/>
      <c r="F111" s="25"/>
      <c r="G111" s="30"/>
      <c r="H111" s="29"/>
      <c r="I111" s="94"/>
      <c r="J111" s="95"/>
      <c r="K111" s="87"/>
      <c r="L111" s="88"/>
      <c r="M111" s="62"/>
      <c r="N111" s="62"/>
      <c r="O111" s="62"/>
      <c r="P111" s="96"/>
      <c r="Q111" s="96"/>
      <c r="R111" s="87"/>
      <c r="S111" s="87"/>
      <c r="T111" s="87"/>
      <c r="U111" s="87"/>
      <c r="V111" s="87"/>
    </row>
    <row r="112" spans="1:22">
      <c r="A112" s="88"/>
      <c r="B112" s="25"/>
      <c r="C112" s="25"/>
      <c r="D112" s="226"/>
      <c r="E112" s="29"/>
      <c r="F112" s="25"/>
      <c r="G112" s="30"/>
      <c r="H112" s="29"/>
      <c r="I112" s="94"/>
      <c r="J112" s="95"/>
      <c r="K112" s="87"/>
      <c r="L112" s="88"/>
      <c r="M112" s="62"/>
      <c r="N112" s="62"/>
      <c r="O112" s="62"/>
      <c r="P112" s="96"/>
      <c r="Q112" s="96"/>
      <c r="R112" s="87"/>
      <c r="S112" s="87"/>
      <c r="T112" s="87"/>
      <c r="U112" s="87"/>
      <c r="V112" s="87"/>
    </row>
    <row r="113" spans="1:22">
      <c r="A113" s="88"/>
      <c r="B113" s="25"/>
      <c r="C113" s="25"/>
      <c r="D113" s="226"/>
      <c r="E113" s="29"/>
      <c r="F113" s="25"/>
      <c r="G113" s="30"/>
      <c r="H113" s="29"/>
      <c r="I113" s="94"/>
      <c r="J113" s="95"/>
      <c r="K113" s="87"/>
      <c r="L113" s="88"/>
      <c r="M113" s="62"/>
      <c r="N113" s="62"/>
      <c r="O113" s="62"/>
      <c r="P113" s="96"/>
      <c r="Q113" s="96"/>
      <c r="R113" s="87"/>
      <c r="S113" s="87"/>
      <c r="T113" s="87"/>
      <c r="U113" s="87"/>
      <c r="V113" s="87"/>
    </row>
    <row r="114" spans="1:22">
      <c r="A114" s="88"/>
      <c r="B114" s="25"/>
      <c r="C114" s="25"/>
      <c r="D114" s="226"/>
      <c r="E114" s="29"/>
      <c r="F114" s="25"/>
      <c r="G114" s="30"/>
      <c r="H114" s="29"/>
      <c r="I114" s="94"/>
      <c r="J114" s="95"/>
      <c r="K114" s="87"/>
      <c r="L114" s="88"/>
      <c r="M114" s="62"/>
      <c r="N114" s="62"/>
      <c r="O114" s="62"/>
      <c r="P114" s="96"/>
      <c r="Q114" s="96"/>
      <c r="R114" s="87"/>
      <c r="S114" s="87"/>
      <c r="T114" s="87"/>
      <c r="U114" s="87"/>
      <c r="V114" s="87"/>
    </row>
    <row r="115" spans="1:22">
      <c r="A115" s="88"/>
      <c r="B115" s="25"/>
      <c r="C115" s="25"/>
      <c r="D115" s="226"/>
      <c r="E115" s="29"/>
      <c r="F115" s="25"/>
      <c r="G115" s="30"/>
      <c r="H115" s="29"/>
      <c r="I115" s="94"/>
      <c r="J115" s="95"/>
      <c r="K115" s="87"/>
      <c r="L115" s="88"/>
      <c r="M115" s="62"/>
      <c r="N115" s="62"/>
      <c r="O115" s="62"/>
      <c r="P115" s="96"/>
      <c r="Q115" s="96"/>
      <c r="R115" s="87"/>
      <c r="S115" s="87"/>
      <c r="T115" s="87"/>
      <c r="U115" s="87"/>
      <c r="V115" s="87"/>
    </row>
    <row r="116" spans="1:22">
      <c r="A116" s="88"/>
      <c r="B116" s="25"/>
      <c r="C116" s="25"/>
      <c r="D116" s="226"/>
      <c r="E116" s="29"/>
      <c r="F116" s="25"/>
      <c r="G116" s="30"/>
      <c r="H116" s="29"/>
      <c r="I116" s="94"/>
      <c r="J116" s="95"/>
      <c r="K116" s="87"/>
      <c r="L116" s="88"/>
      <c r="M116" s="62"/>
      <c r="N116" s="62"/>
      <c r="O116" s="62"/>
      <c r="P116" s="96"/>
      <c r="Q116" s="96"/>
      <c r="R116" s="87"/>
      <c r="S116" s="87"/>
      <c r="T116" s="87"/>
      <c r="U116" s="87"/>
      <c r="V116" s="87"/>
    </row>
    <row r="117" spans="1:22">
      <c r="A117" s="88"/>
      <c r="B117" s="25"/>
      <c r="C117" s="25"/>
      <c r="D117" s="226"/>
      <c r="E117" s="29"/>
      <c r="F117" s="25"/>
      <c r="G117" s="30"/>
      <c r="H117" s="29"/>
      <c r="I117" s="94"/>
      <c r="J117" s="95"/>
      <c r="K117" s="87"/>
      <c r="L117" s="88"/>
      <c r="M117" s="62"/>
      <c r="N117" s="62"/>
      <c r="O117" s="62"/>
      <c r="P117" s="96"/>
      <c r="Q117" s="96"/>
      <c r="R117" s="87"/>
      <c r="S117" s="87"/>
      <c r="T117" s="87"/>
      <c r="U117" s="87"/>
      <c r="V117" s="87"/>
    </row>
    <row r="118" spans="1:22">
      <c r="A118" s="88"/>
      <c r="B118" s="25"/>
      <c r="C118" s="25"/>
      <c r="D118" s="226"/>
      <c r="E118" s="29"/>
      <c r="F118" s="25"/>
      <c r="G118" s="30"/>
      <c r="H118" s="29"/>
      <c r="I118" s="94"/>
      <c r="J118" s="95"/>
      <c r="K118" s="87"/>
      <c r="L118" s="88"/>
      <c r="M118" s="62"/>
      <c r="N118" s="62"/>
      <c r="O118" s="62"/>
      <c r="P118" s="96"/>
      <c r="Q118" s="96"/>
      <c r="R118" s="87"/>
      <c r="S118" s="87"/>
      <c r="T118" s="87"/>
      <c r="U118" s="87"/>
      <c r="V118" s="87"/>
    </row>
    <row r="119" spans="1:22">
      <c r="A119" s="88"/>
      <c r="B119" s="25"/>
      <c r="C119" s="25"/>
      <c r="D119" s="226"/>
      <c r="E119" s="29"/>
      <c r="F119" s="25"/>
      <c r="G119" s="30"/>
      <c r="H119" s="29"/>
      <c r="I119" s="94"/>
      <c r="J119" s="95"/>
      <c r="K119" s="87"/>
      <c r="L119" s="88"/>
      <c r="M119" s="62"/>
      <c r="N119" s="62"/>
      <c r="O119" s="62"/>
      <c r="P119" s="96"/>
      <c r="Q119" s="96"/>
      <c r="R119" s="87"/>
      <c r="S119" s="87"/>
      <c r="T119" s="87"/>
      <c r="U119" s="87"/>
      <c r="V119" s="87"/>
    </row>
    <row r="120" spans="1:22">
      <c r="A120" s="88"/>
      <c r="B120" s="25"/>
      <c r="C120" s="25"/>
      <c r="D120" s="226"/>
      <c r="E120" s="29"/>
      <c r="F120" s="25"/>
      <c r="G120" s="30"/>
      <c r="H120" s="29"/>
      <c r="I120" s="94"/>
      <c r="J120" s="95"/>
      <c r="K120" s="87"/>
      <c r="L120" s="88"/>
      <c r="M120" s="62"/>
      <c r="N120" s="62"/>
      <c r="O120" s="62"/>
      <c r="P120" s="96"/>
      <c r="Q120" s="96"/>
      <c r="R120" s="87"/>
      <c r="S120" s="87"/>
      <c r="T120" s="87"/>
      <c r="U120" s="87"/>
      <c r="V120" s="87"/>
    </row>
    <row r="121" spans="1:22">
      <c r="A121" s="88"/>
      <c r="B121" s="25"/>
      <c r="C121" s="25"/>
      <c r="D121" s="226"/>
      <c r="E121" s="29"/>
      <c r="F121" s="25"/>
      <c r="G121" s="30"/>
      <c r="H121" s="29"/>
      <c r="I121" s="94"/>
      <c r="J121" s="95"/>
      <c r="K121" s="87"/>
      <c r="L121" s="88"/>
      <c r="M121" s="62"/>
      <c r="N121" s="62"/>
      <c r="O121" s="62"/>
      <c r="P121" s="96"/>
      <c r="Q121" s="96"/>
      <c r="R121" s="87"/>
      <c r="S121" s="87"/>
      <c r="T121" s="87"/>
      <c r="U121" s="87"/>
      <c r="V121" s="87"/>
    </row>
    <row r="122" spans="1:22">
      <c r="A122" s="88"/>
      <c r="B122" s="25"/>
      <c r="C122" s="25"/>
      <c r="D122" s="226"/>
      <c r="E122" s="29"/>
      <c r="F122" s="25"/>
      <c r="G122" s="30"/>
      <c r="H122" s="29"/>
      <c r="I122" s="94"/>
      <c r="J122" s="95"/>
      <c r="K122" s="87"/>
      <c r="L122" s="88"/>
      <c r="M122" s="62"/>
      <c r="N122" s="62"/>
      <c r="O122" s="62"/>
      <c r="P122" s="96"/>
      <c r="Q122" s="96"/>
      <c r="R122" s="87"/>
      <c r="S122" s="87"/>
      <c r="T122" s="87"/>
      <c r="U122" s="87"/>
      <c r="V122" s="87"/>
    </row>
    <row r="123" spans="1:22">
      <c r="A123" s="88"/>
      <c r="B123" s="97"/>
      <c r="C123" s="97"/>
      <c r="D123" s="241"/>
      <c r="E123" s="98"/>
      <c r="F123" s="99"/>
      <c r="G123" s="100"/>
      <c r="H123" s="98"/>
      <c r="I123" s="101"/>
      <c r="J123" s="102"/>
      <c r="K123" s="87"/>
      <c r="L123" s="88"/>
      <c r="M123" s="103"/>
      <c r="N123" s="103"/>
      <c r="O123" s="103"/>
      <c r="P123" s="104"/>
      <c r="Q123" s="103"/>
      <c r="R123" s="87"/>
      <c r="S123" s="87"/>
      <c r="T123" s="87"/>
      <c r="U123" s="87"/>
      <c r="V123" s="87"/>
    </row>
    <row r="124" spans="1:22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</row>
    <row r="125" spans="1:22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</row>
    <row r="126" spans="1:22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482"/>
      <c r="M126" s="482"/>
      <c r="N126" s="482"/>
      <c r="O126" s="482"/>
      <c r="P126" s="482"/>
      <c r="Q126" s="482"/>
      <c r="R126" s="87"/>
      <c r="S126" s="87"/>
      <c r="T126" s="87"/>
      <c r="U126" s="87"/>
      <c r="V126" s="87"/>
    </row>
    <row r="127" spans="1:22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482"/>
      <c r="M127" s="482"/>
      <c r="N127" s="482"/>
      <c r="O127" s="482"/>
      <c r="P127" s="482"/>
      <c r="Q127" s="482"/>
      <c r="R127" s="87"/>
      <c r="S127" s="87"/>
      <c r="T127" s="87"/>
      <c r="U127" s="87"/>
      <c r="V127" s="87"/>
    </row>
    <row r="128" spans="1:22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482"/>
      <c r="M128" s="482"/>
      <c r="N128" s="482"/>
      <c r="O128" s="482"/>
      <c r="P128" s="482"/>
      <c r="Q128" s="482"/>
      <c r="R128" s="87"/>
      <c r="S128" s="87"/>
      <c r="T128" s="87"/>
      <c r="U128" s="87"/>
      <c r="V128" s="87"/>
    </row>
    <row r="129" spans="1:22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482"/>
      <c r="M129" s="482"/>
      <c r="N129" s="482"/>
      <c r="O129" s="482"/>
      <c r="P129" s="482"/>
      <c r="Q129" s="482"/>
      <c r="R129" s="87"/>
      <c r="S129" s="87"/>
      <c r="T129" s="87"/>
      <c r="U129" s="87"/>
      <c r="V129" s="87"/>
    </row>
    <row r="130" spans="1:22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482"/>
      <c r="M130" s="482"/>
      <c r="N130" s="482"/>
      <c r="O130" s="482"/>
      <c r="P130" s="482"/>
      <c r="Q130" s="482"/>
      <c r="R130" s="87"/>
      <c r="S130" s="87"/>
      <c r="T130" s="87"/>
      <c r="U130" s="87"/>
      <c r="V130" s="87"/>
    </row>
    <row r="131" spans="1:22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223"/>
      <c r="M131" s="89"/>
      <c r="N131" s="89"/>
      <c r="O131" s="89"/>
      <c r="P131" s="89"/>
      <c r="Q131" s="89"/>
      <c r="R131" s="87"/>
      <c r="S131" s="87"/>
      <c r="T131" s="87"/>
      <c r="U131" s="87"/>
      <c r="V131" s="87"/>
    </row>
    <row r="132" spans="1:22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91"/>
      <c r="N132" s="91"/>
      <c r="O132" s="91"/>
      <c r="P132" s="91"/>
      <c r="Q132" s="87"/>
      <c r="R132" s="87"/>
      <c r="S132" s="87"/>
      <c r="T132" s="87"/>
      <c r="U132" s="87"/>
      <c r="V132" s="87"/>
    </row>
    <row r="133" spans="1:22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240"/>
      <c r="N133" s="240"/>
      <c r="O133" s="240"/>
      <c r="P133" s="93"/>
      <c r="Q133" s="93"/>
      <c r="R133" s="87"/>
      <c r="S133" s="87"/>
      <c r="T133" s="87"/>
      <c r="U133" s="87"/>
      <c r="V133" s="87"/>
    </row>
    <row r="134" spans="1:22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8"/>
      <c r="M134" s="62"/>
      <c r="N134" s="62"/>
      <c r="O134" s="62"/>
      <c r="P134" s="105"/>
      <c r="Q134" s="96"/>
      <c r="R134" s="87"/>
      <c r="S134" s="87"/>
      <c r="T134" s="87"/>
      <c r="U134" s="87"/>
      <c r="V134" s="87"/>
    </row>
    <row r="135" spans="1:22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8"/>
      <c r="M135" s="62"/>
      <c r="N135" s="62"/>
      <c r="O135" s="62"/>
      <c r="P135" s="105"/>
      <c r="Q135" s="96"/>
      <c r="R135" s="87"/>
      <c r="S135" s="87"/>
      <c r="T135" s="87"/>
      <c r="U135" s="87"/>
      <c r="V135" s="87"/>
    </row>
    <row r="136" spans="1:22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8"/>
      <c r="M136" s="62"/>
      <c r="N136" s="62"/>
      <c r="O136" s="62"/>
      <c r="P136" s="105"/>
      <c r="Q136" s="96"/>
      <c r="R136" s="87"/>
      <c r="S136" s="87"/>
      <c r="T136" s="87"/>
      <c r="U136" s="87"/>
      <c r="V136" s="87"/>
    </row>
    <row r="137" spans="1:22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8"/>
      <c r="M137" s="62"/>
      <c r="N137" s="62"/>
      <c r="O137" s="62"/>
      <c r="P137" s="105"/>
      <c r="Q137" s="96"/>
      <c r="R137" s="87"/>
      <c r="S137" s="87"/>
      <c r="T137" s="87"/>
      <c r="U137" s="87"/>
      <c r="V137" s="87"/>
    </row>
    <row r="138" spans="1:22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8"/>
      <c r="M138" s="62"/>
      <c r="N138" s="62"/>
      <c r="O138" s="62"/>
      <c r="P138" s="105"/>
      <c r="Q138" s="96"/>
      <c r="R138" s="87"/>
      <c r="S138" s="87"/>
      <c r="T138" s="87"/>
      <c r="U138" s="87"/>
      <c r="V138" s="87"/>
    </row>
    <row r="139" spans="1:22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8"/>
      <c r="M139" s="62"/>
      <c r="N139" s="62"/>
      <c r="O139" s="62"/>
      <c r="P139" s="105"/>
      <c r="Q139" s="96"/>
      <c r="R139" s="87"/>
      <c r="S139" s="87"/>
      <c r="T139" s="87"/>
      <c r="U139" s="87"/>
      <c r="V139" s="87"/>
    </row>
    <row r="140" spans="1:22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8"/>
      <c r="M140" s="62"/>
      <c r="N140" s="62"/>
      <c r="O140" s="62"/>
      <c r="P140" s="105"/>
      <c r="Q140" s="96"/>
      <c r="R140" s="87"/>
      <c r="S140" s="87"/>
      <c r="T140" s="87"/>
      <c r="U140" s="87"/>
      <c r="V140" s="87"/>
    </row>
    <row r="141" spans="1:22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8"/>
      <c r="M141" s="62"/>
      <c r="N141" s="62"/>
      <c r="O141" s="62"/>
      <c r="P141" s="105"/>
      <c r="Q141" s="96"/>
      <c r="R141" s="87"/>
      <c r="S141" s="87"/>
      <c r="T141" s="87"/>
      <c r="U141" s="87"/>
      <c r="V141" s="87"/>
    </row>
    <row r="142" spans="1:22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8"/>
      <c r="M142" s="62"/>
      <c r="N142" s="62"/>
      <c r="O142" s="62"/>
      <c r="P142" s="105"/>
      <c r="Q142" s="96"/>
      <c r="R142" s="87"/>
      <c r="S142" s="87"/>
      <c r="T142" s="87"/>
      <c r="U142" s="87"/>
      <c r="V142" s="87"/>
    </row>
    <row r="143" spans="1:22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8"/>
      <c r="M143" s="62"/>
      <c r="N143" s="62"/>
      <c r="O143" s="62"/>
      <c r="P143" s="105"/>
      <c r="Q143" s="96"/>
      <c r="R143" s="87"/>
      <c r="S143" s="87"/>
      <c r="T143" s="87"/>
      <c r="U143" s="87"/>
      <c r="V143" s="87"/>
    </row>
    <row r="144" spans="1:22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8"/>
      <c r="M144" s="62"/>
      <c r="N144" s="62"/>
      <c r="O144" s="62"/>
      <c r="P144" s="105"/>
      <c r="Q144" s="96"/>
      <c r="R144" s="87"/>
      <c r="S144" s="87"/>
      <c r="T144" s="87"/>
      <c r="U144" s="87"/>
      <c r="V144" s="87"/>
    </row>
    <row r="145" spans="1:22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8"/>
      <c r="M145" s="62"/>
      <c r="N145" s="62"/>
      <c r="O145" s="62"/>
      <c r="P145" s="105"/>
      <c r="Q145" s="96"/>
      <c r="R145" s="87"/>
      <c r="S145" s="87"/>
      <c r="T145" s="87"/>
      <c r="U145" s="87"/>
      <c r="V145" s="87"/>
    </row>
    <row r="146" spans="1:22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8"/>
      <c r="M146" s="62"/>
      <c r="N146" s="62"/>
      <c r="O146" s="62"/>
      <c r="P146" s="105"/>
      <c r="Q146" s="96"/>
      <c r="R146" s="87"/>
      <c r="S146" s="87"/>
      <c r="T146" s="87"/>
      <c r="U146" s="87"/>
      <c r="V146" s="87"/>
    </row>
    <row r="147" spans="1:22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8"/>
      <c r="M147" s="62"/>
      <c r="N147" s="62"/>
      <c r="O147" s="62"/>
      <c r="P147" s="105"/>
      <c r="Q147" s="96"/>
      <c r="R147" s="87"/>
      <c r="S147" s="87"/>
      <c r="T147" s="87"/>
      <c r="U147" s="87"/>
      <c r="V147" s="87"/>
    </row>
    <row r="148" spans="1:22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8"/>
      <c r="M148" s="62"/>
      <c r="N148" s="62"/>
      <c r="O148" s="62"/>
      <c r="P148" s="105"/>
      <c r="Q148" s="96"/>
      <c r="R148" s="87"/>
      <c r="S148" s="87"/>
      <c r="T148" s="87"/>
      <c r="U148" s="87"/>
      <c r="V148" s="87"/>
    </row>
    <row r="149" spans="1:22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8"/>
      <c r="M149" s="62"/>
      <c r="N149" s="62"/>
      <c r="O149" s="62"/>
      <c r="P149" s="105"/>
      <c r="Q149" s="96"/>
      <c r="R149" s="87"/>
      <c r="S149" s="87"/>
      <c r="T149" s="87"/>
      <c r="U149" s="87"/>
      <c r="V149" s="87"/>
    </row>
    <row r="150" spans="1:22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8"/>
      <c r="M150" s="62"/>
      <c r="N150" s="62"/>
      <c r="O150" s="62"/>
      <c r="P150" s="105"/>
      <c r="Q150" s="96"/>
      <c r="R150" s="87"/>
      <c r="S150" s="87"/>
      <c r="T150" s="87"/>
      <c r="U150" s="87"/>
      <c r="V150" s="87"/>
    </row>
    <row r="151" spans="1:22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8"/>
      <c r="M151" s="62"/>
      <c r="N151" s="62"/>
      <c r="O151" s="62"/>
      <c r="P151" s="105"/>
      <c r="Q151" s="96"/>
      <c r="R151" s="87"/>
      <c r="S151" s="87"/>
      <c r="T151" s="87"/>
      <c r="U151" s="87"/>
      <c r="V151" s="87"/>
    </row>
    <row r="152" spans="1:22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8"/>
      <c r="M152" s="62"/>
      <c r="N152" s="62"/>
      <c r="O152" s="62"/>
      <c r="P152" s="105"/>
      <c r="Q152" s="96"/>
      <c r="R152" s="87"/>
      <c r="S152" s="87"/>
      <c r="T152" s="87"/>
      <c r="U152" s="87"/>
      <c r="V152" s="87"/>
    </row>
    <row r="153" spans="1:22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8"/>
      <c r="M153" s="62"/>
      <c r="N153" s="62"/>
      <c r="O153" s="62"/>
      <c r="P153" s="105"/>
      <c r="Q153" s="96"/>
      <c r="R153" s="87"/>
      <c r="S153" s="87"/>
      <c r="T153" s="87"/>
      <c r="U153" s="87"/>
      <c r="V153" s="87"/>
    </row>
    <row r="154" spans="1:22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8"/>
      <c r="M154" s="62"/>
      <c r="N154" s="62"/>
      <c r="O154" s="62"/>
      <c r="P154" s="105"/>
      <c r="Q154" s="96"/>
      <c r="R154" s="87"/>
      <c r="S154" s="87"/>
      <c r="T154" s="87"/>
      <c r="U154" s="87"/>
      <c r="V154" s="87"/>
    </row>
    <row r="155" spans="1:22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8"/>
      <c r="M155" s="62"/>
      <c r="N155" s="62"/>
      <c r="O155" s="62"/>
      <c r="P155" s="105"/>
      <c r="Q155" s="96"/>
      <c r="R155" s="87"/>
      <c r="S155" s="87"/>
      <c r="T155" s="87"/>
      <c r="U155" s="87"/>
      <c r="V155" s="87"/>
    </row>
    <row r="156" spans="1:22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8"/>
      <c r="M156" s="62"/>
      <c r="N156" s="62"/>
      <c r="O156" s="62"/>
      <c r="P156" s="105"/>
      <c r="Q156" s="96"/>
      <c r="R156" s="87"/>
      <c r="S156" s="87"/>
      <c r="T156" s="87"/>
      <c r="U156" s="87"/>
      <c r="V156" s="87"/>
    </row>
    <row r="157" spans="1:22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8"/>
      <c r="M157" s="62"/>
      <c r="N157" s="62"/>
      <c r="O157" s="62"/>
      <c r="P157" s="105"/>
      <c r="Q157" s="96"/>
      <c r="R157" s="87"/>
      <c r="S157" s="87"/>
      <c r="T157" s="87"/>
      <c r="U157" s="87"/>
      <c r="V157" s="87"/>
    </row>
    <row r="158" spans="1:22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8"/>
      <c r="M158" s="62"/>
      <c r="N158" s="62"/>
      <c r="O158" s="62"/>
      <c r="P158" s="105"/>
      <c r="Q158" s="96"/>
      <c r="R158" s="87"/>
      <c r="S158" s="87"/>
      <c r="T158" s="87"/>
      <c r="U158" s="87"/>
      <c r="V158" s="87"/>
    </row>
    <row r="159" spans="1:22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8"/>
      <c r="M159" s="62"/>
      <c r="N159" s="62"/>
      <c r="O159" s="62"/>
      <c r="P159" s="105"/>
      <c r="Q159" s="96"/>
      <c r="R159" s="87"/>
      <c r="S159" s="87"/>
      <c r="T159" s="87"/>
      <c r="U159" s="87"/>
      <c r="V159" s="87"/>
    </row>
    <row r="160" spans="1:22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8"/>
      <c r="M160" s="62"/>
      <c r="N160" s="62"/>
      <c r="O160" s="62"/>
      <c r="P160" s="105"/>
      <c r="Q160" s="96"/>
      <c r="R160" s="87"/>
      <c r="S160" s="87"/>
      <c r="T160" s="87"/>
      <c r="U160" s="87"/>
      <c r="V160" s="87"/>
    </row>
    <row r="161" spans="1:22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8"/>
      <c r="M161" s="62"/>
      <c r="N161" s="62"/>
      <c r="O161" s="62"/>
      <c r="P161" s="105"/>
      <c r="Q161" s="96"/>
      <c r="R161" s="87"/>
      <c r="S161" s="87"/>
      <c r="T161" s="87"/>
      <c r="U161" s="87"/>
      <c r="V161" s="87"/>
    </row>
    <row r="162" spans="1:22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8"/>
      <c r="M162" s="62"/>
      <c r="N162" s="62"/>
      <c r="O162" s="62"/>
      <c r="P162" s="105"/>
      <c r="Q162" s="96"/>
      <c r="R162" s="87"/>
      <c r="S162" s="87"/>
      <c r="T162" s="87"/>
      <c r="U162" s="87"/>
      <c r="V162" s="87"/>
    </row>
    <row r="163" spans="1:22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8"/>
      <c r="M163" s="62"/>
      <c r="N163" s="62"/>
      <c r="O163" s="62"/>
      <c r="P163" s="105"/>
      <c r="Q163" s="96"/>
      <c r="R163" s="87"/>
      <c r="S163" s="87"/>
      <c r="T163" s="87"/>
      <c r="U163" s="87"/>
      <c r="V163" s="87"/>
    </row>
    <row r="164" spans="1:22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8"/>
      <c r="M164" s="62"/>
      <c r="N164" s="62"/>
      <c r="O164" s="62"/>
      <c r="P164" s="105"/>
      <c r="Q164" s="96"/>
      <c r="R164" s="87"/>
      <c r="S164" s="87"/>
      <c r="T164" s="87"/>
      <c r="U164" s="87"/>
      <c r="V164" s="87"/>
    </row>
    <row r="165" spans="1:22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8"/>
      <c r="M165" s="62"/>
      <c r="N165" s="62"/>
      <c r="O165" s="62"/>
      <c r="P165" s="105"/>
      <c r="Q165" s="96"/>
      <c r="R165" s="87"/>
      <c r="S165" s="87"/>
      <c r="T165" s="87"/>
      <c r="U165" s="87"/>
      <c r="V165" s="87"/>
    </row>
    <row r="166" spans="1:22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8"/>
      <c r="M166" s="62"/>
      <c r="N166" s="62"/>
      <c r="O166" s="62"/>
      <c r="P166" s="105"/>
      <c r="Q166" s="96"/>
      <c r="R166" s="87"/>
      <c r="S166" s="87"/>
      <c r="T166" s="87"/>
      <c r="U166" s="87"/>
      <c r="V166" s="87"/>
    </row>
    <row r="167" spans="1:22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8"/>
      <c r="M167" s="62"/>
      <c r="N167" s="62"/>
      <c r="O167" s="62"/>
      <c r="P167" s="105"/>
      <c r="Q167" s="96"/>
      <c r="R167" s="87"/>
      <c r="S167" s="87"/>
      <c r="T167" s="87"/>
      <c r="U167" s="87"/>
      <c r="V167" s="87"/>
    </row>
    <row r="168" spans="1:22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8"/>
      <c r="M168" s="62"/>
      <c r="N168" s="62"/>
      <c r="O168" s="62"/>
      <c r="P168" s="105"/>
      <c r="Q168" s="96"/>
      <c r="R168" s="87"/>
      <c r="S168" s="87"/>
      <c r="T168" s="87"/>
      <c r="U168" s="87"/>
      <c r="V168" s="87"/>
    </row>
    <row r="169" spans="1:22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8"/>
      <c r="M169" s="62"/>
      <c r="N169" s="62"/>
      <c r="O169" s="62"/>
      <c r="P169" s="105"/>
      <c r="Q169" s="96"/>
      <c r="R169" s="87"/>
      <c r="S169" s="87"/>
      <c r="T169" s="87"/>
      <c r="U169" s="87"/>
      <c r="V169" s="87"/>
    </row>
    <row r="170" spans="1:22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8"/>
      <c r="M170" s="62"/>
      <c r="N170" s="62"/>
      <c r="O170" s="62"/>
      <c r="P170" s="105"/>
      <c r="Q170" s="96"/>
      <c r="R170" s="87"/>
      <c r="S170" s="87"/>
      <c r="T170" s="87"/>
      <c r="U170" s="87"/>
      <c r="V170" s="87"/>
    </row>
    <row r="171" spans="1:22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8"/>
      <c r="M171" s="62"/>
      <c r="N171" s="62"/>
      <c r="O171" s="62"/>
      <c r="P171" s="105"/>
      <c r="Q171" s="96"/>
      <c r="R171" s="87"/>
      <c r="S171" s="87"/>
      <c r="T171" s="87"/>
      <c r="U171" s="87"/>
      <c r="V171" s="87"/>
    </row>
    <row r="172" spans="1:22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8"/>
      <c r="M172" s="62"/>
      <c r="N172" s="62"/>
      <c r="O172" s="62"/>
      <c r="P172" s="105"/>
      <c r="Q172" s="96"/>
      <c r="R172" s="87"/>
      <c r="S172" s="87"/>
      <c r="T172" s="87"/>
      <c r="U172" s="87"/>
      <c r="V172" s="87"/>
    </row>
    <row r="173" spans="1:22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8"/>
      <c r="M173" s="62"/>
      <c r="N173" s="62"/>
      <c r="O173" s="62"/>
      <c r="P173" s="105"/>
      <c r="Q173" s="96"/>
      <c r="R173" s="87"/>
      <c r="S173" s="87"/>
      <c r="T173" s="87"/>
      <c r="U173" s="87"/>
      <c r="V173" s="87"/>
    </row>
    <row r="174" spans="1:22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8"/>
      <c r="M174" s="62"/>
      <c r="N174" s="62"/>
      <c r="O174" s="62"/>
      <c r="P174" s="105"/>
      <c r="Q174" s="96"/>
      <c r="R174" s="87"/>
      <c r="S174" s="87"/>
      <c r="T174" s="87"/>
      <c r="U174" s="87"/>
      <c r="V174" s="87"/>
    </row>
    <row r="175" spans="1:22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8"/>
      <c r="M175" s="62"/>
      <c r="N175" s="62"/>
      <c r="O175" s="62"/>
      <c r="P175" s="105"/>
      <c r="Q175" s="96"/>
      <c r="R175" s="87"/>
      <c r="S175" s="87"/>
      <c r="T175" s="87"/>
      <c r="U175" s="87"/>
      <c r="V175" s="87"/>
    </row>
    <row r="176" spans="1:22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8"/>
      <c r="M176" s="62"/>
      <c r="N176" s="62"/>
      <c r="O176" s="62"/>
      <c r="P176" s="105"/>
      <c r="Q176" s="96"/>
      <c r="R176" s="87"/>
      <c r="S176" s="87"/>
      <c r="T176" s="87"/>
      <c r="U176" s="87"/>
      <c r="V176" s="87"/>
    </row>
    <row r="177" spans="1:22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8"/>
      <c r="M177" s="62"/>
      <c r="N177" s="62"/>
      <c r="O177" s="62"/>
      <c r="P177" s="105"/>
      <c r="Q177" s="96"/>
      <c r="R177" s="87"/>
      <c r="S177" s="87"/>
      <c r="T177" s="87"/>
      <c r="U177" s="87"/>
      <c r="V177" s="87"/>
    </row>
    <row r="178" spans="1:22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8"/>
      <c r="M178" s="62"/>
      <c r="N178" s="62"/>
      <c r="O178" s="62"/>
      <c r="P178" s="105"/>
      <c r="Q178" s="96"/>
      <c r="R178" s="87"/>
      <c r="S178" s="87"/>
      <c r="T178" s="87"/>
      <c r="U178" s="87"/>
      <c r="V178" s="87"/>
    </row>
    <row r="179" spans="1:22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8"/>
      <c r="M179" s="62"/>
      <c r="N179" s="62"/>
      <c r="O179" s="62"/>
      <c r="P179" s="105"/>
      <c r="Q179" s="96"/>
      <c r="R179" s="87"/>
      <c r="S179" s="87"/>
      <c r="T179" s="87"/>
      <c r="U179" s="87"/>
      <c r="V179" s="87"/>
    </row>
    <row r="180" spans="1:22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8"/>
      <c r="M180" s="62"/>
      <c r="N180" s="62"/>
      <c r="O180" s="62"/>
      <c r="P180" s="105"/>
      <c r="Q180" s="96"/>
      <c r="R180" s="87"/>
      <c r="S180" s="87"/>
      <c r="T180" s="87"/>
      <c r="U180" s="87"/>
      <c r="V180" s="87"/>
    </row>
    <row r="181" spans="1:22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8"/>
      <c r="M181" s="62"/>
      <c r="N181" s="62"/>
      <c r="O181" s="62"/>
      <c r="P181" s="105"/>
      <c r="Q181" s="96"/>
      <c r="R181" s="87"/>
      <c r="S181" s="87"/>
      <c r="T181" s="87"/>
      <c r="U181" s="87"/>
      <c r="V181" s="87"/>
    </row>
    <row r="182" spans="1:22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8"/>
      <c r="M182" s="62"/>
      <c r="N182" s="62"/>
      <c r="O182" s="62"/>
      <c r="P182" s="105"/>
      <c r="Q182" s="96"/>
      <c r="R182" s="87"/>
      <c r="S182" s="87"/>
      <c r="T182" s="87"/>
      <c r="U182" s="87"/>
      <c r="V182" s="87"/>
    </row>
    <row r="183" spans="1:22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8"/>
      <c r="M183" s="62"/>
      <c r="N183" s="62"/>
      <c r="O183" s="62"/>
      <c r="P183" s="105"/>
      <c r="Q183" s="96"/>
      <c r="R183" s="87"/>
      <c r="S183" s="87"/>
      <c r="T183" s="87"/>
      <c r="U183" s="87"/>
      <c r="V183" s="87"/>
    </row>
    <row r="184" spans="1:22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8"/>
      <c r="M184" s="62"/>
      <c r="N184" s="62"/>
      <c r="O184" s="62"/>
      <c r="P184" s="105"/>
      <c r="Q184" s="96"/>
      <c r="R184" s="87"/>
      <c r="S184" s="87"/>
      <c r="T184" s="87"/>
      <c r="U184" s="87"/>
      <c r="V184" s="87"/>
    </row>
    <row r="185" spans="1:22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8"/>
      <c r="M185" s="103"/>
      <c r="N185" s="103"/>
      <c r="O185" s="103"/>
      <c r="P185" s="104"/>
      <c r="Q185" s="103"/>
      <c r="R185" s="87"/>
      <c r="S185" s="87"/>
      <c r="T185" s="87"/>
      <c r="U185" s="87"/>
      <c r="V185" s="87"/>
    </row>
    <row r="186" spans="1:22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</row>
    <row r="187" spans="1:22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</row>
    <row r="188" spans="1:22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</row>
    <row r="189" spans="1:22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</row>
    <row r="190" spans="1:22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</row>
    <row r="191" spans="1:22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</row>
    <row r="192" spans="1:22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</row>
    <row r="193" spans="1:22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</row>
    <row r="194" spans="1:22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</row>
    <row r="195" spans="1:22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</row>
    <row r="196" spans="1:22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</row>
    <row r="197" spans="1:22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</row>
    <row r="198" spans="1:22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</row>
    <row r="199" spans="1:22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</row>
    <row r="200" spans="1:22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</row>
    <row r="201" spans="1:22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</row>
    <row r="202" spans="1:22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</row>
    <row r="203" spans="1:22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</row>
    <row r="204" spans="1:22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</row>
    <row r="205" spans="1:22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</row>
    <row r="206" spans="1:22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</row>
    <row r="207" spans="1:22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</row>
    <row r="208" spans="1:22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</row>
    <row r="209" spans="1:22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</row>
    <row r="210" spans="1:22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</row>
    <row r="211" spans="1:22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</row>
    <row r="212" spans="1:22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</row>
    <row r="213" spans="1:22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</row>
    <row r="214" spans="1:22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</row>
    <row r="215" spans="1:22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</row>
    <row r="216" spans="1:22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</row>
    <row r="217" spans="1:22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</row>
    <row r="218" spans="1:22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</row>
    <row r="219" spans="1:22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</row>
    <row r="220" spans="1:22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</row>
    <row r="221" spans="1:22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</row>
    <row r="222" spans="1:22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</row>
  </sheetData>
  <mergeCells count="8">
    <mergeCell ref="L126:Q130"/>
    <mergeCell ref="B1:E1"/>
    <mergeCell ref="F1:I1"/>
    <mergeCell ref="L1:Q1"/>
    <mergeCell ref="L59:Q63"/>
    <mergeCell ref="B68:E68"/>
    <mergeCell ref="F68:I68"/>
    <mergeCell ref="L68:Q6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8"/>
  <sheetViews>
    <sheetView showGridLines="0" zoomScaleNormal="100" workbookViewId="0">
      <selection activeCell="D4" sqref="D4"/>
    </sheetView>
  </sheetViews>
  <sheetFormatPr baseColWidth="10" defaultRowHeight="12.75"/>
  <cols>
    <col min="1" max="1" width="48.140625" style="59" customWidth="1"/>
    <col min="2" max="2" width="20" style="60" customWidth="1"/>
    <col min="3" max="3" width="15.42578125" style="59" customWidth="1"/>
    <col min="4" max="4" width="29.28515625" style="59" customWidth="1"/>
    <col min="5" max="16384" width="11.42578125" style="59"/>
  </cols>
  <sheetData>
    <row r="1" spans="1:4" ht="15.75">
      <c r="A1" s="489" t="s">
        <v>221</v>
      </c>
      <c r="B1" s="490"/>
      <c r="C1" s="490"/>
      <c r="D1" s="490"/>
    </row>
    <row r="2" spans="1:4" ht="15.75">
      <c r="A2" s="488" t="s">
        <v>324</v>
      </c>
      <c r="B2" s="488"/>
      <c r="C2" s="488"/>
      <c r="D2" s="488"/>
    </row>
    <row r="3" spans="1:4" ht="15.75">
      <c r="A3" s="169" t="s">
        <v>159</v>
      </c>
      <c r="B3" s="170" t="s">
        <v>289</v>
      </c>
      <c r="C3" s="171" t="s">
        <v>160</v>
      </c>
      <c r="D3" s="171" t="s">
        <v>353</v>
      </c>
    </row>
    <row r="4" spans="1:4" ht="15.75">
      <c r="A4" s="172" t="s">
        <v>161</v>
      </c>
      <c r="B4" s="173">
        <v>313860.92</v>
      </c>
      <c r="C4" s="174">
        <f>+B4/$B$55</f>
        <v>1.4049789148285209E-4</v>
      </c>
      <c r="D4" s="175">
        <f t="shared" ref="D4:D54" si="0">+B$58*C4</f>
        <v>2839.331836227675</v>
      </c>
    </row>
    <row r="5" spans="1:4" ht="15.75">
      <c r="A5" s="176" t="s">
        <v>162</v>
      </c>
      <c r="B5" s="177">
        <v>106688</v>
      </c>
      <c r="C5" s="178">
        <f t="shared" ref="C5:C54" si="1">+B5/$B$55</f>
        <v>4.775822057273816E-5</v>
      </c>
      <c r="D5" s="179">
        <f t="shared" si="0"/>
        <v>965.14926083648209</v>
      </c>
    </row>
    <row r="6" spans="1:4" ht="15.75">
      <c r="A6" s="176" t="s">
        <v>163</v>
      </c>
      <c r="B6" s="177">
        <v>41150.239999999998</v>
      </c>
      <c r="C6" s="178">
        <f t="shared" si="1"/>
        <v>1.8420649356451642E-5</v>
      </c>
      <c r="D6" s="179">
        <f t="shared" si="0"/>
        <v>372.26420702650569</v>
      </c>
    </row>
    <row r="7" spans="1:4" ht="15.75">
      <c r="A7" s="176" t="s">
        <v>164</v>
      </c>
      <c r="B7" s="177">
        <v>29551356.170000002</v>
      </c>
      <c r="C7" s="178">
        <f t="shared" si="1"/>
        <v>1.3228481049325199E-2</v>
      </c>
      <c r="D7" s="179">
        <f t="shared" si="0"/>
        <v>267335.31010227127</v>
      </c>
    </row>
    <row r="8" spans="1:4" ht="15.75">
      <c r="A8" s="176" t="s">
        <v>165</v>
      </c>
      <c r="B8" s="177">
        <v>1061010.42</v>
      </c>
      <c r="C8" s="178">
        <f t="shared" si="1"/>
        <v>4.7495472469568793E-4</v>
      </c>
      <c r="D8" s="179">
        <f t="shared" si="0"/>
        <v>9598.3936581696671</v>
      </c>
    </row>
    <row r="9" spans="1:4" ht="15.75">
      <c r="A9" s="180" t="s">
        <v>166</v>
      </c>
      <c r="B9" s="177">
        <v>246663047.44</v>
      </c>
      <c r="C9" s="178">
        <f t="shared" si="1"/>
        <v>0.11041718118985544</v>
      </c>
      <c r="D9" s="179">
        <f t="shared" si="0"/>
        <v>2231428.6322022169</v>
      </c>
    </row>
    <row r="10" spans="1:4" ht="15.75">
      <c r="A10" s="176" t="s">
        <v>167</v>
      </c>
      <c r="B10" s="177">
        <v>47519.5</v>
      </c>
      <c r="C10" s="178">
        <f t="shared" si="1"/>
        <v>2.1271809036688578E-5</v>
      </c>
      <c r="D10" s="179">
        <f t="shared" si="0"/>
        <v>429.8834948665193</v>
      </c>
    </row>
    <row r="11" spans="1:4" ht="15.75">
      <c r="A11" s="176" t="s">
        <v>168</v>
      </c>
      <c r="B11" s="177">
        <v>954046.18</v>
      </c>
      <c r="C11" s="178">
        <f t="shared" si="1"/>
        <v>4.2707284700264561E-4</v>
      </c>
      <c r="D11" s="179">
        <f t="shared" si="0"/>
        <v>8630.7454018340341</v>
      </c>
    </row>
    <row r="12" spans="1:4" ht="15.75">
      <c r="A12" s="176" t="s">
        <v>169</v>
      </c>
      <c r="B12" s="177">
        <v>21931008.399999999</v>
      </c>
      <c r="C12" s="178">
        <f t="shared" si="1"/>
        <v>9.8172796992142819E-3</v>
      </c>
      <c r="D12" s="179">
        <f t="shared" si="0"/>
        <v>198398.10050482413</v>
      </c>
    </row>
    <row r="13" spans="1:4" ht="15.75">
      <c r="A13" s="176" t="s">
        <v>170</v>
      </c>
      <c r="B13" s="177">
        <v>12384776.130000001</v>
      </c>
      <c r="C13" s="178">
        <f t="shared" si="1"/>
        <v>5.5439681141320725E-3</v>
      </c>
      <c r="D13" s="179">
        <f t="shared" si="0"/>
        <v>112038.44413143754</v>
      </c>
    </row>
    <row r="14" spans="1:4" ht="15.75">
      <c r="A14" s="176" t="s">
        <v>171</v>
      </c>
      <c r="B14" s="177">
        <v>752387.65</v>
      </c>
      <c r="C14" s="178">
        <f t="shared" si="1"/>
        <v>3.3680165852677078E-4</v>
      </c>
      <c r="D14" s="179">
        <f t="shared" si="0"/>
        <v>6806.4485627249351</v>
      </c>
    </row>
    <row r="15" spans="1:4" ht="15.75">
      <c r="A15" s="176" t="s">
        <v>172</v>
      </c>
      <c r="B15" s="181">
        <v>997925.55</v>
      </c>
      <c r="C15" s="178">
        <f t="shared" si="1"/>
        <v>4.4671517445327537E-4</v>
      </c>
      <c r="D15" s="179">
        <f t="shared" si="0"/>
        <v>9027.6985879605945</v>
      </c>
    </row>
    <row r="16" spans="1:4" ht="15.75">
      <c r="A16" s="176" t="s">
        <v>173</v>
      </c>
      <c r="B16" s="177">
        <v>29760786.390000001</v>
      </c>
      <c r="C16" s="178">
        <f t="shared" si="1"/>
        <v>1.3322231186560474E-2</v>
      </c>
      <c r="D16" s="179">
        <f t="shared" si="0"/>
        <v>269229.91326316865</v>
      </c>
    </row>
    <row r="17" spans="1:7" ht="15.75">
      <c r="A17" s="176" t="s">
        <v>174</v>
      </c>
      <c r="B17" s="177">
        <v>175577.60000000001</v>
      </c>
      <c r="C17" s="178">
        <f t="shared" si="1"/>
        <v>7.85962221471205E-5</v>
      </c>
      <c r="D17" s="179">
        <f t="shared" si="0"/>
        <v>1588.3566179836862</v>
      </c>
    </row>
    <row r="18" spans="1:7" ht="15.75">
      <c r="A18" s="176" t="s">
        <v>175</v>
      </c>
      <c r="B18" s="177">
        <v>81812.600000000006</v>
      </c>
      <c r="C18" s="178">
        <f t="shared" si="1"/>
        <v>3.6622902261071523E-5</v>
      </c>
      <c r="D18" s="179">
        <f t="shared" si="0"/>
        <v>740.11482469547457</v>
      </c>
    </row>
    <row r="19" spans="1:7" ht="15.75">
      <c r="A19" s="176" t="s">
        <v>176</v>
      </c>
      <c r="B19" s="182">
        <v>2487457.71</v>
      </c>
      <c r="C19" s="178">
        <f t="shared" si="1"/>
        <v>1.1134949945592583E-3</v>
      </c>
      <c r="D19" s="179">
        <f t="shared" si="0"/>
        <v>22502.699180493666</v>
      </c>
    </row>
    <row r="20" spans="1:7" ht="15.75">
      <c r="A20" s="176" t="s">
        <v>177</v>
      </c>
      <c r="B20" s="177">
        <v>919750.84</v>
      </c>
      <c r="C20" s="178">
        <f t="shared" si="1"/>
        <v>4.1172075105617507E-4</v>
      </c>
      <c r="D20" s="179">
        <f t="shared" si="0"/>
        <v>8320.4938079234162</v>
      </c>
      <c r="G20" s="59" t="s">
        <v>158</v>
      </c>
    </row>
    <row r="21" spans="1:7" ht="15.75">
      <c r="A21" s="176" t="s">
        <v>178</v>
      </c>
      <c r="B21" s="177">
        <v>203099368.24000001</v>
      </c>
      <c r="C21" s="178">
        <f t="shared" si="1"/>
        <v>9.0916170765125329E-2</v>
      </c>
      <c r="D21" s="179">
        <f t="shared" si="0"/>
        <v>1837331.331857308</v>
      </c>
    </row>
    <row r="22" spans="1:7" ht="15.75">
      <c r="A22" s="176" t="s">
        <v>179</v>
      </c>
      <c r="B22" s="177">
        <v>1004219.28</v>
      </c>
      <c r="C22" s="178">
        <f t="shared" si="1"/>
        <v>4.4953252359812074E-4</v>
      </c>
      <c r="D22" s="179">
        <f t="shared" si="0"/>
        <v>9084.6345962970936</v>
      </c>
    </row>
    <row r="23" spans="1:7" ht="15.75">
      <c r="A23" s="176" t="s">
        <v>180</v>
      </c>
      <c r="B23" s="177">
        <v>76035351.519999996</v>
      </c>
      <c r="C23" s="178">
        <f t="shared" si="1"/>
        <v>3.4036752860845093E-2</v>
      </c>
      <c r="D23" s="179">
        <f t="shared" si="0"/>
        <v>687851.14836692112</v>
      </c>
    </row>
    <row r="24" spans="1:7" ht="15.75">
      <c r="A24" s="176" t="s">
        <v>181</v>
      </c>
      <c r="B24" s="177">
        <v>1863889.19</v>
      </c>
      <c r="C24" s="178">
        <f t="shared" si="1"/>
        <v>8.3435841949574705E-4</v>
      </c>
      <c r="D24" s="179">
        <f t="shared" si="0"/>
        <v>16861.608372165654</v>
      </c>
    </row>
    <row r="25" spans="1:7" ht="15.75">
      <c r="A25" s="176" t="s">
        <v>182</v>
      </c>
      <c r="B25" s="177">
        <v>93733</v>
      </c>
      <c r="C25" s="178">
        <f t="shared" si="1"/>
        <v>4.1958995284797409E-5</v>
      </c>
      <c r="D25" s="179">
        <f t="shared" si="0"/>
        <v>847.95230640733701</v>
      </c>
    </row>
    <row r="26" spans="1:7" ht="15.75">
      <c r="A26" s="176" t="s">
        <v>183</v>
      </c>
      <c r="B26" s="177">
        <v>16195</v>
      </c>
      <c r="C26" s="178">
        <f t="shared" si="1"/>
        <v>7.2495911646623287E-6</v>
      </c>
      <c r="D26" s="179">
        <f t="shared" si="0"/>
        <v>146.50750111771546</v>
      </c>
    </row>
    <row r="27" spans="1:7" ht="15.75">
      <c r="A27" s="176" t="s">
        <v>184</v>
      </c>
      <c r="B27" s="177">
        <v>4870035</v>
      </c>
      <c r="C27" s="178">
        <f t="shared" si="1"/>
        <v>2.1800409205061009E-3</v>
      </c>
      <c r="D27" s="179">
        <f t="shared" si="0"/>
        <v>44056.601309404963</v>
      </c>
    </row>
    <row r="28" spans="1:7" ht="15.75">
      <c r="A28" s="176" t="s">
        <v>185</v>
      </c>
      <c r="B28" s="177">
        <v>151141873</v>
      </c>
      <c r="C28" s="178">
        <f t="shared" si="1"/>
        <v>6.7657720723143924E-2</v>
      </c>
      <c r="D28" s="179">
        <f t="shared" si="0"/>
        <v>1367299.6682606428</v>
      </c>
    </row>
    <row r="29" spans="1:7" ht="15.75">
      <c r="A29" s="176" t="s">
        <v>186</v>
      </c>
      <c r="B29" s="177">
        <v>6640.64</v>
      </c>
      <c r="C29" s="178">
        <f t="shared" si="1"/>
        <v>2.9726412517260419E-6</v>
      </c>
      <c r="D29" s="179">
        <f t="shared" si="0"/>
        <v>60.074317519132208</v>
      </c>
    </row>
    <row r="30" spans="1:7" ht="15.75">
      <c r="A30" s="176" t="s">
        <v>187</v>
      </c>
      <c r="B30" s="177">
        <v>2000</v>
      </c>
      <c r="C30" s="178">
        <f t="shared" si="1"/>
        <v>8.952875782231959E-7</v>
      </c>
      <c r="D30" s="179">
        <f t="shared" si="0"/>
        <v>18.092930054673104</v>
      </c>
    </row>
    <row r="31" spans="1:7" ht="15.75">
      <c r="A31" s="176" t="s">
        <v>188</v>
      </c>
      <c r="B31" s="177">
        <v>298239.14</v>
      </c>
      <c r="C31" s="178">
        <f t="shared" si="1"/>
        <v>1.3350489869098434E-4</v>
      </c>
      <c r="D31" s="179">
        <f t="shared" si="0"/>
        <v>2698.00994979293</v>
      </c>
    </row>
    <row r="32" spans="1:7" ht="15.75">
      <c r="A32" s="183" t="s">
        <v>189</v>
      </c>
      <c r="B32" s="177">
        <v>564018.93000000005</v>
      </c>
      <c r="C32" s="178">
        <f t="shared" si="1"/>
        <v>2.5247957095586912E-4</v>
      </c>
      <c r="D32" s="179">
        <f t="shared" si="0"/>
        <v>5102.377525000783</v>
      </c>
    </row>
    <row r="33" spans="1:4" ht="15.75">
      <c r="A33" s="176" t="s">
        <v>190</v>
      </c>
      <c r="B33" s="177">
        <v>42540.160000000003</v>
      </c>
      <c r="C33" s="178">
        <f t="shared" si="1"/>
        <v>1.9042838411813637E-5</v>
      </c>
      <c r="D33" s="179">
        <f t="shared" si="0"/>
        <v>384.83806969730136</v>
      </c>
    </row>
    <row r="34" spans="1:4" ht="15.75">
      <c r="A34" s="176" t="s">
        <v>191</v>
      </c>
      <c r="B34" s="184">
        <v>60505115.740000002</v>
      </c>
      <c r="C34" s="178">
        <f t="shared" si="1"/>
        <v>2.7084739270489384E-2</v>
      </c>
      <c r="D34" s="179">
        <f t="shared" si="0"/>
        <v>547357.41351686034</v>
      </c>
    </row>
    <row r="35" spans="1:4" ht="15.75">
      <c r="A35" s="176" t="s">
        <v>192</v>
      </c>
      <c r="B35" s="182">
        <v>223324.41</v>
      </c>
      <c r="C35" s="178">
        <f t="shared" si="1"/>
        <v>9.9969785093512029E-5</v>
      </c>
      <c r="D35" s="179">
        <f t="shared" si="0"/>
        <v>2020.2964648155694</v>
      </c>
    </row>
    <row r="36" spans="1:4" ht="15.75">
      <c r="A36" s="183" t="s">
        <v>193</v>
      </c>
      <c r="B36" s="177">
        <v>7151515.1500000004</v>
      </c>
      <c r="C36" s="178">
        <f t="shared" si="1"/>
        <v>3.201331339634998E-3</v>
      </c>
      <c r="D36" s="179">
        <f t="shared" si="0"/>
        <v>64695.931696942527</v>
      </c>
    </row>
    <row r="37" spans="1:4" ht="15.75">
      <c r="A37" s="176" t="s">
        <v>194</v>
      </c>
      <c r="B37" s="177">
        <v>444314.67</v>
      </c>
      <c r="C37" s="178">
        <f t="shared" si="1"/>
        <v>1.9889470243666921E-4</v>
      </c>
      <c r="D37" s="179">
        <f t="shared" si="0"/>
        <v>4019.477123287581</v>
      </c>
    </row>
    <row r="38" spans="1:4" ht="15.75">
      <c r="A38" s="176" t="s">
        <v>195</v>
      </c>
      <c r="B38" s="177">
        <v>56630.22</v>
      </c>
      <c r="C38" s="178">
        <f t="shared" si="1"/>
        <v>2.5350166259023397E-5</v>
      </c>
      <c r="D38" s="179">
        <f t="shared" si="0"/>
        <v>512.30330472037497</v>
      </c>
    </row>
    <row r="39" spans="1:4" ht="15.75">
      <c r="A39" s="176" t="s">
        <v>196</v>
      </c>
      <c r="B39" s="177">
        <v>5104.24</v>
      </c>
      <c r="C39" s="178">
        <f t="shared" si="1"/>
        <v>2.2848813341349825E-6</v>
      </c>
      <c r="D39" s="179">
        <f t="shared" si="0"/>
        <v>46.175328651132318</v>
      </c>
    </row>
    <row r="40" spans="1:4" ht="15.75">
      <c r="A40" s="176" t="s">
        <v>197</v>
      </c>
      <c r="B40" s="177">
        <v>2761345.65</v>
      </c>
      <c r="C40" s="178">
        <f t="shared" si="1"/>
        <v>1.2360992298128283E-3</v>
      </c>
      <c r="D40" s="179">
        <f t="shared" si="0"/>
        <v>24980.416851112921</v>
      </c>
    </row>
    <row r="41" spans="1:4" ht="15.75">
      <c r="A41" s="176" t="s">
        <v>198</v>
      </c>
      <c r="B41" s="177">
        <v>27477571</v>
      </c>
      <c r="C41" s="178">
        <f t="shared" si="1"/>
        <v>1.2300163998022959E-2</v>
      </c>
      <c r="D41" s="179">
        <f t="shared" si="0"/>
        <v>248574.88508765705</v>
      </c>
    </row>
    <row r="42" spans="1:4" ht="15.75">
      <c r="A42" s="183" t="s">
        <v>199</v>
      </c>
      <c r="B42" s="177">
        <v>605068977</v>
      </c>
      <c r="C42" s="178">
        <f t="shared" si="1"/>
        <v>0.27085536953815831</v>
      </c>
      <c r="D42" s="179">
        <f t="shared" si="0"/>
        <v>5473735.3395568049</v>
      </c>
    </row>
    <row r="43" spans="1:4" ht="15.75">
      <c r="A43" s="176" t="s">
        <v>200</v>
      </c>
      <c r="B43" s="177">
        <v>185136.1</v>
      </c>
      <c r="C43" s="178">
        <f t="shared" si="1"/>
        <v>8.2875025305343712E-5</v>
      </c>
      <c r="D43" s="179">
        <f t="shared" si="0"/>
        <v>1674.8272539474829</v>
      </c>
    </row>
    <row r="44" spans="1:4" ht="15.75">
      <c r="A44" s="176" t="s">
        <v>201</v>
      </c>
      <c r="B44" s="177">
        <v>17582234.02</v>
      </c>
      <c r="C44" s="178">
        <f t="shared" si="1"/>
        <v>7.870577857759643E-3</v>
      </c>
      <c r="D44" s="179">
        <f t="shared" si="0"/>
        <v>159057.06516437695</v>
      </c>
    </row>
    <row r="45" spans="1:4" ht="15.75">
      <c r="A45" s="176" t="s">
        <v>202</v>
      </c>
      <c r="B45" s="177">
        <v>1588024.75</v>
      </c>
      <c r="C45" s="178">
        <f t="shared" si="1"/>
        <v>7.1086941629299805E-4</v>
      </c>
      <c r="D45" s="179">
        <f t="shared" si="0"/>
        <v>14366.010363419871</v>
      </c>
    </row>
    <row r="46" spans="1:4" ht="15.75">
      <c r="A46" s="176" t="s">
        <v>203</v>
      </c>
      <c r="B46" s="177">
        <v>18494.64</v>
      </c>
      <c r="C46" s="178">
        <f t="shared" si="1"/>
        <v>8.2790107278549225E-6</v>
      </c>
      <c r="D46" s="179">
        <f t="shared" si="0"/>
        <v>167.31111395317967</v>
      </c>
    </row>
    <row r="47" spans="1:4" ht="15.75">
      <c r="A47" s="176" t="s">
        <v>204</v>
      </c>
      <c r="B47" s="177">
        <v>3660506.57</v>
      </c>
      <c r="C47" s="178">
        <f t="shared" si="1"/>
        <v>1.6386030310626986E-3</v>
      </c>
      <c r="D47" s="179">
        <f t="shared" si="0"/>
        <v>33114.644667840679</v>
      </c>
    </row>
    <row r="48" spans="1:4" ht="15.75">
      <c r="A48" s="176" t="s">
        <v>205</v>
      </c>
      <c r="B48" s="177">
        <v>13420467.189999999</v>
      </c>
      <c r="C48" s="178">
        <f t="shared" si="1"/>
        <v>6.007588784579479E-3</v>
      </c>
      <c r="D48" s="179">
        <f t="shared" si="0"/>
        <v>121407.78708485264</v>
      </c>
    </row>
    <row r="49" spans="1:4" ht="15.75">
      <c r="A49" s="176" t="s">
        <v>206</v>
      </c>
      <c r="B49" s="185">
        <v>104566741.54000001</v>
      </c>
      <c r="C49" s="178">
        <f t="shared" si="1"/>
        <v>4.6808652398018728E-2</v>
      </c>
      <c r="D49" s="179">
        <f t="shared" si="0"/>
        <v>945959.37036415027</v>
      </c>
    </row>
    <row r="50" spans="1:4" ht="15.75">
      <c r="A50" s="186" t="s">
        <v>207</v>
      </c>
      <c r="B50" s="177">
        <v>363933004.24000001</v>
      </c>
      <c r="C50" s="178">
        <f t="shared" si="1"/>
        <v>0.16291234900076085</v>
      </c>
      <c r="D50" s="179">
        <f t="shared" si="0"/>
        <v>3292307.1951506855</v>
      </c>
    </row>
    <row r="51" spans="1:4" ht="15.75">
      <c r="A51" s="176" t="s">
        <v>208</v>
      </c>
      <c r="B51" s="177">
        <v>128143824.97</v>
      </c>
      <c r="C51" s="178">
        <f t="shared" si="1"/>
        <v>5.7362787360824195E-2</v>
      </c>
      <c r="D51" s="179">
        <f t="shared" si="0"/>
        <v>1159248.6310602413</v>
      </c>
    </row>
    <row r="52" spans="1:4" ht="15.75">
      <c r="A52" s="176" t="s">
        <v>209</v>
      </c>
      <c r="B52" s="177">
        <v>108719184.31999999</v>
      </c>
      <c r="C52" s="178">
        <f t="shared" si="1"/>
        <v>4.8667467618127021E-2</v>
      </c>
      <c r="D52" s="179">
        <f t="shared" si="0"/>
        <v>983524.29875143641</v>
      </c>
    </row>
    <row r="53" spans="1:4" ht="15.75">
      <c r="A53" s="176" t="s">
        <v>210</v>
      </c>
      <c r="B53" s="177">
        <v>648469.44999999995</v>
      </c>
      <c r="C53" s="178">
        <f t="shared" si="1"/>
        <v>2.902833217211139E-4</v>
      </c>
      <c r="D53" s="179">
        <f t="shared" si="0"/>
        <v>5866.3562007211685</v>
      </c>
    </row>
    <row r="54" spans="1:4" ht="15.75">
      <c r="A54" s="187" t="s">
        <v>211</v>
      </c>
      <c r="B54" s="188">
        <v>490825.85</v>
      </c>
      <c r="C54" s="178">
        <f t="shared" si="1"/>
        <v>2.197151432879208E-4</v>
      </c>
      <c r="D54" s="189">
        <f t="shared" si="0"/>
        <v>4440.2388865377361</v>
      </c>
    </row>
    <row r="55" spans="1:4" ht="16.5" thickBot="1">
      <c r="A55" s="190" t="s">
        <v>212</v>
      </c>
      <c r="B55" s="191">
        <f>+SUM(B4:B54)</f>
        <v>2233919076.5599995</v>
      </c>
      <c r="C55" s="192">
        <f>SUM(C4:C54)</f>
        <v>1.0000000000000004</v>
      </c>
      <c r="D55" s="193">
        <f>SUM(D4:D54)</f>
        <v>20209070.800000008</v>
      </c>
    </row>
    <row r="56" spans="1:4" ht="16.5" thickBot="1">
      <c r="A56" s="194"/>
      <c r="B56" s="195"/>
      <c r="C56" s="194"/>
      <c r="D56" s="194"/>
    </row>
    <row r="57" spans="1:4" ht="15.75">
      <c r="A57" s="196" t="s">
        <v>213</v>
      </c>
      <c r="B57" s="197">
        <f>+'PART MES'!B13</f>
        <v>101045354</v>
      </c>
      <c r="C57" s="194"/>
      <c r="D57" s="194"/>
    </row>
    <row r="58" spans="1:4" ht="16.5" thickBot="1">
      <c r="A58" s="198" t="s">
        <v>214</v>
      </c>
      <c r="B58" s="199">
        <f>+B57*0.2</f>
        <v>20209070.800000001</v>
      </c>
      <c r="C58" s="194"/>
      <c r="D58" s="194"/>
    </row>
  </sheetData>
  <mergeCells count="2">
    <mergeCell ref="A2:D2"/>
    <mergeCell ref="A1:D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2"/>
  <sheetViews>
    <sheetView zoomScaleNormal="100" workbookViewId="0">
      <selection activeCell="A5" sqref="A5"/>
    </sheetView>
  </sheetViews>
  <sheetFormatPr baseColWidth="10" defaultColWidth="13" defaultRowHeight="12.75"/>
  <cols>
    <col min="1" max="1" width="31.7109375" style="128" customWidth="1"/>
    <col min="2" max="2" width="16" style="128" customWidth="1"/>
    <col min="3" max="3" width="16.5703125" style="128" customWidth="1"/>
    <col min="4" max="4" width="21" style="128" customWidth="1"/>
    <col min="5" max="16384" width="13" style="128"/>
  </cols>
  <sheetData>
    <row r="1" spans="1:41">
      <c r="A1" s="492" t="s">
        <v>110</v>
      </c>
      <c r="B1" s="492"/>
      <c r="C1" s="492"/>
      <c r="D1" s="492"/>
      <c r="E1" s="353"/>
      <c r="F1" s="353"/>
      <c r="G1" s="353"/>
      <c r="H1" s="353"/>
      <c r="I1" s="353"/>
      <c r="J1" s="353"/>
      <c r="K1" s="353"/>
    </row>
    <row r="2" spans="1:41">
      <c r="A2" s="492" t="s">
        <v>354</v>
      </c>
      <c r="B2" s="492"/>
      <c r="C2" s="492"/>
      <c r="D2" s="492"/>
      <c r="E2" s="353"/>
      <c r="F2" s="353"/>
      <c r="G2" s="353"/>
      <c r="H2" s="353"/>
      <c r="I2" s="353"/>
      <c r="J2" s="353"/>
      <c r="K2" s="353"/>
    </row>
    <row r="3" spans="1:41">
      <c r="A3" s="491" t="s">
        <v>325</v>
      </c>
      <c r="B3" s="491"/>
      <c r="C3" s="491"/>
      <c r="D3" s="491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</row>
    <row r="4" spans="1:41" ht="13.5" thickBot="1">
      <c r="A4" s="491" t="s">
        <v>283</v>
      </c>
      <c r="B4" s="491"/>
      <c r="C4" s="491"/>
      <c r="D4" s="491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</row>
    <row r="5" spans="1:41" ht="17.25" thickTop="1" thickBot="1">
      <c r="A5" s="129" t="s">
        <v>0</v>
      </c>
      <c r="B5" s="222" t="s">
        <v>291</v>
      </c>
      <c r="C5" s="130" t="s">
        <v>294</v>
      </c>
      <c r="D5" s="130" t="s">
        <v>53</v>
      </c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</row>
    <row r="6" spans="1:41" ht="16.5" thickTop="1">
      <c r="A6" s="448" t="s">
        <v>1</v>
      </c>
      <c r="B6" s="449">
        <v>503725</v>
      </c>
      <c r="C6" s="449"/>
      <c r="D6" s="131">
        <f>SUM(B6:C6)</f>
        <v>503725</v>
      </c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</row>
    <row r="7" spans="1:41" ht="15.75">
      <c r="A7" s="450" t="s">
        <v>2</v>
      </c>
      <c r="B7" s="451">
        <v>230270</v>
      </c>
      <c r="C7" s="451"/>
      <c r="D7" s="131">
        <f t="shared" ref="D7:D56" si="0">SUM(B7:C7)</f>
        <v>230270</v>
      </c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</row>
    <row r="8" spans="1:41" ht="15.75">
      <c r="A8" s="450" t="s">
        <v>3</v>
      </c>
      <c r="B8" s="451"/>
      <c r="C8" s="451"/>
      <c r="D8" s="131">
        <f t="shared" si="0"/>
        <v>0</v>
      </c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</row>
    <row r="9" spans="1:41" ht="15.75">
      <c r="A9" s="450" t="s">
        <v>4</v>
      </c>
      <c r="B9" s="451">
        <v>2895399</v>
      </c>
      <c r="C9" s="451"/>
      <c r="D9" s="131">
        <f t="shared" si="0"/>
        <v>2895399</v>
      </c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</row>
    <row r="10" spans="1:41" ht="15.75">
      <c r="A10" s="450" t="s">
        <v>5</v>
      </c>
      <c r="B10" s="451"/>
      <c r="C10" s="451"/>
      <c r="D10" s="131">
        <f t="shared" si="0"/>
        <v>0</v>
      </c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</row>
    <row r="11" spans="1:41" ht="15.75">
      <c r="A11" s="450" t="s">
        <v>6</v>
      </c>
      <c r="B11" s="451">
        <v>7396744</v>
      </c>
      <c r="C11" s="451"/>
      <c r="D11" s="131">
        <f t="shared" si="0"/>
        <v>7396744</v>
      </c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</row>
    <row r="12" spans="1:41" ht="15.75">
      <c r="A12" s="450" t="s">
        <v>7</v>
      </c>
      <c r="B12" s="451"/>
      <c r="C12" s="451"/>
      <c r="D12" s="131">
        <f t="shared" si="0"/>
        <v>0</v>
      </c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</row>
    <row r="13" spans="1:41" ht="15.75">
      <c r="A13" s="450" t="s">
        <v>8</v>
      </c>
      <c r="B13" s="451">
        <v>96586</v>
      </c>
      <c r="C13" s="451"/>
      <c r="D13" s="131">
        <f t="shared" si="0"/>
        <v>96586</v>
      </c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</row>
    <row r="14" spans="1:41" ht="15.75">
      <c r="A14" s="450" t="s">
        <v>9</v>
      </c>
      <c r="B14" s="451"/>
      <c r="C14" s="451"/>
      <c r="D14" s="131">
        <f t="shared" si="0"/>
        <v>0</v>
      </c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</row>
    <row r="15" spans="1:41" ht="15.75">
      <c r="A15" s="450" t="s">
        <v>10</v>
      </c>
      <c r="B15" s="451"/>
      <c r="C15" s="451"/>
      <c r="D15" s="131">
        <f t="shared" si="0"/>
        <v>0</v>
      </c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</row>
    <row r="16" spans="1:41" ht="15.75">
      <c r="A16" s="450" t="s">
        <v>11</v>
      </c>
      <c r="B16" s="451"/>
      <c r="C16" s="451"/>
      <c r="D16" s="131">
        <f t="shared" si="0"/>
        <v>0</v>
      </c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</row>
    <row r="17" spans="1:41" ht="15.75">
      <c r="A17" s="450" t="s">
        <v>12</v>
      </c>
      <c r="B17" s="451"/>
      <c r="C17" s="451"/>
      <c r="D17" s="131">
        <f t="shared" si="0"/>
        <v>0</v>
      </c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</row>
    <row r="18" spans="1:41" ht="15.75">
      <c r="A18" s="450" t="s">
        <v>13</v>
      </c>
      <c r="B18" s="451"/>
      <c r="C18" s="451"/>
      <c r="D18" s="131">
        <f t="shared" si="0"/>
        <v>0</v>
      </c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</row>
    <row r="19" spans="1:41" ht="15.75">
      <c r="A19" s="450" t="s">
        <v>14</v>
      </c>
      <c r="B19" s="451"/>
      <c r="C19" s="451"/>
      <c r="D19" s="131">
        <f t="shared" si="0"/>
        <v>0</v>
      </c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</row>
    <row r="20" spans="1:41" ht="15.75">
      <c r="A20" s="450" t="s">
        <v>15</v>
      </c>
      <c r="B20" s="451"/>
      <c r="C20" s="451"/>
      <c r="D20" s="131">
        <f t="shared" si="0"/>
        <v>0</v>
      </c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</row>
    <row r="21" spans="1:41" ht="15.75">
      <c r="A21" s="450" t="s">
        <v>16</v>
      </c>
      <c r="B21" s="451">
        <v>277927</v>
      </c>
      <c r="C21" s="451"/>
      <c r="D21" s="131">
        <f t="shared" si="0"/>
        <v>277927</v>
      </c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</row>
    <row r="22" spans="1:41" ht="15.75">
      <c r="A22" s="450" t="s">
        <v>17</v>
      </c>
      <c r="B22" s="451">
        <v>232392</v>
      </c>
      <c r="C22" s="451"/>
      <c r="D22" s="131">
        <f t="shared" si="0"/>
        <v>232392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</row>
    <row r="23" spans="1:41" ht="15.75">
      <c r="A23" s="450" t="s">
        <v>18</v>
      </c>
      <c r="B23" s="451"/>
      <c r="C23" s="451"/>
      <c r="D23" s="131">
        <f t="shared" si="0"/>
        <v>0</v>
      </c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</row>
    <row r="24" spans="1:41" ht="15.75">
      <c r="A24" s="450" t="s">
        <v>19</v>
      </c>
      <c r="B24" s="451"/>
      <c r="C24" s="451"/>
      <c r="D24" s="131">
        <f t="shared" si="0"/>
        <v>0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</row>
    <row r="25" spans="1:41" ht="15.75">
      <c r="A25" s="450" t="s">
        <v>20</v>
      </c>
      <c r="B25" s="451"/>
      <c r="C25" s="451"/>
      <c r="D25" s="131">
        <f t="shared" si="0"/>
        <v>0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</row>
    <row r="26" spans="1:41" ht="15.75">
      <c r="A26" s="450" t="s">
        <v>21</v>
      </c>
      <c r="B26" s="451"/>
      <c r="C26" s="451"/>
      <c r="D26" s="131">
        <f t="shared" si="0"/>
        <v>0</v>
      </c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</row>
    <row r="27" spans="1:41" ht="15.75">
      <c r="A27" s="450" t="s">
        <v>22</v>
      </c>
      <c r="B27" s="451"/>
      <c r="C27" s="451"/>
      <c r="D27" s="131">
        <f t="shared" si="0"/>
        <v>0</v>
      </c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</row>
    <row r="28" spans="1:41" ht="15.75">
      <c r="A28" s="450" t="s">
        <v>23</v>
      </c>
      <c r="B28" s="451"/>
      <c r="C28" s="451"/>
      <c r="D28" s="131">
        <f t="shared" si="0"/>
        <v>0</v>
      </c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</row>
    <row r="29" spans="1:41" ht="15.75">
      <c r="A29" s="450" t="s">
        <v>24</v>
      </c>
      <c r="B29" s="451"/>
      <c r="C29" s="451"/>
      <c r="D29" s="131">
        <f t="shared" si="0"/>
        <v>0</v>
      </c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</row>
    <row r="30" spans="1:41" ht="15.75">
      <c r="A30" s="450" t="s">
        <v>25</v>
      </c>
      <c r="B30" s="451">
        <v>5111492</v>
      </c>
      <c r="C30" s="451"/>
      <c r="D30" s="131">
        <f t="shared" si="0"/>
        <v>5111492</v>
      </c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</row>
    <row r="31" spans="1:41" ht="15.75">
      <c r="A31" s="450" t="s">
        <v>26</v>
      </c>
      <c r="B31" s="451"/>
      <c r="C31" s="451"/>
      <c r="D31" s="131">
        <f t="shared" si="0"/>
        <v>0</v>
      </c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</row>
    <row r="32" spans="1:41" ht="15.75">
      <c r="A32" s="450" t="s">
        <v>27</v>
      </c>
      <c r="B32" s="451">
        <v>847995</v>
      </c>
      <c r="C32" s="451"/>
      <c r="D32" s="131">
        <f t="shared" si="0"/>
        <v>847995</v>
      </c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</row>
    <row r="33" spans="1:41" ht="15.75">
      <c r="A33" s="450" t="s">
        <v>28</v>
      </c>
      <c r="B33" s="451">
        <v>60079</v>
      </c>
      <c r="C33" s="451"/>
      <c r="D33" s="131">
        <f t="shared" si="0"/>
        <v>60079</v>
      </c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</row>
    <row r="34" spans="1:41" ht="15.75">
      <c r="A34" s="450" t="s">
        <v>29</v>
      </c>
      <c r="B34" s="451"/>
      <c r="C34" s="451"/>
      <c r="D34" s="131">
        <f t="shared" si="0"/>
        <v>0</v>
      </c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</row>
    <row r="35" spans="1:41" ht="15.75">
      <c r="A35" s="450" t="s">
        <v>30</v>
      </c>
      <c r="B35" s="451">
        <v>15726</v>
      </c>
      <c r="C35" s="451"/>
      <c r="D35" s="131">
        <f t="shared" si="0"/>
        <v>15726</v>
      </c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</row>
    <row r="36" spans="1:41" ht="15.75">
      <c r="A36" s="450" t="s">
        <v>31</v>
      </c>
      <c r="B36" s="451"/>
      <c r="C36" s="451"/>
      <c r="D36" s="131">
        <f t="shared" si="0"/>
        <v>0</v>
      </c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</row>
    <row r="37" spans="1:41" ht="15.75">
      <c r="A37" s="450" t="s">
        <v>32</v>
      </c>
      <c r="B37" s="451">
        <v>98093</v>
      </c>
      <c r="C37" s="451"/>
      <c r="D37" s="131">
        <f t="shared" si="0"/>
        <v>98093</v>
      </c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</row>
    <row r="38" spans="1:41" ht="15.75">
      <c r="A38" s="450" t="s">
        <v>33</v>
      </c>
      <c r="B38" s="451">
        <v>2812109</v>
      </c>
      <c r="C38" s="451"/>
      <c r="D38" s="131">
        <f t="shared" si="0"/>
        <v>2812109</v>
      </c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</row>
    <row r="39" spans="1:41" ht="15.75">
      <c r="A39" s="450" t="s">
        <v>34</v>
      </c>
      <c r="B39" s="451">
        <v>53309</v>
      </c>
      <c r="C39" s="451"/>
      <c r="D39" s="131">
        <f t="shared" si="0"/>
        <v>53309</v>
      </c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</row>
    <row r="40" spans="1:41" ht="15.75">
      <c r="A40" s="450" t="s">
        <v>35</v>
      </c>
      <c r="B40" s="451">
        <v>72095</v>
      </c>
      <c r="C40" s="451"/>
      <c r="D40" s="131">
        <f t="shared" si="0"/>
        <v>72095</v>
      </c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</row>
    <row r="41" spans="1:41" ht="15.75">
      <c r="A41" s="450" t="s">
        <v>36</v>
      </c>
      <c r="B41" s="451"/>
      <c r="C41" s="451"/>
      <c r="D41" s="131">
        <f t="shared" si="0"/>
        <v>0</v>
      </c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</row>
    <row r="42" spans="1:41" ht="15.75">
      <c r="A42" s="450" t="s">
        <v>37</v>
      </c>
      <c r="B42" s="451"/>
      <c r="C42" s="451"/>
      <c r="D42" s="131">
        <f t="shared" si="0"/>
        <v>0</v>
      </c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</row>
    <row r="43" spans="1:41" ht="15.75">
      <c r="A43" s="450" t="s">
        <v>38</v>
      </c>
      <c r="B43" s="451"/>
      <c r="C43" s="451"/>
      <c r="D43" s="131">
        <f t="shared" si="0"/>
        <v>0</v>
      </c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</row>
    <row r="44" spans="1:41" ht="15.75">
      <c r="A44" s="450" t="s">
        <v>39</v>
      </c>
      <c r="B44" s="451">
        <v>9829746</v>
      </c>
      <c r="C44" s="451">
        <v>251967</v>
      </c>
      <c r="D44" s="131">
        <f t="shared" si="0"/>
        <v>10081713</v>
      </c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</row>
    <row r="45" spans="1:41" ht="15.75">
      <c r="A45" s="450" t="s">
        <v>40</v>
      </c>
      <c r="B45" s="451">
        <v>25949</v>
      </c>
      <c r="C45" s="451"/>
      <c r="D45" s="131">
        <f t="shared" si="0"/>
        <v>25949</v>
      </c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</row>
    <row r="46" spans="1:41" ht="15.75">
      <c r="A46" s="450" t="s">
        <v>41</v>
      </c>
      <c r="B46" s="451">
        <v>602026</v>
      </c>
      <c r="C46" s="451"/>
      <c r="D46" s="131">
        <f t="shared" si="0"/>
        <v>602026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</row>
    <row r="47" spans="1:41" ht="15.75">
      <c r="A47" s="450" t="s">
        <v>42</v>
      </c>
      <c r="B47" s="451"/>
      <c r="C47" s="451"/>
      <c r="D47" s="131">
        <f t="shared" si="0"/>
        <v>0</v>
      </c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</row>
    <row r="48" spans="1:41" ht="15.75">
      <c r="A48" s="450" t="s">
        <v>43</v>
      </c>
      <c r="B48" s="451">
        <v>9442</v>
      </c>
      <c r="C48" s="451"/>
      <c r="D48" s="131">
        <f t="shared" si="0"/>
        <v>9442</v>
      </c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</row>
    <row r="49" spans="1:41" ht="15.75">
      <c r="A49" s="450" t="s">
        <v>44</v>
      </c>
      <c r="B49" s="451">
        <v>1184767</v>
      </c>
      <c r="C49" s="451">
        <v>0</v>
      </c>
      <c r="D49" s="131">
        <f t="shared" si="0"/>
        <v>1184767</v>
      </c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</row>
    <row r="50" spans="1:41" ht="15.75">
      <c r="A50" s="450" t="s">
        <v>45</v>
      </c>
      <c r="B50" s="451">
        <v>573553</v>
      </c>
      <c r="C50" s="451"/>
      <c r="D50" s="131">
        <f t="shared" si="0"/>
        <v>573553</v>
      </c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</row>
    <row r="51" spans="1:41" ht="15.75">
      <c r="A51" s="450" t="s">
        <v>46</v>
      </c>
      <c r="B51" s="451">
        <v>19036044</v>
      </c>
      <c r="C51" s="451">
        <v>629616</v>
      </c>
      <c r="D51" s="131">
        <f t="shared" si="0"/>
        <v>19665660</v>
      </c>
      <c r="E51" s="127" t="s">
        <v>158</v>
      </c>
      <c r="F51" s="127" t="s">
        <v>158</v>
      </c>
      <c r="G51" s="127" t="s">
        <v>158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</row>
    <row r="52" spans="1:41" ht="15.75">
      <c r="A52" s="450" t="s">
        <v>47</v>
      </c>
      <c r="B52" s="451">
        <v>9125404</v>
      </c>
      <c r="C52" s="451">
        <v>244745</v>
      </c>
      <c r="D52" s="131">
        <f t="shared" si="0"/>
        <v>9370149</v>
      </c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</row>
    <row r="53" spans="1:41" ht="15.75">
      <c r="A53" s="450" t="s">
        <v>48</v>
      </c>
      <c r="B53" s="451">
        <v>16314261</v>
      </c>
      <c r="C53" s="451"/>
      <c r="D53" s="131">
        <f t="shared" si="0"/>
        <v>16314261</v>
      </c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</row>
    <row r="54" spans="1:41" ht="15.75">
      <c r="A54" s="450" t="s">
        <v>49</v>
      </c>
      <c r="B54" s="451">
        <v>1501572</v>
      </c>
      <c r="C54" s="451"/>
      <c r="D54" s="131">
        <f t="shared" si="0"/>
        <v>1501572</v>
      </c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</row>
    <row r="55" spans="1:41" ht="15.75">
      <c r="A55" s="450" t="s">
        <v>50</v>
      </c>
      <c r="B55" s="451">
        <v>145956</v>
      </c>
      <c r="C55" s="451"/>
      <c r="D55" s="131">
        <f t="shared" si="0"/>
        <v>145956</v>
      </c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</row>
    <row r="56" spans="1:41" ht="16.5" thickBot="1">
      <c r="A56" s="452" t="s">
        <v>51</v>
      </c>
      <c r="B56" s="451"/>
      <c r="C56" s="453"/>
      <c r="D56" s="131">
        <f t="shared" si="0"/>
        <v>0</v>
      </c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</row>
    <row r="57" spans="1:41" ht="17.25" thickTop="1" thickBot="1">
      <c r="A57" s="132" t="s">
        <v>52</v>
      </c>
      <c r="B57" s="133">
        <f t="shared" ref="B57:D57" si="1">SUM(B6:B56)</f>
        <v>79052661</v>
      </c>
      <c r="C57" s="133">
        <f t="shared" si="1"/>
        <v>1126328</v>
      </c>
      <c r="D57" s="134">
        <f t="shared" si="1"/>
        <v>80178989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</row>
    <row r="58" spans="1:41" ht="16.5" thickTop="1">
      <c r="A58" s="135"/>
      <c r="B58" s="135"/>
      <c r="C58" s="135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</row>
    <row r="59" spans="1:41" ht="15.75">
      <c r="A59" s="136"/>
      <c r="B59" s="136"/>
      <c r="C59" s="200" t="s">
        <v>158</v>
      </c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</row>
    <row r="60" spans="1:41" ht="15.75">
      <c r="A60" s="137"/>
      <c r="B60" s="137"/>
      <c r="C60" s="13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</row>
    <row r="61" spans="1:41" ht="15.75">
      <c r="A61" s="137"/>
      <c r="B61" s="137"/>
      <c r="C61" s="13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</row>
    <row r="62" spans="1:41" ht="15.75">
      <c r="A62" s="137"/>
      <c r="B62" s="137"/>
      <c r="C62" s="13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</row>
    <row r="63" spans="1:41" ht="15.75">
      <c r="A63" s="137"/>
      <c r="B63" s="137"/>
      <c r="C63" s="13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</row>
    <row r="64" spans="1:41" ht="15.75">
      <c r="A64" s="137"/>
      <c r="B64" s="137"/>
      <c r="C64" s="13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</row>
    <row r="65" spans="1:41" ht="15.75">
      <c r="A65" s="137"/>
      <c r="B65" s="137"/>
      <c r="C65" s="13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</row>
    <row r="66" spans="1:41" ht="15.75">
      <c r="A66" s="137"/>
      <c r="B66" s="137"/>
      <c r="C66" s="13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</row>
    <row r="67" spans="1:41" ht="15.75">
      <c r="A67" s="137"/>
      <c r="B67" s="137"/>
      <c r="C67" s="13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</row>
    <row r="68" spans="1:41" ht="15.75">
      <c r="A68" s="137"/>
      <c r="B68" s="137"/>
      <c r="C68" s="13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</row>
    <row r="69" spans="1:41" ht="15.75">
      <c r="A69" s="137"/>
      <c r="B69" s="137"/>
      <c r="C69" s="13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</row>
    <row r="70" spans="1:41" ht="15.75">
      <c r="A70" s="137"/>
      <c r="B70" s="137"/>
      <c r="C70" s="13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</row>
    <row r="71" spans="1:41" ht="15.75">
      <c r="A71" s="137"/>
      <c r="B71" s="137"/>
      <c r="C71" s="13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</row>
    <row r="72" spans="1:41" ht="15.75">
      <c r="A72" s="137"/>
      <c r="B72" s="137"/>
      <c r="C72" s="13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</row>
    <row r="73" spans="1:41" ht="15.75">
      <c r="A73" s="137"/>
      <c r="B73" s="137"/>
      <c r="C73" s="13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</row>
    <row r="74" spans="1:41" ht="15.75">
      <c r="A74" s="137"/>
      <c r="B74" s="137"/>
      <c r="C74" s="13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</row>
    <row r="75" spans="1:41" ht="15.75">
      <c r="A75" s="137"/>
      <c r="B75" s="137"/>
      <c r="C75" s="13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</row>
    <row r="76" spans="1:41" ht="15.75">
      <c r="A76" s="137"/>
      <c r="B76" s="137"/>
      <c r="C76" s="13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</row>
    <row r="77" spans="1:41" ht="15.75">
      <c r="A77" s="137"/>
      <c r="B77" s="137"/>
      <c r="C77" s="13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</row>
    <row r="78" spans="1:41" ht="15.75">
      <c r="A78" s="137"/>
      <c r="B78" s="137"/>
      <c r="C78" s="13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</row>
    <row r="79" spans="1:41" ht="15.75">
      <c r="A79" s="137"/>
      <c r="B79" s="137"/>
      <c r="C79" s="13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</row>
    <row r="80" spans="1:41" ht="15.75">
      <c r="A80" s="137"/>
      <c r="B80" s="137"/>
      <c r="C80" s="13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</row>
    <row r="81" spans="1:41" ht="15.75">
      <c r="A81" s="137"/>
      <c r="B81" s="137"/>
      <c r="C81" s="13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</row>
    <row r="82" spans="1:41" ht="15.75">
      <c r="A82" s="137"/>
      <c r="B82" s="137"/>
      <c r="C82" s="13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</row>
    <row r="83" spans="1:41" ht="15.75">
      <c r="A83" s="137"/>
      <c r="B83" s="137"/>
      <c r="C83" s="13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</row>
    <row r="84" spans="1:41" ht="15.75">
      <c r="A84" s="137"/>
      <c r="B84" s="137"/>
      <c r="C84" s="13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</row>
    <row r="85" spans="1:41" ht="15.75">
      <c r="A85" s="137"/>
      <c r="B85" s="137"/>
      <c r="C85" s="13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</row>
    <row r="86" spans="1:41" ht="15.75">
      <c r="A86" s="137"/>
      <c r="B86" s="137"/>
      <c r="C86" s="13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</row>
    <row r="87" spans="1:41" ht="15.75">
      <c r="A87" s="137"/>
      <c r="B87" s="137"/>
      <c r="C87" s="13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</row>
    <row r="88" spans="1:41" ht="15.75">
      <c r="A88" s="137"/>
      <c r="B88" s="137"/>
      <c r="C88" s="13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</row>
    <row r="89" spans="1:41" ht="15.75">
      <c r="A89" s="137"/>
      <c r="B89" s="137"/>
      <c r="C89" s="13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</row>
    <row r="90" spans="1:41" ht="15.75">
      <c r="A90" s="137"/>
      <c r="B90" s="137"/>
      <c r="C90" s="13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</row>
    <row r="91" spans="1:41" ht="15.75">
      <c r="A91" s="137"/>
      <c r="B91" s="137"/>
      <c r="C91" s="13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</row>
    <row r="92" spans="1:41" ht="15.75">
      <c r="A92" s="137"/>
      <c r="B92" s="137"/>
      <c r="C92" s="13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</row>
    <row r="93" spans="1:41" ht="15.75">
      <c r="A93" s="137"/>
      <c r="B93" s="137"/>
      <c r="C93" s="13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</row>
    <row r="94" spans="1:41" ht="15.75">
      <c r="A94" s="137"/>
      <c r="B94" s="137"/>
      <c r="C94" s="13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</row>
    <row r="95" spans="1:41" ht="15.75">
      <c r="A95" s="137"/>
      <c r="B95" s="137"/>
      <c r="C95" s="13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</row>
    <row r="96" spans="1:41" ht="15.75">
      <c r="A96" s="137"/>
      <c r="B96" s="137"/>
      <c r="C96" s="13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</row>
    <row r="97" spans="1:41" ht="15.75">
      <c r="A97" s="137"/>
      <c r="B97" s="137"/>
      <c r="C97" s="13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</row>
    <row r="98" spans="1:41" ht="15.75">
      <c r="A98" s="137"/>
      <c r="B98" s="137"/>
      <c r="C98" s="13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</row>
    <row r="99" spans="1:41" ht="15.75">
      <c r="A99" s="137"/>
      <c r="B99" s="137"/>
      <c r="C99" s="13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</row>
    <row r="100" spans="1:41" ht="15.75">
      <c r="A100" s="137"/>
      <c r="B100" s="137"/>
      <c r="C100" s="13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</row>
    <row r="101" spans="1:41" ht="15.75">
      <c r="A101" s="137"/>
      <c r="B101" s="137"/>
      <c r="C101" s="13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</row>
    <row r="102" spans="1:41" ht="15.75">
      <c r="A102" s="137"/>
      <c r="B102" s="137"/>
      <c r="C102" s="13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</row>
    <row r="103" spans="1:41" ht="15.75">
      <c r="A103" s="137"/>
      <c r="B103" s="137"/>
      <c r="C103" s="13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</row>
    <row r="104" spans="1:41" ht="15.75">
      <c r="A104" s="137"/>
      <c r="B104" s="137"/>
      <c r="C104" s="13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</row>
    <row r="105" spans="1:41" ht="15.75">
      <c r="A105" s="137"/>
      <c r="B105" s="137"/>
      <c r="C105" s="13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</row>
    <row r="106" spans="1:41" ht="15.75">
      <c r="A106" s="137"/>
      <c r="B106" s="137"/>
      <c r="C106" s="13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</row>
    <row r="107" spans="1:41" ht="15.75">
      <c r="A107" s="137"/>
      <c r="B107" s="137"/>
      <c r="C107" s="13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</row>
    <row r="108" spans="1:41" ht="15.75">
      <c r="A108" s="137"/>
      <c r="B108" s="137"/>
      <c r="C108" s="13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</row>
    <row r="109" spans="1:41" ht="15.75">
      <c r="A109" s="137"/>
      <c r="B109" s="137"/>
      <c r="C109" s="13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</row>
    <row r="110" spans="1:41" ht="15.75">
      <c r="A110" s="137"/>
      <c r="B110" s="137"/>
      <c r="C110" s="13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</row>
    <row r="111" spans="1:41" ht="15.75">
      <c r="A111" s="137"/>
      <c r="B111" s="137"/>
      <c r="C111" s="13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</row>
    <row r="112" spans="1:41" ht="15.75">
      <c r="A112" s="137"/>
      <c r="B112" s="137"/>
      <c r="C112" s="13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</row>
    <row r="113" spans="1:41" ht="15.75">
      <c r="A113" s="137"/>
      <c r="B113" s="137"/>
      <c r="C113" s="13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</row>
    <row r="114" spans="1:41" ht="15.75">
      <c r="A114" s="137"/>
      <c r="B114" s="137"/>
      <c r="C114" s="13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</row>
    <row r="115" spans="1:41" ht="15.75">
      <c r="A115" s="137"/>
      <c r="B115" s="137"/>
      <c r="C115" s="13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</row>
    <row r="116" spans="1:41" ht="15.75">
      <c r="A116" s="137"/>
      <c r="B116" s="137"/>
      <c r="C116" s="13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</row>
    <row r="117" spans="1:41" ht="15.75">
      <c r="A117" s="137"/>
      <c r="B117" s="137"/>
      <c r="C117" s="13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</row>
    <row r="118" spans="1:41" ht="15.75">
      <c r="A118" s="137"/>
      <c r="B118" s="137"/>
      <c r="C118" s="13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</row>
    <row r="119" spans="1:41" ht="15.75">
      <c r="A119" s="137"/>
      <c r="B119" s="137"/>
      <c r="C119" s="13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</row>
    <row r="120" spans="1:41" ht="15.75">
      <c r="A120" s="137"/>
      <c r="B120" s="137"/>
      <c r="C120" s="13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</row>
    <row r="121" spans="1:41" ht="15.75">
      <c r="A121" s="137"/>
      <c r="B121" s="137"/>
      <c r="C121" s="13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</row>
    <row r="122" spans="1:41" ht="15.75">
      <c r="A122" s="137"/>
      <c r="B122" s="137"/>
      <c r="C122" s="13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</row>
    <row r="123" spans="1:41" ht="15.75">
      <c r="A123" s="137"/>
      <c r="B123" s="137"/>
      <c r="C123" s="13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</row>
    <row r="124" spans="1:41" ht="15.75">
      <c r="A124" s="137"/>
      <c r="B124" s="137"/>
      <c r="C124" s="13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</row>
    <row r="125" spans="1:41" ht="15.75">
      <c r="A125" s="137"/>
      <c r="B125" s="137"/>
      <c r="C125" s="13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</row>
    <row r="126" spans="1:41" ht="15.75">
      <c r="A126" s="137"/>
      <c r="B126" s="137"/>
      <c r="C126" s="13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</row>
    <row r="127" spans="1:41" ht="15.75">
      <c r="A127" s="137"/>
      <c r="B127" s="137"/>
      <c r="C127" s="13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</row>
    <row r="128" spans="1:41" ht="15.75">
      <c r="A128" s="137"/>
      <c r="B128" s="137"/>
      <c r="C128" s="13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</row>
    <row r="129" spans="1:41" ht="15.75">
      <c r="A129" s="137"/>
      <c r="B129" s="137"/>
      <c r="C129" s="13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</row>
    <row r="130" spans="1:41" ht="15.75">
      <c r="A130" s="137"/>
      <c r="B130" s="137"/>
      <c r="C130" s="13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</row>
    <row r="131" spans="1:41" ht="15.75">
      <c r="A131" s="137"/>
      <c r="B131" s="137"/>
      <c r="C131" s="13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</row>
    <row r="132" spans="1:41" ht="15.75">
      <c r="A132" s="137"/>
      <c r="B132" s="137"/>
      <c r="C132" s="13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</row>
    <row r="133" spans="1:41" ht="15.75">
      <c r="A133" s="137"/>
      <c r="B133" s="137"/>
      <c r="C133" s="13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</row>
    <row r="134" spans="1:41" ht="15.75">
      <c r="A134" s="137"/>
      <c r="B134" s="137"/>
      <c r="C134" s="13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</row>
    <row r="135" spans="1:41" ht="15.75">
      <c r="A135" s="137"/>
      <c r="B135" s="137"/>
      <c r="C135" s="13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</row>
    <row r="136" spans="1:41" ht="15.75">
      <c r="A136" s="137"/>
      <c r="B136" s="137"/>
      <c r="C136" s="13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</row>
    <row r="137" spans="1:41" ht="15.75">
      <c r="A137" s="137"/>
      <c r="B137" s="137"/>
      <c r="C137" s="13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</row>
    <row r="138" spans="1:41" ht="15.75">
      <c r="A138" s="137"/>
      <c r="B138" s="137"/>
      <c r="C138" s="13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</row>
    <row r="139" spans="1:41" ht="15.75">
      <c r="A139" s="137"/>
      <c r="B139" s="137"/>
      <c r="C139" s="13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</row>
    <row r="140" spans="1:41" ht="15.75">
      <c r="A140" s="137"/>
      <c r="B140" s="137"/>
      <c r="C140" s="13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</row>
    <row r="141" spans="1:41" ht="15.75">
      <c r="A141" s="137"/>
      <c r="B141" s="137"/>
      <c r="C141" s="13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</row>
    <row r="142" spans="1:41" ht="15.75">
      <c r="A142" s="137"/>
      <c r="B142" s="137"/>
      <c r="C142" s="13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</row>
    <row r="143" spans="1:41" ht="15.75">
      <c r="A143" s="137"/>
      <c r="B143" s="137"/>
      <c r="C143" s="13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</row>
    <row r="144" spans="1:41" ht="15.75">
      <c r="A144" s="137"/>
      <c r="B144" s="137"/>
      <c r="C144" s="13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</row>
    <row r="145" spans="1:41" ht="15.75">
      <c r="A145" s="137"/>
      <c r="B145" s="137"/>
      <c r="C145" s="13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</row>
    <row r="146" spans="1:41" ht="15.75">
      <c r="A146" s="137"/>
      <c r="B146" s="137"/>
      <c r="C146" s="13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</row>
    <row r="147" spans="1:41" ht="15.75">
      <c r="A147" s="137"/>
      <c r="B147" s="137"/>
      <c r="C147" s="13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</row>
    <row r="148" spans="1:41" ht="15.75">
      <c r="A148" s="137"/>
      <c r="B148" s="137"/>
      <c r="C148" s="13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</row>
    <row r="149" spans="1:41" ht="15.75">
      <c r="A149" s="137"/>
      <c r="B149" s="137"/>
      <c r="C149" s="13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</row>
    <row r="150" spans="1:41" ht="15.75">
      <c r="A150" s="137"/>
      <c r="B150" s="137"/>
      <c r="C150" s="13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</row>
    <row r="151" spans="1:41" ht="15.75">
      <c r="A151" s="137"/>
      <c r="B151" s="137"/>
      <c r="C151" s="13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</row>
    <row r="152" spans="1:41" ht="15.75">
      <c r="A152" s="137"/>
      <c r="B152" s="137"/>
      <c r="C152" s="13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</row>
    <row r="153" spans="1:41" ht="15.75">
      <c r="A153" s="137"/>
      <c r="B153" s="137"/>
      <c r="C153" s="13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</row>
    <row r="154" spans="1:41" ht="15.75">
      <c r="A154" s="137"/>
      <c r="B154" s="137"/>
      <c r="C154" s="13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</row>
    <row r="155" spans="1:41" ht="15.75">
      <c r="A155" s="137"/>
      <c r="B155" s="137"/>
      <c r="C155" s="13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</row>
    <row r="156" spans="1:41" ht="15.75">
      <c r="A156" s="137"/>
      <c r="B156" s="137"/>
      <c r="C156" s="13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</row>
    <row r="157" spans="1:41" ht="15.75">
      <c r="A157" s="137"/>
      <c r="B157" s="137"/>
      <c r="C157" s="13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</row>
    <row r="158" spans="1:41" ht="15.75">
      <c r="A158" s="137"/>
      <c r="B158" s="137"/>
      <c r="C158" s="13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</row>
    <row r="159" spans="1:41" ht="15.75">
      <c r="A159" s="137"/>
      <c r="B159" s="137"/>
      <c r="C159" s="13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</row>
    <row r="160" spans="1:41" ht="15.75">
      <c r="A160" s="137"/>
      <c r="B160" s="137"/>
      <c r="C160" s="13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</row>
    <row r="161" spans="1:41" ht="15.75">
      <c r="A161" s="137"/>
      <c r="B161" s="137"/>
      <c r="C161" s="13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</row>
    <row r="162" spans="1:41" ht="15.75">
      <c r="A162" s="137"/>
      <c r="B162" s="137"/>
      <c r="C162" s="13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</row>
    <row r="163" spans="1:41" ht="15.75">
      <c r="A163" s="137"/>
      <c r="B163" s="137"/>
      <c r="C163" s="13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</row>
    <row r="164" spans="1:41" ht="15.75">
      <c r="A164" s="137"/>
      <c r="B164" s="137"/>
      <c r="C164" s="13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</row>
    <row r="165" spans="1:41" ht="15.75">
      <c r="A165" s="137"/>
      <c r="B165" s="137"/>
      <c r="C165" s="13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</row>
    <row r="166" spans="1:41" ht="15.75">
      <c r="A166" s="137"/>
      <c r="B166" s="137"/>
      <c r="C166" s="13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</row>
    <row r="167" spans="1:41" ht="15.75">
      <c r="A167" s="137"/>
      <c r="B167" s="137"/>
      <c r="C167" s="13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</row>
    <row r="168" spans="1:41" ht="15.75">
      <c r="A168" s="137"/>
      <c r="B168" s="137"/>
      <c r="C168" s="13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</row>
    <row r="169" spans="1:41" ht="15.75">
      <c r="A169" s="137"/>
      <c r="B169" s="137"/>
      <c r="C169" s="13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</row>
    <row r="170" spans="1:41" ht="15.75">
      <c r="A170" s="137"/>
      <c r="B170" s="137"/>
      <c r="C170" s="13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</row>
    <row r="171" spans="1:41" ht="15.75">
      <c r="A171" s="137"/>
      <c r="B171" s="137"/>
      <c r="C171" s="13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</row>
    <row r="172" spans="1:41" ht="15.75">
      <c r="A172" s="137"/>
      <c r="B172" s="137"/>
      <c r="C172" s="13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</row>
    <row r="173" spans="1:41" ht="15.75">
      <c r="A173" s="137"/>
      <c r="B173" s="137"/>
      <c r="C173" s="13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</row>
    <row r="174" spans="1:41" ht="15.75">
      <c r="A174" s="137"/>
      <c r="B174" s="137"/>
      <c r="C174" s="13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</row>
    <row r="175" spans="1:41" ht="15.75">
      <c r="A175" s="137"/>
      <c r="B175" s="137"/>
      <c r="C175" s="13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</row>
    <row r="176" spans="1:41" ht="15.75">
      <c r="A176" s="137"/>
      <c r="B176" s="137"/>
      <c r="C176" s="13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</row>
    <row r="177" spans="1:41" ht="15.75">
      <c r="A177" s="137"/>
      <c r="B177" s="137"/>
      <c r="C177" s="13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</row>
    <row r="178" spans="1:41" ht="15.75">
      <c r="A178" s="137"/>
      <c r="B178" s="137"/>
      <c r="C178" s="13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</row>
    <row r="179" spans="1:41" ht="15.75">
      <c r="A179" s="137"/>
      <c r="B179" s="137"/>
      <c r="C179" s="13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</row>
    <row r="180" spans="1:41" ht="15.75">
      <c r="A180" s="137"/>
      <c r="B180" s="137"/>
      <c r="C180" s="13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</row>
    <row r="181" spans="1:41" ht="15.75">
      <c r="A181" s="137"/>
      <c r="B181" s="137"/>
      <c r="C181" s="13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</row>
    <row r="182" spans="1:41" ht="15.75">
      <c r="A182" s="137"/>
      <c r="B182" s="137"/>
      <c r="C182" s="13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</row>
    <row r="183" spans="1:41" ht="15.75">
      <c r="A183" s="137"/>
      <c r="B183" s="137"/>
      <c r="C183" s="13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</row>
    <row r="184" spans="1:41" ht="15.75">
      <c r="A184" s="137"/>
      <c r="B184" s="137"/>
      <c r="C184" s="13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</row>
    <row r="185" spans="1:41" ht="15.75">
      <c r="A185" s="137"/>
      <c r="B185" s="137"/>
      <c r="C185" s="13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</row>
    <row r="186" spans="1:41" ht="15.75">
      <c r="A186" s="137"/>
      <c r="B186" s="137"/>
      <c r="C186" s="13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</row>
    <row r="187" spans="1:41" ht="15.75">
      <c r="A187" s="137"/>
      <c r="B187" s="137"/>
      <c r="C187" s="13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</row>
    <row r="188" spans="1:41" ht="15.75">
      <c r="A188" s="137"/>
      <c r="B188" s="137"/>
      <c r="C188" s="13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</row>
    <row r="189" spans="1:41" ht="15.75">
      <c r="A189" s="137"/>
      <c r="B189" s="137"/>
      <c r="C189" s="13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</row>
    <row r="190" spans="1:41" ht="15.75">
      <c r="A190" s="137"/>
      <c r="B190" s="137"/>
      <c r="C190" s="13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</row>
    <row r="191" spans="1:41" ht="15.75">
      <c r="A191" s="137"/>
      <c r="B191" s="137"/>
      <c r="C191" s="13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</row>
    <row r="192" spans="1:41" ht="15.75">
      <c r="A192" s="137"/>
      <c r="B192" s="137"/>
      <c r="C192" s="13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</row>
    <row r="193" spans="1:41" ht="15.75">
      <c r="A193" s="137"/>
      <c r="B193" s="137"/>
      <c r="C193" s="13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</row>
    <row r="194" spans="1:41" ht="15.75">
      <c r="A194" s="137"/>
      <c r="B194" s="137"/>
      <c r="C194" s="13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</row>
    <row r="195" spans="1:41" ht="15.75">
      <c r="A195" s="137"/>
      <c r="B195" s="137"/>
      <c r="C195" s="13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</row>
    <row r="196" spans="1:41" ht="15.75">
      <c r="A196" s="137"/>
      <c r="B196" s="137"/>
      <c r="C196" s="13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</row>
    <row r="197" spans="1:41" ht="15.75">
      <c r="A197" s="137"/>
      <c r="B197" s="137"/>
      <c r="C197" s="13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</row>
    <row r="198" spans="1:41" ht="15.75">
      <c r="A198" s="137"/>
      <c r="B198" s="137"/>
      <c r="C198" s="13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</row>
    <row r="199" spans="1:41" ht="15.75">
      <c r="A199" s="137"/>
      <c r="B199" s="137"/>
      <c r="C199" s="13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</row>
    <row r="200" spans="1:41" ht="15.75">
      <c r="A200" s="137"/>
      <c r="B200" s="137"/>
      <c r="C200" s="13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</row>
    <row r="201" spans="1:41" ht="15.75">
      <c r="A201" s="137"/>
      <c r="B201" s="137"/>
      <c r="C201" s="13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</row>
    <row r="202" spans="1:41" ht="15.75">
      <c r="A202" s="137"/>
      <c r="B202" s="137"/>
      <c r="C202" s="13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</row>
    <row r="203" spans="1:41" ht="15.75">
      <c r="A203" s="137"/>
      <c r="B203" s="137"/>
      <c r="C203" s="13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</row>
    <row r="204" spans="1:41" ht="15.75">
      <c r="A204" s="137"/>
      <c r="B204" s="137"/>
      <c r="C204" s="13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</row>
    <row r="205" spans="1:41" ht="15.75">
      <c r="A205" s="137"/>
      <c r="B205" s="137"/>
      <c r="C205" s="13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</row>
    <row r="206" spans="1:41" ht="15.75">
      <c r="A206" s="137"/>
      <c r="B206" s="137"/>
      <c r="C206" s="13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</row>
    <row r="207" spans="1:41" ht="15.75">
      <c r="A207" s="137"/>
      <c r="B207" s="137"/>
      <c r="C207" s="13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</row>
    <row r="208" spans="1:41" ht="15.75">
      <c r="A208" s="137"/>
      <c r="B208" s="137"/>
      <c r="C208" s="13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</row>
    <row r="209" spans="1:41" ht="15.75">
      <c r="A209" s="137"/>
      <c r="B209" s="137"/>
      <c r="C209" s="13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</row>
    <row r="210" spans="1:41" ht="15.75">
      <c r="A210" s="137"/>
      <c r="B210" s="137"/>
      <c r="C210" s="13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</row>
    <row r="211" spans="1:41" ht="15.75">
      <c r="A211" s="137"/>
      <c r="B211" s="137"/>
      <c r="C211" s="13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</row>
    <row r="212" spans="1:41" ht="15.75">
      <c r="A212" s="137"/>
      <c r="B212" s="137"/>
      <c r="C212" s="13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</row>
    <row r="213" spans="1:41" ht="15.75">
      <c r="A213" s="137"/>
      <c r="B213" s="137"/>
      <c r="C213" s="13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</row>
    <row r="214" spans="1:41" ht="15.75">
      <c r="A214" s="137"/>
      <c r="B214" s="137"/>
      <c r="C214" s="13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</row>
    <row r="215" spans="1:41" ht="15.75">
      <c r="A215" s="137"/>
      <c r="B215" s="137"/>
      <c r="C215" s="13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</row>
    <row r="216" spans="1:41" ht="15.75">
      <c r="A216" s="137"/>
      <c r="B216" s="137"/>
      <c r="C216" s="13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</row>
    <row r="217" spans="1:41" ht="16.5">
      <c r="A217" s="138"/>
      <c r="B217" s="138"/>
      <c r="C217" s="138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</row>
    <row r="218" spans="1:41" ht="16.5">
      <c r="A218" s="138"/>
      <c r="B218" s="138"/>
      <c r="C218" s="138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</row>
    <row r="219" spans="1:41" ht="16.5">
      <c r="A219" s="138"/>
      <c r="B219" s="138"/>
      <c r="C219" s="138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</row>
    <row r="220" spans="1:41" ht="16.5">
      <c r="A220" s="138"/>
      <c r="B220" s="138"/>
      <c r="C220" s="138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</row>
    <row r="221" spans="1:41" ht="16.5">
      <c r="A221" s="138"/>
      <c r="B221" s="138"/>
      <c r="C221" s="138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</row>
    <row r="222" spans="1:41" ht="16.5">
      <c r="A222" s="138"/>
      <c r="B222" s="138"/>
      <c r="C222" s="138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</row>
    <row r="223" spans="1:41" ht="16.5">
      <c r="A223" s="138"/>
      <c r="B223" s="138"/>
      <c r="C223" s="138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</row>
    <row r="224" spans="1:41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</row>
    <row r="225" spans="1:41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</row>
    <row r="226" spans="1:41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</row>
    <row r="227" spans="1:4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</row>
    <row r="228" spans="1:4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</row>
    <row r="229" spans="1:41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</row>
    <row r="230" spans="1:41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</row>
    <row r="231" spans="1:41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</row>
    <row r="232" spans="1:41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</row>
    <row r="233" spans="1:41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</row>
    <row r="234" spans="1:41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</row>
    <row r="235" spans="1:41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</row>
    <row r="236" spans="1:41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</row>
    <row r="237" spans="1:41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</row>
    <row r="238" spans="1:41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</row>
    <row r="239" spans="1:41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</row>
    <row r="240" spans="1:41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</row>
    <row r="241" spans="1:41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</row>
    <row r="242" spans="1:41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</row>
    <row r="243" spans="1:41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</row>
    <row r="244" spans="1:41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  <c r="AN244" s="127"/>
      <c r="AO244" s="127"/>
    </row>
    <row r="245" spans="1:41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  <c r="AN245" s="127"/>
      <c r="AO245" s="127"/>
    </row>
    <row r="246" spans="1:41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/>
      <c r="AO246" s="127"/>
    </row>
    <row r="247" spans="1:41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  <c r="AN247" s="127"/>
      <c r="AO247" s="127"/>
    </row>
    <row r="248" spans="1:41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</row>
    <row r="249" spans="1:41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</row>
    <row r="250" spans="1:41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</row>
    <row r="251" spans="1:41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</row>
    <row r="252" spans="1:41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</row>
    <row r="253" spans="1:41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</row>
    <row r="254" spans="1:41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</row>
    <row r="255" spans="1:41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</row>
    <row r="256" spans="1:41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</row>
    <row r="257" spans="1:41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</row>
    <row r="258" spans="1:4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</row>
    <row r="259" spans="1:41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</row>
    <row r="260" spans="1:41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</row>
    <row r="261" spans="1:41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</row>
    <row r="262" spans="1:41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</row>
    <row r="263" spans="1:41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</row>
    <row r="264" spans="1:41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</row>
    <row r="265" spans="1:41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</row>
    <row r="266" spans="1:41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</row>
    <row r="267" spans="1:41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</row>
    <row r="268" spans="1:41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</row>
    <row r="269" spans="1:41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</row>
    <row r="270" spans="1:41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</row>
    <row r="271" spans="1:41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</row>
    <row r="272" spans="1:41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</row>
    <row r="273" spans="1:41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</row>
    <row r="274" spans="1:41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</row>
    <row r="275" spans="1:41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</row>
    <row r="276" spans="1:41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</row>
    <row r="277" spans="1:41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</row>
    <row r="278" spans="1:41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</row>
    <row r="279" spans="1:41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</row>
    <row r="280" spans="1:41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</row>
    <row r="281" spans="1:41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</row>
    <row r="282" spans="1:41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</row>
    <row r="283" spans="1:41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</row>
    <row r="284" spans="1:41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</row>
    <row r="285" spans="1:41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</row>
    <row r="286" spans="1:41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</row>
    <row r="287" spans="1:4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</row>
    <row r="288" spans="1:4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</row>
    <row r="289" spans="1:41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</row>
    <row r="290" spans="1:41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</row>
    <row r="291" spans="1:41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</row>
    <row r="292" spans="1:41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</row>
    <row r="293" spans="1:41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</row>
    <row r="294" spans="1:41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</row>
    <row r="295" spans="1:41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</row>
    <row r="296" spans="1:41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</row>
    <row r="297" spans="1:41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</row>
    <row r="298" spans="1:41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</row>
    <row r="299" spans="1:41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</row>
    <row r="300" spans="1:41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</row>
    <row r="301" spans="1:41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  <c r="AN301" s="127"/>
      <c r="AO301" s="127"/>
    </row>
    <row r="302" spans="1:41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  <c r="AN302" s="127"/>
      <c r="AO302" s="127"/>
    </row>
    <row r="303" spans="1:41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  <c r="AN303" s="127"/>
      <c r="AO303" s="127"/>
    </row>
    <row r="304" spans="1:41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  <c r="AN304" s="127"/>
      <c r="AO304" s="127"/>
    </row>
    <row r="305" spans="1:41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  <c r="AN305" s="127"/>
      <c r="AO305" s="127"/>
    </row>
    <row r="306" spans="1:41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  <c r="AN306" s="127"/>
      <c r="AO306" s="127"/>
    </row>
    <row r="307" spans="1:41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  <c r="AN307" s="127"/>
      <c r="AO307" s="127"/>
    </row>
    <row r="308" spans="1:41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  <c r="AN308" s="127"/>
      <c r="AO308" s="127"/>
    </row>
    <row r="309" spans="1:41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  <c r="AN309" s="127"/>
      <c r="AO309" s="127"/>
    </row>
    <row r="310" spans="1:41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  <c r="AN310" s="127"/>
      <c r="AO310" s="127"/>
    </row>
    <row r="311" spans="1:41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  <c r="AN311" s="127"/>
      <c r="AO311" s="127"/>
    </row>
    <row r="312" spans="1:41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</row>
    <row r="313" spans="1:41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  <c r="AN313" s="127"/>
      <c r="AO313" s="127"/>
    </row>
    <row r="314" spans="1:41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  <c r="AN314" s="127"/>
      <c r="AO314" s="127"/>
    </row>
    <row r="315" spans="1:41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  <c r="AN315" s="127"/>
      <c r="AO315" s="127"/>
    </row>
    <row r="316" spans="1:41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  <c r="AN316" s="127"/>
      <c r="AO316" s="127"/>
    </row>
    <row r="317" spans="1:4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  <c r="AN317" s="127"/>
      <c r="AO317" s="127"/>
    </row>
    <row r="318" spans="1:4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  <c r="AN318" s="127"/>
      <c r="AO318" s="127"/>
    </row>
    <row r="319" spans="1:41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</row>
    <row r="320" spans="1:41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  <c r="AN320" s="127"/>
      <c r="AO320" s="127"/>
    </row>
    <row r="321" spans="1:41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  <c r="AN321" s="127"/>
      <c r="AO321" s="127"/>
    </row>
    <row r="322" spans="1:41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  <c r="AN322" s="127"/>
      <c r="AO322" s="127"/>
    </row>
    <row r="323" spans="1:41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  <c r="AN323" s="127"/>
      <c r="AO323" s="127"/>
    </row>
    <row r="324" spans="1:41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  <c r="AN324" s="127"/>
      <c r="AO324" s="127"/>
    </row>
    <row r="325" spans="1:41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127"/>
    </row>
    <row r="326" spans="1:41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</row>
    <row r="327" spans="1:41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  <c r="AN327" s="127"/>
      <c r="AO327" s="127"/>
    </row>
    <row r="328" spans="1:41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  <c r="AN328" s="127"/>
      <c r="AO328" s="127"/>
    </row>
    <row r="329" spans="1:41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  <c r="AN329" s="127"/>
      <c r="AO329" s="127"/>
    </row>
    <row r="330" spans="1:41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  <c r="AN330" s="127"/>
      <c r="AO330" s="127"/>
    </row>
    <row r="331" spans="1:41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</row>
    <row r="332" spans="1:41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</row>
    <row r="333" spans="1:41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</row>
    <row r="334" spans="1:41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</row>
    <row r="335" spans="1:41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</row>
    <row r="336" spans="1:41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</row>
    <row r="337" spans="1:41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</row>
    <row r="338" spans="1:41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</row>
    <row r="339" spans="1:41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</row>
    <row r="340" spans="1:41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</row>
    <row r="341" spans="1:41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</row>
    <row r="342" spans="1:41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</row>
    <row r="343" spans="1:41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</row>
    <row r="344" spans="1:41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</row>
    <row r="345" spans="1:41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</row>
    <row r="346" spans="1:41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</row>
    <row r="347" spans="1:41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</row>
    <row r="348" spans="1:41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</row>
    <row r="349" spans="1:41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</row>
    <row r="350" spans="1:4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</row>
    <row r="351" spans="1:41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</row>
    <row r="352" spans="1:41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</row>
    <row r="353" spans="1:41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</row>
    <row r="354" spans="1:41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</row>
    <row r="355" spans="1:41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</row>
    <row r="356" spans="1:41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</row>
    <row r="357" spans="1:41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</row>
    <row r="358" spans="1:41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</row>
    <row r="359" spans="1:41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</row>
    <row r="360" spans="1:41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</row>
    <row r="361" spans="1:41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</row>
    <row r="362" spans="1:41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</row>
    <row r="363" spans="1:41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</row>
    <row r="364" spans="1:41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</row>
    <row r="365" spans="1:41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</row>
    <row r="366" spans="1:41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</row>
    <row r="367" spans="1:41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</row>
    <row r="368" spans="1:41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</row>
    <row r="369" spans="1:41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</row>
    <row r="370" spans="1:41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</row>
    <row r="371" spans="1:41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</row>
    <row r="372" spans="1:41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</row>
    <row r="373" spans="1:41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</row>
    <row r="374" spans="1:41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</row>
    <row r="375" spans="1:41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</row>
    <row r="376" spans="1:41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</row>
    <row r="377" spans="1:41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</row>
    <row r="378" spans="1:41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</row>
    <row r="379" spans="1:41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</row>
    <row r="380" spans="1:41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</row>
    <row r="381" spans="1:4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</row>
    <row r="382" spans="1:4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</row>
    <row r="383" spans="1:41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</row>
    <row r="384" spans="1:41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</row>
    <row r="385" spans="1:41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</row>
    <row r="386" spans="1:41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</row>
    <row r="387" spans="1:41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</row>
    <row r="388" spans="1:41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</row>
    <row r="389" spans="1:41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</row>
    <row r="390" spans="1:41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</row>
    <row r="391" spans="1:41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</row>
    <row r="392" spans="1:41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</row>
    <row r="393" spans="1:41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</row>
    <row r="394" spans="1:41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</row>
    <row r="395" spans="1:41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</row>
    <row r="396" spans="1:41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</row>
    <row r="397" spans="1:41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</row>
    <row r="398" spans="1:41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</row>
    <row r="399" spans="1:41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</row>
    <row r="400" spans="1:41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</row>
    <row r="401" spans="1:41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</row>
    <row r="402" spans="1:41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</row>
    <row r="403" spans="1:41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</row>
    <row r="404" spans="1:41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</row>
    <row r="405" spans="1:41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</row>
    <row r="406" spans="1:41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</row>
    <row r="407" spans="1:41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</row>
    <row r="408" spans="1:41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</row>
    <row r="409" spans="1:41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</row>
    <row r="410" spans="1:41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</row>
    <row r="411" spans="1:41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</row>
    <row r="412" spans="1:41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</row>
    <row r="413" spans="1:41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</row>
    <row r="414" spans="1:4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</row>
    <row r="415" spans="1:41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</row>
    <row r="416" spans="1:41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</row>
    <row r="417" spans="1:41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</row>
    <row r="418" spans="1:41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</row>
    <row r="419" spans="1:41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</row>
    <row r="420" spans="1:41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</row>
    <row r="421" spans="1:41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</row>
    <row r="422" spans="1:41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</row>
  </sheetData>
  <mergeCells count="4">
    <mergeCell ref="A3:D3"/>
    <mergeCell ref="A4:D4"/>
    <mergeCell ref="A1:D1"/>
    <mergeCell ref="A2:D2"/>
  </mergeCells>
  <printOptions horizontalCentered="1"/>
  <pageMargins left="0.70866141732283472" right="0.70866141732283472" top="0.35433070866141736" bottom="0.35433070866141736" header="0.31496062992125984" footer="0.31496062992125984"/>
  <pageSetup scale="5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031"/>
  <sheetViews>
    <sheetView workbookViewId="0">
      <selection activeCell="M62" sqref="M62:X123"/>
    </sheetView>
  </sheetViews>
  <sheetFormatPr baseColWidth="10" defaultRowHeight="12.75"/>
  <cols>
    <col min="1" max="1" width="28.140625" style="16" customWidth="1"/>
    <col min="2" max="2" width="12.7109375" style="16" customWidth="1"/>
    <col min="3" max="4" width="12.5703125" style="16" customWidth="1"/>
    <col min="5" max="5" width="11.7109375" style="16" customWidth="1"/>
    <col min="6" max="7" width="12.5703125" style="16" customWidth="1"/>
    <col min="8" max="8" width="11.7109375" style="16" customWidth="1"/>
    <col min="9" max="9" width="18" style="16" customWidth="1"/>
    <col min="10" max="10" width="14.28515625" style="16" customWidth="1"/>
    <col min="11" max="11" width="16.42578125" style="16" customWidth="1"/>
    <col min="12" max="12" width="11.42578125" style="16"/>
    <col min="13" max="13" width="28.140625" style="16" customWidth="1"/>
    <col min="14" max="14" width="12.7109375" style="16" customWidth="1"/>
    <col min="15" max="16" width="12.5703125" style="16" customWidth="1"/>
    <col min="17" max="17" width="11.7109375" style="16" customWidth="1"/>
    <col min="18" max="19" width="12.5703125" style="16" customWidth="1"/>
    <col min="20" max="20" width="11.7109375" style="16" customWidth="1"/>
    <col min="21" max="21" width="18" style="16" customWidth="1"/>
    <col min="22" max="22" width="14.28515625" style="16" customWidth="1"/>
    <col min="23" max="23" width="16.42578125" style="16" customWidth="1"/>
    <col min="24" max="24" width="11.42578125" style="16"/>
    <col min="25" max="25" width="28.140625" style="16" customWidth="1"/>
    <col min="26" max="26" width="12.7109375" style="16" customWidth="1"/>
    <col min="27" max="28" width="12.5703125" style="16" customWidth="1"/>
    <col min="29" max="29" width="11.7109375" style="16" customWidth="1"/>
    <col min="30" max="31" width="12.5703125" style="16" customWidth="1"/>
    <col min="32" max="32" width="11.7109375" style="16" customWidth="1"/>
    <col min="33" max="33" width="18" style="16" customWidth="1"/>
    <col min="34" max="34" width="14.28515625" style="16" customWidth="1"/>
    <col min="35" max="35" width="16.42578125" style="16" customWidth="1"/>
    <col min="36" max="36" width="11.42578125" style="16"/>
    <col min="37" max="37" width="28.140625" style="16" customWidth="1"/>
    <col min="38" max="38" width="12.7109375" style="16" customWidth="1"/>
    <col min="39" max="40" width="12.5703125" style="16" customWidth="1"/>
    <col min="41" max="41" width="11.7109375" style="16" customWidth="1"/>
    <col min="42" max="43" width="12.5703125" style="16" customWidth="1"/>
    <col min="44" max="44" width="11.7109375" style="16" customWidth="1"/>
    <col min="45" max="45" width="18" style="16" customWidth="1"/>
    <col min="46" max="46" width="14.28515625" style="16" customWidth="1"/>
    <col min="47" max="47" width="16.42578125" style="16" customWidth="1"/>
    <col min="48" max="16384" width="11.42578125" style="282"/>
  </cols>
  <sheetData>
    <row r="1" spans="1:146">
      <c r="A1" s="493" t="s">
        <v>110</v>
      </c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352"/>
      <c r="M1" s="493" t="s">
        <v>110</v>
      </c>
      <c r="N1" s="493"/>
      <c r="O1" s="493"/>
      <c r="P1" s="493"/>
      <c r="Q1" s="493"/>
      <c r="R1" s="493"/>
      <c r="S1" s="493"/>
      <c r="T1" s="493"/>
      <c r="U1" s="493"/>
      <c r="V1" s="493"/>
      <c r="W1" s="493"/>
      <c r="X1" s="22"/>
      <c r="Y1" s="493" t="s">
        <v>110</v>
      </c>
      <c r="Z1" s="493"/>
      <c r="AA1" s="493"/>
      <c r="AB1" s="493"/>
      <c r="AC1" s="493"/>
      <c r="AD1" s="493"/>
      <c r="AE1" s="493"/>
      <c r="AF1" s="493"/>
      <c r="AG1" s="493"/>
      <c r="AH1" s="493"/>
      <c r="AI1" s="493"/>
      <c r="AJ1" s="22"/>
      <c r="AK1" s="493" t="s">
        <v>110</v>
      </c>
      <c r="AL1" s="493"/>
      <c r="AM1" s="493"/>
      <c r="AN1" s="493"/>
      <c r="AO1" s="493"/>
      <c r="AP1" s="493"/>
      <c r="AQ1" s="493"/>
      <c r="AR1" s="493"/>
      <c r="AS1" s="493"/>
      <c r="AT1" s="493"/>
      <c r="AU1" s="493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</row>
    <row r="2" spans="1:146">
      <c r="A2" s="493" t="s">
        <v>354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352"/>
      <c r="M2" s="493" t="s">
        <v>354</v>
      </c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22"/>
      <c r="Y2" s="493" t="s">
        <v>354</v>
      </c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22"/>
      <c r="AK2" s="493" t="s">
        <v>354</v>
      </c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</row>
    <row r="3" spans="1:146">
      <c r="A3" s="493" t="s">
        <v>315</v>
      </c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280"/>
      <c r="M3" s="493" t="s">
        <v>315</v>
      </c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280"/>
      <c r="Y3" s="493" t="s">
        <v>316</v>
      </c>
      <c r="Z3" s="493"/>
      <c r="AA3" s="493"/>
      <c r="AB3" s="493"/>
      <c r="AC3" s="493"/>
      <c r="AD3" s="493"/>
      <c r="AE3" s="493"/>
      <c r="AF3" s="493"/>
      <c r="AG3" s="493"/>
      <c r="AH3" s="493"/>
      <c r="AI3" s="493"/>
      <c r="AJ3" s="280"/>
      <c r="AK3" s="493" t="s">
        <v>316</v>
      </c>
      <c r="AL3" s="493"/>
      <c r="AM3" s="493"/>
      <c r="AN3" s="493"/>
      <c r="AO3" s="493"/>
      <c r="AP3" s="493"/>
      <c r="AQ3" s="493"/>
      <c r="AR3" s="493"/>
      <c r="AS3" s="493"/>
      <c r="AT3" s="493"/>
      <c r="AU3" s="493"/>
      <c r="AV3" s="281"/>
      <c r="AW3" s="281"/>
      <c r="AX3" s="281"/>
      <c r="AY3" s="281"/>
      <c r="AZ3" s="28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</row>
    <row r="4" spans="1:146">
      <c r="A4" s="494" t="s">
        <v>432</v>
      </c>
      <c r="B4" s="494"/>
      <c r="C4" s="494"/>
      <c r="D4" s="494"/>
      <c r="E4" s="494"/>
      <c r="F4" s="494"/>
      <c r="G4" s="494"/>
      <c r="H4" s="494"/>
      <c r="I4" s="494"/>
      <c r="J4" s="494"/>
      <c r="K4" s="494"/>
      <c r="L4" s="280"/>
      <c r="M4" s="494" t="s">
        <v>317</v>
      </c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280"/>
      <c r="Y4" s="494" t="s">
        <v>318</v>
      </c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280"/>
      <c r="AK4" s="494" t="s">
        <v>319</v>
      </c>
      <c r="AL4" s="494"/>
      <c r="AM4" s="494"/>
      <c r="AN4" s="494"/>
      <c r="AO4" s="494"/>
      <c r="AP4" s="494"/>
      <c r="AQ4" s="494"/>
      <c r="AR4" s="494"/>
      <c r="AS4" s="494"/>
      <c r="AT4" s="494"/>
      <c r="AU4" s="494"/>
      <c r="AV4" s="281"/>
      <c r="AW4" s="281"/>
      <c r="AX4" s="281"/>
      <c r="AY4" s="281"/>
      <c r="AZ4" s="28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</row>
    <row r="5" spans="1:146" ht="13.5" thickBot="1">
      <c r="A5" s="283"/>
      <c r="B5" s="283"/>
      <c r="C5" s="283"/>
      <c r="D5" s="283"/>
      <c r="E5" s="283"/>
      <c r="F5" s="283"/>
      <c r="G5" s="283"/>
      <c r="H5" s="283"/>
      <c r="I5" s="283"/>
      <c r="J5" s="283"/>
      <c r="K5" s="283"/>
      <c r="L5" s="280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0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0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1"/>
      <c r="AW5" s="281"/>
      <c r="AX5" s="281"/>
      <c r="AY5" s="281"/>
      <c r="AZ5" s="28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</row>
    <row r="6" spans="1:146" ht="14.25" thickTop="1" thickBot="1">
      <c r="A6" s="284" t="s">
        <v>0</v>
      </c>
      <c r="B6" s="285" t="s">
        <v>96</v>
      </c>
      <c r="C6" s="285" t="s">
        <v>320</v>
      </c>
      <c r="D6" s="285" t="s">
        <v>321</v>
      </c>
      <c r="E6" s="285" t="s">
        <v>98</v>
      </c>
      <c r="F6" s="285" t="s">
        <v>112</v>
      </c>
      <c r="G6" s="285" t="s">
        <v>111</v>
      </c>
      <c r="H6" s="285" t="s">
        <v>124</v>
      </c>
      <c r="I6" s="285" t="s">
        <v>322</v>
      </c>
      <c r="J6" s="285" t="s">
        <v>323</v>
      </c>
      <c r="K6" s="286" t="s">
        <v>53</v>
      </c>
      <c r="L6" s="280"/>
      <c r="M6" s="284" t="s">
        <v>0</v>
      </c>
      <c r="N6" s="285" t="s">
        <v>96</v>
      </c>
      <c r="O6" s="285" t="s">
        <v>97</v>
      </c>
      <c r="P6" s="285" t="s">
        <v>321</v>
      </c>
      <c r="Q6" s="285" t="s">
        <v>98</v>
      </c>
      <c r="R6" s="285" t="s">
        <v>112</v>
      </c>
      <c r="S6" s="285" t="s">
        <v>111</v>
      </c>
      <c r="T6" s="285" t="s">
        <v>124</v>
      </c>
      <c r="U6" s="285" t="s">
        <v>322</v>
      </c>
      <c r="V6" s="285" t="s">
        <v>323</v>
      </c>
      <c r="W6" s="286" t="s">
        <v>53</v>
      </c>
      <c r="X6" s="280"/>
      <c r="Y6" s="284" t="s">
        <v>0</v>
      </c>
      <c r="Z6" s="285" t="s">
        <v>96</v>
      </c>
      <c r="AA6" s="285" t="s">
        <v>97</v>
      </c>
      <c r="AB6" s="285" t="s">
        <v>321</v>
      </c>
      <c r="AC6" s="285" t="s">
        <v>98</v>
      </c>
      <c r="AD6" s="285" t="s">
        <v>112</v>
      </c>
      <c r="AE6" s="285" t="s">
        <v>111</v>
      </c>
      <c r="AF6" s="285" t="s">
        <v>124</v>
      </c>
      <c r="AG6" s="285" t="s">
        <v>322</v>
      </c>
      <c r="AH6" s="285" t="s">
        <v>323</v>
      </c>
      <c r="AI6" s="286" t="s">
        <v>53</v>
      </c>
      <c r="AJ6" s="280"/>
      <c r="AK6" s="284" t="s">
        <v>0</v>
      </c>
      <c r="AL6" s="285" t="s">
        <v>96</v>
      </c>
      <c r="AM6" s="285" t="s">
        <v>97</v>
      </c>
      <c r="AN6" s="285" t="s">
        <v>321</v>
      </c>
      <c r="AO6" s="285" t="s">
        <v>98</v>
      </c>
      <c r="AP6" s="285" t="s">
        <v>112</v>
      </c>
      <c r="AQ6" s="285" t="s">
        <v>111</v>
      </c>
      <c r="AR6" s="285" t="s">
        <v>124</v>
      </c>
      <c r="AS6" s="285" t="s">
        <v>322</v>
      </c>
      <c r="AT6" s="285" t="s">
        <v>323</v>
      </c>
      <c r="AU6" s="286" t="s">
        <v>53</v>
      </c>
      <c r="AV6" s="281"/>
      <c r="AW6" s="281"/>
      <c r="AX6" s="281"/>
      <c r="AY6" s="281"/>
      <c r="AZ6" s="28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</row>
    <row r="7" spans="1:146" ht="13.5" thickTop="1">
      <c r="A7" s="287" t="s">
        <v>1</v>
      </c>
      <c r="B7" s="288">
        <v>8230214.9927999042</v>
      </c>
      <c r="C7" s="288">
        <v>1124014.9573736647</v>
      </c>
      <c r="D7" s="288">
        <v>10414353.344565028</v>
      </c>
      <c r="E7" s="288">
        <v>276370.04543902609</v>
      </c>
      <c r="F7" s="288">
        <v>465890.72452071623</v>
      </c>
      <c r="G7" s="288">
        <v>-10371.315030131147</v>
      </c>
      <c r="H7" s="288">
        <v>229133.52476809497</v>
      </c>
      <c r="I7" s="288">
        <v>49103.577737418876</v>
      </c>
      <c r="J7" s="288">
        <v>172959.52590450901</v>
      </c>
      <c r="K7" s="289">
        <f t="shared" ref="K7:K57" si="0">SUM(B7:J7)</f>
        <v>20951669.378078233</v>
      </c>
      <c r="L7" s="280"/>
      <c r="M7" s="287" t="s">
        <v>1</v>
      </c>
      <c r="N7" s="288">
        <v>8456683.2094232384</v>
      </c>
      <c r="O7" s="288">
        <v>1154944.1205944379</v>
      </c>
      <c r="P7" s="288">
        <v>10414353.344565032</v>
      </c>
      <c r="Q7" s="288">
        <v>283974.83235813346</v>
      </c>
      <c r="R7" s="288">
        <v>478710.49187987554</v>
      </c>
      <c r="S7" s="288">
        <v>-10656.699217660556</v>
      </c>
      <c r="T7" s="288">
        <v>235438.51932391705</v>
      </c>
      <c r="U7" s="288">
        <v>50454.745318064939</v>
      </c>
      <c r="V7" s="288">
        <v>172948.3778168695</v>
      </c>
      <c r="W7" s="289">
        <f t="shared" ref="W7:W57" si="1">SUM(N7:V7)</f>
        <v>21236850.942061909</v>
      </c>
      <c r="X7" s="280"/>
      <c r="Y7" s="287" t="s">
        <v>1</v>
      </c>
      <c r="Z7" s="288">
        <f>N7-B7</f>
        <v>226468.21662333421</v>
      </c>
      <c r="AA7" s="288">
        <f t="shared" ref="AA7:AH22" si="2">O7-C7</f>
        <v>30929.163220773218</v>
      </c>
      <c r="AB7" s="288">
        <f t="shared" si="2"/>
        <v>0</v>
      </c>
      <c r="AC7" s="288">
        <f t="shared" si="2"/>
        <v>7604.7869191073696</v>
      </c>
      <c r="AD7" s="288">
        <f t="shared" si="2"/>
        <v>12819.767359159305</v>
      </c>
      <c r="AE7" s="288">
        <f t="shared" si="2"/>
        <v>-285.38418752940925</v>
      </c>
      <c r="AF7" s="288">
        <f t="shared" si="2"/>
        <v>6304.9945558220788</v>
      </c>
      <c r="AG7" s="288">
        <f t="shared" si="2"/>
        <v>1351.1675806460626</v>
      </c>
      <c r="AH7" s="288">
        <f t="shared" si="2"/>
        <v>-11.148087639507139</v>
      </c>
      <c r="AI7" s="289">
        <f t="shared" ref="AI7:AI57" si="3">SUM(Z7:AH7)</f>
        <v>285181.56398367335</v>
      </c>
      <c r="AJ7" s="280"/>
      <c r="AK7" s="287" t="s">
        <v>1</v>
      </c>
      <c r="AL7" s="288">
        <f>Z7/3</f>
        <v>75489.40554111141</v>
      </c>
      <c r="AM7" s="288">
        <f t="shared" ref="AM7:AT22" si="4">AA7/3</f>
        <v>10309.721073591072</v>
      </c>
      <c r="AN7" s="288">
        <f t="shared" si="4"/>
        <v>0</v>
      </c>
      <c r="AO7" s="288">
        <f t="shared" si="4"/>
        <v>2534.92897303579</v>
      </c>
      <c r="AP7" s="288">
        <f t="shared" si="4"/>
        <v>4273.2557863864349</v>
      </c>
      <c r="AQ7" s="288">
        <f t="shared" si="4"/>
        <v>-95.128062509803087</v>
      </c>
      <c r="AR7" s="288">
        <f t="shared" si="4"/>
        <v>2101.6648519406931</v>
      </c>
      <c r="AS7" s="288">
        <f t="shared" si="4"/>
        <v>450.3891935486875</v>
      </c>
      <c r="AT7" s="288">
        <f t="shared" si="4"/>
        <v>-3.7160292131690462</v>
      </c>
      <c r="AU7" s="289">
        <f t="shared" ref="AU7:AU57" si="5">SUM(AL7:AT7)</f>
        <v>95060.521327891111</v>
      </c>
      <c r="AV7" s="281"/>
      <c r="AW7" s="281"/>
      <c r="AX7" s="281"/>
      <c r="AY7" s="281"/>
      <c r="AZ7" s="28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</row>
    <row r="8" spans="1:146">
      <c r="A8" s="287" t="s">
        <v>2</v>
      </c>
      <c r="B8" s="288">
        <v>16302223.869109847</v>
      </c>
      <c r="C8" s="288">
        <v>2226423.4267712198</v>
      </c>
      <c r="D8" s="288">
        <v>2737645.8162669968</v>
      </c>
      <c r="E8" s="288">
        <v>547427.54052045941</v>
      </c>
      <c r="F8" s="288">
        <v>922825.81880581914</v>
      </c>
      <c r="G8" s="288">
        <v>-20543.26643789684</v>
      </c>
      <c r="H8" s="288">
        <v>453862.50783917098</v>
      </c>
      <c r="I8" s="288">
        <v>97263.257126326032</v>
      </c>
      <c r="J8" s="288">
        <v>118467.56224541379</v>
      </c>
      <c r="K8" s="289">
        <f t="shared" si="0"/>
        <v>23385596.532247353</v>
      </c>
      <c r="L8" s="280"/>
      <c r="M8" s="287" t="s">
        <v>2</v>
      </c>
      <c r="N8" s="288">
        <v>16270246.952815348</v>
      </c>
      <c r="O8" s="288">
        <v>2222056.2829922126</v>
      </c>
      <c r="P8" s="288">
        <v>2737645.8162669973</v>
      </c>
      <c r="Q8" s="288">
        <v>546353.75790153153</v>
      </c>
      <c r="R8" s="288">
        <v>921015.69006514654</v>
      </c>
      <c r="S8" s="288">
        <v>-20502.970689502356</v>
      </c>
      <c r="T8" s="288">
        <v>452972.25362975092</v>
      </c>
      <c r="U8" s="288">
        <v>97072.474625936506</v>
      </c>
      <c r="V8" s="288">
        <v>118531.44137155396</v>
      </c>
      <c r="W8" s="289">
        <f t="shared" si="1"/>
        <v>23345391.698978975</v>
      </c>
      <c r="X8" s="280"/>
      <c r="Y8" s="287" t="s">
        <v>2</v>
      </c>
      <c r="Z8" s="288">
        <f t="shared" ref="Z8:AH49" si="6">N8-B8</f>
        <v>-31976.916294498369</v>
      </c>
      <c r="AA8" s="288">
        <f t="shared" si="2"/>
        <v>-4367.1437790072523</v>
      </c>
      <c r="AB8" s="288">
        <f t="shared" si="2"/>
        <v>0</v>
      </c>
      <c r="AC8" s="288">
        <f t="shared" si="2"/>
        <v>-1073.7826189278858</v>
      </c>
      <c r="AD8" s="288">
        <f t="shared" si="2"/>
        <v>-1810.1287406726042</v>
      </c>
      <c r="AE8" s="288">
        <f t="shared" si="2"/>
        <v>40.29574839448469</v>
      </c>
      <c r="AF8" s="288">
        <f t="shared" si="2"/>
        <v>-890.25420942006167</v>
      </c>
      <c r="AG8" s="288">
        <f t="shared" si="2"/>
        <v>-190.78250038952683</v>
      </c>
      <c r="AH8" s="288">
        <f t="shared" si="2"/>
        <v>63.879126140163862</v>
      </c>
      <c r="AI8" s="289">
        <f t="shared" si="3"/>
        <v>-40204.833268381051</v>
      </c>
      <c r="AJ8" s="280"/>
      <c r="AK8" s="287" t="s">
        <v>2</v>
      </c>
      <c r="AL8" s="288">
        <f t="shared" ref="AL8:AT49" si="7">Z8/3</f>
        <v>-10658.972098166123</v>
      </c>
      <c r="AM8" s="288">
        <f t="shared" si="4"/>
        <v>-1455.7145930024174</v>
      </c>
      <c r="AN8" s="288">
        <f t="shared" si="4"/>
        <v>0</v>
      </c>
      <c r="AO8" s="288">
        <f t="shared" si="4"/>
        <v>-357.92753964262857</v>
      </c>
      <c r="AP8" s="288">
        <f t="shared" si="4"/>
        <v>-603.37624689086806</v>
      </c>
      <c r="AQ8" s="288">
        <f t="shared" si="4"/>
        <v>13.431916131494896</v>
      </c>
      <c r="AR8" s="288">
        <f t="shared" si="4"/>
        <v>-296.75140314002056</v>
      </c>
      <c r="AS8" s="288">
        <f t="shared" si="4"/>
        <v>-63.594166796508944</v>
      </c>
      <c r="AT8" s="288">
        <f t="shared" si="4"/>
        <v>21.293042046721286</v>
      </c>
      <c r="AU8" s="289">
        <f t="shared" si="5"/>
        <v>-13401.611089460352</v>
      </c>
      <c r="AV8" s="281"/>
      <c r="AW8" s="281"/>
      <c r="AX8" s="281"/>
      <c r="AY8" s="281"/>
      <c r="AZ8" s="28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</row>
    <row r="9" spans="1:146">
      <c r="A9" s="287" t="s">
        <v>3</v>
      </c>
      <c r="B9" s="288">
        <v>16959123.694198288</v>
      </c>
      <c r="C9" s="288">
        <v>2316137.392875568</v>
      </c>
      <c r="D9" s="288">
        <v>2228684.6735023893</v>
      </c>
      <c r="E9" s="288">
        <v>569486.1908312235</v>
      </c>
      <c r="F9" s="288">
        <v>960011.18221561133</v>
      </c>
      <c r="G9" s="288">
        <v>-21371.059519267186</v>
      </c>
      <c r="H9" s="288">
        <v>472150.94531908346</v>
      </c>
      <c r="I9" s="288">
        <v>101182.49030008225</v>
      </c>
      <c r="J9" s="288">
        <v>182313.33975819033</v>
      </c>
      <c r="K9" s="289">
        <f t="shared" si="0"/>
        <v>23767718.849481169</v>
      </c>
      <c r="L9" s="280"/>
      <c r="M9" s="287" t="s">
        <v>3</v>
      </c>
      <c r="N9" s="288">
        <v>17073492.169046383</v>
      </c>
      <c r="O9" s="288">
        <v>2331756.896921786</v>
      </c>
      <c r="P9" s="288">
        <v>2228684.6735023898</v>
      </c>
      <c r="Q9" s="288">
        <v>573326.67623995396</v>
      </c>
      <c r="R9" s="288">
        <v>966485.27938754729</v>
      </c>
      <c r="S9" s="288">
        <v>-21515.181086346896</v>
      </c>
      <c r="T9" s="288">
        <v>475335.02395946189</v>
      </c>
      <c r="U9" s="288">
        <v>101864.84201268351</v>
      </c>
      <c r="V9" s="288">
        <v>182278.79277927431</v>
      </c>
      <c r="W9" s="289">
        <f t="shared" si="1"/>
        <v>23911709.172763135</v>
      </c>
      <c r="X9" s="280"/>
      <c r="Y9" s="287" t="s">
        <v>3</v>
      </c>
      <c r="Z9" s="288">
        <f t="shared" si="6"/>
        <v>114368.47484809533</v>
      </c>
      <c r="AA9" s="288">
        <f t="shared" si="2"/>
        <v>15619.504046218004</v>
      </c>
      <c r="AB9" s="288">
        <f t="shared" si="2"/>
        <v>0</v>
      </c>
      <c r="AC9" s="288">
        <f t="shared" si="2"/>
        <v>3840.4854087304557</v>
      </c>
      <c r="AD9" s="288">
        <f t="shared" si="2"/>
        <v>6474.0971719359513</v>
      </c>
      <c r="AE9" s="288">
        <f t="shared" si="2"/>
        <v>-144.12156707971008</v>
      </c>
      <c r="AF9" s="288">
        <f t="shared" si="2"/>
        <v>3184.0786403784296</v>
      </c>
      <c r="AG9" s="288">
        <f t="shared" si="2"/>
        <v>682.35171260125935</v>
      </c>
      <c r="AH9" s="288">
        <f t="shared" si="2"/>
        <v>-34.546978916012449</v>
      </c>
      <c r="AI9" s="289">
        <f t="shared" si="3"/>
        <v>143990.32328196371</v>
      </c>
      <c r="AJ9" s="280"/>
      <c r="AK9" s="287" t="s">
        <v>3</v>
      </c>
      <c r="AL9" s="288">
        <f t="shared" si="7"/>
        <v>38122.824949365109</v>
      </c>
      <c r="AM9" s="288">
        <f t="shared" si="4"/>
        <v>5206.5013487393344</v>
      </c>
      <c r="AN9" s="288">
        <f t="shared" si="4"/>
        <v>0</v>
      </c>
      <c r="AO9" s="288">
        <f t="shared" si="4"/>
        <v>1280.1618029101519</v>
      </c>
      <c r="AP9" s="288">
        <f t="shared" si="4"/>
        <v>2158.0323906453173</v>
      </c>
      <c r="AQ9" s="288">
        <f t="shared" si="4"/>
        <v>-48.040522359903356</v>
      </c>
      <c r="AR9" s="288">
        <f t="shared" si="4"/>
        <v>1061.3595467928099</v>
      </c>
      <c r="AS9" s="288">
        <f t="shared" si="4"/>
        <v>227.45057086708644</v>
      </c>
      <c r="AT9" s="288">
        <f t="shared" si="4"/>
        <v>-11.515659638670817</v>
      </c>
      <c r="AU9" s="289">
        <f t="shared" si="5"/>
        <v>47996.774427321237</v>
      </c>
      <c r="AV9" s="281"/>
      <c r="AW9" s="281"/>
      <c r="AX9" s="281"/>
      <c r="AY9" s="281"/>
      <c r="AZ9" s="28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</row>
    <row r="10" spans="1:146">
      <c r="A10" s="287" t="s">
        <v>4</v>
      </c>
      <c r="B10" s="288">
        <v>46907822.945264407</v>
      </c>
      <c r="C10" s="288">
        <v>6406283.9979804438</v>
      </c>
      <c r="D10" s="288">
        <v>11539265.918210864</v>
      </c>
      <c r="E10" s="288">
        <v>1575161.4228996234</v>
      </c>
      <c r="F10" s="288">
        <v>2655327.9151003137</v>
      </c>
      <c r="G10" s="288">
        <v>-59110.947838975757</v>
      </c>
      <c r="H10" s="288">
        <v>1305938.5228756522</v>
      </c>
      <c r="I10" s="288">
        <v>279864.12657517695</v>
      </c>
      <c r="J10" s="288">
        <v>1090476.1558129548</v>
      </c>
      <c r="K10" s="289">
        <f t="shared" si="0"/>
        <v>71701030.056880444</v>
      </c>
      <c r="L10" s="280"/>
      <c r="M10" s="287" t="s">
        <v>4</v>
      </c>
      <c r="N10" s="288">
        <v>47100062.160482042</v>
      </c>
      <c r="O10" s="288">
        <v>6432538.4461919954</v>
      </c>
      <c r="P10" s="288">
        <v>11539265.918210864</v>
      </c>
      <c r="Q10" s="288">
        <v>1581616.8023388414</v>
      </c>
      <c r="R10" s="288">
        <v>2666210.0691312095</v>
      </c>
      <c r="S10" s="288">
        <v>-59353.198310428983</v>
      </c>
      <c r="T10" s="288">
        <v>1311290.5639851498</v>
      </c>
      <c r="U10" s="288">
        <v>281011.07513689465</v>
      </c>
      <c r="V10" s="288">
        <v>1090479.9042212656</v>
      </c>
      <c r="W10" s="289">
        <f t="shared" si="1"/>
        <v>71943121.741387829</v>
      </c>
      <c r="X10" s="280"/>
      <c r="Y10" s="287" t="s">
        <v>4</v>
      </c>
      <c r="Z10" s="288">
        <f t="shared" si="6"/>
        <v>192239.21521763504</v>
      </c>
      <c r="AA10" s="288">
        <f t="shared" si="2"/>
        <v>26254.448211551644</v>
      </c>
      <c r="AB10" s="288">
        <f t="shared" si="2"/>
        <v>0</v>
      </c>
      <c r="AC10" s="288">
        <f t="shared" si="2"/>
        <v>6455.3794392179698</v>
      </c>
      <c r="AD10" s="288">
        <f t="shared" si="2"/>
        <v>10882.154030895792</v>
      </c>
      <c r="AE10" s="288">
        <f t="shared" si="2"/>
        <v>-242.25047145322606</v>
      </c>
      <c r="AF10" s="288">
        <f t="shared" si="2"/>
        <v>5352.0411094976589</v>
      </c>
      <c r="AG10" s="288">
        <f t="shared" si="2"/>
        <v>1146.9485617176979</v>
      </c>
      <c r="AH10" s="288">
        <f t="shared" si="2"/>
        <v>3.7484083108138293</v>
      </c>
      <c r="AI10" s="289">
        <f t="shared" si="3"/>
        <v>242091.68450737337</v>
      </c>
      <c r="AJ10" s="280"/>
      <c r="AK10" s="287" t="s">
        <v>4</v>
      </c>
      <c r="AL10" s="288">
        <f t="shared" si="7"/>
        <v>64079.738405878343</v>
      </c>
      <c r="AM10" s="288">
        <f t="shared" si="4"/>
        <v>8751.4827371838819</v>
      </c>
      <c r="AN10" s="288">
        <f t="shared" si="4"/>
        <v>0</v>
      </c>
      <c r="AO10" s="288">
        <f t="shared" si="4"/>
        <v>2151.7931464059898</v>
      </c>
      <c r="AP10" s="288">
        <f t="shared" si="4"/>
        <v>3627.3846769652641</v>
      </c>
      <c r="AQ10" s="288">
        <f t="shared" si="4"/>
        <v>-80.750157151075356</v>
      </c>
      <c r="AR10" s="288">
        <f t="shared" si="4"/>
        <v>1784.0137031658862</v>
      </c>
      <c r="AS10" s="288">
        <f t="shared" si="4"/>
        <v>382.31618723923265</v>
      </c>
      <c r="AT10" s="288">
        <f t="shared" si="4"/>
        <v>1.2494694369379431</v>
      </c>
      <c r="AU10" s="289">
        <f t="shared" si="5"/>
        <v>80697.228169124457</v>
      </c>
      <c r="AV10" s="281"/>
      <c r="AW10" s="281"/>
      <c r="AX10" s="281"/>
      <c r="AY10" s="281"/>
      <c r="AZ10" s="28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</row>
    <row r="11" spans="1:146">
      <c r="A11" s="287" t="s">
        <v>5</v>
      </c>
      <c r="B11" s="288">
        <v>59243462.486712553</v>
      </c>
      <c r="C11" s="288">
        <v>8090984.0168119976</v>
      </c>
      <c r="D11" s="288">
        <v>13773807.297830477</v>
      </c>
      <c r="E11" s="288">
        <v>1989391.3383480008</v>
      </c>
      <c r="F11" s="288">
        <v>3353615.8757938575</v>
      </c>
      <c r="G11" s="288">
        <v>-74655.718406260465</v>
      </c>
      <c r="H11" s="288">
        <v>1649369.2316570673</v>
      </c>
      <c r="I11" s="288">
        <v>353461.7222265891</v>
      </c>
      <c r="J11" s="288">
        <v>694313.22701173113</v>
      </c>
      <c r="K11" s="289">
        <f t="shared" si="0"/>
        <v>89073749.477986023</v>
      </c>
      <c r="L11" s="280"/>
      <c r="M11" s="287" t="s">
        <v>5</v>
      </c>
      <c r="N11" s="288">
        <v>59127256.056464493</v>
      </c>
      <c r="O11" s="288">
        <v>8075113.4999596318</v>
      </c>
      <c r="P11" s="288">
        <v>13773807.297830481</v>
      </c>
      <c r="Q11" s="288">
        <v>1985489.1345251291</v>
      </c>
      <c r="R11" s="288">
        <v>3347037.7368230531</v>
      </c>
      <c r="S11" s="288">
        <v>-74509.28073753808</v>
      </c>
      <c r="T11" s="288">
        <v>1646133.983369295</v>
      </c>
      <c r="U11" s="288">
        <v>352768.40479973383</v>
      </c>
      <c r="V11" s="288">
        <v>693667.46160394547</v>
      </c>
      <c r="W11" s="289">
        <f t="shared" si="1"/>
        <v>88926764.294638216</v>
      </c>
      <c r="X11" s="280"/>
      <c r="Y11" s="287" t="s">
        <v>5</v>
      </c>
      <c r="Z11" s="288">
        <f t="shared" si="6"/>
        <v>-116206.43024805933</v>
      </c>
      <c r="AA11" s="288">
        <f t="shared" si="2"/>
        <v>-15870.516852365807</v>
      </c>
      <c r="AB11" s="288">
        <f t="shared" si="2"/>
        <v>0</v>
      </c>
      <c r="AC11" s="288">
        <f t="shared" si="2"/>
        <v>-3902.2038228716701</v>
      </c>
      <c r="AD11" s="288">
        <f t="shared" si="2"/>
        <v>-6578.1389708044007</v>
      </c>
      <c r="AE11" s="288">
        <f t="shared" si="2"/>
        <v>146.43766872238484</v>
      </c>
      <c r="AF11" s="288">
        <f t="shared" si="2"/>
        <v>-3235.2482877722941</v>
      </c>
      <c r="AG11" s="288">
        <f t="shared" si="2"/>
        <v>-693.31742685526842</v>
      </c>
      <c r="AH11" s="288">
        <f t="shared" si="2"/>
        <v>-645.76540778565686</v>
      </c>
      <c r="AI11" s="289">
        <f t="shared" si="3"/>
        <v>-146985.18334779204</v>
      </c>
      <c r="AJ11" s="280"/>
      <c r="AK11" s="287" t="s">
        <v>5</v>
      </c>
      <c r="AL11" s="288">
        <f t="shared" si="7"/>
        <v>-38735.476749353111</v>
      </c>
      <c r="AM11" s="288">
        <f t="shared" si="4"/>
        <v>-5290.1722841219353</v>
      </c>
      <c r="AN11" s="288">
        <f t="shared" si="4"/>
        <v>0</v>
      </c>
      <c r="AO11" s="288">
        <f t="shared" si="4"/>
        <v>-1300.73460762389</v>
      </c>
      <c r="AP11" s="288">
        <f t="shared" si="4"/>
        <v>-2192.7129902681336</v>
      </c>
      <c r="AQ11" s="288">
        <f t="shared" si="4"/>
        <v>48.812556240794947</v>
      </c>
      <c r="AR11" s="288">
        <f t="shared" si="4"/>
        <v>-1078.416095924098</v>
      </c>
      <c r="AS11" s="288">
        <f t="shared" si="4"/>
        <v>-231.10580895175613</v>
      </c>
      <c r="AT11" s="288">
        <f t="shared" si="4"/>
        <v>-215.25513592855228</v>
      </c>
      <c r="AU11" s="289">
        <f t="shared" si="5"/>
        <v>-48995.061115930679</v>
      </c>
      <c r="AV11" s="281"/>
      <c r="AW11" s="281"/>
      <c r="AX11" s="281"/>
      <c r="AY11" s="281"/>
      <c r="AZ11" s="28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</row>
    <row r="12" spans="1:146">
      <c r="A12" s="287" t="s">
        <v>6</v>
      </c>
      <c r="B12" s="288">
        <v>404184810.36659199</v>
      </c>
      <c r="C12" s="288">
        <v>55200231.439000614</v>
      </c>
      <c r="D12" s="288">
        <v>11798774.956882618</v>
      </c>
      <c r="E12" s="288">
        <v>13572497.742100593</v>
      </c>
      <c r="F12" s="288">
        <v>22879834.160674643</v>
      </c>
      <c r="G12" s="288">
        <v>-509333.96057976561</v>
      </c>
      <c r="H12" s="288">
        <v>11252718.226442676</v>
      </c>
      <c r="I12" s="288">
        <v>2411470.4504660782</v>
      </c>
      <c r="J12" s="288">
        <v>15906492.799094236</v>
      </c>
      <c r="K12" s="289">
        <f t="shared" si="0"/>
        <v>536697496.18067372</v>
      </c>
      <c r="L12" s="280"/>
      <c r="M12" s="287" t="s">
        <v>6</v>
      </c>
      <c r="N12" s="288">
        <v>405989025.02593166</v>
      </c>
      <c r="O12" s="288">
        <v>55446636.212774418</v>
      </c>
      <c r="P12" s="288">
        <v>11798774.956882624</v>
      </c>
      <c r="Q12" s="288">
        <v>13633083.144525647</v>
      </c>
      <c r="R12" s="288">
        <v>22981965.985367682</v>
      </c>
      <c r="S12" s="288">
        <v>-511607.54378875374</v>
      </c>
      <c r="T12" s="288">
        <v>11302948.513828175</v>
      </c>
      <c r="U12" s="288">
        <v>2422234.8587904512</v>
      </c>
      <c r="V12" s="288">
        <v>15906187.027619462</v>
      </c>
      <c r="W12" s="289">
        <f t="shared" si="1"/>
        <v>538969248.18193126</v>
      </c>
      <c r="X12" s="280"/>
      <c r="Y12" s="287" t="s">
        <v>6</v>
      </c>
      <c r="Z12" s="288">
        <f t="shared" si="6"/>
        <v>1804214.6593396664</v>
      </c>
      <c r="AA12" s="288">
        <f t="shared" si="2"/>
        <v>246404.77377380431</v>
      </c>
      <c r="AB12" s="288">
        <f t="shared" si="2"/>
        <v>0</v>
      </c>
      <c r="AC12" s="288">
        <f t="shared" si="2"/>
        <v>60585.402425054461</v>
      </c>
      <c r="AD12" s="288">
        <f t="shared" si="2"/>
        <v>102131.82469303906</v>
      </c>
      <c r="AE12" s="288">
        <f t="shared" si="2"/>
        <v>-2273.5832089881296</v>
      </c>
      <c r="AF12" s="288">
        <f t="shared" si="2"/>
        <v>50230.287385499105</v>
      </c>
      <c r="AG12" s="288">
        <f t="shared" si="2"/>
        <v>10764.408324372955</v>
      </c>
      <c r="AH12" s="288">
        <f t="shared" si="2"/>
        <v>-305.77147477306426</v>
      </c>
      <c r="AI12" s="289">
        <f t="shared" si="3"/>
        <v>2271752.0012576752</v>
      </c>
      <c r="AJ12" s="280"/>
      <c r="AK12" s="287" t="s">
        <v>6</v>
      </c>
      <c r="AL12" s="288">
        <f t="shared" si="7"/>
        <v>601404.88644655549</v>
      </c>
      <c r="AM12" s="288">
        <f t="shared" si="4"/>
        <v>82134.924591268107</v>
      </c>
      <c r="AN12" s="288">
        <f t="shared" si="4"/>
        <v>0</v>
      </c>
      <c r="AO12" s="288">
        <f t="shared" si="4"/>
        <v>20195.134141684819</v>
      </c>
      <c r="AP12" s="288">
        <f t="shared" si="4"/>
        <v>34043.941564346351</v>
      </c>
      <c r="AQ12" s="288">
        <f t="shared" si="4"/>
        <v>-757.86106966270984</v>
      </c>
      <c r="AR12" s="288">
        <f t="shared" si="4"/>
        <v>16743.429128499702</v>
      </c>
      <c r="AS12" s="288">
        <f t="shared" si="4"/>
        <v>3588.1361081243181</v>
      </c>
      <c r="AT12" s="288">
        <f t="shared" si="4"/>
        <v>-101.92382492435475</v>
      </c>
      <c r="AU12" s="289">
        <f t="shared" si="5"/>
        <v>757250.66708589159</v>
      </c>
      <c r="AV12" s="281"/>
      <c r="AW12" s="281"/>
      <c r="AX12" s="281"/>
      <c r="AY12" s="281"/>
      <c r="AZ12" s="28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</row>
    <row r="13" spans="1:146">
      <c r="A13" s="287" t="s">
        <v>7</v>
      </c>
      <c r="B13" s="288">
        <v>67626794.431132525</v>
      </c>
      <c r="C13" s="288">
        <v>9235910.4259519875</v>
      </c>
      <c r="D13" s="288">
        <v>0</v>
      </c>
      <c r="E13" s="288">
        <v>2270903.0403432343</v>
      </c>
      <c r="F13" s="288">
        <v>3828174.1463737097</v>
      </c>
      <c r="G13" s="288">
        <v>-85219.98394170581</v>
      </c>
      <c r="H13" s="288">
        <v>1882765.6130889491</v>
      </c>
      <c r="I13" s="288">
        <v>403478.83504703682</v>
      </c>
      <c r="J13" s="288">
        <v>757287.68459223385</v>
      </c>
      <c r="K13" s="289">
        <f t="shared" si="0"/>
        <v>85920094.192587972</v>
      </c>
      <c r="L13" s="280"/>
      <c r="M13" s="287" t="s">
        <v>7</v>
      </c>
      <c r="N13" s="288">
        <v>67494144.041703939</v>
      </c>
      <c r="O13" s="288">
        <v>9217794.1286317334</v>
      </c>
      <c r="P13" s="288">
        <v>0</v>
      </c>
      <c r="Q13" s="288">
        <v>2266448.6495179702</v>
      </c>
      <c r="R13" s="288">
        <v>3820665.1583226188</v>
      </c>
      <c r="S13" s="288">
        <v>-85052.824398627388</v>
      </c>
      <c r="T13" s="288">
        <v>1879072.5563075377</v>
      </c>
      <c r="U13" s="288">
        <v>402687.40873376263</v>
      </c>
      <c r="V13" s="288">
        <v>757873.89857822342</v>
      </c>
      <c r="W13" s="289">
        <f t="shared" si="1"/>
        <v>85753633.017397165</v>
      </c>
      <c r="X13" s="280"/>
      <c r="Y13" s="287" t="s">
        <v>7</v>
      </c>
      <c r="Z13" s="288">
        <f t="shared" si="6"/>
        <v>-132650.38942858577</v>
      </c>
      <c r="AA13" s="288">
        <f t="shared" si="2"/>
        <v>-18116.297320254147</v>
      </c>
      <c r="AB13" s="288">
        <f t="shared" si="2"/>
        <v>0</v>
      </c>
      <c r="AC13" s="288">
        <f t="shared" si="2"/>
        <v>-4454.3908252641559</v>
      </c>
      <c r="AD13" s="288">
        <f t="shared" si="2"/>
        <v>-7508.9880510908552</v>
      </c>
      <c r="AE13" s="288">
        <f t="shared" si="2"/>
        <v>167.15954307842185</v>
      </c>
      <c r="AF13" s="288">
        <f t="shared" si="2"/>
        <v>-3693.0567814114038</v>
      </c>
      <c r="AG13" s="288">
        <f t="shared" si="2"/>
        <v>-791.42631327419076</v>
      </c>
      <c r="AH13" s="288">
        <f t="shared" si="2"/>
        <v>586.21398598956876</v>
      </c>
      <c r="AI13" s="289">
        <f t="shared" si="3"/>
        <v>-166461.17519081253</v>
      </c>
      <c r="AJ13" s="280"/>
      <c r="AK13" s="287" t="s">
        <v>7</v>
      </c>
      <c r="AL13" s="288">
        <f t="shared" si="7"/>
        <v>-44216.796476195253</v>
      </c>
      <c r="AM13" s="288">
        <f t="shared" si="4"/>
        <v>-6038.7657734180493</v>
      </c>
      <c r="AN13" s="288">
        <f t="shared" si="4"/>
        <v>0</v>
      </c>
      <c r="AO13" s="288">
        <f t="shared" si="4"/>
        <v>-1484.7969417547185</v>
      </c>
      <c r="AP13" s="288">
        <f t="shared" si="4"/>
        <v>-2502.9960170302852</v>
      </c>
      <c r="AQ13" s="288">
        <f t="shared" si="4"/>
        <v>55.719847692807285</v>
      </c>
      <c r="AR13" s="288">
        <f t="shared" si="4"/>
        <v>-1231.0189271371346</v>
      </c>
      <c r="AS13" s="288">
        <f t="shared" si="4"/>
        <v>-263.80877109139692</v>
      </c>
      <c r="AT13" s="288">
        <f t="shared" si="4"/>
        <v>195.40466199652292</v>
      </c>
      <c r="AU13" s="289">
        <f t="shared" si="5"/>
        <v>-55487.058396937507</v>
      </c>
      <c r="AV13" s="281"/>
      <c r="AW13" s="281"/>
      <c r="AX13" s="281"/>
      <c r="AY13" s="281"/>
      <c r="AZ13" s="28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</row>
    <row r="14" spans="1:146">
      <c r="A14" s="287" t="s">
        <v>8</v>
      </c>
      <c r="B14" s="288">
        <v>10753018.787513593</v>
      </c>
      <c r="C14" s="288">
        <v>1468558.7150103692</v>
      </c>
      <c r="D14" s="288">
        <v>3382688.4276656546</v>
      </c>
      <c r="E14" s="288">
        <v>361085.62091168738</v>
      </c>
      <c r="F14" s="288">
        <v>608699.9814807123</v>
      </c>
      <c r="G14" s="288">
        <v>-13550.429176854641</v>
      </c>
      <c r="H14" s="288">
        <v>299369.71255745162</v>
      </c>
      <c r="I14" s="288">
        <v>64155.27351430351</v>
      </c>
      <c r="J14" s="288">
        <v>119521.31772758435</v>
      </c>
      <c r="K14" s="289">
        <f t="shared" si="0"/>
        <v>17043547.407204501</v>
      </c>
      <c r="L14" s="280"/>
      <c r="M14" s="287" t="s">
        <v>8</v>
      </c>
      <c r="N14" s="288">
        <v>10731926.672447437</v>
      </c>
      <c r="O14" s="288">
        <v>1465678.1277064234</v>
      </c>
      <c r="P14" s="288">
        <v>3382688.4276656555</v>
      </c>
      <c r="Q14" s="288">
        <v>360377.34915884287</v>
      </c>
      <c r="R14" s="288">
        <v>607506.01257729449</v>
      </c>
      <c r="S14" s="288">
        <v>-13523.849923433647</v>
      </c>
      <c r="T14" s="288">
        <v>298782.49695322377</v>
      </c>
      <c r="U14" s="288">
        <v>64029.432535337146</v>
      </c>
      <c r="V14" s="288">
        <v>119555.50292521103</v>
      </c>
      <c r="W14" s="289">
        <f t="shared" si="1"/>
        <v>17017020.172045991</v>
      </c>
      <c r="X14" s="280"/>
      <c r="Y14" s="287" t="s">
        <v>8</v>
      </c>
      <c r="Z14" s="288">
        <f t="shared" si="6"/>
        <v>-21092.115066155791</v>
      </c>
      <c r="AA14" s="288">
        <f t="shared" si="2"/>
        <v>-2880.5873039457947</v>
      </c>
      <c r="AB14" s="288">
        <f t="shared" si="2"/>
        <v>0</v>
      </c>
      <c r="AC14" s="288">
        <f t="shared" si="2"/>
        <v>-708.27175284450641</v>
      </c>
      <c r="AD14" s="288">
        <f t="shared" si="2"/>
        <v>-1193.9689034178155</v>
      </c>
      <c r="AE14" s="288">
        <f t="shared" si="2"/>
        <v>26.579253420994064</v>
      </c>
      <c r="AF14" s="288">
        <f t="shared" si="2"/>
        <v>-587.21560422785114</v>
      </c>
      <c r="AG14" s="288">
        <f t="shared" si="2"/>
        <v>-125.84097896636376</v>
      </c>
      <c r="AH14" s="288">
        <f t="shared" si="2"/>
        <v>34.185197626677109</v>
      </c>
      <c r="AI14" s="289">
        <f t="shared" si="3"/>
        <v>-26527.235158510452</v>
      </c>
      <c r="AJ14" s="280"/>
      <c r="AK14" s="287" t="s">
        <v>8</v>
      </c>
      <c r="AL14" s="288">
        <f t="shared" si="7"/>
        <v>-7030.7050220519304</v>
      </c>
      <c r="AM14" s="288">
        <f t="shared" si="4"/>
        <v>-960.19576798193157</v>
      </c>
      <c r="AN14" s="288">
        <f t="shared" si="4"/>
        <v>0</v>
      </c>
      <c r="AO14" s="288">
        <f t="shared" si="4"/>
        <v>-236.09058428150215</v>
      </c>
      <c r="AP14" s="288">
        <f t="shared" si="4"/>
        <v>-397.98963447260513</v>
      </c>
      <c r="AQ14" s="288">
        <f t="shared" si="4"/>
        <v>8.8597511403313547</v>
      </c>
      <c r="AR14" s="288">
        <f t="shared" si="4"/>
        <v>-195.73853474261705</v>
      </c>
      <c r="AS14" s="288">
        <f t="shared" si="4"/>
        <v>-41.946992988787919</v>
      </c>
      <c r="AT14" s="288">
        <f t="shared" si="4"/>
        <v>11.395065875559036</v>
      </c>
      <c r="AU14" s="289">
        <f t="shared" si="5"/>
        <v>-8842.4117195034851</v>
      </c>
      <c r="AV14" s="281"/>
      <c r="AW14" s="281"/>
      <c r="AX14" s="281"/>
      <c r="AY14" s="281"/>
      <c r="AZ14" s="28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</row>
    <row r="15" spans="1:146">
      <c r="A15" s="287" t="s">
        <v>9</v>
      </c>
      <c r="B15" s="288">
        <v>106887110.72995405</v>
      </c>
      <c r="C15" s="288">
        <v>14597760.971739952</v>
      </c>
      <c r="D15" s="288">
        <v>2957828.3168392973</v>
      </c>
      <c r="E15" s="288">
        <v>3589261.7234333046</v>
      </c>
      <c r="F15" s="288">
        <v>6050596.9167839717</v>
      </c>
      <c r="G15" s="288">
        <v>-134693.91735339523</v>
      </c>
      <c r="H15" s="288">
        <v>2975793.5187911894</v>
      </c>
      <c r="I15" s="288">
        <v>637715.97162990435</v>
      </c>
      <c r="J15" s="288">
        <v>2726362.2668278143</v>
      </c>
      <c r="K15" s="289">
        <f t="shared" si="0"/>
        <v>140287736.49864611</v>
      </c>
      <c r="L15" s="280"/>
      <c r="M15" s="287" t="s">
        <v>9</v>
      </c>
      <c r="N15" s="288">
        <v>106677450.97922218</v>
      </c>
      <c r="O15" s="288">
        <v>14569127.37031058</v>
      </c>
      <c r="P15" s="288">
        <v>2957828.3168392973</v>
      </c>
      <c r="Q15" s="288">
        <v>3582221.3636265215</v>
      </c>
      <c r="R15" s="288">
        <v>6038728.6322668903</v>
      </c>
      <c r="S15" s="288">
        <v>-134429.71437377908</v>
      </c>
      <c r="T15" s="288">
        <v>2969956.4807880246</v>
      </c>
      <c r="U15" s="288">
        <v>636465.08767638961</v>
      </c>
      <c r="V15" s="288">
        <v>2726385.8183437819</v>
      </c>
      <c r="W15" s="289">
        <f t="shared" si="1"/>
        <v>140023734.33469987</v>
      </c>
      <c r="X15" s="280"/>
      <c r="Y15" s="287" t="s">
        <v>9</v>
      </c>
      <c r="Z15" s="288">
        <f t="shared" si="6"/>
        <v>-209659.75073187053</v>
      </c>
      <c r="AA15" s="288">
        <f t="shared" si="2"/>
        <v>-28633.601429371163</v>
      </c>
      <c r="AB15" s="288">
        <f t="shared" si="2"/>
        <v>0</v>
      </c>
      <c r="AC15" s="288">
        <f t="shared" si="2"/>
        <v>-7040.3598067830317</v>
      </c>
      <c r="AD15" s="288">
        <f t="shared" si="2"/>
        <v>-11868.284517081454</v>
      </c>
      <c r="AE15" s="288">
        <f t="shared" si="2"/>
        <v>264.20297961615142</v>
      </c>
      <c r="AF15" s="288">
        <f t="shared" si="2"/>
        <v>-5837.0380031648092</v>
      </c>
      <c r="AG15" s="288">
        <f t="shared" si="2"/>
        <v>-1250.8839535147417</v>
      </c>
      <c r="AH15" s="288">
        <f t="shared" si="2"/>
        <v>23.551515967585146</v>
      </c>
      <c r="AI15" s="289">
        <f t="shared" si="3"/>
        <v>-264002.16394620202</v>
      </c>
      <c r="AJ15" s="280"/>
      <c r="AK15" s="287" t="s">
        <v>9</v>
      </c>
      <c r="AL15" s="288">
        <f t="shared" si="7"/>
        <v>-69886.583577290177</v>
      </c>
      <c r="AM15" s="288">
        <f t="shared" si="4"/>
        <v>-9544.5338097903877</v>
      </c>
      <c r="AN15" s="288">
        <f t="shared" si="4"/>
        <v>0</v>
      </c>
      <c r="AO15" s="288">
        <f t="shared" si="4"/>
        <v>-2346.7866022610106</v>
      </c>
      <c r="AP15" s="288">
        <f t="shared" si="4"/>
        <v>-3956.0948390271515</v>
      </c>
      <c r="AQ15" s="288">
        <f t="shared" si="4"/>
        <v>88.06765987205047</v>
      </c>
      <c r="AR15" s="288">
        <f t="shared" si="4"/>
        <v>-1945.6793343882698</v>
      </c>
      <c r="AS15" s="288">
        <f t="shared" si="4"/>
        <v>-416.96131783824723</v>
      </c>
      <c r="AT15" s="288">
        <f t="shared" si="4"/>
        <v>7.8505053225283818</v>
      </c>
      <c r="AU15" s="289">
        <f t="shared" si="5"/>
        <v>-88000.721315400675</v>
      </c>
      <c r="AV15" s="281"/>
      <c r="AW15" s="281"/>
      <c r="AX15" s="281"/>
      <c r="AY15" s="281"/>
      <c r="AZ15" s="28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</row>
    <row r="16" spans="1:146">
      <c r="A16" s="287" t="s">
        <v>10</v>
      </c>
      <c r="B16" s="288">
        <v>17759166.786069464</v>
      </c>
      <c r="C16" s="288">
        <v>2425400.6870414419</v>
      </c>
      <c r="D16" s="288">
        <v>1506365.6158656636</v>
      </c>
      <c r="E16" s="288">
        <v>596351.58205697522</v>
      </c>
      <c r="F16" s="288">
        <v>1005299.5077387883</v>
      </c>
      <c r="G16" s="288">
        <v>-22379.234755361867</v>
      </c>
      <c r="H16" s="288">
        <v>494424.56681830063</v>
      </c>
      <c r="I16" s="288">
        <v>105955.75298998153</v>
      </c>
      <c r="J16" s="288">
        <v>1728889.8830070896</v>
      </c>
      <c r="K16" s="289">
        <f t="shared" si="0"/>
        <v>25599475.146832343</v>
      </c>
      <c r="L16" s="280"/>
      <c r="M16" s="287" t="s">
        <v>10</v>
      </c>
      <c r="N16" s="288">
        <v>18469977.027782053</v>
      </c>
      <c r="O16" s="288">
        <v>2522477.2936961041</v>
      </c>
      <c r="P16" s="288">
        <v>1506365.6158656639</v>
      </c>
      <c r="Q16" s="288">
        <v>620220.54039797757</v>
      </c>
      <c r="R16" s="288">
        <v>1045536.5973892942</v>
      </c>
      <c r="S16" s="288">
        <v>-23274.963111169629</v>
      </c>
      <c r="T16" s="288">
        <v>514213.89872121601</v>
      </c>
      <c r="U16" s="288">
        <v>110196.62956380399</v>
      </c>
      <c r="V16" s="288">
        <v>1728934.6969323782</v>
      </c>
      <c r="W16" s="289">
        <f t="shared" si="1"/>
        <v>26494647.337237325</v>
      </c>
      <c r="X16" s="280"/>
      <c r="Y16" s="287" t="s">
        <v>10</v>
      </c>
      <c r="Z16" s="288">
        <f t="shared" si="6"/>
        <v>710810.24171258882</v>
      </c>
      <c r="AA16" s="288">
        <f t="shared" si="2"/>
        <v>97076.606654662173</v>
      </c>
      <c r="AB16" s="288">
        <f t="shared" si="2"/>
        <v>0</v>
      </c>
      <c r="AC16" s="288">
        <f t="shared" si="2"/>
        <v>23868.958341002348</v>
      </c>
      <c r="AD16" s="288">
        <f t="shared" si="2"/>
        <v>40237.089650505921</v>
      </c>
      <c r="AE16" s="288">
        <f t="shared" si="2"/>
        <v>-895.72835580776155</v>
      </c>
      <c r="AF16" s="288">
        <f t="shared" si="2"/>
        <v>19789.331902915379</v>
      </c>
      <c r="AG16" s="288">
        <f t="shared" si="2"/>
        <v>4240.8765738224611</v>
      </c>
      <c r="AH16" s="288">
        <f t="shared" si="2"/>
        <v>44.813925288617611</v>
      </c>
      <c r="AI16" s="289">
        <f t="shared" si="3"/>
        <v>895172.190404978</v>
      </c>
      <c r="AJ16" s="280"/>
      <c r="AK16" s="287" t="s">
        <v>10</v>
      </c>
      <c r="AL16" s="288">
        <f t="shared" si="7"/>
        <v>236936.74723752961</v>
      </c>
      <c r="AM16" s="288">
        <f t="shared" si="4"/>
        <v>32358.86888488739</v>
      </c>
      <c r="AN16" s="288">
        <f t="shared" si="4"/>
        <v>0</v>
      </c>
      <c r="AO16" s="288">
        <f t="shared" si="4"/>
        <v>7956.3194470007829</v>
      </c>
      <c r="AP16" s="288">
        <f t="shared" si="4"/>
        <v>13412.363216835307</v>
      </c>
      <c r="AQ16" s="288">
        <f t="shared" si="4"/>
        <v>-298.5761186025872</v>
      </c>
      <c r="AR16" s="288">
        <f t="shared" si="4"/>
        <v>6596.44396763846</v>
      </c>
      <c r="AS16" s="288">
        <f t="shared" si="4"/>
        <v>1413.625524607487</v>
      </c>
      <c r="AT16" s="288">
        <f t="shared" si="4"/>
        <v>14.93797509620587</v>
      </c>
      <c r="AU16" s="289">
        <f t="shared" si="5"/>
        <v>298390.73013499269</v>
      </c>
      <c r="AV16" s="281"/>
      <c r="AW16" s="281"/>
      <c r="AX16" s="281"/>
      <c r="AY16" s="281"/>
      <c r="AZ16" s="28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</row>
    <row r="17" spans="1:126">
      <c r="A17" s="287" t="s">
        <v>11</v>
      </c>
      <c r="B17" s="288">
        <v>25801433.094717696</v>
      </c>
      <c r="C17" s="288">
        <v>3523747.1615881096</v>
      </c>
      <c r="D17" s="288">
        <v>16467600.185874075</v>
      </c>
      <c r="E17" s="288">
        <v>866410.32379073428</v>
      </c>
      <c r="F17" s="288">
        <v>1460550.9538556309</v>
      </c>
      <c r="G17" s="288">
        <v>-32513.706031770816</v>
      </c>
      <c r="H17" s="288">
        <v>718325.50112395058</v>
      </c>
      <c r="I17" s="288">
        <v>153937.98057664966</v>
      </c>
      <c r="J17" s="288">
        <v>247890.47466622578</v>
      </c>
      <c r="K17" s="289">
        <f t="shared" si="0"/>
        <v>49207381.970161304</v>
      </c>
      <c r="L17" s="280"/>
      <c r="M17" s="287" t="s">
        <v>11</v>
      </c>
      <c r="N17" s="288">
        <v>25750823.418824874</v>
      </c>
      <c r="O17" s="288">
        <v>3516835.3090130393</v>
      </c>
      <c r="P17" s="288">
        <v>16467600.185874082</v>
      </c>
      <c r="Q17" s="288">
        <v>864710.85440404282</v>
      </c>
      <c r="R17" s="288">
        <v>1457686.0738263617</v>
      </c>
      <c r="S17" s="288">
        <v>-32449.930189618877</v>
      </c>
      <c r="T17" s="288">
        <v>716916.50106321846</v>
      </c>
      <c r="U17" s="288">
        <v>153636.03024404682</v>
      </c>
      <c r="V17" s="288">
        <v>247923.93328786793</v>
      </c>
      <c r="W17" s="289">
        <f t="shared" si="1"/>
        <v>49143682.376347914</v>
      </c>
      <c r="X17" s="280"/>
      <c r="Y17" s="287" t="s">
        <v>11</v>
      </c>
      <c r="Z17" s="288">
        <f t="shared" si="6"/>
        <v>-50609.675892822444</v>
      </c>
      <c r="AA17" s="288">
        <f t="shared" si="2"/>
        <v>-6911.8525750702247</v>
      </c>
      <c r="AB17" s="288">
        <f t="shared" si="2"/>
        <v>0</v>
      </c>
      <c r="AC17" s="288">
        <f t="shared" si="2"/>
        <v>-1699.4693866914604</v>
      </c>
      <c r="AD17" s="288">
        <f t="shared" si="2"/>
        <v>-2864.8800292692613</v>
      </c>
      <c r="AE17" s="288">
        <f t="shared" si="2"/>
        <v>63.775842151939287</v>
      </c>
      <c r="AF17" s="288">
        <f t="shared" si="2"/>
        <v>-1409.0000607321272</v>
      </c>
      <c r="AG17" s="288">
        <f t="shared" si="2"/>
        <v>-301.95033260283526</v>
      </c>
      <c r="AH17" s="288">
        <f t="shared" si="2"/>
        <v>33.458621642144863</v>
      </c>
      <c r="AI17" s="289">
        <f t="shared" si="3"/>
        <v>-63699.593813394269</v>
      </c>
      <c r="AJ17" s="280"/>
      <c r="AK17" s="287" t="s">
        <v>11</v>
      </c>
      <c r="AL17" s="288">
        <f t="shared" si="7"/>
        <v>-16869.891964274149</v>
      </c>
      <c r="AM17" s="288">
        <f t="shared" si="4"/>
        <v>-2303.9508583567417</v>
      </c>
      <c r="AN17" s="288">
        <f t="shared" si="4"/>
        <v>0</v>
      </c>
      <c r="AO17" s="288">
        <f t="shared" si="4"/>
        <v>-566.48979556382017</v>
      </c>
      <c r="AP17" s="288">
        <f t="shared" si="4"/>
        <v>-954.96000975642039</v>
      </c>
      <c r="AQ17" s="288">
        <f t="shared" si="4"/>
        <v>21.258614050646429</v>
      </c>
      <c r="AR17" s="288">
        <f t="shared" si="4"/>
        <v>-469.66668691070907</v>
      </c>
      <c r="AS17" s="288">
        <f t="shared" si="4"/>
        <v>-100.65011086761176</v>
      </c>
      <c r="AT17" s="288">
        <f t="shared" si="4"/>
        <v>11.152873880714955</v>
      </c>
      <c r="AU17" s="289">
        <f t="shared" si="5"/>
        <v>-21233.197937798093</v>
      </c>
      <c r="AV17" s="281"/>
      <c r="AW17" s="281"/>
      <c r="AX17" s="281"/>
      <c r="AY17" s="281"/>
      <c r="AZ17" s="28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</row>
    <row r="18" spans="1:126">
      <c r="A18" s="287" t="s">
        <v>12</v>
      </c>
      <c r="B18" s="288">
        <v>54264189.070388146</v>
      </c>
      <c r="C18" s="288">
        <v>7410955.8763930695</v>
      </c>
      <c r="D18" s="288">
        <v>2771893.3753920798</v>
      </c>
      <c r="E18" s="288">
        <v>1822187.6843089764</v>
      </c>
      <c r="F18" s="288">
        <v>3071752.3641422712</v>
      </c>
      <c r="G18" s="288">
        <v>-68381.08119847966</v>
      </c>
      <c r="H18" s="288">
        <v>1510743.6344321345</v>
      </c>
      <c r="I18" s="288">
        <v>323754.09739683114</v>
      </c>
      <c r="J18" s="288">
        <v>501446.17442216061</v>
      </c>
      <c r="K18" s="289">
        <f t="shared" si="0"/>
        <v>71608541.195677191</v>
      </c>
      <c r="L18" s="280"/>
      <c r="M18" s="287" t="s">
        <v>12</v>
      </c>
      <c r="N18" s="288">
        <v>54157749.516764998</v>
      </c>
      <c r="O18" s="288">
        <v>7396419.239083684</v>
      </c>
      <c r="P18" s="288">
        <v>2771893.3753920812</v>
      </c>
      <c r="Q18" s="288">
        <v>1818613.4515219745</v>
      </c>
      <c r="R18" s="288">
        <v>3065727.1022507488</v>
      </c>
      <c r="S18" s="288">
        <v>-68246.951270736812</v>
      </c>
      <c r="T18" s="288">
        <v>1507780.3011391705</v>
      </c>
      <c r="U18" s="288">
        <v>323119.05166591849</v>
      </c>
      <c r="V18" s="288">
        <v>500956.4958282336</v>
      </c>
      <c r="W18" s="289">
        <f t="shared" si="1"/>
        <v>71474011.582376063</v>
      </c>
      <c r="X18" s="280"/>
      <c r="Y18" s="287" t="s">
        <v>12</v>
      </c>
      <c r="Z18" s="288">
        <f t="shared" si="6"/>
        <v>-106439.55362314731</v>
      </c>
      <c r="AA18" s="288">
        <f t="shared" si="2"/>
        <v>-14536.637309385464</v>
      </c>
      <c r="AB18" s="288">
        <f t="shared" si="2"/>
        <v>0</v>
      </c>
      <c r="AC18" s="288">
        <f t="shared" si="2"/>
        <v>-3574.232787001878</v>
      </c>
      <c r="AD18" s="288">
        <f t="shared" si="2"/>
        <v>-6025.2618915224448</v>
      </c>
      <c r="AE18" s="288">
        <f t="shared" si="2"/>
        <v>134.12992774284794</v>
      </c>
      <c r="AF18" s="288">
        <f t="shared" si="2"/>
        <v>-2963.3332929639146</v>
      </c>
      <c r="AG18" s="288">
        <f t="shared" si="2"/>
        <v>-635.04573091265047</v>
      </c>
      <c r="AH18" s="288">
        <f t="shared" si="2"/>
        <v>-489.67859392700484</v>
      </c>
      <c r="AI18" s="289">
        <f t="shared" si="3"/>
        <v>-134529.61330111782</v>
      </c>
      <c r="AJ18" s="280"/>
      <c r="AK18" s="287" t="s">
        <v>12</v>
      </c>
      <c r="AL18" s="288">
        <f t="shared" si="7"/>
        <v>-35479.851207715772</v>
      </c>
      <c r="AM18" s="288">
        <f t="shared" si="4"/>
        <v>-4845.5457697951542</v>
      </c>
      <c r="AN18" s="288">
        <f t="shared" si="4"/>
        <v>0</v>
      </c>
      <c r="AO18" s="288">
        <f t="shared" si="4"/>
        <v>-1191.4109290006261</v>
      </c>
      <c r="AP18" s="288">
        <f t="shared" si="4"/>
        <v>-2008.4206305074815</v>
      </c>
      <c r="AQ18" s="288">
        <f t="shared" si="4"/>
        <v>44.709975914282644</v>
      </c>
      <c r="AR18" s="288">
        <f t="shared" si="4"/>
        <v>-987.77776432130486</v>
      </c>
      <c r="AS18" s="288">
        <f t="shared" si="4"/>
        <v>-211.68191030421681</v>
      </c>
      <c r="AT18" s="288">
        <f t="shared" si="4"/>
        <v>-163.22619797566827</v>
      </c>
      <c r="AU18" s="289">
        <f t="shared" si="5"/>
        <v>-44843.204433705941</v>
      </c>
      <c r="AV18" s="281"/>
      <c r="AW18" s="281"/>
      <c r="AX18" s="281"/>
      <c r="AY18" s="281"/>
      <c r="AZ18" s="28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</row>
    <row r="19" spans="1:126">
      <c r="A19" s="287" t="s">
        <v>13</v>
      </c>
      <c r="B19" s="288">
        <v>27610137.940987296</v>
      </c>
      <c r="C19" s="288">
        <v>3770765.1680994597</v>
      </c>
      <c r="D19" s="288">
        <v>2710434.2273094216</v>
      </c>
      <c r="E19" s="288">
        <v>927146.50637972145</v>
      </c>
      <c r="F19" s="288">
        <v>1562936.9561666108</v>
      </c>
      <c r="G19" s="288">
        <v>-34792.947555060025</v>
      </c>
      <c r="H19" s="288">
        <v>768680.79768102115</v>
      </c>
      <c r="I19" s="288">
        <v>164729.17851018396</v>
      </c>
      <c r="J19" s="288">
        <v>1364216.9753113296</v>
      </c>
      <c r="K19" s="289">
        <f t="shared" si="0"/>
        <v>38844254.802889988</v>
      </c>
      <c r="L19" s="280"/>
      <c r="M19" s="287" t="s">
        <v>13</v>
      </c>
      <c r="N19" s="288">
        <v>27763180.210928172</v>
      </c>
      <c r="O19" s="288">
        <v>3791666.4204573212</v>
      </c>
      <c r="P19" s="288">
        <v>2710434.2273094216</v>
      </c>
      <c r="Q19" s="288">
        <v>932285.65513035026</v>
      </c>
      <c r="R19" s="288">
        <v>1571600.2746932141</v>
      </c>
      <c r="S19" s="288">
        <v>-34985.803950168985</v>
      </c>
      <c r="T19" s="288">
        <v>772941.57516748318</v>
      </c>
      <c r="U19" s="288">
        <v>165642.26802312222</v>
      </c>
      <c r="V19" s="288">
        <v>1364045.9641622074</v>
      </c>
      <c r="W19" s="289">
        <f t="shared" si="1"/>
        <v>39036810.791921131</v>
      </c>
      <c r="X19" s="280"/>
      <c r="Y19" s="287" t="s">
        <v>13</v>
      </c>
      <c r="Z19" s="288">
        <f t="shared" si="6"/>
        <v>153042.26994087547</v>
      </c>
      <c r="AA19" s="288">
        <f t="shared" si="2"/>
        <v>20901.252357861493</v>
      </c>
      <c r="AB19" s="288">
        <f t="shared" si="2"/>
        <v>0</v>
      </c>
      <c r="AC19" s="288">
        <f t="shared" si="2"/>
        <v>5139.1487506288104</v>
      </c>
      <c r="AD19" s="288">
        <f t="shared" si="2"/>
        <v>8663.3185266032815</v>
      </c>
      <c r="AE19" s="288">
        <f t="shared" si="2"/>
        <v>-192.85639510895999</v>
      </c>
      <c r="AF19" s="288">
        <f t="shared" si="2"/>
        <v>4260.7774864620296</v>
      </c>
      <c r="AG19" s="288">
        <f t="shared" si="2"/>
        <v>913.08951293825521</v>
      </c>
      <c r="AH19" s="288">
        <f t="shared" si="2"/>
        <v>-171.01114912214689</v>
      </c>
      <c r="AI19" s="289">
        <f t="shared" si="3"/>
        <v>192555.98903113822</v>
      </c>
      <c r="AJ19" s="280"/>
      <c r="AK19" s="287" t="s">
        <v>13</v>
      </c>
      <c r="AL19" s="288">
        <f t="shared" si="7"/>
        <v>51014.089980291821</v>
      </c>
      <c r="AM19" s="288">
        <f t="shared" si="4"/>
        <v>6967.084119287164</v>
      </c>
      <c r="AN19" s="288">
        <f t="shared" si="4"/>
        <v>0</v>
      </c>
      <c r="AO19" s="288">
        <f t="shared" si="4"/>
        <v>1713.0495835429367</v>
      </c>
      <c r="AP19" s="288">
        <f t="shared" si="4"/>
        <v>2887.7728422010937</v>
      </c>
      <c r="AQ19" s="288">
        <f t="shared" si="4"/>
        <v>-64.285465036319991</v>
      </c>
      <c r="AR19" s="288">
        <f t="shared" si="4"/>
        <v>1420.2591621540098</v>
      </c>
      <c r="AS19" s="288">
        <f t="shared" si="4"/>
        <v>304.36317097941838</v>
      </c>
      <c r="AT19" s="288">
        <f t="shared" si="4"/>
        <v>-57.003716374048963</v>
      </c>
      <c r="AU19" s="289">
        <f t="shared" si="5"/>
        <v>64185.32967704608</v>
      </c>
      <c r="AV19" s="281"/>
      <c r="AW19" s="281"/>
      <c r="AX19" s="281"/>
      <c r="AY19" s="281"/>
      <c r="AZ19" s="28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</row>
    <row r="20" spans="1:126">
      <c r="A20" s="287" t="s">
        <v>14</v>
      </c>
      <c r="B20" s="288">
        <v>151231018.09018213</v>
      </c>
      <c r="C20" s="288">
        <v>20653886.50246948</v>
      </c>
      <c r="D20" s="288">
        <v>964477.64345233864</v>
      </c>
      <c r="E20" s="288">
        <v>5078327.0398085881</v>
      </c>
      <c r="F20" s="288">
        <v>8560788.3451014329</v>
      </c>
      <c r="G20" s="288">
        <v>-190573.94397508347</v>
      </c>
      <c r="H20" s="288">
        <v>4210351.2799587734</v>
      </c>
      <c r="I20" s="288">
        <v>902283.11892177572</v>
      </c>
      <c r="J20" s="288">
        <v>1994309.6815640242</v>
      </c>
      <c r="K20" s="289">
        <f t="shared" si="0"/>
        <v>193404867.75748351</v>
      </c>
      <c r="L20" s="280"/>
      <c r="M20" s="287" t="s">
        <v>14</v>
      </c>
      <c r="N20" s="288">
        <v>151914214.52818698</v>
      </c>
      <c r="O20" s="288">
        <v>20747191.843315825</v>
      </c>
      <c r="P20" s="288">
        <v>964477.64345233876</v>
      </c>
      <c r="Q20" s="288">
        <v>5101268.7285470208</v>
      </c>
      <c r="R20" s="288">
        <v>8599462.2902864031</v>
      </c>
      <c r="S20" s="288">
        <v>-191434.87476391593</v>
      </c>
      <c r="T20" s="288">
        <v>4229371.8290071283</v>
      </c>
      <c r="U20" s="288">
        <v>906359.24444618158</v>
      </c>
      <c r="V20" s="288">
        <v>1993590.8620674426</v>
      </c>
      <c r="W20" s="289">
        <f t="shared" si="1"/>
        <v>194264502.09454539</v>
      </c>
      <c r="X20" s="280"/>
      <c r="Y20" s="287" t="s">
        <v>14</v>
      </c>
      <c r="Z20" s="288">
        <f t="shared" si="6"/>
        <v>683196.43800485134</v>
      </c>
      <c r="AA20" s="288">
        <f t="shared" si="2"/>
        <v>93305.340846344829</v>
      </c>
      <c r="AB20" s="288">
        <f t="shared" si="2"/>
        <v>0</v>
      </c>
      <c r="AC20" s="288">
        <f t="shared" si="2"/>
        <v>22941.688738432713</v>
      </c>
      <c r="AD20" s="288">
        <f t="shared" si="2"/>
        <v>38673.945184970275</v>
      </c>
      <c r="AE20" s="288">
        <f t="shared" si="2"/>
        <v>-860.93078883245471</v>
      </c>
      <c r="AF20" s="288">
        <f t="shared" si="2"/>
        <v>19020.549048354849</v>
      </c>
      <c r="AG20" s="288">
        <f t="shared" si="2"/>
        <v>4076.1255244058557</v>
      </c>
      <c r="AH20" s="288">
        <f t="shared" si="2"/>
        <v>-718.81949658156373</v>
      </c>
      <c r="AI20" s="289">
        <f t="shared" si="3"/>
        <v>859634.33706194581</v>
      </c>
      <c r="AJ20" s="280"/>
      <c r="AK20" s="287" t="s">
        <v>14</v>
      </c>
      <c r="AL20" s="288">
        <f t="shared" si="7"/>
        <v>227732.1460016171</v>
      </c>
      <c r="AM20" s="288">
        <f t="shared" si="4"/>
        <v>31101.780282114942</v>
      </c>
      <c r="AN20" s="288">
        <f t="shared" si="4"/>
        <v>0</v>
      </c>
      <c r="AO20" s="288">
        <f t="shared" si="4"/>
        <v>7647.229579477571</v>
      </c>
      <c r="AP20" s="288">
        <f t="shared" si="4"/>
        <v>12891.315061656758</v>
      </c>
      <c r="AQ20" s="288">
        <f t="shared" si="4"/>
        <v>-286.97692961081822</v>
      </c>
      <c r="AR20" s="288">
        <f t="shared" si="4"/>
        <v>6340.1830161182834</v>
      </c>
      <c r="AS20" s="288">
        <f t="shared" si="4"/>
        <v>1358.7085081352852</v>
      </c>
      <c r="AT20" s="288">
        <f t="shared" si="4"/>
        <v>-239.60649886052124</v>
      </c>
      <c r="AU20" s="289">
        <f t="shared" si="5"/>
        <v>286544.77902064862</v>
      </c>
      <c r="AV20" s="281"/>
      <c r="AW20" s="281"/>
      <c r="AX20" s="281"/>
      <c r="AY20" s="281"/>
      <c r="AZ20" s="28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</row>
    <row r="21" spans="1:126">
      <c r="A21" s="287" t="s">
        <v>15</v>
      </c>
      <c r="B21" s="288">
        <v>19306274.310337823</v>
      </c>
      <c r="C21" s="288">
        <v>2636691.8865379668</v>
      </c>
      <c r="D21" s="288">
        <v>2016084.2524103422</v>
      </c>
      <c r="E21" s="288">
        <v>648303.34481835668</v>
      </c>
      <c r="F21" s="288">
        <v>1092877.1768547723</v>
      </c>
      <c r="G21" s="288">
        <v>-24328.824107974258</v>
      </c>
      <c r="H21" s="288">
        <v>537496.85600406001</v>
      </c>
      <c r="I21" s="288">
        <v>115186.1940723247</v>
      </c>
      <c r="J21" s="288">
        <v>66913.590535082709</v>
      </c>
      <c r="K21" s="289">
        <f t="shared" si="0"/>
        <v>26395498.787462749</v>
      </c>
      <c r="L21" s="280"/>
      <c r="M21" s="287" t="s">
        <v>15</v>
      </c>
      <c r="N21" s="288">
        <v>19268404.929906227</v>
      </c>
      <c r="O21" s="288">
        <v>2631519.9985534092</v>
      </c>
      <c r="P21" s="288">
        <v>2016084.2524103427</v>
      </c>
      <c r="Q21" s="288">
        <v>647031.69366467686</v>
      </c>
      <c r="R21" s="288">
        <v>1090733.4912886163</v>
      </c>
      <c r="S21" s="288">
        <v>-24281.102964019261</v>
      </c>
      <c r="T21" s="288">
        <v>536442.55248627032</v>
      </c>
      <c r="U21" s="288">
        <v>114960.25561658356</v>
      </c>
      <c r="V21" s="288">
        <v>66928.561315456303</v>
      </c>
      <c r="W21" s="289">
        <f t="shared" si="1"/>
        <v>26347824.632277563</v>
      </c>
      <c r="X21" s="280"/>
      <c r="Y21" s="287" t="s">
        <v>15</v>
      </c>
      <c r="Z21" s="288">
        <f t="shared" si="6"/>
        <v>-37869.38043159619</v>
      </c>
      <c r="AA21" s="288">
        <f t="shared" si="2"/>
        <v>-5171.8879845575429</v>
      </c>
      <c r="AB21" s="288">
        <f t="shared" si="2"/>
        <v>0</v>
      </c>
      <c r="AC21" s="288">
        <f t="shared" si="2"/>
        <v>-1271.6511536798207</v>
      </c>
      <c r="AD21" s="288">
        <f t="shared" si="2"/>
        <v>-2143.6855661559384</v>
      </c>
      <c r="AE21" s="288">
        <f t="shared" si="2"/>
        <v>47.721143954997387</v>
      </c>
      <c r="AF21" s="288">
        <f t="shared" si="2"/>
        <v>-1054.3035177896963</v>
      </c>
      <c r="AG21" s="288">
        <f t="shared" si="2"/>
        <v>-225.93845574113948</v>
      </c>
      <c r="AH21" s="288">
        <f t="shared" si="2"/>
        <v>14.970780373594607</v>
      </c>
      <c r="AI21" s="289">
        <f t="shared" si="3"/>
        <v>-47674.155185191732</v>
      </c>
      <c r="AJ21" s="280"/>
      <c r="AK21" s="287" t="s">
        <v>15</v>
      </c>
      <c r="AL21" s="288">
        <f t="shared" si="7"/>
        <v>-12623.126810532063</v>
      </c>
      <c r="AM21" s="288">
        <f t="shared" si="4"/>
        <v>-1723.962661519181</v>
      </c>
      <c r="AN21" s="288">
        <f t="shared" si="4"/>
        <v>0</v>
      </c>
      <c r="AO21" s="288">
        <f t="shared" si="4"/>
        <v>-423.88371789327357</v>
      </c>
      <c r="AP21" s="288">
        <f t="shared" si="4"/>
        <v>-714.56185538531281</v>
      </c>
      <c r="AQ21" s="288">
        <f t="shared" si="4"/>
        <v>15.90704798499913</v>
      </c>
      <c r="AR21" s="288">
        <f t="shared" si="4"/>
        <v>-351.43450592989876</v>
      </c>
      <c r="AS21" s="288">
        <f t="shared" si="4"/>
        <v>-75.312818580379826</v>
      </c>
      <c r="AT21" s="288">
        <f t="shared" si="4"/>
        <v>4.9902601245315354</v>
      </c>
      <c r="AU21" s="289">
        <f t="shared" si="5"/>
        <v>-15891.385061730578</v>
      </c>
      <c r="AV21" s="281"/>
      <c r="AW21" s="281"/>
      <c r="AX21" s="281"/>
      <c r="AY21" s="281"/>
      <c r="AZ21" s="28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</row>
    <row r="22" spans="1:126">
      <c r="A22" s="287" t="s">
        <v>16</v>
      </c>
      <c r="B22" s="288">
        <v>13444372.218882002</v>
      </c>
      <c r="C22" s="288">
        <v>1836121.5933900368</v>
      </c>
      <c r="D22" s="288">
        <v>2666034.3180637765</v>
      </c>
      <c r="E22" s="288">
        <v>451461.08142766159</v>
      </c>
      <c r="F22" s="288">
        <v>761050.38802276272</v>
      </c>
      <c r="G22" s="288">
        <v>-16941.941344952975</v>
      </c>
      <c r="H22" s="288">
        <v>374298.41109881958</v>
      </c>
      <c r="I22" s="288">
        <v>80212.579739193359</v>
      </c>
      <c r="J22" s="288">
        <v>177169.03116113349</v>
      </c>
      <c r="K22" s="289">
        <f t="shared" si="0"/>
        <v>19773777.68044043</v>
      </c>
      <c r="L22" s="280"/>
      <c r="M22" s="287" t="s">
        <v>16</v>
      </c>
      <c r="N22" s="288">
        <v>13505798.101365058</v>
      </c>
      <c r="O22" s="288">
        <v>1844510.6343496272</v>
      </c>
      <c r="P22" s="288">
        <v>2666034.3180637769</v>
      </c>
      <c r="Q22" s="288">
        <v>453523.75827727321</v>
      </c>
      <c r="R22" s="288">
        <v>764527.54492806725</v>
      </c>
      <c r="S22" s="288">
        <v>-17019.347242465119</v>
      </c>
      <c r="T22" s="288">
        <v>376008.54005385254</v>
      </c>
      <c r="U22" s="288">
        <v>80579.062339980228</v>
      </c>
      <c r="V22" s="288">
        <v>177158.63855815426</v>
      </c>
      <c r="W22" s="289">
        <f t="shared" si="1"/>
        <v>19851121.250693325</v>
      </c>
      <c r="X22" s="280"/>
      <c r="Y22" s="287" t="s">
        <v>16</v>
      </c>
      <c r="Z22" s="288">
        <f t="shared" si="6"/>
        <v>61425.882483055815</v>
      </c>
      <c r="AA22" s="288">
        <f t="shared" si="2"/>
        <v>8389.0409595903475</v>
      </c>
      <c r="AB22" s="288">
        <f t="shared" si="2"/>
        <v>0</v>
      </c>
      <c r="AC22" s="288">
        <f t="shared" si="2"/>
        <v>2062.6768496116274</v>
      </c>
      <c r="AD22" s="288">
        <f t="shared" si="2"/>
        <v>3477.1569053045241</v>
      </c>
      <c r="AE22" s="288">
        <f t="shared" si="2"/>
        <v>-77.405897512144293</v>
      </c>
      <c r="AF22" s="288">
        <f t="shared" si="2"/>
        <v>1710.1289550329675</v>
      </c>
      <c r="AG22" s="288">
        <f t="shared" si="2"/>
        <v>366.48260078686872</v>
      </c>
      <c r="AH22" s="288">
        <f t="shared" si="2"/>
        <v>-10.392602979234653</v>
      </c>
      <c r="AI22" s="289">
        <f t="shared" si="3"/>
        <v>77343.570252890771</v>
      </c>
      <c r="AJ22" s="280"/>
      <c r="AK22" s="287" t="s">
        <v>16</v>
      </c>
      <c r="AL22" s="288">
        <f t="shared" si="7"/>
        <v>20475.294161018606</v>
      </c>
      <c r="AM22" s="288">
        <f t="shared" si="4"/>
        <v>2796.3469865301158</v>
      </c>
      <c r="AN22" s="288">
        <f t="shared" si="4"/>
        <v>0</v>
      </c>
      <c r="AO22" s="288">
        <f t="shared" si="4"/>
        <v>687.55894987054251</v>
      </c>
      <c r="AP22" s="288">
        <f t="shared" si="4"/>
        <v>1159.0523017681746</v>
      </c>
      <c r="AQ22" s="288">
        <f t="shared" si="4"/>
        <v>-25.801965837381431</v>
      </c>
      <c r="AR22" s="288">
        <f t="shared" si="4"/>
        <v>570.04298501098913</v>
      </c>
      <c r="AS22" s="288">
        <f t="shared" si="4"/>
        <v>122.16086692895624</v>
      </c>
      <c r="AT22" s="288">
        <f t="shared" si="4"/>
        <v>-3.4642009930782174</v>
      </c>
      <c r="AU22" s="289">
        <f t="shared" si="5"/>
        <v>25781.190084296923</v>
      </c>
      <c r="AV22" s="281"/>
      <c r="AW22" s="281"/>
      <c r="AX22" s="281"/>
      <c r="AY22" s="281"/>
      <c r="AZ22" s="28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</row>
    <row r="23" spans="1:126">
      <c r="A23" s="287" t="s">
        <v>17</v>
      </c>
      <c r="B23" s="288">
        <v>117908945.50618327</v>
      </c>
      <c r="C23" s="288">
        <v>16103032.359792503</v>
      </c>
      <c r="D23" s="288">
        <v>1120985.0503827636</v>
      </c>
      <c r="E23" s="288">
        <v>3959374.1664973986</v>
      </c>
      <c r="F23" s="288">
        <v>6674513.8611089149</v>
      </c>
      <c r="G23" s="288">
        <v>-148583.09531221303</v>
      </c>
      <c r="H23" s="288">
        <v>3282647.2102073124</v>
      </c>
      <c r="I23" s="288">
        <v>703475.07041614875</v>
      </c>
      <c r="J23" s="288">
        <v>1551126.3278144237</v>
      </c>
      <c r="K23" s="289">
        <f t="shared" si="0"/>
        <v>151155516.45709056</v>
      </c>
      <c r="L23" s="280"/>
      <c r="M23" s="287" t="s">
        <v>17</v>
      </c>
      <c r="N23" s="288">
        <v>117677666.35610558</v>
      </c>
      <c r="O23" s="288">
        <v>16071446.158916414</v>
      </c>
      <c r="P23" s="288">
        <v>1120985.0503827636</v>
      </c>
      <c r="Q23" s="288">
        <v>3951607.8287684349</v>
      </c>
      <c r="R23" s="288">
        <v>6661421.7595185572</v>
      </c>
      <c r="S23" s="288">
        <v>-148291.64862127538</v>
      </c>
      <c r="T23" s="288">
        <v>3276208.2767275637</v>
      </c>
      <c r="U23" s="288">
        <v>702095.19957014779</v>
      </c>
      <c r="V23" s="288">
        <v>1552555.4236253127</v>
      </c>
      <c r="W23" s="289">
        <f t="shared" si="1"/>
        <v>150865694.40499353</v>
      </c>
      <c r="X23" s="280"/>
      <c r="Y23" s="287" t="s">
        <v>17</v>
      </c>
      <c r="Z23" s="288">
        <f t="shared" si="6"/>
        <v>-231279.15007768571</v>
      </c>
      <c r="AA23" s="288">
        <f t="shared" si="6"/>
        <v>-31586.200876088813</v>
      </c>
      <c r="AB23" s="288">
        <f t="shared" si="6"/>
        <v>0</v>
      </c>
      <c r="AC23" s="288">
        <f t="shared" si="6"/>
        <v>-7766.3377289636992</v>
      </c>
      <c r="AD23" s="288">
        <f t="shared" si="6"/>
        <v>-13092.101590357721</v>
      </c>
      <c r="AE23" s="288">
        <f t="shared" si="6"/>
        <v>291.44669093764969</v>
      </c>
      <c r="AF23" s="288">
        <f t="shared" si="6"/>
        <v>-6438.9334797486663</v>
      </c>
      <c r="AG23" s="288">
        <f t="shared" si="6"/>
        <v>-1379.8708460009657</v>
      </c>
      <c r="AH23" s="288">
        <f t="shared" si="6"/>
        <v>1429.0958108890336</v>
      </c>
      <c r="AI23" s="289">
        <f t="shared" si="3"/>
        <v>-289822.05209701892</v>
      </c>
      <c r="AJ23" s="280"/>
      <c r="AK23" s="287" t="s">
        <v>17</v>
      </c>
      <c r="AL23" s="288">
        <f t="shared" si="7"/>
        <v>-77093.050025895238</v>
      </c>
      <c r="AM23" s="288">
        <f t="shared" si="7"/>
        <v>-10528.733625362938</v>
      </c>
      <c r="AN23" s="288">
        <f t="shared" si="7"/>
        <v>0</v>
      </c>
      <c r="AO23" s="288">
        <f t="shared" si="7"/>
        <v>-2588.7792429878996</v>
      </c>
      <c r="AP23" s="288">
        <f t="shared" si="7"/>
        <v>-4364.0338634525733</v>
      </c>
      <c r="AQ23" s="288">
        <f t="shared" si="7"/>
        <v>97.148896979216559</v>
      </c>
      <c r="AR23" s="288">
        <f t="shared" si="7"/>
        <v>-2146.3111599162221</v>
      </c>
      <c r="AS23" s="288">
        <f t="shared" si="7"/>
        <v>-459.95694866698858</v>
      </c>
      <c r="AT23" s="288">
        <f t="shared" si="7"/>
        <v>476.36527029634453</v>
      </c>
      <c r="AU23" s="289">
        <f t="shared" si="5"/>
        <v>-96607.350699006303</v>
      </c>
      <c r="AV23" s="281"/>
      <c r="AW23" s="281"/>
      <c r="AX23" s="281"/>
      <c r="AY23" s="281"/>
      <c r="AZ23" s="28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</row>
    <row r="24" spans="1:126">
      <c r="A24" s="287" t="s">
        <v>18</v>
      </c>
      <c r="B24" s="288">
        <v>144619370.77886</v>
      </c>
      <c r="C24" s="288">
        <v>19750922.184124596</v>
      </c>
      <c r="D24" s="288">
        <v>4205842.842085042</v>
      </c>
      <c r="E24" s="288">
        <v>4856308.3842260232</v>
      </c>
      <c r="F24" s="288">
        <v>8186520.4603812816</v>
      </c>
      <c r="G24" s="288">
        <v>-182242.26889808607</v>
      </c>
      <c r="H24" s="288">
        <v>4026279.5328304088</v>
      </c>
      <c r="I24" s="288">
        <v>862836.33192922175</v>
      </c>
      <c r="J24" s="288">
        <v>7897426.8712033192</v>
      </c>
      <c r="K24" s="289">
        <f t="shared" si="0"/>
        <v>194223265.11674181</v>
      </c>
      <c r="L24" s="280"/>
      <c r="M24" s="287" t="s">
        <v>18</v>
      </c>
      <c r="N24" s="288">
        <v>145685695.5578433</v>
      </c>
      <c r="O24" s="288">
        <v>19896552.037299018</v>
      </c>
      <c r="P24" s="288">
        <v>4205842.842085043</v>
      </c>
      <c r="Q24" s="288">
        <v>4892115.4959330922</v>
      </c>
      <c r="R24" s="288">
        <v>8246882.2886311542</v>
      </c>
      <c r="S24" s="288">
        <v>-183585.99931302003</v>
      </c>
      <c r="T24" s="288">
        <v>4055966.5768954488</v>
      </c>
      <c r="U24" s="288">
        <v>869198.29959640279</v>
      </c>
      <c r="V24" s="288">
        <v>7897272.1923279166</v>
      </c>
      <c r="W24" s="289">
        <f t="shared" si="1"/>
        <v>195565939.2912983</v>
      </c>
      <c r="X24" s="280"/>
      <c r="Y24" s="287" t="s">
        <v>18</v>
      </c>
      <c r="Z24" s="288">
        <f t="shared" si="6"/>
        <v>1066324.778983295</v>
      </c>
      <c r="AA24" s="288">
        <f t="shared" si="6"/>
        <v>145629.85317442194</v>
      </c>
      <c r="AB24" s="288">
        <f t="shared" si="6"/>
        <v>0</v>
      </c>
      <c r="AC24" s="288">
        <f t="shared" si="6"/>
        <v>35807.11170706898</v>
      </c>
      <c r="AD24" s="288">
        <f t="shared" si="6"/>
        <v>60361.828249872662</v>
      </c>
      <c r="AE24" s="288">
        <f t="shared" si="6"/>
        <v>-1343.7304149339616</v>
      </c>
      <c r="AF24" s="288">
        <f t="shared" si="6"/>
        <v>29687.044065040071</v>
      </c>
      <c r="AG24" s="288">
        <f t="shared" si="6"/>
        <v>6361.9676671810448</v>
      </c>
      <c r="AH24" s="288">
        <f t="shared" si="6"/>
        <v>-154.67887540254742</v>
      </c>
      <c r="AI24" s="289">
        <f t="shared" si="3"/>
        <v>1342674.1745565431</v>
      </c>
      <c r="AJ24" s="280"/>
      <c r="AK24" s="287" t="s">
        <v>18</v>
      </c>
      <c r="AL24" s="288">
        <f t="shared" si="7"/>
        <v>355441.59299443167</v>
      </c>
      <c r="AM24" s="288">
        <f t="shared" si="7"/>
        <v>48543.284391473979</v>
      </c>
      <c r="AN24" s="288">
        <f t="shared" si="7"/>
        <v>0</v>
      </c>
      <c r="AO24" s="288">
        <f t="shared" si="7"/>
        <v>11935.703902356327</v>
      </c>
      <c r="AP24" s="288">
        <f t="shared" si="7"/>
        <v>20120.609416624222</v>
      </c>
      <c r="AQ24" s="288">
        <f t="shared" si="7"/>
        <v>-447.91013831132051</v>
      </c>
      <c r="AR24" s="288">
        <f t="shared" si="7"/>
        <v>9895.6813550133575</v>
      </c>
      <c r="AS24" s="288">
        <f t="shared" si="7"/>
        <v>2120.6558890603483</v>
      </c>
      <c r="AT24" s="288">
        <f t="shared" si="7"/>
        <v>-51.559625134182475</v>
      </c>
      <c r="AU24" s="289">
        <f t="shared" si="5"/>
        <v>447558.05818551441</v>
      </c>
      <c r="AV24" s="281"/>
      <c r="AW24" s="281"/>
      <c r="AX24" s="281"/>
      <c r="AY24" s="281"/>
      <c r="AZ24" s="28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</row>
    <row r="25" spans="1:126">
      <c r="A25" s="287" t="s">
        <v>19</v>
      </c>
      <c r="B25" s="288">
        <v>22662140.267507583</v>
      </c>
      <c r="C25" s="288">
        <v>3095008.41096653</v>
      </c>
      <c r="D25" s="288">
        <v>1476883.9745658336</v>
      </c>
      <c r="E25" s="288">
        <v>760993.08960408391</v>
      </c>
      <c r="F25" s="288">
        <v>1282843.8816793738</v>
      </c>
      <c r="G25" s="288">
        <v>-28557.722511132462</v>
      </c>
      <c r="H25" s="288">
        <v>630925.93362697307</v>
      </c>
      <c r="I25" s="288">
        <v>135208.15279981881</v>
      </c>
      <c r="J25" s="288">
        <v>263978.02453997009</v>
      </c>
      <c r="K25" s="289">
        <f t="shared" si="0"/>
        <v>30279424.012779035</v>
      </c>
      <c r="L25" s="280"/>
      <c r="M25" s="287" t="s">
        <v>19</v>
      </c>
      <c r="N25" s="288">
        <v>22617688.334556192</v>
      </c>
      <c r="O25" s="288">
        <v>3088937.5321905506</v>
      </c>
      <c r="P25" s="288">
        <v>1476883.974565834</v>
      </c>
      <c r="Q25" s="288">
        <v>759500.39679589192</v>
      </c>
      <c r="R25" s="288">
        <v>1280327.5752077703</v>
      </c>
      <c r="S25" s="288">
        <v>-28501.706355935967</v>
      </c>
      <c r="T25" s="288">
        <v>629688.36837639124</v>
      </c>
      <c r="U25" s="288">
        <v>134942.94114408849</v>
      </c>
      <c r="V25" s="288">
        <v>263882.27544524689</v>
      </c>
      <c r="W25" s="289">
        <f t="shared" si="1"/>
        <v>30223349.691926029</v>
      </c>
      <c r="X25" s="280"/>
      <c r="Y25" s="287" t="s">
        <v>19</v>
      </c>
      <c r="Z25" s="288">
        <f t="shared" si="6"/>
        <v>-44451.932951390743</v>
      </c>
      <c r="AA25" s="288">
        <f t="shared" si="6"/>
        <v>-6070.8787759793922</v>
      </c>
      <c r="AB25" s="288">
        <f t="shared" si="6"/>
        <v>0</v>
      </c>
      <c r="AC25" s="288">
        <f t="shared" si="6"/>
        <v>-1492.6928081919905</v>
      </c>
      <c r="AD25" s="288">
        <f t="shared" si="6"/>
        <v>-2516.3064716034569</v>
      </c>
      <c r="AE25" s="288">
        <f t="shared" si="6"/>
        <v>56.016155196495674</v>
      </c>
      <c r="AF25" s="288">
        <f t="shared" si="6"/>
        <v>-1237.5652505818289</v>
      </c>
      <c r="AG25" s="288">
        <f t="shared" si="6"/>
        <v>-265.2116557303234</v>
      </c>
      <c r="AH25" s="288">
        <f t="shared" si="6"/>
        <v>-95.74909472319996</v>
      </c>
      <c r="AI25" s="289">
        <f t="shared" si="3"/>
        <v>-56074.320853004436</v>
      </c>
      <c r="AJ25" s="280"/>
      <c r="AK25" s="287" t="s">
        <v>19</v>
      </c>
      <c r="AL25" s="288">
        <f t="shared" si="7"/>
        <v>-14817.310983796915</v>
      </c>
      <c r="AM25" s="288">
        <f t="shared" si="7"/>
        <v>-2023.6262586597975</v>
      </c>
      <c r="AN25" s="288">
        <f t="shared" si="7"/>
        <v>0</v>
      </c>
      <c r="AO25" s="288">
        <f t="shared" si="7"/>
        <v>-497.56426939733018</v>
      </c>
      <c r="AP25" s="288">
        <f t="shared" si="7"/>
        <v>-838.76882386781892</v>
      </c>
      <c r="AQ25" s="288">
        <f t="shared" si="7"/>
        <v>18.672051732165226</v>
      </c>
      <c r="AR25" s="288">
        <f t="shared" si="7"/>
        <v>-412.52175019394298</v>
      </c>
      <c r="AS25" s="288">
        <f t="shared" si="7"/>
        <v>-88.403885243441138</v>
      </c>
      <c r="AT25" s="288">
        <f t="shared" si="7"/>
        <v>-31.916364907733321</v>
      </c>
      <c r="AU25" s="289">
        <f t="shared" si="5"/>
        <v>-18691.440284334818</v>
      </c>
      <c r="AV25" s="281"/>
      <c r="AW25" s="281"/>
      <c r="AX25" s="281"/>
      <c r="AY25" s="281"/>
      <c r="AZ25" s="28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</row>
    <row r="26" spans="1:126">
      <c r="A26" s="287" t="s">
        <v>20</v>
      </c>
      <c r="B26" s="288">
        <v>309778045.72649455</v>
      </c>
      <c r="C26" s="288">
        <v>42306933.314278759</v>
      </c>
      <c r="D26" s="288">
        <v>5804285.7999638738</v>
      </c>
      <c r="E26" s="288">
        <v>10402325.169918614</v>
      </c>
      <c r="F26" s="288">
        <v>17535716.659939863</v>
      </c>
      <c r="G26" s="288">
        <v>-390367.16591954493</v>
      </c>
      <c r="H26" s="288">
        <v>8624384.1230369043</v>
      </c>
      <c r="I26" s="288">
        <v>1848215.4309436572</v>
      </c>
      <c r="J26" s="288">
        <v>10833065.869407613</v>
      </c>
      <c r="K26" s="289">
        <f t="shared" si="0"/>
        <v>406742604.92806435</v>
      </c>
      <c r="L26" s="280"/>
      <c r="M26" s="287" t="s">
        <v>20</v>
      </c>
      <c r="N26" s="288">
        <v>309170414.1102438</v>
      </c>
      <c r="O26" s="288">
        <v>42223947.994231045</v>
      </c>
      <c r="P26" s="288">
        <v>5804285.7999638738</v>
      </c>
      <c r="Q26" s="288">
        <v>10381920.942624392</v>
      </c>
      <c r="R26" s="288">
        <v>17501320.239653829</v>
      </c>
      <c r="S26" s="288">
        <v>-389601.45822905103</v>
      </c>
      <c r="T26" s="288">
        <v>8607467.3384676222</v>
      </c>
      <c r="U26" s="288">
        <v>1844590.1445653078</v>
      </c>
      <c r="V26" s="288">
        <v>10833027.744572947</v>
      </c>
      <c r="W26" s="289">
        <f t="shared" si="1"/>
        <v>405977372.8560937</v>
      </c>
      <c r="X26" s="280"/>
      <c r="Y26" s="287" t="s">
        <v>20</v>
      </c>
      <c r="Z26" s="288">
        <f t="shared" si="6"/>
        <v>-607631.6162507534</v>
      </c>
      <c r="AA26" s="288">
        <f t="shared" si="6"/>
        <v>-82985.320047713816</v>
      </c>
      <c r="AB26" s="288">
        <f t="shared" si="6"/>
        <v>0</v>
      </c>
      <c r="AC26" s="288">
        <f t="shared" si="6"/>
        <v>-20404.22729422152</v>
      </c>
      <c r="AD26" s="288">
        <f t="shared" si="6"/>
        <v>-34396.420286033303</v>
      </c>
      <c r="AE26" s="288">
        <f t="shared" si="6"/>
        <v>765.70769049390219</v>
      </c>
      <c r="AF26" s="288">
        <f t="shared" si="6"/>
        <v>-16916.784569282085</v>
      </c>
      <c r="AG26" s="288">
        <f t="shared" si="6"/>
        <v>-3625.2863783494104</v>
      </c>
      <c r="AH26" s="288">
        <f t="shared" si="6"/>
        <v>-38.124834666028619</v>
      </c>
      <c r="AI26" s="289">
        <f t="shared" si="3"/>
        <v>-765232.07197052566</v>
      </c>
      <c r="AJ26" s="280"/>
      <c r="AK26" s="287" t="s">
        <v>20</v>
      </c>
      <c r="AL26" s="288">
        <f t="shared" si="7"/>
        <v>-202543.87208358446</v>
      </c>
      <c r="AM26" s="288">
        <f t="shared" si="7"/>
        <v>-27661.773349237938</v>
      </c>
      <c r="AN26" s="288">
        <f t="shared" si="7"/>
        <v>0</v>
      </c>
      <c r="AO26" s="288">
        <f t="shared" si="7"/>
        <v>-6801.4090980738401</v>
      </c>
      <c r="AP26" s="288">
        <f t="shared" si="7"/>
        <v>-11465.473428677768</v>
      </c>
      <c r="AQ26" s="288">
        <f t="shared" si="7"/>
        <v>255.23589683130072</v>
      </c>
      <c r="AR26" s="288">
        <f t="shared" si="7"/>
        <v>-5638.9281897606952</v>
      </c>
      <c r="AS26" s="288">
        <f t="shared" si="7"/>
        <v>-1208.4287927831367</v>
      </c>
      <c r="AT26" s="288">
        <f t="shared" si="7"/>
        <v>-12.70827822200954</v>
      </c>
      <c r="AU26" s="289">
        <f t="shared" si="5"/>
        <v>-255077.35732350856</v>
      </c>
      <c r="AV26" s="281"/>
      <c r="AW26" s="281"/>
      <c r="AX26" s="281"/>
      <c r="AY26" s="281"/>
      <c r="AZ26" s="28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</row>
    <row r="27" spans="1:126">
      <c r="A27" s="287" t="s">
        <v>21</v>
      </c>
      <c r="B27" s="288">
        <v>45737557.435431592</v>
      </c>
      <c r="C27" s="288">
        <v>6246458.7761239856</v>
      </c>
      <c r="D27" s="288">
        <v>2771747.8081094362</v>
      </c>
      <c r="E27" s="288">
        <v>1535863.988700011</v>
      </c>
      <c r="F27" s="288">
        <v>2589082.276713639</v>
      </c>
      <c r="G27" s="288">
        <v>-57636.23639073399</v>
      </c>
      <c r="H27" s="288">
        <v>1273357.7140611671</v>
      </c>
      <c r="I27" s="288">
        <v>272882.02179592545</v>
      </c>
      <c r="J27" s="288">
        <v>590799.50115406979</v>
      </c>
      <c r="K27" s="289">
        <f t="shared" si="0"/>
        <v>60960113.285699107</v>
      </c>
      <c r="L27" s="280"/>
      <c r="M27" s="287" t="s">
        <v>21</v>
      </c>
      <c r="N27" s="288">
        <v>45647842.924247697</v>
      </c>
      <c r="O27" s="288">
        <v>6234206.3073182032</v>
      </c>
      <c r="P27" s="288">
        <v>2771747.8081094371</v>
      </c>
      <c r="Q27" s="288">
        <v>1532851.3816716259</v>
      </c>
      <c r="R27" s="288">
        <v>2584003.7752829893</v>
      </c>
      <c r="S27" s="288">
        <v>-57523.182544743759</v>
      </c>
      <c r="T27" s="288">
        <v>1270860.0147679655</v>
      </c>
      <c r="U27" s="288">
        <v>272346.7619663892</v>
      </c>
      <c r="V27" s="288">
        <v>590846.06652674859</v>
      </c>
      <c r="W27" s="289">
        <f t="shared" si="1"/>
        <v>60847181.857346311</v>
      </c>
      <c r="X27" s="280"/>
      <c r="Y27" s="287" t="s">
        <v>21</v>
      </c>
      <c r="Z27" s="288">
        <f t="shared" si="6"/>
        <v>-89714.511183895171</v>
      </c>
      <c r="AA27" s="288">
        <f t="shared" si="6"/>
        <v>-12252.468805782497</v>
      </c>
      <c r="AB27" s="288">
        <f t="shared" si="6"/>
        <v>0</v>
      </c>
      <c r="AC27" s="288">
        <f t="shared" si="6"/>
        <v>-3012.6070283851586</v>
      </c>
      <c r="AD27" s="288">
        <f t="shared" si="6"/>
        <v>-5078.501430649776</v>
      </c>
      <c r="AE27" s="288">
        <f t="shared" si="6"/>
        <v>113.05384599023091</v>
      </c>
      <c r="AF27" s="288">
        <f t="shared" si="6"/>
        <v>-2497.6992932015564</v>
      </c>
      <c r="AG27" s="288">
        <f t="shared" si="6"/>
        <v>-535.25982953625498</v>
      </c>
      <c r="AH27" s="288">
        <f t="shared" si="6"/>
        <v>46.565372678800486</v>
      </c>
      <c r="AI27" s="289">
        <f t="shared" si="3"/>
        <v>-112931.42835278138</v>
      </c>
      <c r="AJ27" s="280"/>
      <c r="AK27" s="287" t="s">
        <v>21</v>
      </c>
      <c r="AL27" s="288">
        <f t="shared" si="7"/>
        <v>-29904.837061298389</v>
      </c>
      <c r="AM27" s="288">
        <f t="shared" si="7"/>
        <v>-4084.1562685941658</v>
      </c>
      <c r="AN27" s="288">
        <f t="shared" si="7"/>
        <v>0</v>
      </c>
      <c r="AO27" s="288">
        <f t="shared" si="7"/>
        <v>-1004.2023427950529</v>
      </c>
      <c r="AP27" s="288">
        <f t="shared" si="7"/>
        <v>-1692.8338102165919</v>
      </c>
      <c r="AQ27" s="288">
        <f t="shared" si="7"/>
        <v>37.684615330076973</v>
      </c>
      <c r="AR27" s="288">
        <f t="shared" si="7"/>
        <v>-832.56643106718548</v>
      </c>
      <c r="AS27" s="288">
        <f t="shared" si="7"/>
        <v>-178.41994317875165</v>
      </c>
      <c r="AT27" s="288">
        <f t="shared" si="7"/>
        <v>15.521790892933495</v>
      </c>
      <c r="AU27" s="289">
        <f t="shared" si="5"/>
        <v>-37643.809450927125</v>
      </c>
      <c r="AV27" s="281"/>
      <c r="AW27" s="281"/>
      <c r="AX27" s="281"/>
      <c r="AY27" s="281"/>
      <c r="AZ27" s="28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</row>
    <row r="28" spans="1:126">
      <c r="A28" s="287" t="s">
        <v>22</v>
      </c>
      <c r="B28" s="288">
        <v>7336323.3587389439</v>
      </c>
      <c r="C28" s="288">
        <v>1001934.6025063011</v>
      </c>
      <c r="D28" s="288">
        <v>2532695.8485559281</v>
      </c>
      <c r="E28" s="288">
        <v>246353.22671204054</v>
      </c>
      <c r="F28" s="288">
        <v>415289.88099475746</v>
      </c>
      <c r="G28" s="288">
        <v>-9244.8764440485957</v>
      </c>
      <c r="H28" s="288">
        <v>204247.11037281068</v>
      </c>
      <c r="I28" s="288">
        <v>43770.390526593852</v>
      </c>
      <c r="J28" s="288">
        <v>106741.61200047261</v>
      </c>
      <c r="K28" s="289">
        <f t="shared" si="0"/>
        <v>11878111.153963801</v>
      </c>
      <c r="L28" s="280"/>
      <c r="M28" s="287" t="s">
        <v>22</v>
      </c>
      <c r="N28" s="288">
        <v>7432605.8181203809</v>
      </c>
      <c r="O28" s="288">
        <v>1015084.0675654928</v>
      </c>
      <c r="P28" s="288">
        <v>2532695.8485559281</v>
      </c>
      <c r="Q28" s="288">
        <v>249586.3849828158</v>
      </c>
      <c r="R28" s="288">
        <v>420740.17661875969</v>
      </c>
      <c r="S28" s="288">
        <v>-9366.2068976265746</v>
      </c>
      <c r="T28" s="288">
        <v>206927.66480677261</v>
      </c>
      <c r="U28" s="288">
        <v>44344.836422979592</v>
      </c>
      <c r="V28" s="288">
        <v>106746.82463545035</v>
      </c>
      <c r="W28" s="289">
        <f t="shared" si="1"/>
        <v>11999365.414810954</v>
      </c>
      <c r="X28" s="280"/>
      <c r="Y28" s="287" t="s">
        <v>22</v>
      </c>
      <c r="Z28" s="288">
        <f t="shared" si="6"/>
        <v>96282.459381436929</v>
      </c>
      <c r="AA28" s="288">
        <f t="shared" si="6"/>
        <v>13149.465059191687</v>
      </c>
      <c r="AB28" s="288">
        <f t="shared" si="6"/>
        <v>0</v>
      </c>
      <c r="AC28" s="288">
        <f t="shared" si="6"/>
        <v>3233.1582707752532</v>
      </c>
      <c r="AD28" s="288">
        <f t="shared" si="6"/>
        <v>5450.2956240022322</v>
      </c>
      <c r="AE28" s="288">
        <f t="shared" si="6"/>
        <v>-121.33045357797891</v>
      </c>
      <c r="AF28" s="288">
        <f t="shared" si="6"/>
        <v>2680.5544339619228</v>
      </c>
      <c r="AG28" s="288">
        <f t="shared" si="6"/>
        <v>574.44589638573962</v>
      </c>
      <c r="AH28" s="288">
        <f t="shared" si="6"/>
        <v>5.2126349777390715</v>
      </c>
      <c r="AI28" s="289">
        <f t="shared" si="3"/>
        <v>121254.26084715352</v>
      </c>
      <c r="AJ28" s="280"/>
      <c r="AK28" s="287" t="s">
        <v>22</v>
      </c>
      <c r="AL28" s="288">
        <f t="shared" si="7"/>
        <v>32094.153127145644</v>
      </c>
      <c r="AM28" s="288">
        <f t="shared" si="7"/>
        <v>4383.1550197305623</v>
      </c>
      <c r="AN28" s="288">
        <f t="shared" si="7"/>
        <v>0</v>
      </c>
      <c r="AO28" s="288">
        <f t="shared" si="7"/>
        <v>1077.7194235917511</v>
      </c>
      <c r="AP28" s="288">
        <f t="shared" si="7"/>
        <v>1816.765208000744</v>
      </c>
      <c r="AQ28" s="288">
        <f t="shared" si="7"/>
        <v>-40.443484525992972</v>
      </c>
      <c r="AR28" s="288">
        <f t="shared" si="7"/>
        <v>893.51814465397422</v>
      </c>
      <c r="AS28" s="288">
        <f t="shared" si="7"/>
        <v>191.48196546191321</v>
      </c>
      <c r="AT28" s="288">
        <f t="shared" si="7"/>
        <v>1.7375449925796904</v>
      </c>
      <c r="AU28" s="289">
        <f t="shared" si="5"/>
        <v>40418.086949051176</v>
      </c>
      <c r="AV28" s="281"/>
      <c r="AW28" s="281"/>
      <c r="AX28" s="281"/>
      <c r="AY28" s="281"/>
      <c r="AZ28" s="28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</row>
    <row r="29" spans="1:126">
      <c r="A29" s="287" t="s">
        <v>23</v>
      </c>
      <c r="B29" s="288">
        <v>33974452.224007308</v>
      </c>
      <c r="C29" s="288">
        <v>4639950.7791435914</v>
      </c>
      <c r="D29" s="288">
        <v>742581.96852709167</v>
      </c>
      <c r="E29" s="288">
        <v>1140859.7361222301</v>
      </c>
      <c r="F29" s="288">
        <v>1923203.9716683566</v>
      </c>
      <c r="G29" s="288">
        <v>-42812.945627735964</v>
      </c>
      <c r="H29" s="288">
        <v>945866.66289548564</v>
      </c>
      <c r="I29" s="288">
        <v>202700.3130935496</v>
      </c>
      <c r="J29" s="288">
        <v>369737.01413112355</v>
      </c>
      <c r="K29" s="289">
        <f t="shared" si="0"/>
        <v>43896539.723961003</v>
      </c>
      <c r="L29" s="280"/>
      <c r="M29" s="287" t="s">
        <v>23</v>
      </c>
      <c r="N29" s="288">
        <v>33953601.823911689</v>
      </c>
      <c r="O29" s="288">
        <v>4637103.2032789011</v>
      </c>
      <c r="P29" s="288">
        <v>742581.96852709178</v>
      </c>
      <c r="Q29" s="288">
        <v>1140159.5811412376</v>
      </c>
      <c r="R29" s="288">
        <v>1922023.6856107509</v>
      </c>
      <c r="S29" s="288">
        <v>-42786.670971717227</v>
      </c>
      <c r="T29" s="288">
        <v>945286.17676348123</v>
      </c>
      <c r="U29" s="288">
        <v>202575.91424821597</v>
      </c>
      <c r="V29" s="288">
        <v>369592.58673603728</v>
      </c>
      <c r="W29" s="289">
        <f t="shared" si="1"/>
        <v>43870138.269245692</v>
      </c>
      <c r="X29" s="280"/>
      <c r="Y29" s="287" t="s">
        <v>23</v>
      </c>
      <c r="Z29" s="288">
        <f t="shared" si="6"/>
        <v>-20850.400095619261</v>
      </c>
      <c r="AA29" s="288">
        <f t="shared" si="6"/>
        <v>-2847.575864690356</v>
      </c>
      <c r="AB29" s="288">
        <f t="shared" si="6"/>
        <v>0</v>
      </c>
      <c r="AC29" s="288">
        <f t="shared" si="6"/>
        <v>-700.15498099243268</v>
      </c>
      <c r="AD29" s="288">
        <f t="shared" si="6"/>
        <v>-1180.286057605641</v>
      </c>
      <c r="AE29" s="288">
        <f t="shared" si="6"/>
        <v>26.274656018737005</v>
      </c>
      <c r="AF29" s="288">
        <f t="shared" si="6"/>
        <v>-580.48613200441469</v>
      </c>
      <c r="AG29" s="288">
        <f t="shared" si="6"/>
        <v>-124.39884533363511</v>
      </c>
      <c r="AH29" s="288">
        <f t="shared" si="6"/>
        <v>-144.42739508626983</v>
      </c>
      <c r="AI29" s="289">
        <f t="shared" si="3"/>
        <v>-26401.454715313273</v>
      </c>
      <c r="AJ29" s="280"/>
      <c r="AK29" s="287" t="s">
        <v>23</v>
      </c>
      <c r="AL29" s="288">
        <f t="shared" si="7"/>
        <v>-6950.1333652064204</v>
      </c>
      <c r="AM29" s="288">
        <f t="shared" si="7"/>
        <v>-949.19195489678532</v>
      </c>
      <c r="AN29" s="288">
        <f t="shared" si="7"/>
        <v>0</v>
      </c>
      <c r="AO29" s="288">
        <f t="shared" si="7"/>
        <v>-233.38499366414422</v>
      </c>
      <c r="AP29" s="288">
        <f t="shared" si="7"/>
        <v>-393.42868586854701</v>
      </c>
      <c r="AQ29" s="288">
        <f t="shared" si="7"/>
        <v>8.758218672912335</v>
      </c>
      <c r="AR29" s="288">
        <f t="shared" si="7"/>
        <v>-193.49537733480489</v>
      </c>
      <c r="AS29" s="288">
        <f t="shared" si="7"/>
        <v>-41.466281777878372</v>
      </c>
      <c r="AT29" s="288">
        <f t="shared" si="7"/>
        <v>-48.142465028756611</v>
      </c>
      <c r="AU29" s="289">
        <f t="shared" si="5"/>
        <v>-8800.4849051044257</v>
      </c>
      <c r="AV29" s="281"/>
      <c r="AW29" s="281"/>
      <c r="AX29" s="281"/>
      <c r="AY29" s="281"/>
      <c r="AZ29" s="28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</row>
    <row r="30" spans="1:126">
      <c r="A30" s="287" t="s">
        <v>24</v>
      </c>
      <c r="B30" s="288">
        <v>33103835.297654547</v>
      </c>
      <c r="C30" s="288">
        <v>4521049.0921014789</v>
      </c>
      <c r="D30" s="288">
        <v>8977939.8788484875</v>
      </c>
      <c r="E30" s="288">
        <v>1111624.4804567834</v>
      </c>
      <c r="F30" s="288">
        <v>1873920.6478483423</v>
      </c>
      <c r="G30" s="288">
        <v>-41715.836691739954</v>
      </c>
      <c r="H30" s="288">
        <v>921628.22863435233</v>
      </c>
      <c r="I30" s="288">
        <v>197505.98877029979</v>
      </c>
      <c r="J30" s="288">
        <v>2236168.6326141865</v>
      </c>
      <c r="K30" s="289">
        <f t="shared" si="0"/>
        <v>52901956.410236739</v>
      </c>
      <c r="L30" s="280"/>
      <c r="M30" s="287" t="s">
        <v>24</v>
      </c>
      <c r="N30" s="288">
        <v>33767565.07215707</v>
      </c>
      <c r="O30" s="288">
        <v>4611695.8364268392</v>
      </c>
      <c r="P30" s="288">
        <v>8977939.8788484912</v>
      </c>
      <c r="Q30" s="288">
        <v>1133912.4799925152</v>
      </c>
      <c r="R30" s="288">
        <v>1911492.6366480852</v>
      </c>
      <c r="S30" s="288">
        <v>-42552.236541836908</v>
      </c>
      <c r="T30" s="288">
        <v>940106.81550703337</v>
      </c>
      <c r="U30" s="288">
        <v>201465.97117749526</v>
      </c>
      <c r="V30" s="288">
        <v>2236164.4981254213</v>
      </c>
      <c r="W30" s="289">
        <f t="shared" si="1"/>
        <v>53737790.952341117</v>
      </c>
      <c r="X30" s="280"/>
      <c r="Y30" s="287" t="s">
        <v>24</v>
      </c>
      <c r="Z30" s="288">
        <f t="shared" si="6"/>
        <v>663729.77450252324</v>
      </c>
      <c r="AA30" s="288">
        <f t="shared" si="6"/>
        <v>90646.744325360283</v>
      </c>
      <c r="AB30" s="288">
        <f t="shared" si="6"/>
        <v>0</v>
      </c>
      <c r="AC30" s="288">
        <f t="shared" si="6"/>
        <v>22287.999535731738</v>
      </c>
      <c r="AD30" s="288">
        <f t="shared" si="6"/>
        <v>37571.988799742889</v>
      </c>
      <c r="AE30" s="288">
        <f t="shared" si="6"/>
        <v>-836.39985009695374</v>
      </c>
      <c r="AF30" s="288">
        <f t="shared" si="6"/>
        <v>18478.586872681044</v>
      </c>
      <c r="AG30" s="288">
        <f t="shared" si="6"/>
        <v>3959.9824071954645</v>
      </c>
      <c r="AH30" s="288">
        <f t="shared" si="6"/>
        <v>-4.1344887651503086</v>
      </c>
      <c r="AI30" s="289">
        <f t="shared" si="3"/>
        <v>835834.54210437264</v>
      </c>
      <c r="AJ30" s="280"/>
      <c r="AK30" s="287" t="s">
        <v>24</v>
      </c>
      <c r="AL30" s="288">
        <f t="shared" si="7"/>
        <v>221243.25816750774</v>
      </c>
      <c r="AM30" s="288">
        <f t="shared" si="7"/>
        <v>30215.581441786762</v>
      </c>
      <c r="AN30" s="288">
        <f t="shared" si="7"/>
        <v>0</v>
      </c>
      <c r="AO30" s="288">
        <f t="shared" si="7"/>
        <v>7429.3331785772461</v>
      </c>
      <c r="AP30" s="288">
        <f t="shared" si="7"/>
        <v>12523.996266580963</v>
      </c>
      <c r="AQ30" s="288">
        <f t="shared" si="7"/>
        <v>-278.79995003231789</v>
      </c>
      <c r="AR30" s="288">
        <f t="shared" si="7"/>
        <v>6159.5289575603483</v>
      </c>
      <c r="AS30" s="288">
        <f t="shared" si="7"/>
        <v>1319.9941357318214</v>
      </c>
      <c r="AT30" s="288">
        <f t="shared" si="7"/>
        <v>-1.3781629217167695</v>
      </c>
      <c r="AU30" s="289">
        <f t="shared" si="5"/>
        <v>278611.51403479086</v>
      </c>
      <c r="AV30" s="281"/>
      <c r="AW30" s="281"/>
      <c r="AX30" s="281"/>
      <c r="AY30" s="281"/>
      <c r="AZ30" s="28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</row>
    <row r="31" spans="1:126">
      <c r="A31" s="287" t="s">
        <v>25</v>
      </c>
      <c r="B31" s="288">
        <v>529817920.85981774</v>
      </c>
      <c r="C31" s="288">
        <v>72358166.615578979</v>
      </c>
      <c r="D31" s="288">
        <v>8991338.7055641264</v>
      </c>
      <c r="E31" s="288">
        <v>17791248.830138315</v>
      </c>
      <c r="F31" s="288">
        <v>29991592.59258505</v>
      </c>
      <c r="G31" s="288">
        <v>-667650.67141665332</v>
      </c>
      <c r="H31" s="288">
        <v>14750410.262443688</v>
      </c>
      <c r="I31" s="288">
        <v>3161029.8742350494</v>
      </c>
      <c r="J31" s="288">
        <v>15775410.726819199</v>
      </c>
      <c r="K31" s="289">
        <f t="shared" si="0"/>
        <v>691969467.79576552</v>
      </c>
      <c r="L31" s="280"/>
      <c r="M31" s="287" t="s">
        <v>25</v>
      </c>
      <c r="N31" s="288">
        <v>528778679.62238371</v>
      </c>
      <c r="O31" s="288">
        <v>72216235.609375939</v>
      </c>
      <c r="P31" s="288">
        <v>8991338.7055641282</v>
      </c>
      <c r="Q31" s="288">
        <v>17756351.181867529</v>
      </c>
      <c r="R31" s="288">
        <v>29932763.892061003</v>
      </c>
      <c r="S31" s="288">
        <v>-666341.07035821653</v>
      </c>
      <c r="T31" s="288">
        <v>14721477.238455139</v>
      </c>
      <c r="U31" s="288">
        <v>3154829.493936975</v>
      </c>
      <c r="V31" s="288">
        <v>15775426.840504669</v>
      </c>
      <c r="W31" s="289">
        <f t="shared" si="1"/>
        <v>690660761.51379097</v>
      </c>
      <c r="X31" s="280"/>
      <c r="Y31" s="287" t="s">
        <v>25</v>
      </c>
      <c r="Z31" s="288">
        <f t="shared" si="6"/>
        <v>-1039241.2374340296</v>
      </c>
      <c r="AA31" s="288">
        <f t="shared" si="6"/>
        <v>-141931.00620304048</v>
      </c>
      <c r="AB31" s="288">
        <f t="shared" si="6"/>
        <v>0</v>
      </c>
      <c r="AC31" s="288">
        <f t="shared" si="6"/>
        <v>-34897.648270785809</v>
      </c>
      <c r="AD31" s="288">
        <f t="shared" si="6"/>
        <v>-58828.700524047017</v>
      </c>
      <c r="AE31" s="288">
        <f t="shared" si="6"/>
        <v>1309.6010584367905</v>
      </c>
      <c r="AF31" s="288">
        <f t="shared" si="6"/>
        <v>-28933.023988548666</v>
      </c>
      <c r="AG31" s="288">
        <f t="shared" si="6"/>
        <v>-6200.3802980743349</v>
      </c>
      <c r="AH31" s="288">
        <f t="shared" si="6"/>
        <v>16.113685470074415</v>
      </c>
      <c r="AI31" s="289">
        <f t="shared" si="3"/>
        <v>-1308706.281974619</v>
      </c>
      <c r="AJ31" s="280"/>
      <c r="AK31" s="287" t="s">
        <v>25</v>
      </c>
      <c r="AL31" s="288">
        <f t="shared" si="7"/>
        <v>-346413.74581134319</v>
      </c>
      <c r="AM31" s="288">
        <f t="shared" si="7"/>
        <v>-47310.335401013494</v>
      </c>
      <c r="AN31" s="288">
        <f t="shared" si="7"/>
        <v>0</v>
      </c>
      <c r="AO31" s="288">
        <f t="shared" si="7"/>
        <v>-11632.54942359527</v>
      </c>
      <c r="AP31" s="288">
        <f t="shared" si="7"/>
        <v>-19609.566841349006</v>
      </c>
      <c r="AQ31" s="288">
        <f t="shared" si="7"/>
        <v>436.53368614559685</v>
      </c>
      <c r="AR31" s="288">
        <f t="shared" si="7"/>
        <v>-9644.3413295162227</v>
      </c>
      <c r="AS31" s="288">
        <f t="shared" si="7"/>
        <v>-2066.7934326914451</v>
      </c>
      <c r="AT31" s="288">
        <f t="shared" si="7"/>
        <v>5.3712284900248051</v>
      </c>
      <c r="AU31" s="289">
        <f t="shared" si="5"/>
        <v>-436235.42732487293</v>
      </c>
      <c r="AV31" s="281"/>
      <c r="AW31" s="281"/>
      <c r="AX31" s="281"/>
      <c r="AY31" s="281"/>
      <c r="AZ31" s="28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</row>
    <row r="32" spans="1:126">
      <c r="A32" s="287" t="s">
        <v>26</v>
      </c>
      <c r="B32" s="288">
        <v>13642594.211643737</v>
      </c>
      <c r="C32" s="288">
        <v>1863193.1200682004</v>
      </c>
      <c r="D32" s="288">
        <v>2664683.4726971858</v>
      </c>
      <c r="E32" s="288">
        <v>458117.36211953912</v>
      </c>
      <c r="F32" s="288">
        <v>772271.21128248272</v>
      </c>
      <c r="G32" s="288">
        <v>-17191.731020511979</v>
      </c>
      <c r="H32" s="288">
        <v>379817.01588955551</v>
      </c>
      <c r="I32" s="288">
        <v>81395.223089258594</v>
      </c>
      <c r="J32" s="288">
        <v>70492.738330342487</v>
      </c>
      <c r="K32" s="289">
        <f t="shared" si="0"/>
        <v>19915372.624099795</v>
      </c>
      <c r="L32" s="280"/>
      <c r="M32" s="287" t="s">
        <v>26</v>
      </c>
      <c r="N32" s="288">
        <v>13615834.17591805</v>
      </c>
      <c r="O32" s="288">
        <v>1859538.4548569222</v>
      </c>
      <c r="P32" s="288">
        <v>2664683.4726971872</v>
      </c>
      <c r="Q32" s="288">
        <v>457218.76198625856</v>
      </c>
      <c r="R32" s="288">
        <v>770756.39636654814</v>
      </c>
      <c r="S32" s="288">
        <v>-17158.009330255831</v>
      </c>
      <c r="T32" s="288">
        <v>379072.00238576357</v>
      </c>
      <c r="U32" s="288">
        <v>81235.565839033428</v>
      </c>
      <c r="V32" s="288">
        <v>70488.826941994499</v>
      </c>
      <c r="W32" s="289">
        <f t="shared" si="1"/>
        <v>19881669.647661503</v>
      </c>
      <c r="X32" s="280"/>
      <c r="Y32" s="287" t="s">
        <v>26</v>
      </c>
      <c r="Z32" s="288">
        <f t="shared" si="6"/>
        <v>-26760.035725686699</v>
      </c>
      <c r="AA32" s="288">
        <f t="shared" si="6"/>
        <v>-3654.6652112782467</v>
      </c>
      <c r="AB32" s="288">
        <f t="shared" si="6"/>
        <v>0</v>
      </c>
      <c r="AC32" s="288">
        <f t="shared" si="6"/>
        <v>-898.60013328056084</v>
      </c>
      <c r="AD32" s="288">
        <f t="shared" si="6"/>
        <v>-1514.8149159345776</v>
      </c>
      <c r="AE32" s="288">
        <f t="shared" si="6"/>
        <v>33.721690256148577</v>
      </c>
      <c r="AF32" s="288">
        <f t="shared" si="6"/>
        <v>-745.013503791939</v>
      </c>
      <c r="AG32" s="288">
        <f t="shared" si="6"/>
        <v>-159.65725022516563</v>
      </c>
      <c r="AH32" s="288">
        <f t="shared" si="6"/>
        <v>-3.9113883479876677</v>
      </c>
      <c r="AI32" s="289">
        <f t="shared" si="3"/>
        <v>-33702.976438289028</v>
      </c>
      <c r="AJ32" s="280"/>
      <c r="AK32" s="287" t="s">
        <v>26</v>
      </c>
      <c r="AL32" s="288">
        <f t="shared" si="7"/>
        <v>-8920.0119085622337</v>
      </c>
      <c r="AM32" s="288">
        <f t="shared" si="7"/>
        <v>-1218.221737092749</v>
      </c>
      <c r="AN32" s="288">
        <f t="shared" si="7"/>
        <v>0</v>
      </c>
      <c r="AO32" s="288">
        <f t="shared" si="7"/>
        <v>-299.53337776018697</v>
      </c>
      <c r="AP32" s="288">
        <f t="shared" si="7"/>
        <v>-504.93830531152588</v>
      </c>
      <c r="AQ32" s="288">
        <f t="shared" si="7"/>
        <v>11.240563418716192</v>
      </c>
      <c r="AR32" s="288">
        <f t="shared" si="7"/>
        <v>-248.33783459731299</v>
      </c>
      <c r="AS32" s="288">
        <f t="shared" si="7"/>
        <v>-53.219083408388542</v>
      </c>
      <c r="AT32" s="288">
        <f t="shared" si="7"/>
        <v>-1.3037961159958893</v>
      </c>
      <c r="AU32" s="289">
        <f t="shared" si="5"/>
        <v>-11234.325479429674</v>
      </c>
      <c r="AV32" s="281"/>
      <c r="AW32" s="281"/>
      <c r="AX32" s="281"/>
      <c r="AY32" s="281"/>
      <c r="AZ32" s="28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</row>
    <row r="33" spans="1:126">
      <c r="A33" s="287" t="s">
        <v>27</v>
      </c>
      <c r="B33" s="288">
        <v>23483615.795053542</v>
      </c>
      <c r="C33" s="288">
        <v>3207198.7706212723</v>
      </c>
      <c r="D33" s="288">
        <v>2938328.262369677</v>
      </c>
      <c r="E33" s="288">
        <v>788578.18052498205</v>
      </c>
      <c r="F33" s="288">
        <v>1329345.4407564134</v>
      </c>
      <c r="G33" s="288">
        <v>-29592.905856060352</v>
      </c>
      <c r="H33" s="288">
        <v>653796.24543559575</v>
      </c>
      <c r="I33" s="288">
        <v>140109.28690889481</v>
      </c>
      <c r="J33" s="288">
        <v>374515.50326106977</v>
      </c>
      <c r="K33" s="289">
        <f t="shared" si="0"/>
        <v>32885894.579075389</v>
      </c>
      <c r="L33" s="280"/>
      <c r="M33" s="287" t="s">
        <v>27</v>
      </c>
      <c r="N33" s="288">
        <v>23437552.532605436</v>
      </c>
      <c r="O33" s="288">
        <v>3200907.8297379059</v>
      </c>
      <c r="P33" s="288">
        <v>2938328.2623696784</v>
      </c>
      <c r="Q33" s="288">
        <v>787031.37938467308</v>
      </c>
      <c r="R33" s="288">
        <v>1326737.9211795239</v>
      </c>
      <c r="S33" s="288">
        <v>-29534.859182117703</v>
      </c>
      <c r="T33" s="288">
        <v>652513.8199222543</v>
      </c>
      <c r="U33" s="288">
        <v>139834.46164729004</v>
      </c>
      <c r="V33" s="288">
        <v>374529.88653223973</v>
      </c>
      <c r="W33" s="289">
        <f t="shared" si="1"/>
        <v>32827901.234196883</v>
      </c>
      <c r="X33" s="280"/>
      <c r="Y33" s="287" t="s">
        <v>27</v>
      </c>
      <c r="Z33" s="288">
        <f t="shared" si="6"/>
        <v>-46063.262448105961</v>
      </c>
      <c r="AA33" s="288">
        <f t="shared" si="6"/>
        <v>-6290.9408833663911</v>
      </c>
      <c r="AB33" s="288">
        <f t="shared" si="6"/>
        <v>0</v>
      </c>
      <c r="AC33" s="288">
        <f t="shared" si="6"/>
        <v>-1546.8011403089622</v>
      </c>
      <c r="AD33" s="288">
        <f t="shared" si="6"/>
        <v>-2607.5195768894628</v>
      </c>
      <c r="AE33" s="288">
        <f t="shared" si="6"/>
        <v>58.04667394264834</v>
      </c>
      <c r="AF33" s="288">
        <f t="shared" si="6"/>
        <v>-1282.4255133414408</v>
      </c>
      <c r="AG33" s="288">
        <f t="shared" si="6"/>
        <v>-274.82526160476846</v>
      </c>
      <c r="AH33" s="288">
        <f t="shared" si="6"/>
        <v>14.383271169965155</v>
      </c>
      <c r="AI33" s="289">
        <f t="shared" si="3"/>
        <v>-57993.344878504373</v>
      </c>
      <c r="AJ33" s="280"/>
      <c r="AK33" s="287" t="s">
        <v>27</v>
      </c>
      <c r="AL33" s="288">
        <f t="shared" si="7"/>
        <v>-15354.420816035321</v>
      </c>
      <c r="AM33" s="288">
        <f t="shared" si="7"/>
        <v>-2096.9802944554635</v>
      </c>
      <c r="AN33" s="288">
        <f t="shared" si="7"/>
        <v>0</v>
      </c>
      <c r="AO33" s="288">
        <f t="shared" si="7"/>
        <v>-515.6003801029874</v>
      </c>
      <c r="AP33" s="288">
        <f t="shared" si="7"/>
        <v>-869.17319229648763</v>
      </c>
      <c r="AQ33" s="288">
        <f t="shared" si="7"/>
        <v>19.348891314216115</v>
      </c>
      <c r="AR33" s="288">
        <f t="shared" si="7"/>
        <v>-427.47517111381359</v>
      </c>
      <c r="AS33" s="288">
        <f t="shared" si="7"/>
        <v>-91.608420534922814</v>
      </c>
      <c r="AT33" s="288">
        <f t="shared" si="7"/>
        <v>4.7944237233217182</v>
      </c>
      <c r="AU33" s="289">
        <f t="shared" si="5"/>
        <v>-19331.114959501454</v>
      </c>
      <c r="AV33" s="281"/>
      <c r="AW33" s="281"/>
      <c r="AX33" s="281"/>
      <c r="AY33" s="281"/>
      <c r="AZ33" s="28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</row>
    <row r="34" spans="1:126">
      <c r="A34" s="287" t="s">
        <v>28</v>
      </c>
      <c r="B34" s="288">
        <v>13477807.692238618</v>
      </c>
      <c r="C34" s="288">
        <v>1840687.9348759619</v>
      </c>
      <c r="D34" s="288">
        <v>6259760.0753163332</v>
      </c>
      <c r="E34" s="288">
        <v>452583.84229100798</v>
      </c>
      <c r="F34" s="288">
        <v>762943.08182486077</v>
      </c>
      <c r="G34" s="288">
        <v>-16984.075095731827</v>
      </c>
      <c r="H34" s="288">
        <v>375229.27230587101</v>
      </c>
      <c r="I34" s="288">
        <v>80412.064365851373</v>
      </c>
      <c r="J34" s="288">
        <v>61602.918970232902</v>
      </c>
      <c r="K34" s="289">
        <f t="shared" si="0"/>
        <v>23294042.807093009</v>
      </c>
      <c r="L34" s="280"/>
      <c r="M34" s="287" t="s">
        <v>28</v>
      </c>
      <c r="N34" s="288">
        <v>13451370.886323769</v>
      </c>
      <c r="O34" s="288">
        <v>1837077.4137292518</v>
      </c>
      <c r="P34" s="288">
        <v>6259760.0753163332</v>
      </c>
      <c r="Q34" s="288">
        <v>451696.09619223169</v>
      </c>
      <c r="R34" s="288">
        <v>761446.56409446639</v>
      </c>
      <c r="S34" s="288">
        <v>-16950.760723899111</v>
      </c>
      <c r="T34" s="288">
        <v>374493.25769043533</v>
      </c>
      <c r="U34" s="288">
        <v>80254.335587744805</v>
      </c>
      <c r="V34" s="288">
        <v>61592.517799239926</v>
      </c>
      <c r="W34" s="289">
        <f t="shared" si="1"/>
        <v>23260740.386009574</v>
      </c>
      <c r="X34" s="280"/>
      <c r="Y34" s="287" t="s">
        <v>28</v>
      </c>
      <c r="Z34" s="288">
        <f t="shared" si="6"/>
        <v>-26436.805914849043</v>
      </c>
      <c r="AA34" s="288">
        <f t="shared" si="6"/>
        <v>-3610.5211467100307</v>
      </c>
      <c r="AB34" s="288">
        <f t="shared" si="6"/>
        <v>0</v>
      </c>
      <c r="AC34" s="288">
        <f t="shared" si="6"/>
        <v>-887.74609877628973</v>
      </c>
      <c r="AD34" s="288">
        <f t="shared" si="6"/>
        <v>-1496.5177303943783</v>
      </c>
      <c r="AE34" s="288">
        <f t="shared" si="6"/>
        <v>33.314371832715551</v>
      </c>
      <c r="AF34" s="288">
        <f t="shared" si="6"/>
        <v>-736.01461543567711</v>
      </c>
      <c r="AG34" s="288">
        <f t="shared" si="6"/>
        <v>-157.72877810656792</v>
      </c>
      <c r="AH34" s="288">
        <f t="shared" si="6"/>
        <v>-10.401170992976404</v>
      </c>
      <c r="AI34" s="289">
        <f t="shared" si="3"/>
        <v>-33302.421083432244</v>
      </c>
      <c r="AJ34" s="280"/>
      <c r="AK34" s="287" t="s">
        <v>28</v>
      </c>
      <c r="AL34" s="288">
        <f t="shared" si="7"/>
        <v>-8812.2686382830143</v>
      </c>
      <c r="AM34" s="288">
        <f t="shared" si="7"/>
        <v>-1203.5070489033435</v>
      </c>
      <c r="AN34" s="288">
        <f t="shared" si="7"/>
        <v>0</v>
      </c>
      <c r="AO34" s="288">
        <f t="shared" si="7"/>
        <v>-295.91536625876324</v>
      </c>
      <c r="AP34" s="288">
        <f t="shared" si="7"/>
        <v>-498.83924346479279</v>
      </c>
      <c r="AQ34" s="288">
        <f t="shared" si="7"/>
        <v>11.104790610905184</v>
      </c>
      <c r="AR34" s="288">
        <f t="shared" si="7"/>
        <v>-245.33820514522571</v>
      </c>
      <c r="AS34" s="288">
        <f t="shared" si="7"/>
        <v>-52.576259368855972</v>
      </c>
      <c r="AT34" s="288">
        <f t="shared" si="7"/>
        <v>-3.4670569976588013</v>
      </c>
      <c r="AU34" s="289">
        <f t="shared" si="5"/>
        <v>-11100.80702781075</v>
      </c>
      <c r="AV34" s="281"/>
      <c r="AW34" s="281"/>
      <c r="AX34" s="281"/>
      <c r="AY34" s="281"/>
      <c r="AZ34" s="28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</row>
    <row r="35" spans="1:126">
      <c r="A35" s="287" t="s">
        <v>29</v>
      </c>
      <c r="B35" s="288">
        <v>18800053.460165154</v>
      </c>
      <c r="C35" s="288">
        <v>2567556.4134274493</v>
      </c>
      <c r="D35" s="288">
        <v>4855245.6789387111</v>
      </c>
      <c r="E35" s="288">
        <v>631304.48397610697</v>
      </c>
      <c r="F35" s="288">
        <v>1064221.3520846099</v>
      </c>
      <c r="G35" s="288">
        <v>-23690.909312728374</v>
      </c>
      <c r="H35" s="288">
        <v>523403.40063106688</v>
      </c>
      <c r="I35" s="288">
        <v>112165.95038604166</v>
      </c>
      <c r="J35" s="288">
        <v>218560.86541275476</v>
      </c>
      <c r="K35" s="289">
        <f t="shared" si="0"/>
        <v>28748820.695709165</v>
      </c>
      <c r="L35" s="280"/>
      <c r="M35" s="287" t="s">
        <v>29</v>
      </c>
      <c r="N35" s="288">
        <v>18763177.035166051</v>
      </c>
      <c r="O35" s="288">
        <v>2562520.1351151918</v>
      </c>
      <c r="P35" s="288">
        <v>4855245.6789387129</v>
      </c>
      <c r="Q35" s="288">
        <v>630066.17619659624</v>
      </c>
      <c r="R35" s="288">
        <v>1062133.8751018585</v>
      </c>
      <c r="S35" s="288">
        <v>-23644.439442720686</v>
      </c>
      <c r="T35" s="288">
        <v>522376.74151605193</v>
      </c>
      <c r="U35" s="288">
        <v>111945.93615759129</v>
      </c>
      <c r="V35" s="288">
        <v>218563.6772248465</v>
      </c>
      <c r="W35" s="289">
        <f t="shared" si="1"/>
        <v>28702384.81597418</v>
      </c>
      <c r="X35" s="280"/>
      <c r="Y35" s="287" t="s">
        <v>29</v>
      </c>
      <c r="Z35" s="288">
        <f t="shared" si="6"/>
        <v>-36876.42499910295</v>
      </c>
      <c r="AA35" s="288">
        <f t="shared" si="6"/>
        <v>-5036.2783122574911</v>
      </c>
      <c r="AB35" s="288">
        <f t="shared" si="6"/>
        <v>0</v>
      </c>
      <c r="AC35" s="288">
        <f t="shared" si="6"/>
        <v>-1238.3077795107383</v>
      </c>
      <c r="AD35" s="288">
        <f t="shared" si="6"/>
        <v>-2087.4769827513956</v>
      </c>
      <c r="AE35" s="288">
        <f t="shared" si="6"/>
        <v>46.469870007687859</v>
      </c>
      <c r="AF35" s="288">
        <f t="shared" si="6"/>
        <v>-1026.659115014947</v>
      </c>
      <c r="AG35" s="288">
        <f t="shared" si="6"/>
        <v>-220.01422845036723</v>
      </c>
      <c r="AH35" s="288">
        <f t="shared" si="6"/>
        <v>2.8118120917351916</v>
      </c>
      <c r="AI35" s="289">
        <f t="shared" si="3"/>
        <v>-46435.87973498847</v>
      </c>
      <c r="AJ35" s="280"/>
      <c r="AK35" s="287" t="s">
        <v>29</v>
      </c>
      <c r="AL35" s="288">
        <f t="shared" si="7"/>
        <v>-12292.14166636765</v>
      </c>
      <c r="AM35" s="288">
        <f t="shared" si="7"/>
        <v>-1678.7594374191638</v>
      </c>
      <c r="AN35" s="288">
        <f t="shared" si="7"/>
        <v>0</v>
      </c>
      <c r="AO35" s="288">
        <f t="shared" si="7"/>
        <v>-412.76925983691279</v>
      </c>
      <c r="AP35" s="288">
        <f t="shared" si="7"/>
        <v>-695.82566091713181</v>
      </c>
      <c r="AQ35" s="288">
        <f t="shared" si="7"/>
        <v>15.489956669229286</v>
      </c>
      <c r="AR35" s="288">
        <f t="shared" si="7"/>
        <v>-342.21970500498236</v>
      </c>
      <c r="AS35" s="288">
        <f t="shared" si="7"/>
        <v>-73.338076150122404</v>
      </c>
      <c r="AT35" s="288">
        <f t="shared" si="7"/>
        <v>0.93727069724506384</v>
      </c>
      <c r="AU35" s="289">
        <f t="shared" si="5"/>
        <v>-15478.626578329488</v>
      </c>
      <c r="AV35" s="281"/>
      <c r="AW35" s="281"/>
      <c r="AX35" s="281"/>
      <c r="AY35" s="281"/>
      <c r="AZ35" s="28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</row>
    <row r="36" spans="1:126">
      <c r="A36" s="287" t="s">
        <v>30</v>
      </c>
      <c r="B36" s="288">
        <v>17695299.482408505</v>
      </c>
      <c r="C36" s="288">
        <v>2416678.2168915314</v>
      </c>
      <c r="D36" s="288">
        <v>3069514.6868245546</v>
      </c>
      <c r="E36" s="288">
        <v>594206.92245448742</v>
      </c>
      <c r="F36" s="288">
        <v>1001684.1484314292</v>
      </c>
      <c r="G36" s="288">
        <v>-22298.752298102583</v>
      </c>
      <c r="H36" s="288">
        <v>492646.46741043922</v>
      </c>
      <c r="I36" s="288">
        <v>105574.70424302426</v>
      </c>
      <c r="J36" s="288">
        <v>246750.07922923262</v>
      </c>
      <c r="K36" s="289">
        <f t="shared" si="0"/>
        <v>25600055.955595095</v>
      </c>
      <c r="L36" s="280"/>
      <c r="M36" s="287" t="s">
        <v>30</v>
      </c>
      <c r="N36" s="288">
        <v>17881547.775471956</v>
      </c>
      <c r="O36" s="288">
        <v>2442114.4743127259</v>
      </c>
      <c r="P36" s="288">
        <v>3069514.6868245555</v>
      </c>
      <c r="Q36" s="288">
        <v>600461.12714560656</v>
      </c>
      <c r="R36" s="288">
        <v>1012227.1721886445</v>
      </c>
      <c r="S36" s="288">
        <v>-22533.453302010152</v>
      </c>
      <c r="T36" s="288">
        <v>497831.71808845975</v>
      </c>
      <c r="U36" s="288">
        <v>106685.90942355765</v>
      </c>
      <c r="V36" s="288">
        <v>246731.85051877459</v>
      </c>
      <c r="W36" s="289">
        <f t="shared" si="1"/>
        <v>25834581.260672268</v>
      </c>
      <c r="X36" s="280"/>
      <c r="Y36" s="287" t="s">
        <v>30</v>
      </c>
      <c r="Z36" s="288">
        <f t="shared" si="6"/>
        <v>186248.2930634506</v>
      </c>
      <c r="AA36" s="288">
        <f t="shared" si="6"/>
        <v>25436.257421194576</v>
      </c>
      <c r="AB36" s="288">
        <f t="shared" si="6"/>
        <v>0</v>
      </c>
      <c r="AC36" s="288">
        <f t="shared" si="6"/>
        <v>6254.2046911191428</v>
      </c>
      <c r="AD36" s="288">
        <f t="shared" si="6"/>
        <v>10543.023757215356</v>
      </c>
      <c r="AE36" s="288">
        <f t="shared" si="6"/>
        <v>-234.70100390756852</v>
      </c>
      <c r="AF36" s="288">
        <f t="shared" si="6"/>
        <v>5185.2506780205294</v>
      </c>
      <c r="AG36" s="288">
        <f t="shared" si="6"/>
        <v>1111.2051805333904</v>
      </c>
      <c r="AH36" s="288">
        <f t="shared" si="6"/>
        <v>-18.228710458031856</v>
      </c>
      <c r="AI36" s="289">
        <f t="shared" si="3"/>
        <v>234525.30507716798</v>
      </c>
      <c r="AJ36" s="280"/>
      <c r="AK36" s="287" t="s">
        <v>30</v>
      </c>
      <c r="AL36" s="288">
        <f t="shared" si="7"/>
        <v>62082.764354483537</v>
      </c>
      <c r="AM36" s="288">
        <f t="shared" si="7"/>
        <v>8478.7524737315252</v>
      </c>
      <c r="AN36" s="288">
        <f t="shared" si="7"/>
        <v>0</v>
      </c>
      <c r="AO36" s="288">
        <f t="shared" si="7"/>
        <v>2084.7348970397143</v>
      </c>
      <c r="AP36" s="288">
        <f t="shared" si="7"/>
        <v>3514.3412524051187</v>
      </c>
      <c r="AQ36" s="288">
        <f t="shared" si="7"/>
        <v>-78.233667969189511</v>
      </c>
      <c r="AR36" s="288">
        <f t="shared" si="7"/>
        <v>1728.4168926735099</v>
      </c>
      <c r="AS36" s="288">
        <f t="shared" si="7"/>
        <v>370.40172684446344</v>
      </c>
      <c r="AT36" s="288">
        <f t="shared" si="7"/>
        <v>-6.0762368193439515</v>
      </c>
      <c r="AU36" s="289">
        <f t="shared" si="5"/>
        <v>78175.101692389348</v>
      </c>
      <c r="AV36" s="281"/>
      <c r="AW36" s="281"/>
      <c r="AX36" s="281"/>
      <c r="AY36" s="281"/>
      <c r="AZ36" s="28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</row>
    <row r="37" spans="1:126">
      <c r="A37" s="287" t="s">
        <v>31</v>
      </c>
      <c r="B37" s="288">
        <v>164378990.50521922</v>
      </c>
      <c r="C37" s="288">
        <v>22449528.252601996</v>
      </c>
      <c r="D37" s="288">
        <v>0</v>
      </c>
      <c r="E37" s="288">
        <v>5519835.0364956465</v>
      </c>
      <c r="F37" s="288">
        <v>9305060.3233886193</v>
      </c>
      <c r="G37" s="288">
        <v>-207142.37676124016</v>
      </c>
      <c r="H37" s="288">
        <v>4576397.7642421983</v>
      </c>
      <c r="I37" s="288">
        <v>980727.30125917774</v>
      </c>
      <c r="J37" s="288">
        <v>9747731.5315033421</v>
      </c>
      <c r="K37" s="289">
        <f t="shared" si="0"/>
        <v>216751128.33794898</v>
      </c>
      <c r="L37" s="280"/>
      <c r="M37" s="287" t="s">
        <v>31</v>
      </c>
      <c r="N37" s="288">
        <v>165832851.6905331</v>
      </c>
      <c r="O37" s="288">
        <v>22648084.635353532</v>
      </c>
      <c r="P37" s="288">
        <v>0</v>
      </c>
      <c r="Q37" s="288">
        <v>5568655.5936984355</v>
      </c>
      <c r="R37" s="288">
        <v>9387359.5636358038</v>
      </c>
      <c r="S37" s="288">
        <v>-208974.46163097455</v>
      </c>
      <c r="T37" s="288">
        <v>4616874.0261874711</v>
      </c>
      <c r="U37" s="288">
        <v>989401.41071985755</v>
      </c>
      <c r="V37" s="288">
        <v>9747743.6161312852</v>
      </c>
      <c r="W37" s="289">
        <f t="shared" si="1"/>
        <v>218581996.07462853</v>
      </c>
      <c r="X37" s="280"/>
      <c r="Y37" s="287" t="s">
        <v>31</v>
      </c>
      <c r="Z37" s="288">
        <f t="shared" si="6"/>
        <v>1453861.1853138804</v>
      </c>
      <c r="AA37" s="288">
        <f t="shared" si="6"/>
        <v>198556.38275153562</v>
      </c>
      <c r="AB37" s="288">
        <f t="shared" si="6"/>
        <v>0</v>
      </c>
      <c r="AC37" s="288">
        <f t="shared" si="6"/>
        <v>48820.557202789001</v>
      </c>
      <c r="AD37" s="288">
        <f t="shared" si="6"/>
        <v>82299.240247184411</v>
      </c>
      <c r="AE37" s="288">
        <f t="shared" si="6"/>
        <v>-1832.0848697343899</v>
      </c>
      <c r="AF37" s="288">
        <f t="shared" si="6"/>
        <v>40476.261945272796</v>
      </c>
      <c r="AG37" s="288">
        <f t="shared" si="6"/>
        <v>8674.1094606798142</v>
      </c>
      <c r="AH37" s="288">
        <f t="shared" si="6"/>
        <v>12.084627943113446</v>
      </c>
      <c r="AI37" s="289">
        <f t="shared" si="3"/>
        <v>1830867.7366795507</v>
      </c>
      <c r="AJ37" s="280"/>
      <c r="AK37" s="287" t="s">
        <v>31</v>
      </c>
      <c r="AL37" s="288">
        <f t="shared" si="7"/>
        <v>484620.39510462683</v>
      </c>
      <c r="AM37" s="288">
        <f t="shared" si="7"/>
        <v>66185.460917178541</v>
      </c>
      <c r="AN37" s="288">
        <f t="shared" si="7"/>
        <v>0</v>
      </c>
      <c r="AO37" s="288">
        <f t="shared" si="7"/>
        <v>16273.519067596333</v>
      </c>
      <c r="AP37" s="288">
        <f t="shared" si="7"/>
        <v>27433.080082394805</v>
      </c>
      <c r="AQ37" s="288">
        <f t="shared" si="7"/>
        <v>-610.69495657813002</v>
      </c>
      <c r="AR37" s="288">
        <f t="shared" si="7"/>
        <v>13492.087315090932</v>
      </c>
      <c r="AS37" s="288">
        <f t="shared" si="7"/>
        <v>2891.3698202266046</v>
      </c>
      <c r="AT37" s="288">
        <f t="shared" si="7"/>
        <v>4.028209314371149</v>
      </c>
      <c r="AU37" s="289">
        <f t="shared" si="5"/>
        <v>610289.24555985024</v>
      </c>
      <c r="AV37" s="281"/>
      <c r="AW37" s="281"/>
      <c r="AX37" s="281"/>
      <c r="AY37" s="281"/>
      <c r="AZ37" s="28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</row>
    <row r="38" spans="1:126">
      <c r="A38" s="287" t="s">
        <v>32</v>
      </c>
      <c r="B38" s="288">
        <v>32033735.546400599</v>
      </c>
      <c r="C38" s="288">
        <v>4374903.6843152251</v>
      </c>
      <c r="D38" s="288">
        <v>2926928.5330321887</v>
      </c>
      <c r="E38" s="288">
        <v>1075690.6054441533</v>
      </c>
      <c r="F38" s="288">
        <v>1813345.1283926191</v>
      </c>
      <c r="G38" s="288">
        <v>-40367.349241092692</v>
      </c>
      <c r="H38" s="288">
        <v>891836.08735094895</v>
      </c>
      <c r="I38" s="288">
        <v>191121.49864841843</v>
      </c>
      <c r="J38" s="288">
        <v>248065.63257345499</v>
      </c>
      <c r="K38" s="289">
        <f t="shared" si="0"/>
        <v>43515259.366916522</v>
      </c>
      <c r="L38" s="280"/>
      <c r="M38" s="287" t="s">
        <v>32</v>
      </c>
      <c r="N38" s="288">
        <v>31970901.16942285</v>
      </c>
      <c r="O38" s="288">
        <v>4366322.2827817257</v>
      </c>
      <c r="P38" s="288">
        <v>2926928.5330321896</v>
      </c>
      <c r="Q38" s="288">
        <v>1073580.6314476463</v>
      </c>
      <c r="R38" s="288">
        <v>1809788.2403355534</v>
      </c>
      <c r="S38" s="288">
        <v>-40288.168427598954</v>
      </c>
      <c r="T38" s="288">
        <v>890086.74516655726</v>
      </c>
      <c r="U38" s="288">
        <v>190746.61260750599</v>
      </c>
      <c r="V38" s="288">
        <v>248125.99539602132</v>
      </c>
      <c r="W38" s="289">
        <f t="shared" si="1"/>
        <v>43436192.041762441</v>
      </c>
      <c r="X38" s="280"/>
      <c r="Y38" s="287" t="s">
        <v>32</v>
      </c>
      <c r="Z38" s="288">
        <f t="shared" si="6"/>
        <v>-62834.376977749169</v>
      </c>
      <c r="AA38" s="288">
        <f t="shared" si="6"/>
        <v>-8581.4015334993601</v>
      </c>
      <c r="AB38" s="288">
        <f t="shared" si="6"/>
        <v>0</v>
      </c>
      <c r="AC38" s="288">
        <f t="shared" si="6"/>
        <v>-2109.9739965070039</v>
      </c>
      <c r="AD38" s="288">
        <f t="shared" si="6"/>
        <v>-3556.888057065662</v>
      </c>
      <c r="AE38" s="288">
        <f t="shared" si="6"/>
        <v>79.180813493738242</v>
      </c>
      <c r="AF38" s="288">
        <f t="shared" si="6"/>
        <v>-1749.3421843916876</v>
      </c>
      <c r="AG38" s="288">
        <f t="shared" si="6"/>
        <v>-374.88604091244633</v>
      </c>
      <c r="AH38" s="288">
        <f t="shared" si="6"/>
        <v>60.36282256632694</v>
      </c>
      <c r="AI38" s="289">
        <f t="shared" si="3"/>
        <v>-79067.325154065271</v>
      </c>
      <c r="AJ38" s="280"/>
      <c r="AK38" s="287" t="s">
        <v>32</v>
      </c>
      <c r="AL38" s="288">
        <f t="shared" si="7"/>
        <v>-20944.792325916391</v>
      </c>
      <c r="AM38" s="288">
        <f t="shared" si="7"/>
        <v>-2860.4671778331199</v>
      </c>
      <c r="AN38" s="288">
        <f t="shared" si="7"/>
        <v>0</v>
      </c>
      <c r="AO38" s="288">
        <f t="shared" si="7"/>
        <v>-703.3246655023346</v>
      </c>
      <c r="AP38" s="288">
        <f t="shared" si="7"/>
        <v>-1185.6293523552206</v>
      </c>
      <c r="AQ38" s="288">
        <f t="shared" si="7"/>
        <v>26.393604497912747</v>
      </c>
      <c r="AR38" s="288">
        <f t="shared" si="7"/>
        <v>-583.11406146389584</v>
      </c>
      <c r="AS38" s="288">
        <f t="shared" si="7"/>
        <v>-124.96201363748212</v>
      </c>
      <c r="AT38" s="288">
        <f t="shared" si="7"/>
        <v>20.120940855442313</v>
      </c>
      <c r="AU38" s="289">
        <f t="shared" si="5"/>
        <v>-26355.775051355093</v>
      </c>
      <c r="AV38" s="281"/>
      <c r="AW38" s="281"/>
      <c r="AX38" s="281"/>
      <c r="AY38" s="281"/>
      <c r="AZ38" s="28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</row>
    <row r="39" spans="1:126">
      <c r="A39" s="287" t="s">
        <v>33</v>
      </c>
      <c r="B39" s="288">
        <v>117448725.00516923</v>
      </c>
      <c r="C39" s="288">
        <v>16040179.235386603</v>
      </c>
      <c r="D39" s="288">
        <v>2646746.3634236595</v>
      </c>
      <c r="E39" s="288">
        <v>3943919.9941715854</v>
      </c>
      <c r="F39" s="288">
        <v>6648461.9945605565</v>
      </c>
      <c r="G39" s="288">
        <v>-148003.14791065463</v>
      </c>
      <c r="H39" s="288">
        <v>3269834.4288085103</v>
      </c>
      <c r="I39" s="288">
        <v>700729.27663461724</v>
      </c>
      <c r="J39" s="288">
        <v>2391905.7679255093</v>
      </c>
      <c r="K39" s="289">
        <f t="shared" si="0"/>
        <v>152942498.91816959</v>
      </c>
      <c r="L39" s="280"/>
      <c r="M39" s="287" t="s">
        <v>33</v>
      </c>
      <c r="N39" s="288">
        <v>117218348.5805452</v>
      </c>
      <c r="O39" s="288">
        <v>16008716.32131568</v>
      </c>
      <c r="P39" s="288">
        <v>2646746.3634236599</v>
      </c>
      <c r="Q39" s="288">
        <v>3936183.9699003948</v>
      </c>
      <c r="R39" s="288">
        <v>6635420.9938729117</v>
      </c>
      <c r="S39" s="288">
        <v>-147712.83879025115</v>
      </c>
      <c r="T39" s="288">
        <v>3263420.6276813527</v>
      </c>
      <c r="U39" s="288">
        <v>699354.79168066522</v>
      </c>
      <c r="V39" s="288">
        <v>2391286.2044024789</v>
      </c>
      <c r="W39" s="289">
        <f t="shared" si="1"/>
        <v>152651765.0140321</v>
      </c>
      <c r="X39" s="280"/>
      <c r="Y39" s="287" t="s">
        <v>33</v>
      </c>
      <c r="Z39" s="288">
        <f t="shared" si="6"/>
        <v>-230376.42462402582</v>
      </c>
      <c r="AA39" s="288">
        <f t="shared" si="6"/>
        <v>-31462.914070922881</v>
      </c>
      <c r="AB39" s="288">
        <f t="shared" si="6"/>
        <v>0</v>
      </c>
      <c r="AC39" s="288">
        <f t="shared" si="6"/>
        <v>-7736.0242711906321</v>
      </c>
      <c r="AD39" s="288">
        <f t="shared" si="6"/>
        <v>-13041.000687644817</v>
      </c>
      <c r="AE39" s="288">
        <f t="shared" si="6"/>
        <v>290.3091204034863</v>
      </c>
      <c r="AF39" s="288">
        <f t="shared" si="6"/>
        <v>-6413.8011271576397</v>
      </c>
      <c r="AG39" s="288">
        <f t="shared" si="6"/>
        <v>-1374.4849539520219</v>
      </c>
      <c r="AH39" s="288">
        <f t="shared" si="6"/>
        <v>-619.5635230303742</v>
      </c>
      <c r="AI39" s="289">
        <f t="shared" si="3"/>
        <v>-290733.9041375207</v>
      </c>
      <c r="AJ39" s="280"/>
      <c r="AK39" s="287" t="s">
        <v>33</v>
      </c>
      <c r="AL39" s="288">
        <f t="shared" si="7"/>
        <v>-76792.141541341945</v>
      </c>
      <c r="AM39" s="288">
        <f t="shared" si="7"/>
        <v>-10487.63802364096</v>
      </c>
      <c r="AN39" s="288">
        <f t="shared" si="7"/>
        <v>0</v>
      </c>
      <c r="AO39" s="288">
        <f t="shared" si="7"/>
        <v>-2578.6747570635439</v>
      </c>
      <c r="AP39" s="288">
        <f t="shared" si="7"/>
        <v>-4347.0002292149393</v>
      </c>
      <c r="AQ39" s="288">
        <f t="shared" si="7"/>
        <v>96.769706801162101</v>
      </c>
      <c r="AR39" s="288">
        <f t="shared" si="7"/>
        <v>-2137.9337090525464</v>
      </c>
      <c r="AS39" s="288">
        <f t="shared" si="7"/>
        <v>-458.16165131734061</v>
      </c>
      <c r="AT39" s="288">
        <f t="shared" si="7"/>
        <v>-206.52117434345806</v>
      </c>
      <c r="AU39" s="289">
        <f t="shared" si="5"/>
        <v>-96911.301379173587</v>
      </c>
      <c r="AV39" s="281"/>
      <c r="AW39" s="281"/>
      <c r="AX39" s="281"/>
      <c r="AY39" s="281"/>
      <c r="AZ39" s="28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</row>
    <row r="40" spans="1:126">
      <c r="A40" s="287" t="s">
        <v>34</v>
      </c>
      <c r="B40" s="288">
        <v>25059594.173529051</v>
      </c>
      <c r="C40" s="288">
        <v>3422432.9135268554</v>
      </c>
      <c r="D40" s="288">
        <v>3970356.0770179564</v>
      </c>
      <c r="E40" s="288">
        <v>841499.42455703206</v>
      </c>
      <c r="F40" s="288">
        <v>1418557.4126452734</v>
      </c>
      <c r="G40" s="288">
        <v>-31578.8768493022</v>
      </c>
      <c r="H40" s="288">
        <v>697672.31442459696</v>
      </c>
      <c r="I40" s="288">
        <v>149511.97892698471</v>
      </c>
      <c r="J40" s="288">
        <v>214777.60253177449</v>
      </c>
      <c r="K40" s="289">
        <f t="shared" si="0"/>
        <v>35742823.020310223</v>
      </c>
      <c r="L40" s="280"/>
      <c r="M40" s="287" t="s">
        <v>34</v>
      </c>
      <c r="N40" s="288">
        <v>25010439.619420674</v>
      </c>
      <c r="O40" s="288">
        <v>3415719.7894967804</v>
      </c>
      <c r="P40" s="288">
        <v>3970356.0770179573</v>
      </c>
      <c r="Q40" s="288">
        <v>839848.81805837422</v>
      </c>
      <c r="R40" s="288">
        <v>1415774.9032154372</v>
      </c>
      <c r="S40" s="288">
        <v>-31516.934680565457</v>
      </c>
      <c r="T40" s="288">
        <v>696303.82572155457</v>
      </c>
      <c r="U40" s="288">
        <v>149218.71022490092</v>
      </c>
      <c r="V40" s="288">
        <v>214798.26818387685</v>
      </c>
      <c r="W40" s="289">
        <f t="shared" si="1"/>
        <v>35680943.076658994</v>
      </c>
      <c r="X40" s="280"/>
      <c r="Y40" s="287" t="s">
        <v>34</v>
      </c>
      <c r="Z40" s="288">
        <f t="shared" si="6"/>
        <v>-49154.554108377546</v>
      </c>
      <c r="AA40" s="288">
        <f t="shared" si="6"/>
        <v>-6713.124030075036</v>
      </c>
      <c r="AB40" s="288">
        <f t="shared" si="6"/>
        <v>0</v>
      </c>
      <c r="AC40" s="288">
        <f t="shared" si="6"/>
        <v>-1650.6064986578422</v>
      </c>
      <c r="AD40" s="288">
        <f t="shared" si="6"/>
        <v>-2782.5094298361801</v>
      </c>
      <c r="AE40" s="288">
        <f t="shared" si="6"/>
        <v>61.942168736743042</v>
      </c>
      <c r="AF40" s="288">
        <f t="shared" si="6"/>
        <v>-1368.4887030423852</v>
      </c>
      <c r="AG40" s="288">
        <f t="shared" si="6"/>
        <v>-293.26870208379114</v>
      </c>
      <c r="AH40" s="288">
        <f t="shared" si="6"/>
        <v>20.665652102354215</v>
      </c>
      <c r="AI40" s="289">
        <f t="shared" si="3"/>
        <v>-61879.943651233683</v>
      </c>
      <c r="AJ40" s="280"/>
      <c r="AK40" s="287" t="s">
        <v>34</v>
      </c>
      <c r="AL40" s="288">
        <f t="shared" si="7"/>
        <v>-16384.851369459182</v>
      </c>
      <c r="AM40" s="288">
        <f t="shared" si="7"/>
        <v>-2237.7080100250118</v>
      </c>
      <c r="AN40" s="288">
        <f t="shared" si="7"/>
        <v>0</v>
      </c>
      <c r="AO40" s="288">
        <f t="shared" si="7"/>
        <v>-550.20216621928068</v>
      </c>
      <c r="AP40" s="288">
        <f t="shared" si="7"/>
        <v>-927.50314327872672</v>
      </c>
      <c r="AQ40" s="288">
        <f t="shared" si="7"/>
        <v>20.647389578914346</v>
      </c>
      <c r="AR40" s="288">
        <f t="shared" si="7"/>
        <v>-456.16290101412841</v>
      </c>
      <c r="AS40" s="288">
        <f t="shared" si="7"/>
        <v>-97.756234027930375</v>
      </c>
      <c r="AT40" s="288">
        <f t="shared" si="7"/>
        <v>6.8885507007847382</v>
      </c>
      <c r="AU40" s="289">
        <f t="shared" si="5"/>
        <v>-20626.647883744565</v>
      </c>
      <c r="AV40" s="281"/>
      <c r="AW40" s="281"/>
      <c r="AX40" s="281"/>
      <c r="AY40" s="281"/>
      <c r="AZ40" s="28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</row>
    <row r="41" spans="1:126">
      <c r="A41" s="287" t="s">
        <v>35</v>
      </c>
      <c r="B41" s="288">
        <v>24087365.084236816</v>
      </c>
      <c r="C41" s="288">
        <v>3289653.8744234694</v>
      </c>
      <c r="D41" s="288">
        <v>3757598.258661815</v>
      </c>
      <c r="E41" s="288">
        <v>808852.03954705317</v>
      </c>
      <c r="F41" s="288">
        <v>1363522.0927652051</v>
      </c>
      <c r="G41" s="288">
        <v>-30353.721227568316</v>
      </c>
      <c r="H41" s="288">
        <v>670604.94397236779</v>
      </c>
      <c r="I41" s="288">
        <v>143711.4103262366</v>
      </c>
      <c r="J41" s="288">
        <v>37219.19201784749</v>
      </c>
      <c r="K41" s="289">
        <f t="shared" si="0"/>
        <v>34128173.174723238</v>
      </c>
      <c r="L41" s="280"/>
      <c r="M41" s="287" t="s">
        <v>35</v>
      </c>
      <c r="N41" s="288">
        <v>24040117.563699868</v>
      </c>
      <c r="O41" s="288">
        <v>3283201.1973270872</v>
      </c>
      <c r="P41" s="288">
        <v>3757598.2586618159</v>
      </c>
      <c r="Q41" s="288">
        <v>807265.47110271733</v>
      </c>
      <c r="R41" s="288">
        <v>1360847.5354670032</v>
      </c>
      <c r="S41" s="288">
        <v>-30294.182209412658</v>
      </c>
      <c r="T41" s="288">
        <v>669289.54808943474</v>
      </c>
      <c r="U41" s="288">
        <v>143429.51947653026</v>
      </c>
      <c r="V41" s="288">
        <v>37223.323255034476</v>
      </c>
      <c r="W41" s="289">
        <f t="shared" si="1"/>
        <v>34068678.234870076</v>
      </c>
      <c r="X41" s="280"/>
      <c r="Y41" s="287" t="s">
        <v>35</v>
      </c>
      <c r="Z41" s="288">
        <f t="shared" si="6"/>
        <v>-47247.520536947995</v>
      </c>
      <c r="AA41" s="288">
        <f t="shared" si="6"/>
        <v>-6452.6770963822491</v>
      </c>
      <c r="AB41" s="288">
        <f t="shared" si="6"/>
        <v>0</v>
      </c>
      <c r="AC41" s="288">
        <f t="shared" si="6"/>
        <v>-1586.5684443358332</v>
      </c>
      <c r="AD41" s="288">
        <f t="shared" si="6"/>
        <v>-2674.5572982018348</v>
      </c>
      <c r="AE41" s="288">
        <f t="shared" si="6"/>
        <v>59.539018155657686</v>
      </c>
      <c r="AF41" s="288">
        <f t="shared" si="6"/>
        <v>-1315.3958829330513</v>
      </c>
      <c r="AG41" s="288">
        <f t="shared" si="6"/>
        <v>-281.89084970633849</v>
      </c>
      <c r="AH41" s="288">
        <f t="shared" si="6"/>
        <v>4.1312371869862545</v>
      </c>
      <c r="AI41" s="289">
        <f t="shared" si="3"/>
        <v>-59494.939853164658</v>
      </c>
      <c r="AJ41" s="280"/>
      <c r="AK41" s="287" t="s">
        <v>35</v>
      </c>
      <c r="AL41" s="288">
        <f t="shared" si="7"/>
        <v>-15749.173512315998</v>
      </c>
      <c r="AM41" s="288">
        <f t="shared" si="7"/>
        <v>-2150.8923654607497</v>
      </c>
      <c r="AN41" s="288">
        <f t="shared" si="7"/>
        <v>0</v>
      </c>
      <c r="AO41" s="288">
        <f t="shared" si="7"/>
        <v>-528.85614811194444</v>
      </c>
      <c r="AP41" s="288">
        <f t="shared" si="7"/>
        <v>-891.51909940061159</v>
      </c>
      <c r="AQ41" s="288">
        <f t="shared" si="7"/>
        <v>19.846339385219228</v>
      </c>
      <c r="AR41" s="288">
        <f t="shared" si="7"/>
        <v>-438.46529431101709</v>
      </c>
      <c r="AS41" s="288">
        <f t="shared" si="7"/>
        <v>-93.9636165687795</v>
      </c>
      <c r="AT41" s="288">
        <f t="shared" si="7"/>
        <v>1.3770790623287514</v>
      </c>
      <c r="AU41" s="289">
        <f t="shared" si="5"/>
        <v>-19831.646617721552</v>
      </c>
      <c r="AV41" s="281"/>
      <c r="AW41" s="281"/>
      <c r="AX41" s="281"/>
      <c r="AY41" s="281"/>
      <c r="AZ41" s="28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</row>
    <row r="42" spans="1:126">
      <c r="A42" s="287" t="s">
        <v>36</v>
      </c>
      <c r="B42" s="288">
        <v>25291441.397396475</v>
      </c>
      <c r="C42" s="288">
        <v>3454096.6972409543</v>
      </c>
      <c r="D42" s="288">
        <v>709197.45159325912</v>
      </c>
      <c r="E42" s="288">
        <v>849284.83816423512</v>
      </c>
      <c r="F42" s="288">
        <v>1431681.6713918804</v>
      </c>
      <c r="G42" s="288">
        <v>-31871.039399089048</v>
      </c>
      <c r="H42" s="288">
        <v>704127.06337816804</v>
      </c>
      <c r="I42" s="288">
        <v>150895.23904720493</v>
      </c>
      <c r="J42" s="288">
        <v>475653.88255095237</v>
      </c>
      <c r="K42" s="289">
        <f t="shared" si="0"/>
        <v>33034507.20136404</v>
      </c>
      <c r="L42" s="280"/>
      <c r="M42" s="287" t="s">
        <v>36</v>
      </c>
      <c r="N42" s="288">
        <v>25869692.70450566</v>
      </c>
      <c r="O42" s="288">
        <v>3533069.4967219164</v>
      </c>
      <c r="P42" s="288">
        <v>709197.45159325923</v>
      </c>
      <c r="Q42" s="288">
        <v>868702.47672662418</v>
      </c>
      <c r="R42" s="288">
        <v>1464414.9500073034</v>
      </c>
      <c r="S42" s="288">
        <v>-32599.7234587231</v>
      </c>
      <c r="T42" s="288">
        <v>720225.8846502247</v>
      </c>
      <c r="U42" s="288">
        <v>154345.23495074332</v>
      </c>
      <c r="V42" s="288">
        <v>475479.18692811934</v>
      </c>
      <c r="W42" s="289">
        <f t="shared" si="1"/>
        <v>33762527.662625127</v>
      </c>
      <c r="X42" s="280"/>
      <c r="Y42" s="287" t="s">
        <v>36</v>
      </c>
      <c r="Z42" s="288">
        <f t="shared" si="6"/>
        <v>578251.30710918456</v>
      </c>
      <c r="AA42" s="288">
        <f t="shared" si="6"/>
        <v>78972.799480962101</v>
      </c>
      <c r="AB42" s="288">
        <f t="shared" si="6"/>
        <v>0</v>
      </c>
      <c r="AC42" s="288">
        <f t="shared" si="6"/>
        <v>19417.638562389067</v>
      </c>
      <c r="AD42" s="288">
        <f t="shared" si="6"/>
        <v>32733.278615423013</v>
      </c>
      <c r="AE42" s="288">
        <f t="shared" si="6"/>
        <v>-728.68405963405166</v>
      </c>
      <c r="AF42" s="288">
        <f t="shared" si="6"/>
        <v>16098.821272056666</v>
      </c>
      <c r="AG42" s="288">
        <f t="shared" si="6"/>
        <v>3449.9959035383945</v>
      </c>
      <c r="AH42" s="288">
        <f t="shared" si="6"/>
        <v>-174.69562283303821</v>
      </c>
      <c r="AI42" s="289">
        <f t="shared" si="3"/>
        <v>728020.46126108663</v>
      </c>
      <c r="AJ42" s="280"/>
      <c r="AK42" s="287" t="s">
        <v>36</v>
      </c>
      <c r="AL42" s="288">
        <f t="shared" si="7"/>
        <v>192750.43570306152</v>
      </c>
      <c r="AM42" s="288">
        <f t="shared" si="7"/>
        <v>26324.266493654035</v>
      </c>
      <c r="AN42" s="288">
        <f t="shared" si="7"/>
        <v>0</v>
      </c>
      <c r="AO42" s="288">
        <f t="shared" si="7"/>
        <v>6472.5461874630228</v>
      </c>
      <c r="AP42" s="288">
        <f t="shared" si="7"/>
        <v>10911.09287180767</v>
      </c>
      <c r="AQ42" s="288">
        <f t="shared" si="7"/>
        <v>-242.89468654468388</v>
      </c>
      <c r="AR42" s="288">
        <f t="shared" si="7"/>
        <v>5366.2737573522218</v>
      </c>
      <c r="AS42" s="288">
        <f t="shared" si="7"/>
        <v>1149.9986345127982</v>
      </c>
      <c r="AT42" s="288">
        <f t="shared" si="7"/>
        <v>-58.231874277679402</v>
      </c>
      <c r="AU42" s="289">
        <f t="shared" si="5"/>
        <v>242673.48708702889</v>
      </c>
      <c r="AV42" s="281"/>
      <c r="AW42" s="281"/>
      <c r="AX42" s="281"/>
      <c r="AY42" s="281"/>
      <c r="AZ42" s="28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</row>
    <row r="43" spans="1:126">
      <c r="A43" s="287" t="s">
        <v>37</v>
      </c>
      <c r="B43" s="288">
        <v>35624090.635349289</v>
      </c>
      <c r="C43" s="288">
        <v>4865244.8024745304</v>
      </c>
      <c r="D43" s="288">
        <v>9023231.9511882327</v>
      </c>
      <c r="E43" s="288">
        <v>1196254.4789204914</v>
      </c>
      <c r="F43" s="288">
        <v>2016585.6433901368</v>
      </c>
      <c r="G43" s="288">
        <v>-44891.739397376266</v>
      </c>
      <c r="H43" s="288">
        <v>991793.46603663103</v>
      </c>
      <c r="I43" s="288">
        <v>212542.47979767912</v>
      </c>
      <c r="J43" s="288">
        <v>318738.23196544679</v>
      </c>
      <c r="K43" s="289">
        <f t="shared" si="0"/>
        <v>54203589.949725054</v>
      </c>
      <c r="L43" s="280"/>
      <c r="M43" s="287" t="s">
        <v>37</v>
      </c>
      <c r="N43" s="288">
        <v>35554213.7539213</v>
      </c>
      <c r="O43" s="288">
        <v>4855701.5937043587</v>
      </c>
      <c r="P43" s="288">
        <v>9023231.9511882346</v>
      </c>
      <c r="Q43" s="288">
        <v>1193908.0181157272</v>
      </c>
      <c r="R43" s="288">
        <v>2012630.097764146</v>
      </c>
      <c r="S43" s="288">
        <v>-44803.683963678995</v>
      </c>
      <c r="T43" s="288">
        <v>989848.05681519501</v>
      </c>
      <c r="U43" s="288">
        <v>212125.57636535697</v>
      </c>
      <c r="V43" s="288">
        <v>318551.65586825943</v>
      </c>
      <c r="W43" s="289">
        <f t="shared" si="1"/>
        <v>54115407.019778907</v>
      </c>
      <c r="X43" s="280"/>
      <c r="Y43" s="287" t="s">
        <v>37</v>
      </c>
      <c r="Z43" s="288">
        <f t="shared" si="6"/>
        <v>-69876.88142798841</v>
      </c>
      <c r="AA43" s="288">
        <f t="shared" si="6"/>
        <v>-9543.2087701717392</v>
      </c>
      <c r="AB43" s="288">
        <f t="shared" si="6"/>
        <v>0</v>
      </c>
      <c r="AC43" s="288">
        <f t="shared" si="6"/>
        <v>-2346.4608047641814</v>
      </c>
      <c r="AD43" s="288">
        <f t="shared" si="6"/>
        <v>-3955.5456259907223</v>
      </c>
      <c r="AE43" s="288">
        <f t="shared" si="6"/>
        <v>88.055433697270928</v>
      </c>
      <c r="AF43" s="288">
        <f t="shared" si="6"/>
        <v>-1945.4092214360135</v>
      </c>
      <c r="AG43" s="288">
        <f t="shared" si="6"/>
        <v>-416.90343232214218</v>
      </c>
      <c r="AH43" s="288">
        <f t="shared" si="6"/>
        <v>-186.5760971873533</v>
      </c>
      <c r="AI43" s="289">
        <f t="shared" si="3"/>
        <v>-88182.929946163291</v>
      </c>
      <c r="AJ43" s="280"/>
      <c r="AK43" s="287" t="s">
        <v>37</v>
      </c>
      <c r="AL43" s="288">
        <f t="shared" si="7"/>
        <v>-23292.293809329469</v>
      </c>
      <c r="AM43" s="288">
        <f t="shared" si="7"/>
        <v>-3181.0695900572464</v>
      </c>
      <c r="AN43" s="288">
        <f t="shared" si="7"/>
        <v>0</v>
      </c>
      <c r="AO43" s="288">
        <f t="shared" si="7"/>
        <v>-782.1536015880605</v>
      </c>
      <c r="AP43" s="288">
        <f t="shared" si="7"/>
        <v>-1318.5152086635742</v>
      </c>
      <c r="AQ43" s="288">
        <f t="shared" si="7"/>
        <v>29.351811232423643</v>
      </c>
      <c r="AR43" s="288">
        <f t="shared" si="7"/>
        <v>-648.46974047867116</v>
      </c>
      <c r="AS43" s="288">
        <f t="shared" si="7"/>
        <v>-138.96781077404739</v>
      </c>
      <c r="AT43" s="288">
        <f t="shared" si="7"/>
        <v>-62.19203239578443</v>
      </c>
      <c r="AU43" s="289">
        <f t="shared" si="5"/>
        <v>-29394.30998205443</v>
      </c>
      <c r="AV43" s="281"/>
      <c r="AW43" s="281"/>
      <c r="AX43" s="281"/>
      <c r="AY43" s="281"/>
      <c r="AZ43" s="28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</row>
    <row r="44" spans="1:126">
      <c r="A44" s="287" t="s">
        <v>38</v>
      </c>
      <c r="B44" s="288">
        <v>83577406.833032191</v>
      </c>
      <c r="C44" s="288">
        <v>11414313.655356053</v>
      </c>
      <c r="D44" s="288">
        <v>6070978.639973212</v>
      </c>
      <c r="E44" s="288">
        <v>2806523.4923180388</v>
      </c>
      <c r="F44" s="288">
        <v>4731096.1690634293</v>
      </c>
      <c r="G44" s="288">
        <v>-105320.16677876915</v>
      </c>
      <c r="H44" s="288">
        <v>2326839.0722943675</v>
      </c>
      <c r="I44" s="288">
        <v>498644.28779903875</v>
      </c>
      <c r="J44" s="288">
        <v>1825948.7026547357</v>
      </c>
      <c r="K44" s="289">
        <f t="shared" si="0"/>
        <v>113146430.68571229</v>
      </c>
      <c r="L44" s="280"/>
      <c r="M44" s="287" t="s">
        <v>38</v>
      </c>
      <c r="N44" s="288">
        <v>83413469.215448901</v>
      </c>
      <c r="O44" s="288">
        <v>11391924.406180788</v>
      </c>
      <c r="P44" s="288">
        <v>6070978.6399732148</v>
      </c>
      <c r="Q44" s="288">
        <v>2801018.4785534791</v>
      </c>
      <c r="R44" s="288">
        <v>4721816.0936949374</v>
      </c>
      <c r="S44" s="288">
        <v>-105113.58059861069</v>
      </c>
      <c r="T44" s="288">
        <v>2322274.9625849859</v>
      </c>
      <c r="U44" s="288">
        <v>497666.19384206069</v>
      </c>
      <c r="V44" s="288">
        <v>1825983.1801389214</v>
      </c>
      <c r="W44" s="289">
        <f t="shared" si="1"/>
        <v>112940017.58981866</v>
      </c>
      <c r="X44" s="280"/>
      <c r="Y44" s="287" t="s">
        <v>38</v>
      </c>
      <c r="Z44" s="288">
        <f t="shared" si="6"/>
        <v>-163937.61758328974</v>
      </c>
      <c r="AA44" s="288">
        <f t="shared" si="6"/>
        <v>-22389.249175265431</v>
      </c>
      <c r="AB44" s="288">
        <f t="shared" si="6"/>
        <v>0</v>
      </c>
      <c r="AC44" s="288">
        <f t="shared" si="6"/>
        <v>-5505.013764559757</v>
      </c>
      <c r="AD44" s="288">
        <f t="shared" si="6"/>
        <v>-9280.0753684919327</v>
      </c>
      <c r="AE44" s="288">
        <f t="shared" si="6"/>
        <v>206.58618015846878</v>
      </c>
      <c r="AF44" s="288">
        <f t="shared" si="6"/>
        <v>-4564.1097093815915</v>
      </c>
      <c r="AG44" s="288">
        <f t="shared" si="6"/>
        <v>-978.09395697806031</v>
      </c>
      <c r="AH44" s="288">
        <f t="shared" si="6"/>
        <v>34.477484185714275</v>
      </c>
      <c r="AI44" s="289">
        <f t="shared" si="3"/>
        <v>-206413.09589362232</v>
      </c>
      <c r="AJ44" s="280"/>
      <c r="AK44" s="287" t="s">
        <v>38</v>
      </c>
      <c r="AL44" s="288">
        <f t="shared" si="7"/>
        <v>-54645.872527763247</v>
      </c>
      <c r="AM44" s="288">
        <f t="shared" si="7"/>
        <v>-7463.0830584218102</v>
      </c>
      <c r="AN44" s="288">
        <f t="shared" si="7"/>
        <v>0</v>
      </c>
      <c r="AO44" s="288">
        <f t="shared" si="7"/>
        <v>-1835.0045881865856</v>
      </c>
      <c r="AP44" s="288">
        <f t="shared" si="7"/>
        <v>-3093.3584561639777</v>
      </c>
      <c r="AQ44" s="288">
        <f t="shared" si="7"/>
        <v>68.862060052822926</v>
      </c>
      <c r="AR44" s="288">
        <f t="shared" si="7"/>
        <v>-1521.3699031271972</v>
      </c>
      <c r="AS44" s="288">
        <f t="shared" si="7"/>
        <v>-326.03131899268675</v>
      </c>
      <c r="AT44" s="288">
        <f t="shared" si="7"/>
        <v>11.492494728571424</v>
      </c>
      <c r="AU44" s="289">
        <f t="shared" si="5"/>
        <v>-68804.365297874101</v>
      </c>
      <c r="AV44" s="281"/>
      <c r="AW44" s="281"/>
      <c r="AX44" s="281"/>
      <c r="AY44" s="281"/>
      <c r="AZ44" s="28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</row>
    <row r="45" spans="1:126">
      <c r="A45" s="287" t="s">
        <v>39</v>
      </c>
      <c r="B45" s="288">
        <v>1729652044.8620727</v>
      </c>
      <c r="C45" s="288">
        <v>236221626.18810469</v>
      </c>
      <c r="D45" s="288">
        <v>0</v>
      </c>
      <c r="E45" s="288">
        <v>58081595.031287566</v>
      </c>
      <c r="F45" s="288">
        <v>97911032.099951014</v>
      </c>
      <c r="G45" s="288">
        <v>-2179623.0433188663</v>
      </c>
      <c r="H45" s="288">
        <v>48154424.88541384</v>
      </c>
      <c r="I45" s="288">
        <v>10319548.604486279</v>
      </c>
      <c r="J45" s="288">
        <v>33400431.731416162</v>
      </c>
      <c r="K45" s="289">
        <f t="shared" si="0"/>
        <v>2211561080.3594136</v>
      </c>
      <c r="L45" s="280"/>
      <c r="M45" s="287" t="s">
        <v>39</v>
      </c>
      <c r="N45" s="288">
        <v>1726259321.3231716</v>
      </c>
      <c r="O45" s="288">
        <v>235758275.95882216</v>
      </c>
      <c r="P45" s="288">
        <v>0</v>
      </c>
      <c r="Q45" s="288">
        <v>57967667.611477956</v>
      </c>
      <c r="R45" s="288">
        <v>97718978.984811261</v>
      </c>
      <c r="S45" s="288">
        <v>-2175347.6987910657</v>
      </c>
      <c r="T45" s="288">
        <v>48059969.673282422</v>
      </c>
      <c r="U45" s="288">
        <v>10299306.743954113</v>
      </c>
      <c r="V45" s="288">
        <v>33400456.585067943</v>
      </c>
      <c r="W45" s="289">
        <f t="shared" si="1"/>
        <v>2207288629.1817966</v>
      </c>
      <c r="X45" s="280"/>
      <c r="Y45" s="287" t="s">
        <v>39</v>
      </c>
      <c r="Z45" s="288">
        <f t="shared" si="6"/>
        <v>-3392723.5389010906</v>
      </c>
      <c r="AA45" s="288">
        <f t="shared" si="6"/>
        <v>-463350.22928252816</v>
      </c>
      <c r="AB45" s="288">
        <f t="shared" si="6"/>
        <v>0</v>
      </c>
      <c r="AC45" s="288">
        <f t="shared" si="6"/>
        <v>-113927.41980960965</v>
      </c>
      <c r="AD45" s="288">
        <f t="shared" si="6"/>
        <v>-192053.11513975263</v>
      </c>
      <c r="AE45" s="288">
        <f t="shared" si="6"/>
        <v>4275.3445278005674</v>
      </c>
      <c r="AF45" s="288">
        <f t="shared" si="6"/>
        <v>-94455.212131418288</v>
      </c>
      <c r="AG45" s="288">
        <f t="shared" si="6"/>
        <v>-20241.860532166436</v>
      </c>
      <c r="AH45" s="288">
        <f t="shared" si="6"/>
        <v>24.853651780635118</v>
      </c>
      <c r="AI45" s="289">
        <f t="shared" si="3"/>
        <v>-4272451.1776169846</v>
      </c>
      <c r="AJ45" s="280"/>
      <c r="AK45" s="287" t="s">
        <v>39</v>
      </c>
      <c r="AL45" s="288">
        <f t="shared" si="7"/>
        <v>-1130907.8463003635</v>
      </c>
      <c r="AM45" s="288">
        <f t="shared" si="7"/>
        <v>-154450.0764275094</v>
      </c>
      <c r="AN45" s="288">
        <f t="shared" si="7"/>
        <v>0</v>
      </c>
      <c r="AO45" s="288">
        <f t="shared" si="7"/>
        <v>-37975.806603203215</v>
      </c>
      <c r="AP45" s="288">
        <f t="shared" si="7"/>
        <v>-64017.705046584211</v>
      </c>
      <c r="AQ45" s="288">
        <f t="shared" si="7"/>
        <v>1425.1148426001891</v>
      </c>
      <c r="AR45" s="288">
        <f t="shared" si="7"/>
        <v>-31485.070710472763</v>
      </c>
      <c r="AS45" s="288">
        <f t="shared" si="7"/>
        <v>-6747.2868440554785</v>
      </c>
      <c r="AT45" s="288">
        <f t="shared" si="7"/>
        <v>8.2845505935450401</v>
      </c>
      <c r="AU45" s="289">
        <f t="shared" si="5"/>
        <v>-1424150.3925389948</v>
      </c>
      <c r="AV45" s="281"/>
      <c r="AW45" s="281"/>
      <c r="AX45" s="281"/>
      <c r="AY45" s="281"/>
      <c r="AZ45" s="28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</row>
    <row r="46" spans="1:126">
      <c r="A46" s="287" t="s">
        <v>40</v>
      </c>
      <c r="B46" s="288">
        <v>8932964.9359308667</v>
      </c>
      <c r="C46" s="288">
        <v>1219990.7548544991</v>
      </c>
      <c r="D46" s="288">
        <v>3094577.3594879569</v>
      </c>
      <c r="E46" s="288">
        <v>299968.33951582562</v>
      </c>
      <c r="F46" s="288">
        <v>505671.541965777</v>
      </c>
      <c r="G46" s="288">
        <v>-11256.886191272641</v>
      </c>
      <c r="H46" s="288">
        <v>248698.45370871737</v>
      </c>
      <c r="I46" s="288">
        <v>53296.364498479961</v>
      </c>
      <c r="J46" s="288">
        <v>143996.16508666181</v>
      </c>
      <c r="K46" s="289">
        <f t="shared" si="0"/>
        <v>14487907.028857511</v>
      </c>
      <c r="L46" s="280"/>
      <c r="M46" s="287" t="s">
        <v>40</v>
      </c>
      <c r="N46" s="288">
        <v>9169501.2976535931</v>
      </c>
      <c r="O46" s="288">
        <v>1252294.9423844342</v>
      </c>
      <c r="P46" s="288">
        <v>3094577.3594879573</v>
      </c>
      <c r="Q46" s="288">
        <v>307911.21404516435</v>
      </c>
      <c r="R46" s="288">
        <v>519061.24041653483</v>
      </c>
      <c r="S46" s="288">
        <v>-11554.957763601382</v>
      </c>
      <c r="T46" s="288">
        <v>255283.75073252106</v>
      </c>
      <c r="U46" s="288">
        <v>54707.601220210694</v>
      </c>
      <c r="V46" s="288">
        <v>143989.60115835516</v>
      </c>
      <c r="W46" s="289">
        <f t="shared" si="1"/>
        <v>14785772.049335169</v>
      </c>
      <c r="X46" s="280"/>
      <c r="Y46" s="287" t="s">
        <v>40</v>
      </c>
      <c r="Z46" s="288">
        <f t="shared" si="6"/>
        <v>236536.36172272637</v>
      </c>
      <c r="AA46" s="288">
        <f t="shared" si="6"/>
        <v>32304.187529935036</v>
      </c>
      <c r="AB46" s="288">
        <f t="shared" si="6"/>
        <v>0</v>
      </c>
      <c r="AC46" s="288">
        <f t="shared" si="6"/>
        <v>7942.8745293387328</v>
      </c>
      <c r="AD46" s="288">
        <f t="shared" si="6"/>
        <v>13389.698450757831</v>
      </c>
      <c r="AE46" s="288">
        <f t="shared" si="6"/>
        <v>-298.07157232874124</v>
      </c>
      <c r="AF46" s="288">
        <f t="shared" si="6"/>
        <v>6585.2970238036942</v>
      </c>
      <c r="AG46" s="288">
        <f t="shared" si="6"/>
        <v>1411.2367217307328</v>
      </c>
      <c r="AH46" s="288">
        <f t="shared" si="6"/>
        <v>-6.5639283066557255</v>
      </c>
      <c r="AI46" s="289">
        <f t="shared" si="3"/>
        <v>297865.02047765697</v>
      </c>
      <c r="AJ46" s="280"/>
      <c r="AK46" s="287" t="s">
        <v>40</v>
      </c>
      <c r="AL46" s="288">
        <f t="shared" si="7"/>
        <v>78845.453907575458</v>
      </c>
      <c r="AM46" s="288">
        <f t="shared" si="7"/>
        <v>10768.062509978345</v>
      </c>
      <c r="AN46" s="288">
        <f t="shared" si="7"/>
        <v>0</v>
      </c>
      <c r="AO46" s="288">
        <f t="shared" si="7"/>
        <v>2647.6248431129111</v>
      </c>
      <c r="AP46" s="288">
        <f t="shared" si="7"/>
        <v>4463.232816919277</v>
      </c>
      <c r="AQ46" s="288">
        <f t="shared" si="7"/>
        <v>-99.35719077624708</v>
      </c>
      <c r="AR46" s="288">
        <f t="shared" si="7"/>
        <v>2195.0990079345647</v>
      </c>
      <c r="AS46" s="288">
        <f t="shared" si="7"/>
        <v>470.41224057691096</v>
      </c>
      <c r="AT46" s="288">
        <f t="shared" si="7"/>
        <v>-2.1879761022185753</v>
      </c>
      <c r="AU46" s="289">
        <f t="shared" si="5"/>
        <v>99288.340159219006</v>
      </c>
      <c r="AV46" s="281"/>
      <c r="AW46" s="281"/>
      <c r="AX46" s="281"/>
      <c r="AY46" s="281"/>
      <c r="AZ46" s="28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</row>
    <row r="47" spans="1:126">
      <c r="A47" s="287" t="s">
        <v>41</v>
      </c>
      <c r="B47" s="288">
        <v>37609830.08347287</v>
      </c>
      <c r="C47" s="288">
        <v>5136440.7363706026</v>
      </c>
      <c r="D47" s="288">
        <v>4224224.9567269813</v>
      </c>
      <c r="E47" s="288">
        <v>1262935.4710923957</v>
      </c>
      <c r="F47" s="288">
        <v>2128993.1067437679</v>
      </c>
      <c r="G47" s="288">
        <v>-47394.071280840471</v>
      </c>
      <c r="H47" s="288">
        <v>1047077.4992505459</v>
      </c>
      <c r="I47" s="288">
        <v>224389.91166215632</v>
      </c>
      <c r="J47" s="288">
        <v>2885091.59448535</v>
      </c>
      <c r="K47" s="289">
        <f t="shared" si="0"/>
        <v>54471589.28852383</v>
      </c>
      <c r="L47" s="280"/>
      <c r="M47" s="287" t="s">
        <v>41</v>
      </c>
      <c r="N47" s="288">
        <v>38260390.3212777</v>
      </c>
      <c r="O47" s="288">
        <v>5225288.8938737679</v>
      </c>
      <c r="P47" s="288">
        <v>4224224.9567269813</v>
      </c>
      <c r="Q47" s="288">
        <v>1284781.2385043332</v>
      </c>
      <c r="R47" s="288">
        <v>2165819.6028681607</v>
      </c>
      <c r="S47" s="288">
        <v>-48213.875523895324</v>
      </c>
      <c r="T47" s="288">
        <v>1065189.4392779449</v>
      </c>
      <c r="U47" s="288">
        <v>228271.32122896225</v>
      </c>
      <c r="V47" s="288">
        <v>2885406.7390205609</v>
      </c>
      <c r="W47" s="289">
        <f t="shared" si="1"/>
        <v>55291158.637254521</v>
      </c>
      <c r="X47" s="280"/>
      <c r="Y47" s="287" t="s">
        <v>41</v>
      </c>
      <c r="Z47" s="288">
        <f t="shared" si="6"/>
        <v>650560.23780483007</v>
      </c>
      <c r="AA47" s="288">
        <f t="shared" si="6"/>
        <v>88848.157503165305</v>
      </c>
      <c r="AB47" s="288">
        <f t="shared" si="6"/>
        <v>0</v>
      </c>
      <c r="AC47" s="288">
        <f t="shared" si="6"/>
        <v>21845.767411937471</v>
      </c>
      <c r="AD47" s="288">
        <f t="shared" si="6"/>
        <v>36826.496124392841</v>
      </c>
      <c r="AE47" s="288">
        <f t="shared" si="6"/>
        <v>-819.80424305485212</v>
      </c>
      <c r="AF47" s="288">
        <f t="shared" si="6"/>
        <v>18111.940027398989</v>
      </c>
      <c r="AG47" s="288">
        <f t="shared" si="6"/>
        <v>3881.4095668059308</v>
      </c>
      <c r="AH47" s="288">
        <f t="shared" si="6"/>
        <v>315.14453521091491</v>
      </c>
      <c r="AI47" s="289">
        <f t="shared" si="3"/>
        <v>819569.3487306867</v>
      </c>
      <c r="AJ47" s="280"/>
      <c r="AK47" s="287" t="s">
        <v>41</v>
      </c>
      <c r="AL47" s="288">
        <f t="shared" si="7"/>
        <v>216853.41260161003</v>
      </c>
      <c r="AM47" s="288">
        <f t="shared" si="7"/>
        <v>29616.052501055103</v>
      </c>
      <c r="AN47" s="288">
        <f t="shared" si="7"/>
        <v>0</v>
      </c>
      <c r="AO47" s="288">
        <f t="shared" si="7"/>
        <v>7281.9224706458235</v>
      </c>
      <c r="AP47" s="288">
        <f t="shared" si="7"/>
        <v>12275.498708130946</v>
      </c>
      <c r="AQ47" s="288">
        <f t="shared" si="7"/>
        <v>-273.26808101828402</v>
      </c>
      <c r="AR47" s="288">
        <f t="shared" si="7"/>
        <v>6037.3133424663292</v>
      </c>
      <c r="AS47" s="288">
        <f t="shared" si="7"/>
        <v>1293.8031889353103</v>
      </c>
      <c r="AT47" s="288">
        <f t="shared" si="7"/>
        <v>105.0481784036383</v>
      </c>
      <c r="AU47" s="289">
        <f t="shared" si="5"/>
        <v>273189.78291022888</v>
      </c>
      <c r="AV47" s="281"/>
      <c r="AW47" s="281"/>
      <c r="AX47" s="281"/>
      <c r="AY47" s="281"/>
      <c r="AZ47" s="28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</row>
    <row r="48" spans="1:126">
      <c r="A48" s="287" t="s">
        <v>42</v>
      </c>
      <c r="B48" s="288">
        <v>18946547.268692296</v>
      </c>
      <c r="C48" s="288">
        <v>2587563.3308762885</v>
      </c>
      <c r="D48" s="288">
        <v>1297823.8144421056</v>
      </c>
      <c r="E48" s="288">
        <v>636223.73584918701</v>
      </c>
      <c r="F48" s="288">
        <v>1072513.9795132028</v>
      </c>
      <c r="G48" s="288">
        <v>-23875.513656542949</v>
      </c>
      <c r="H48" s="288">
        <v>527481.86549910391</v>
      </c>
      <c r="I48" s="288">
        <v>113039.9700952906</v>
      </c>
      <c r="J48" s="288">
        <v>221579.48518058308</v>
      </c>
      <c r="K48" s="289">
        <f t="shared" si="0"/>
        <v>25378897.936491515</v>
      </c>
      <c r="L48" s="280"/>
      <c r="M48" s="287" t="s">
        <v>42</v>
      </c>
      <c r="N48" s="288">
        <v>18909383.495151639</v>
      </c>
      <c r="O48" s="288">
        <v>2582487.8088676054</v>
      </c>
      <c r="P48" s="288">
        <v>1297823.8144421063</v>
      </c>
      <c r="Q48" s="288">
        <v>634975.77892569208</v>
      </c>
      <c r="R48" s="288">
        <v>1070410.2364887584</v>
      </c>
      <c r="S48" s="288">
        <v>-23828.681683935203</v>
      </c>
      <c r="T48" s="288">
        <v>526447.20644918806</v>
      </c>
      <c r="U48" s="288">
        <v>112818.24147159532</v>
      </c>
      <c r="V48" s="288">
        <v>221596.14507882614</v>
      </c>
      <c r="W48" s="289">
        <f t="shared" si="1"/>
        <v>25332114.045191474</v>
      </c>
      <c r="X48" s="280"/>
      <c r="Y48" s="287" t="s">
        <v>42</v>
      </c>
      <c r="Z48" s="288">
        <f t="shared" si="6"/>
        <v>-37163.773540657014</v>
      </c>
      <c r="AA48" s="288">
        <f t="shared" si="6"/>
        <v>-5075.5220086830668</v>
      </c>
      <c r="AB48" s="288">
        <f t="shared" si="6"/>
        <v>0</v>
      </c>
      <c r="AC48" s="288">
        <f t="shared" si="6"/>
        <v>-1247.9569234949304</v>
      </c>
      <c r="AD48" s="288">
        <f t="shared" si="6"/>
        <v>-2103.7430244444404</v>
      </c>
      <c r="AE48" s="288">
        <f t="shared" si="6"/>
        <v>46.831972607746138</v>
      </c>
      <c r="AF48" s="288">
        <f t="shared" si="6"/>
        <v>-1034.6590499158483</v>
      </c>
      <c r="AG48" s="288">
        <f t="shared" si="6"/>
        <v>-221.72862369527866</v>
      </c>
      <c r="AH48" s="288">
        <f t="shared" si="6"/>
        <v>16.659898243058706</v>
      </c>
      <c r="AI48" s="289">
        <f t="shared" si="3"/>
        <v>-46783.891300039773</v>
      </c>
      <c r="AJ48" s="280"/>
      <c r="AK48" s="287" t="s">
        <v>42</v>
      </c>
      <c r="AL48" s="288">
        <f t="shared" si="7"/>
        <v>-12387.924513552338</v>
      </c>
      <c r="AM48" s="288">
        <f t="shared" si="7"/>
        <v>-1691.8406695610222</v>
      </c>
      <c r="AN48" s="288">
        <f t="shared" si="7"/>
        <v>0</v>
      </c>
      <c r="AO48" s="288">
        <f t="shared" si="7"/>
        <v>-415.98564116497681</v>
      </c>
      <c r="AP48" s="288">
        <f t="shared" si="7"/>
        <v>-701.24767481481342</v>
      </c>
      <c r="AQ48" s="288">
        <f t="shared" si="7"/>
        <v>15.610657535915379</v>
      </c>
      <c r="AR48" s="288">
        <f t="shared" si="7"/>
        <v>-344.88634997194941</v>
      </c>
      <c r="AS48" s="288">
        <f t="shared" si="7"/>
        <v>-73.909541231759547</v>
      </c>
      <c r="AT48" s="288">
        <f t="shared" si="7"/>
        <v>5.5532994143529022</v>
      </c>
      <c r="AU48" s="289">
        <f t="shared" si="5"/>
        <v>-15594.630433346592</v>
      </c>
      <c r="AV48" s="281"/>
      <c r="AW48" s="281"/>
      <c r="AX48" s="281"/>
      <c r="AY48" s="281"/>
      <c r="AZ48" s="28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</row>
    <row r="49" spans="1:126">
      <c r="A49" s="287" t="s">
        <v>43</v>
      </c>
      <c r="B49" s="288">
        <v>21231014.136109196</v>
      </c>
      <c r="C49" s="288">
        <v>2899556.9945712872</v>
      </c>
      <c r="D49" s="288">
        <v>2185182.3866251903</v>
      </c>
      <c r="E49" s="288">
        <v>712935.97392611369</v>
      </c>
      <c r="F49" s="288">
        <v>1201831.6127628239</v>
      </c>
      <c r="G49" s="288">
        <v>-26754.287246127784</v>
      </c>
      <c r="H49" s="288">
        <v>591082.62756972958</v>
      </c>
      <c r="I49" s="288">
        <v>126669.68651350064</v>
      </c>
      <c r="J49" s="288">
        <v>126787.95082037849</v>
      </c>
      <c r="K49" s="289">
        <f t="shared" si="0"/>
        <v>29048307.081652094</v>
      </c>
      <c r="L49" s="280"/>
      <c r="M49" s="287" t="s">
        <v>43</v>
      </c>
      <c r="N49" s="288">
        <v>21189369.366209786</v>
      </c>
      <c r="O49" s="288">
        <v>2893869.4949975498</v>
      </c>
      <c r="P49" s="288">
        <v>2185182.3866251912</v>
      </c>
      <c r="Q49" s="288">
        <v>711537.54545742064</v>
      </c>
      <c r="R49" s="288">
        <v>1199474.2123743885</v>
      </c>
      <c r="S49" s="288">
        <v>-26701.80854072799</v>
      </c>
      <c r="T49" s="288">
        <v>589923.21521858743</v>
      </c>
      <c r="U49" s="288">
        <v>126421.22311395381</v>
      </c>
      <c r="V49" s="288">
        <v>127009.81811314443</v>
      </c>
      <c r="W49" s="289">
        <f t="shared" si="1"/>
        <v>28996085.453569297</v>
      </c>
      <c r="X49" s="280"/>
      <c r="Y49" s="287" t="s">
        <v>43</v>
      </c>
      <c r="Z49" s="288">
        <f t="shared" si="6"/>
        <v>-41644.769899409264</v>
      </c>
      <c r="AA49" s="288">
        <f t="shared" si="6"/>
        <v>-5687.4995737373829</v>
      </c>
      <c r="AB49" s="288">
        <f t="shared" si="6"/>
        <v>0</v>
      </c>
      <c r="AC49" s="288">
        <f t="shared" si="6"/>
        <v>-1398.4284686930478</v>
      </c>
      <c r="AD49" s="288">
        <f t="shared" si="6"/>
        <v>-2357.4003884354606</v>
      </c>
      <c r="AE49" s="288">
        <f t="shared" si="6"/>
        <v>52.478705399793398</v>
      </c>
      <c r="AF49" s="288">
        <f t="shared" ref="AF49:AH57" si="8">T49-H49</f>
        <v>-1159.4123511421494</v>
      </c>
      <c r="AG49" s="288">
        <f t="shared" si="8"/>
        <v>-248.46339954683208</v>
      </c>
      <c r="AH49" s="288">
        <f t="shared" si="8"/>
        <v>221.86729276593542</v>
      </c>
      <c r="AI49" s="289">
        <f t="shared" si="3"/>
        <v>-52221.628082798408</v>
      </c>
      <c r="AJ49" s="280"/>
      <c r="AK49" s="287" t="s">
        <v>43</v>
      </c>
      <c r="AL49" s="288">
        <f t="shared" si="7"/>
        <v>-13881.589966469755</v>
      </c>
      <c r="AM49" s="288">
        <f t="shared" si="7"/>
        <v>-1895.8331912457943</v>
      </c>
      <c r="AN49" s="288">
        <f t="shared" si="7"/>
        <v>0</v>
      </c>
      <c r="AO49" s="288">
        <f t="shared" si="7"/>
        <v>-466.14282289768261</v>
      </c>
      <c r="AP49" s="288">
        <f t="shared" si="7"/>
        <v>-785.80012947848684</v>
      </c>
      <c r="AQ49" s="288">
        <f t="shared" si="7"/>
        <v>17.492901799931133</v>
      </c>
      <c r="AR49" s="288">
        <f t="shared" ref="AR49:AT57" si="9">AF49/3</f>
        <v>-386.47078371404979</v>
      </c>
      <c r="AS49" s="288">
        <f t="shared" si="9"/>
        <v>-82.821133182277364</v>
      </c>
      <c r="AT49" s="288">
        <f t="shared" si="9"/>
        <v>73.955764255311806</v>
      </c>
      <c r="AU49" s="289">
        <f t="shared" si="5"/>
        <v>-17407.209360932804</v>
      </c>
      <c r="AV49" s="281"/>
      <c r="AW49" s="281"/>
      <c r="AX49" s="281"/>
      <c r="AY49" s="281"/>
      <c r="AZ49" s="28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</row>
    <row r="50" spans="1:126">
      <c r="A50" s="287" t="s">
        <v>44</v>
      </c>
      <c r="B50" s="288">
        <v>61084957.446645007</v>
      </c>
      <c r="C50" s="288">
        <v>8342480.2268992281</v>
      </c>
      <c r="D50" s="288">
        <v>3942387.6855572262</v>
      </c>
      <c r="E50" s="288">
        <v>2051228.6106668287</v>
      </c>
      <c r="F50" s="288">
        <v>3457858.0397998677</v>
      </c>
      <c r="G50" s="288">
        <v>-76976.280429557111</v>
      </c>
      <c r="H50" s="288">
        <v>1700637.4222670502</v>
      </c>
      <c r="I50" s="288">
        <v>364448.5544049968</v>
      </c>
      <c r="J50" s="288">
        <v>980448.76816274703</v>
      </c>
      <c r="K50" s="289">
        <f t="shared" si="0"/>
        <v>81847470.473973393</v>
      </c>
      <c r="L50" s="280"/>
      <c r="M50" s="287" t="s">
        <v>44</v>
      </c>
      <c r="N50" s="288">
        <v>60965138.91226542</v>
      </c>
      <c r="O50" s="288">
        <v>8326116.3986236537</v>
      </c>
      <c r="P50" s="288">
        <v>3942387.6855572271</v>
      </c>
      <c r="Q50" s="288">
        <v>2047205.112639148</v>
      </c>
      <c r="R50" s="288">
        <v>3451075.4291582326</v>
      </c>
      <c r="S50" s="288">
        <v>-76825.290963597057</v>
      </c>
      <c r="T50" s="288">
        <v>1697301.6110957796</v>
      </c>
      <c r="U50" s="288">
        <v>363733.686236615</v>
      </c>
      <c r="V50" s="288">
        <v>980468.28921630816</v>
      </c>
      <c r="W50" s="289">
        <f t="shared" si="1"/>
        <v>81696601.833828807</v>
      </c>
      <c r="X50" s="280"/>
      <c r="Y50" s="287" t="s">
        <v>44</v>
      </c>
      <c r="Z50" s="288">
        <f t="shared" ref="Z50:AE57" si="10">N50-B50</f>
        <v>-119818.53437958658</v>
      </c>
      <c r="AA50" s="288">
        <f t="shared" si="10"/>
        <v>-16363.828275574371</v>
      </c>
      <c r="AB50" s="288">
        <f t="shared" si="10"/>
        <v>0</v>
      </c>
      <c r="AC50" s="288">
        <f t="shared" si="10"/>
        <v>-4023.4980276806746</v>
      </c>
      <c r="AD50" s="288">
        <f t="shared" si="10"/>
        <v>-6782.6106416350231</v>
      </c>
      <c r="AE50" s="288">
        <f t="shared" si="10"/>
        <v>150.98946596005408</v>
      </c>
      <c r="AF50" s="288">
        <f t="shared" si="8"/>
        <v>-3335.8111712706741</v>
      </c>
      <c r="AG50" s="288">
        <f t="shared" si="8"/>
        <v>-714.86816838179948</v>
      </c>
      <c r="AH50" s="288">
        <f t="shared" si="8"/>
        <v>19.521053561125882</v>
      </c>
      <c r="AI50" s="289">
        <f t="shared" si="3"/>
        <v>-150868.64014460793</v>
      </c>
      <c r="AJ50" s="280"/>
      <c r="AK50" s="287" t="s">
        <v>44</v>
      </c>
      <c r="AL50" s="288">
        <f t="shared" ref="AL50:AQ57" si="11">Z50/3</f>
        <v>-39939.511459862195</v>
      </c>
      <c r="AM50" s="288">
        <f t="shared" si="11"/>
        <v>-5454.6094251914574</v>
      </c>
      <c r="AN50" s="288">
        <f t="shared" si="11"/>
        <v>0</v>
      </c>
      <c r="AO50" s="288">
        <f t="shared" si="11"/>
        <v>-1341.1660092268914</v>
      </c>
      <c r="AP50" s="288">
        <f t="shared" si="11"/>
        <v>-2260.870213878341</v>
      </c>
      <c r="AQ50" s="288">
        <f t="shared" si="11"/>
        <v>50.329821986684692</v>
      </c>
      <c r="AR50" s="288">
        <f t="shared" si="9"/>
        <v>-1111.9370570902247</v>
      </c>
      <c r="AS50" s="288">
        <f t="shared" si="9"/>
        <v>-238.28938946059984</v>
      </c>
      <c r="AT50" s="288">
        <f t="shared" si="9"/>
        <v>6.5070178537086276</v>
      </c>
      <c r="AU50" s="289">
        <f t="shared" si="5"/>
        <v>-50289.546714869321</v>
      </c>
      <c r="AV50" s="281"/>
      <c r="AW50" s="281"/>
      <c r="AX50" s="281"/>
      <c r="AY50" s="281"/>
      <c r="AZ50" s="28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</row>
    <row r="51" spans="1:126">
      <c r="A51" s="287" t="s">
        <v>45</v>
      </c>
      <c r="B51" s="288">
        <v>52566808.41545248</v>
      </c>
      <c r="C51" s="288">
        <v>7179141.6107665366</v>
      </c>
      <c r="D51" s="288">
        <v>1852494.4821914104</v>
      </c>
      <c r="E51" s="288">
        <v>1765189.7603006379</v>
      </c>
      <c r="F51" s="288">
        <v>2975668.1301572239</v>
      </c>
      <c r="G51" s="288">
        <v>-66242.124984846247</v>
      </c>
      <c r="H51" s="288">
        <v>1463487.6620573138</v>
      </c>
      <c r="I51" s="288">
        <v>313627.0881980994</v>
      </c>
      <c r="J51" s="288">
        <v>1841571.4556644929</v>
      </c>
      <c r="K51" s="289">
        <f t="shared" si="0"/>
        <v>69891746.479803339</v>
      </c>
      <c r="L51" s="280"/>
      <c r="M51" s="287" t="s">
        <v>45</v>
      </c>
      <c r="N51" s="288">
        <v>52786864.686075591</v>
      </c>
      <c r="O51" s="288">
        <v>7209195.0832287529</v>
      </c>
      <c r="P51" s="288">
        <v>1852494.4821914111</v>
      </c>
      <c r="Q51" s="288">
        <v>1772579.2345202614</v>
      </c>
      <c r="R51" s="288">
        <v>2988124.9341952251</v>
      </c>
      <c r="S51" s="288">
        <v>-66519.429151138946</v>
      </c>
      <c r="T51" s="288">
        <v>1469614.1446558007</v>
      </c>
      <c r="U51" s="288">
        <v>314940.00046109629</v>
      </c>
      <c r="V51" s="288">
        <v>1841814.5362829282</v>
      </c>
      <c r="W51" s="289">
        <f t="shared" si="1"/>
        <v>70169107.67245993</v>
      </c>
      <c r="X51" s="280"/>
      <c r="Y51" s="287" t="s">
        <v>45</v>
      </c>
      <c r="Z51" s="288">
        <f t="shared" si="10"/>
        <v>220056.27062311023</v>
      </c>
      <c r="AA51" s="288">
        <f t="shared" si="10"/>
        <v>30053.472462216392</v>
      </c>
      <c r="AB51" s="288">
        <f t="shared" si="10"/>
        <v>0</v>
      </c>
      <c r="AC51" s="288">
        <f t="shared" si="10"/>
        <v>7389.4742196234874</v>
      </c>
      <c r="AD51" s="288">
        <f t="shared" si="10"/>
        <v>12456.804038001224</v>
      </c>
      <c r="AE51" s="288">
        <f t="shared" si="10"/>
        <v>-277.30416629269894</v>
      </c>
      <c r="AF51" s="288">
        <f t="shared" si="8"/>
        <v>6126.4825984868221</v>
      </c>
      <c r="AG51" s="288">
        <f t="shared" si="8"/>
        <v>1312.9122629968915</v>
      </c>
      <c r="AH51" s="288">
        <f t="shared" si="8"/>
        <v>243.08061843528412</v>
      </c>
      <c r="AI51" s="289">
        <f t="shared" si="3"/>
        <v>277361.19265657762</v>
      </c>
      <c r="AJ51" s="280"/>
      <c r="AK51" s="287" t="s">
        <v>45</v>
      </c>
      <c r="AL51" s="288">
        <f t="shared" si="11"/>
        <v>73352.090207703412</v>
      </c>
      <c r="AM51" s="288">
        <f t="shared" si="11"/>
        <v>10017.82415407213</v>
      </c>
      <c r="AN51" s="288">
        <f t="shared" si="11"/>
        <v>0</v>
      </c>
      <c r="AO51" s="288">
        <f t="shared" si="11"/>
        <v>2463.1580732078291</v>
      </c>
      <c r="AP51" s="288">
        <f t="shared" si="11"/>
        <v>4152.2680126670748</v>
      </c>
      <c r="AQ51" s="288">
        <f t="shared" si="11"/>
        <v>-92.434722097566308</v>
      </c>
      <c r="AR51" s="288">
        <f t="shared" si="9"/>
        <v>2042.160866162274</v>
      </c>
      <c r="AS51" s="288">
        <f t="shared" si="9"/>
        <v>437.63742099896382</v>
      </c>
      <c r="AT51" s="288">
        <f t="shared" si="9"/>
        <v>81.026872811761379</v>
      </c>
      <c r="AU51" s="289">
        <f t="shared" si="5"/>
        <v>92453.730885525889</v>
      </c>
      <c r="AV51" s="281"/>
      <c r="AW51" s="281"/>
      <c r="AX51" s="281"/>
      <c r="AY51" s="281"/>
      <c r="AZ51" s="28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</row>
    <row r="52" spans="1:126">
      <c r="A52" s="287" t="s">
        <v>46</v>
      </c>
      <c r="B52" s="288">
        <v>475653403.51928711</v>
      </c>
      <c r="C52" s="288">
        <v>64960823.082883507</v>
      </c>
      <c r="D52" s="288">
        <v>12954955.161184065</v>
      </c>
      <c r="E52" s="288">
        <v>15972408.115566317</v>
      </c>
      <c r="F52" s="288">
        <v>26925482.381713159</v>
      </c>
      <c r="G52" s="288">
        <v>-599395.1916648983</v>
      </c>
      <c r="H52" s="288">
        <v>13242441.541522559</v>
      </c>
      <c r="I52" s="288">
        <v>2837870.4439932765</v>
      </c>
      <c r="J52" s="288">
        <v>11510050.096665571</v>
      </c>
      <c r="K52" s="289">
        <f t="shared" si="0"/>
        <v>623458039.1511507</v>
      </c>
      <c r="L52" s="280"/>
      <c r="M52" s="287" t="s">
        <v>46</v>
      </c>
      <c r="N52" s="288">
        <v>474720406.32874131</v>
      </c>
      <c r="O52" s="288">
        <v>64833402.013290718</v>
      </c>
      <c r="P52" s="288">
        <v>12954955.161184067</v>
      </c>
      <c r="Q52" s="288">
        <v>15941078.134980004</v>
      </c>
      <c r="R52" s="288">
        <v>26872667.875960942</v>
      </c>
      <c r="S52" s="288">
        <v>-598219.47416616417</v>
      </c>
      <c r="T52" s="288">
        <v>13216466.40781639</v>
      </c>
      <c r="U52" s="288">
        <v>2832303.9429826899</v>
      </c>
      <c r="V52" s="288">
        <v>11510051.418965312</v>
      </c>
      <c r="W52" s="289">
        <f t="shared" si="1"/>
        <v>622283111.80975533</v>
      </c>
      <c r="X52" s="280"/>
      <c r="Y52" s="287" t="s">
        <v>46</v>
      </c>
      <c r="Z52" s="288">
        <f t="shared" si="10"/>
        <v>-932997.19054579735</v>
      </c>
      <c r="AA52" s="288">
        <f t="shared" si="10"/>
        <v>-127421.06959278882</v>
      </c>
      <c r="AB52" s="288">
        <f t="shared" si="10"/>
        <v>0</v>
      </c>
      <c r="AC52" s="288">
        <f t="shared" si="10"/>
        <v>-31329.980586312711</v>
      </c>
      <c r="AD52" s="288">
        <f t="shared" si="10"/>
        <v>-52814.505752217025</v>
      </c>
      <c r="AE52" s="288">
        <f t="shared" si="10"/>
        <v>1175.7174987341277</v>
      </c>
      <c r="AF52" s="288">
        <f t="shared" si="8"/>
        <v>-25975.133706169203</v>
      </c>
      <c r="AG52" s="288">
        <f t="shared" si="8"/>
        <v>-5566.5010105865076</v>
      </c>
      <c r="AH52" s="288">
        <f t="shared" si="8"/>
        <v>1.3222997412085533</v>
      </c>
      <c r="AI52" s="289">
        <f t="shared" si="3"/>
        <v>-1174927.3413953963</v>
      </c>
      <c r="AJ52" s="280"/>
      <c r="AK52" s="287" t="s">
        <v>46</v>
      </c>
      <c r="AL52" s="288">
        <f t="shared" si="11"/>
        <v>-310999.06351526576</v>
      </c>
      <c r="AM52" s="288">
        <f t="shared" si="11"/>
        <v>-42473.689864262938</v>
      </c>
      <c r="AN52" s="288">
        <f t="shared" si="11"/>
        <v>0</v>
      </c>
      <c r="AO52" s="288">
        <f t="shared" si="11"/>
        <v>-10443.326862104237</v>
      </c>
      <c r="AP52" s="288">
        <f t="shared" si="11"/>
        <v>-17604.835250739008</v>
      </c>
      <c r="AQ52" s="288">
        <f t="shared" si="11"/>
        <v>391.90583291137591</v>
      </c>
      <c r="AR52" s="288">
        <f t="shared" si="9"/>
        <v>-8658.3779020564016</v>
      </c>
      <c r="AS52" s="288">
        <f t="shared" si="9"/>
        <v>-1855.5003368621692</v>
      </c>
      <c r="AT52" s="288">
        <f t="shared" si="9"/>
        <v>0.4407665804028511</v>
      </c>
      <c r="AU52" s="289">
        <f t="shared" si="5"/>
        <v>-391642.44713179872</v>
      </c>
      <c r="AV52" s="281"/>
      <c r="AW52" s="281"/>
      <c r="AX52" s="281"/>
      <c r="AY52" s="281"/>
      <c r="AZ52" s="28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</row>
    <row r="53" spans="1:126">
      <c r="A53" s="287" t="s">
        <v>47</v>
      </c>
      <c r="B53" s="288">
        <v>919083597.60426188</v>
      </c>
      <c r="C53" s="288">
        <v>125520865.69886094</v>
      </c>
      <c r="D53" s="288">
        <v>21497505.951351851</v>
      </c>
      <c r="E53" s="288">
        <v>30862763.105747327</v>
      </c>
      <c r="F53" s="288">
        <v>52026894.018874921</v>
      </c>
      <c r="G53" s="288">
        <v>-1158184.2683476829</v>
      </c>
      <c r="H53" s="288">
        <v>25587771.94275488</v>
      </c>
      <c r="I53" s="288">
        <v>5483488.939429787</v>
      </c>
      <c r="J53" s="288">
        <v>8685181.4133043289</v>
      </c>
      <c r="K53" s="289">
        <f t="shared" si="0"/>
        <v>1187589884.4062381</v>
      </c>
      <c r="L53" s="280"/>
      <c r="M53" s="287" t="s">
        <v>47</v>
      </c>
      <c r="N53" s="288">
        <v>917280809.25438988</v>
      </c>
      <c r="O53" s="288">
        <v>125274655.71868327</v>
      </c>
      <c r="P53" s="288">
        <v>21497505.951351851</v>
      </c>
      <c r="Q53" s="288">
        <v>30802225.598694731</v>
      </c>
      <c r="R53" s="288">
        <v>51924842.933792189</v>
      </c>
      <c r="S53" s="288">
        <v>-1155912.4825042351</v>
      </c>
      <c r="T53" s="288">
        <v>25537581.364576984</v>
      </c>
      <c r="U53" s="288">
        <v>5472733.0408342462</v>
      </c>
      <c r="V53" s="288">
        <v>8685156.1750977878</v>
      </c>
      <c r="W53" s="289">
        <f t="shared" si="1"/>
        <v>1185319597.5549166</v>
      </c>
      <c r="X53" s="280"/>
      <c r="Y53" s="287" t="s">
        <v>47</v>
      </c>
      <c r="Z53" s="288">
        <f t="shared" si="10"/>
        <v>-1802788.3498719931</v>
      </c>
      <c r="AA53" s="288">
        <f t="shared" si="10"/>
        <v>-246209.98017767072</v>
      </c>
      <c r="AB53" s="288">
        <f t="shared" si="10"/>
        <v>0</v>
      </c>
      <c r="AC53" s="288">
        <f t="shared" si="10"/>
        <v>-60537.507052596658</v>
      </c>
      <c r="AD53" s="288">
        <f t="shared" si="10"/>
        <v>-102051.08508273214</v>
      </c>
      <c r="AE53" s="288">
        <f t="shared" si="10"/>
        <v>2271.7858434477821</v>
      </c>
      <c r="AF53" s="288">
        <f t="shared" si="8"/>
        <v>-50190.578177895397</v>
      </c>
      <c r="AG53" s="288">
        <f t="shared" si="8"/>
        <v>-10755.898595540784</v>
      </c>
      <c r="AH53" s="288">
        <f t="shared" si="8"/>
        <v>-25.238206541165709</v>
      </c>
      <c r="AI53" s="289">
        <f t="shared" si="3"/>
        <v>-2270286.8513215221</v>
      </c>
      <c r="AJ53" s="280"/>
      <c r="AK53" s="287" t="s">
        <v>47</v>
      </c>
      <c r="AL53" s="288">
        <f t="shared" si="11"/>
        <v>-600929.44995733106</v>
      </c>
      <c r="AM53" s="288">
        <f t="shared" si="11"/>
        <v>-82069.993392556906</v>
      </c>
      <c r="AN53" s="288">
        <f t="shared" si="11"/>
        <v>0</v>
      </c>
      <c r="AO53" s="288">
        <f t="shared" si="11"/>
        <v>-20179.169017532218</v>
      </c>
      <c r="AP53" s="288">
        <f t="shared" si="11"/>
        <v>-34017.028360910714</v>
      </c>
      <c r="AQ53" s="288">
        <f t="shared" si="11"/>
        <v>757.26194781592733</v>
      </c>
      <c r="AR53" s="288">
        <f t="shared" si="9"/>
        <v>-16730.192725965131</v>
      </c>
      <c r="AS53" s="288">
        <f t="shared" si="9"/>
        <v>-3585.2995318469279</v>
      </c>
      <c r="AT53" s="288">
        <f t="shared" si="9"/>
        <v>-8.4127355137219038</v>
      </c>
      <c r="AU53" s="289">
        <f t="shared" si="5"/>
        <v>-756762.28377384087</v>
      </c>
      <c r="AV53" s="281"/>
      <c r="AW53" s="281"/>
      <c r="AX53" s="281"/>
      <c r="AY53" s="281"/>
      <c r="AZ53" s="28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</row>
    <row r="54" spans="1:126">
      <c r="A54" s="287" t="s">
        <v>48</v>
      </c>
      <c r="B54" s="288">
        <v>247660697.72217745</v>
      </c>
      <c r="C54" s="288">
        <v>33823457.690577634</v>
      </c>
      <c r="D54" s="288">
        <v>6243948.2164898301</v>
      </c>
      <c r="E54" s="288">
        <v>8316428.9563295934</v>
      </c>
      <c r="F54" s="288">
        <v>14019417.718496114</v>
      </c>
      <c r="G54" s="288">
        <v>-312089.91732364986</v>
      </c>
      <c r="H54" s="288">
        <v>6895004.4033178855</v>
      </c>
      <c r="I54" s="288">
        <v>1477607.3691566079</v>
      </c>
      <c r="J54" s="288">
        <v>7529518.9580657864</v>
      </c>
      <c r="K54" s="289">
        <f t="shared" si="0"/>
        <v>325653991.11728722</v>
      </c>
      <c r="L54" s="280"/>
      <c r="M54" s="287" t="s">
        <v>48</v>
      </c>
      <c r="N54" s="288">
        <v>247174909.68098232</v>
      </c>
      <c r="O54" s="288">
        <v>33757112.762177311</v>
      </c>
      <c r="P54" s="288">
        <v>6243948.216489831</v>
      </c>
      <c r="Q54" s="288">
        <v>8300116.2277877172</v>
      </c>
      <c r="R54" s="288">
        <v>13991918.54105374</v>
      </c>
      <c r="S54" s="288">
        <v>-311477.75095648773</v>
      </c>
      <c r="T54" s="288">
        <v>6881479.8081199955</v>
      </c>
      <c r="U54" s="288">
        <v>1474709.0328597308</v>
      </c>
      <c r="V54" s="288">
        <v>7530220.9637981746</v>
      </c>
      <c r="W54" s="289">
        <f t="shared" si="1"/>
        <v>325042937.48231238</v>
      </c>
      <c r="X54" s="280"/>
      <c r="Y54" s="287" t="s">
        <v>48</v>
      </c>
      <c r="Z54" s="288">
        <f t="shared" si="10"/>
        <v>-485788.04119512439</v>
      </c>
      <c r="AA54" s="288">
        <f t="shared" si="10"/>
        <v>-66344.928400322795</v>
      </c>
      <c r="AB54" s="288">
        <f t="shared" si="10"/>
        <v>0</v>
      </c>
      <c r="AC54" s="288">
        <f t="shared" si="10"/>
        <v>-16312.728541876189</v>
      </c>
      <c r="AD54" s="288">
        <f t="shared" si="10"/>
        <v>-27499.177442373708</v>
      </c>
      <c r="AE54" s="288">
        <f t="shared" si="10"/>
        <v>612.16636716213543</v>
      </c>
      <c r="AF54" s="288">
        <f t="shared" si="8"/>
        <v>-13524.595197889954</v>
      </c>
      <c r="AG54" s="288">
        <f t="shared" si="8"/>
        <v>-2898.3362968771253</v>
      </c>
      <c r="AH54" s="288">
        <f t="shared" si="8"/>
        <v>702.00573238823563</v>
      </c>
      <c r="AI54" s="289">
        <f t="shared" si="3"/>
        <v>-611053.63497491379</v>
      </c>
      <c r="AJ54" s="280"/>
      <c r="AK54" s="287" t="s">
        <v>48</v>
      </c>
      <c r="AL54" s="288">
        <f t="shared" si="11"/>
        <v>-161929.34706504145</v>
      </c>
      <c r="AM54" s="288">
        <f t="shared" si="11"/>
        <v>-22114.97613344093</v>
      </c>
      <c r="AN54" s="288">
        <f t="shared" si="11"/>
        <v>0</v>
      </c>
      <c r="AO54" s="288">
        <f t="shared" si="11"/>
        <v>-5437.5761806253968</v>
      </c>
      <c r="AP54" s="288">
        <f t="shared" si="11"/>
        <v>-9166.3924807912354</v>
      </c>
      <c r="AQ54" s="288">
        <f t="shared" si="11"/>
        <v>204.05545572071182</v>
      </c>
      <c r="AR54" s="288">
        <f t="shared" si="9"/>
        <v>-4508.1983992966516</v>
      </c>
      <c r="AS54" s="288">
        <f t="shared" si="9"/>
        <v>-966.11209895904176</v>
      </c>
      <c r="AT54" s="288">
        <f t="shared" si="9"/>
        <v>234.00191079607853</v>
      </c>
      <c r="AU54" s="289">
        <f t="shared" si="5"/>
        <v>-203684.5449916379</v>
      </c>
      <c r="AV54" s="281"/>
      <c r="AW54" s="281"/>
      <c r="AX54" s="281"/>
      <c r="AY54" s="281"/>
      <c r="AZ54" s="28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</row>
    <row r="55" spans="1:126">
      <c r="A55" s="287" t="s">
        <v>49</v>
      </c>
      <c r="B55" s="288">
        <v>78941066.083106354</v>
      </c>
      <c r="C55" s="288">
        <v>10781120.433191542</v>
      </c>
      <c r="D55" s="288">
        <v>8551977.2512951046</v>
      </c>
      <c r="E55" s="288">
        <v>2650835.493298721</v>
      </c>
      <c r="F55" s="288">
        <v>4468645.1695454903</v>
      </c>
      <c r="G55" s="288">
        <v>-99477.676570848489</v>
      </c>
      <c r="H55" s="288">
        <v>2197760.901312707</v>
      </c>
      <c r="I55" s="288">
        <v>470982.68738758995</v>
      </c>
      <c r="J55" s="288">
        <v>1722870.8216332747</v>
      </c>
      <c r="K55" s="289">
        <f t="shared" si="0"/>
        <v>109685781.16419993</v>
      </c>
      <c r="L55" s="280"/>
      <c r="M55" s="287" t="s">
        <v>49</v>
      </c>
      <c r="N55" s="288">
        <v>79956792.625253797</v>
      </c>
      <c r="O55" s="288">
        <v>10919839.996043053</v>
      </c>
      <c r="P55" s="288">
        <v>8551977.2512951065</v>
      </c>
      <c r="Q55" s="288">
        <v>2684943.5197418332</v>
      </c>
      <c r="R55" s="288">
        <v>4526142.7653008848</v>
      </c>
      <c r="S55" s="288">
        <v>-100757.6455585715</v>
      </c>
      <c r="T55" s="288">
        <v>2226039.2637863918</v>
      </c>
      <c r="U55" s="288">
        <v>477042.77297052188</v>
      </c>
      <c r="V55" s="288">
        <v>1722725.8668079441</v>
      </c>
      <c r="W55" s="289">
        <f t="shared" si="1"/>
        <v>110964746.41564097</v>
      </c>
      <c r="X55" s="280"/>
      <c r="Y55" s="287" t="s">
        <v>49</v>
      </c>
      <c r="Z55" s="288">
        <f t="shared" si="10"/>
        <v>1015726.5421474427</v>
      </c>
      <c r="AA55" s="288">
        <f t="shared" si="10"/>
        <v>138719.56285151094</v>
      </c>
      <c r="AB55" s="288">
        <f t="shared" si="10"/>
        <v>0</v>
      </c>
      <c r="AC55" s="288">
        <f t="shared" si="10"/>
        <v>34108.026443112176</v>
      </c>
      <c r="AD55" s="288">
        <f t="shared" si="10"/>
        <v>57497.595755394548</v>
      </c>
      <c r="AE55" s="288">
        <f t="shared" si="10"/>
        <v>-1279.9689877230121</v>
      </c>
      <c r="AF55" s="288">
        <f t="shared" si="8"/>
        <v>28278.362473684829</v>
      </c>
      <c r="AG55" s="288">
        <f t="shared" si="8"/>
        <v>6060.0855829319335</v>
      </c>
      <c r="AH55" s="288">
        <f t="shared" si="8"/>
        <v>-144.95482533052564</v>
      </c>
      <c r="AI55" s="289">
        <f t="shared" si="3"/>
        <v>1278965.2514410235</v>
      </c>
      <c r="AJ55" s="280"/>
      <c r="AK55" s="287" t="s">
        <v>49</v>
      </c>
      <c r="AL55" s="288">
        <f t="shared" si="11"/>
        <v>338575.51404914755</v>
      </c>
      <c r="AM55" s="288">
        <f t="shared" si="11"/>
        <v>46239.854283836983</v>
      </c>
      <c r="AN55" s="288">
        <f t="shared" si="11"/>
        <v>0</v>
      </c>
      <c r="AO55" s="288">
        <f t="shared" si="11"/>
        <v>11369.342147704059</v>
      </c>
      <c r="AP55" s="288">
        <f t="shared" si="11"/>
        <v>19165.865251798183</v>
      </c>
      <c r="AQ55" s="288">
        <f t="shared" si="11"/>
        <v>-426.65632924100402</v>
      </c>
      <c r="AR55" s="288">
        <f t="shared" si="9"/>
        <v>9426.120824561609</v>
      </c>
      <c r="AS55" s="288">
        <f t="shared" si="9"/>
        <v>2020.0285276439779</v>
      </c>
      <c r="AT55" s="288">
        <f t="shared" si="9"/>
        <v>-48.318275110175215</v>
      </c>
      <c r="AU55" s="289">
        <f t="shared" si="5"/>
        <v>426321.7504803412</v>
      </c>
      <c r="AV55" s="281"/>
      <c r="AW55" s="281"/>
      <c r="AX55" s="281"/>
      <c r="AY55" s="281"/>
      <c r="AZ55" s="28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</row>
    <row r="56" spans="1:126">
      <c r="A56" s="287" t="s">
        <v>50</v>
      </c>
      <c r="B56" s="288">
        <v>15861309.273314588</v>
      </c>
      <c r="C56" s="288">
        <v>2166206.9438443715</v>
      </c>
      <c r="D56" s="288">
        <v>5602738.7485500965</v>
      </c>
      <c r="E56" s="288">
        <v>532621.65914539597</v>
      </c>
      <c r="F56" s="288">
        <v>897866.80854101817</v>
      </c>
      <c r="G56" s="288">
        <v>-19987.647395335247</v>
      </c>
      <c r="H56" s="288">
        <v>441587.21302066982</v>
      </c>
      <c r="I56" s="288">
        <v>94632.647336771857</v>
      </c>
      <c r="J56" s="288">
        <v>211134.96679663489</v>
      </c>
      <c r="K56" s="289">
        <f t="shared" si="0"/>
        <v>25788110.613154214</v>
      </c>
      <c r="L56" s="280"/>
      <c r="M56" s="287" t="s">
        <v>50</v>
      </c>
      <c r="N56" s="288">
        <v>16102991.257057657</v>
      </c>
      <c r="O56" s="288">
        <v>2199213.8780365642</v>
      </c>
      <c r="P56" s="288">
        <v>5602738.7485500984</v>
      </c>
      <c r="Q56" s="288">
        <v>540737.32330329472</v>
      </c>
      <c r="R56" s="288">
        <v>911547.78705836763</v>
      </c>
      <c r="S56" s="288">
        <v>-20292.203229259296</v>
      </c>
      <c r="T56" s="288">
        <v>448315.76687454141</v>
      </c>
      <c r="U56" s="288">
        <v>96074.584161854014</v>
      </c>
      <c r="V56" s="288">
        <v>211143.23688495002</v>
      </c>
      <c r="W56" s="289">
        <f t="shared" si="1"/>
        <v>26092470.37869807</v>
      </c>
      <c r="X56" s="280"/>
      <c r="Y56" s="287" t="s">
        <v>50</v>
      </c>
      <c r="Z56" s="288">
        <f t="shared" si="10"/>
        <v>241681.98374306969</v>
      </c>
      <c r="AA56" s="288">
        <f t="shared" si="10"/>
        <v>33006.934192192741</v>
      </c>
      <c r="AB56" s="288">
        <f t="shared" si="10"/>
        <v>0</v>
      </c>
      <c r="AC56" s="288">
        <f t="shared" si="10"/>
        <v>8115.6641578987474</v>
      </c>
      <c r="AD56" s="288">
        <f t="shared" si="10"/>
        <v>13680.97851734946</v>
      </c>
      <c r="AE56" s="288">
        <f t="shared" si="10"/>
        <v>-304.55583392404878</v>
      </c>
      <c r="AF56" s="288">
        <f t="shared" si="8"/>
        <v>6728.5538538715919</v>
      </c>
      <c r="AG56" s="288">
        <f t="shared" si="8"/>
        <v>1441.9368250821572</v>
      </c>
      <c r="AH56" s="288">
        <f t="shared" si="8"/>
        <v>8.2700883151264861</v>
      </c>
      <c r="AI56" s="289">
        <f t="shared" si="3"/>
        <v>304359.76554385549</v>
      </c>
      <c r="AJ56" s="280"/>
      <c r="AK56" s="287" t="s">
        <v>50</v>
      </c>
      <c r="AL56" s="288">
        <f t="shared" si="11"/>
        <v>80560.661247689903</v>
      </c>
      <c r="AM56" s="288">
        <f t="shared" si="11"/>
        <v>11002.31139739758</v>
      </c>
      <c r="AN56" s="288">
        <f t="shared" si="11"/>
        <v>0</v>
      </c>
      <c r="AO56" s="288">
        <f t="shared" si="11"/>
        <v>2705.2213859662493</v>
      </c>
      <c r="AP56" s="288">
        <f t="shared" si="11"/>
        <v>4560.3261724498198</v>
      </c>
      <c r="AQ56" s="288">
        <f t="shared" si="11"/>
        <v>-101.51861130801626</v>
      </c>
      <c r="AR56" s="288">
        <f t="shared" si="9"/>
        <v>2242.8512846238641</v>
      </c>
      <c r="AS56" s="288">
        <f t="shared" si="9"/>
        <v>480.64560836071905</v>
      </c>
      <c r="AT56" s="288">
        <f t="shared" si="9"/>
        <v>2.7566961050421619</v>
      </c>
      <c r="AU56" s="289">
        <f t="shared" si="5"/>
        <v>101453.25518128516</v>
      </c>
      <c r="AV56" s="281"/>
      <c r="AW56" s="281"/>
      <c r="AX56" s="281"/>
      <c r="AY56" s="281"/>
      <c r="AZ56" s="28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</row>
    <row r="57" spans="1:126" ht="13.5" thickBot="1">
      <c r="A57" s="287" t="s">
        <v>51</v>
      </c>
      <c r="B57" s="288">
        <v>21852302.082097881</v>
      </c>
      <c r="C57" s="288">
        <v>2984407.3836240862</v>
      </c>
      <c r="D57" s="288">
        <v>4723182.2882476561</v>
      </c>
      <c r="E57" s="288">
        <v>733798.77982047084</v>
      </c>
      <c r="F57" s="288">
        <v>1237001.0817919902</v>
      </c>
      <c r="G57" s="288">
        <v>-27537.203976481589</v>
      </c>
      <c r="H57" s="288">
        <v>608379.61155919486</v>
      </c>
      <c r="I57" s="288">
        <v>130376.4500646188</v>
      </c>
      <c r="J57" s="288">
        <v>185012.87446526028</v>
      </c>
      <c r="K57" s="289">
        <f t="shared" si="0"/>
        <v>32426923.347694673</v>
      </c>
      <c r="L57" s="280"/>
      <c r="M57" s="287" t="s">
        <v>51</v>
      </c>
      <c r="N57" s="288">
        <v>21809438.651922237</v>
      </c>
      <c r="O57" s="288">
        <v>2978553.4494700069</v>
      </c>
      <c r="P57" s="288">
        <v>4723182.288247657</v>
      </c>
      <c r="Q57" s="288">
        <v>732359.42882469774</v>
      </c>
      <c r="R57" s="288">
        <v>1234574.6962653128</v>
      </c>
      <c r="S57" s="288">
        <v>-27483.18957491218</v>
      </c>
      <c r="T57" s="288">
        <v>607186.27106342558</v>
      </c>
      <c r="U57" s="288">
        <v>130120.71582467931</v>
      </c>
      <c r="V57" s="288">
        <v>185023.80527563865</v>
      </c>
      <c r="W57" s="289">
        <f t="shared" si="1"/>
        <v>32372956.117318738</v>
      </c>
      <c r="X57" s="280"/>
      <c r="Y57" s="287" t="s">
        <v>51</v>
      </c>
      <c r="Z57" s="288">
        <f t="shared" si="10"/>
        <v>-42863.430175643414</v>
      </c>
      <c r="AA57" s="288">
        <f t="shared" si="10"/>
        <v>-5853.9341540792957</v>
      </c>
      <c r="AB57" s="288">
        <f t="shared" si="10"/>
        <v>0</v>
      </c>
      <c r="AC57" s="288">
        <f t="shared" si="10"/>
        <v>-1439.3509957731003</v>
      </c>
      <c r="AD57" s="288">
        <f t="shared" si="10"/>
        <v>-2426.3855266773608</v>
      </c>
      <c r="AE57" s="288">
        <f t="shared" si="10"/>
        <v>54.014401569409529</v>
      </c>
      <c r="AF57" s="288">
        <f t="shared" si="8"/>
        <v>-1193.3404957692837</v>
      </c>
      <c r="AG57" s="288">
        <f t="shared" si="8"/>
        <v>-255.73423993948381</v>
      </c>
      <c r="AH57" s="288">
        <f t="shared" si="8"/>
        <v>10.930810378369642</v>
      </c>
      <c r="AI57" s="289">
        <f t="shared" si="3"/>
        <v>-53967.230375934159</v>
      </c>
      <c r="AJ57" s="280"/>
      <c r="AK57" s="287" t="s">
        <v>51</v>
      </c>
      <c r="AL57" s="288">
        <f t="shared" si="11"/>
        <v>-14287.810058547804</v>
      </c>
      <c r="AM57" s="288">
        <f t="shared" si="11"/>
        <v>-1951.3113846930985</v>
      </c>
      <c r="AN57" s="288">
        <f t="shared" si="11"/>
        <v>0</v>
      </c>
      <c r="AO57" s="288">
        <f t="shared" si="11"/>
        <v>-479.78366525770008</v>
      </c>
      <c r="AP57" s="288">
        <f t="shared" si="11"/>
        <v>-808.79517555912025</v>
      </c>
      <c r="AQ57" s="288">
        <f t="shared" si="11"/>
        <v>18.00480052313651</v>
      </c>
      <c r="AR57" s="288">
        <f t="shared" si="9"/>
        <v>-397.78016525642789</v>
      </c>
      <c r="AS57" s="288">
        <f t="shared" si="9"/>
        <v>-85.244746646494605</v>
      </c>
      <c r="AT57" s="288">
        <f t="shared" si="9"/>
        <v>3.6436034594565476</v>
      </c>
      <c r="AU57" s="289">
        <f t="shared" si="5"/>
        <v>-17989.076791978052</v>
      </c>
      <c r="AV57" s="281"/>
      <c r="AW57" s="281"/>
      <c r="AX57" s="281"/>
      <c r="AY57" s="281"/>
      <c r="AZ57" s="28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</row>
    <row r="58" spans="1:126" ht="14.25" thickTop="1" thickBot="1">
      <c r="A58" s="290" t="s">
        <v>52</v>
      </c>
      <c r="B58" s="291">
        <f t="shared" ref="B58:I58" si="12">SUM(B7:B57)</f>
        <v>6575127028.5240002</v>
      </c>
      <c r="C58" s="291">
        <f t="shared" si="12"/>
        <v>897976679.00028718</v>
      </c>
      <c r="D58" s="291">
        <f t="shared" si="12"/>
        <v>249623807.9999198</v>
      </c>
      <c r="E58" s="291">
        <f t="shared" si="12"/>
        <v>220792307.03332442</v>
      </c>
      <c r="F58" s="291">
        <f t="shared" si="12"/>
        <v>372200568.00638509</v>
      </c>
      <c r="G58" s="291">
        <f t="shared" si="12"/>
        <v>-8285654.0000000009</v>
      </c>
      <c r="H58" s="291">
        <f t="shared" si="12"/>
        <v>183055003.20000005</v>
      </c>
      <c r="I58" s="291">
        <f t="shared" si="12"/>
        <v>39228897.600000016</v>
      </c>
      <c r="J58" s="291">
        <f>SUM(J7:J57)</f>
        <v>153149123.20000002</v>
      </c>
      <c r="K58" s="292">
        <f>SUM(K7:K57)</f>
        <v>8682867760.5639172</v>
      </c>
      <c r="L58" s="280"/>
      <c r="M58" s="290" t="s">
        <v>52</v>
      </c>
      <c r="N58" s="291">
        <f t="shared" ref="N58:U58" si="13">SUM(N7:N57)</f>
        <v>6575127028.5240002</v>
      </c>
      <c r="O58" s="291">
        <f t="shared" si="13"/>
        <v>897976679.00028753</v>
      </c>
      <c r="P58" s="291">
        <f t="shared" si="13"/>
        <v>249623807.99991986</v>
      </c>
      <c r="Q58" s="291">
        <f t="shared" si="13"/>
        <v>220792307.03332436</v>
      </c>
      <c r="R58" s="291">
        <f t="shared" si="13"/>
        <v>372200568.00638497</v>
      </c>
      <c r="S58" s="291">
        <f t="shared" si="13"/>
        <v>-8285653.9999999991</v>
      </c>
      <c r="T58" s="291">
        <f t="shared" si="13"/>
        <v>183055003.20000002</v>
      </c>
      <c r="U58" s="291">
        <f t="shared" si="13"/>
        <v>39228897.600000001</v>
      </c>
      <c r="V58" s="291">
        <f>SUM(V7:V57)</f>
        <v>153149123.20000005</v>
      </c>
      <c r="W58" s="292">
        <f>SUM(W7:W57)</f>
        <v>8682867760.5639172</v>
      </c>
      <c r="X58" s="280"/>
      <c r="Y58" s="290" t="s">
        <v>52</v>
      </c>
      <c r="Z58" s="291">
        <f t="shared" ref="Z58:AG58" si="14">SUM(Z7:Z57)</f>
        <v>-4.8242509365081787E-7</v>
      </c>
      <c r="AA58" s="291">
        <f t="shared" si="14"/>
        <v>-7.3574483394622803E-8</v>
      </c>
      <c r="AB58" s="291">
        <f t="shared" si="14"/>
        <v>0</v>
      </c>
      <c r="AC58" s="291">
        <f t="shared" si="14"/>
        <v>3.5768607631325722E-8</v>
      </c>
      <c r="AD58" s="291">
        <f t="shared" si="14"/>
        <v>-2.986053004860878E-8</v>
      </c>
      <c r="AE58" s="291">
        <f t="shared" si="14"/>
        <v>2.1555024432018399E-9</v>
      </c>
      <c r="AF58" s="291">
        <f t="shared" si="14"/>
        <v>-5.0931703299283981E-9</v>
      </c>
      <c r="AG58" s="291">
        <f t="shared" si="14"/>
        <v>-4.6493369154632092E-9</v>
      </c>
      <c r="AH58" s="291">
        <f>SUM(AH7:AH57)</f>
        <v>2.5407643988728523E-8</v>
      </c>
      <c r="AI58" s="292">
        <f>SUM(AI7:AI57)</f>
        <v>-5.3248368203639984E-7</v>
      </c>
      <c r="AJ58" s="280"/>
      <c r="AK58" s="290" t="s">
        <v>52</v>
      </c>
      <c r="AL58" s="291">
        <f t="shared" ref="AL58:AS58" si="15">SUM(AL7:AL57)</f>
        <v>-1.6058947949204594E-7</v>
      </c>
      <c r="AM58" s="291">
        <f t="shared" si="15"/>
        <v>-2.4537484932807274E-8</v>
      </c>
      <c r="AN58" s="291">
        <f t="shared" si="15"/>
        <v>0</v>
      </c>
      <c r="AO58" s="291">
        <f t="shared" si="15"/>
        <v>1.1930922028113855E-8</v>
      </c>
      <c r="AP58" s="291">
        <f t="shared" si="15"/>
        <v>-9.9562385003082454E-9</v>
      </c>
      <c r="AQ58" s="291">
        <f t="shared" si="15"/>
        <v>7.1833028414403088E-10</v>
      </c>
      <c r="AR58" s="291">
        <f t="shared" si="15"/>
        <v>-1.6787566892162431E-9</v>
      </c>
      <c r="AS58" s="291">
        <f t="shared" si="15"/>
        <v>-1.5513705875491723E-9</v>
      </c>
      <c r="AT58" s="291">
        <f>SUM(AT7:AT57)</f>
        <v>8.4693070334651566E-9</v>
      </c>
      <c r="AU58" s="292">
        <f>SUM(AU7:AU57)</f>
        <v>-1.7759521142579615E-7</v>
      </c>
      <c r="AV58" s="281"/>
      <c r="AW58" s="281"/>
      <c r="AX58" s="281"/>
      <c r="AY58" s="281"/>
      <c r="AZ58" s="28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</row>
    <row r="59" spans="1:126" ht="13.5" thickTop="1">
      <c r="A59" s="280"/>
      <c r="B59" s="280"/>
      <c r="C59" s="280"/>
      <c r="D59" s="280"/>
      <c r="E59" s="280"/>
      <c r="F59" s="280"/>
      <c r="G59" s="280"/>
      <c r="H59" s="280"/>
      <c r="I59" s="280"/>
      <c r="J59" s="280"/>
      <c r="K59" s="454">
        <f>K58-J58-D58</f>
        <v>8280094829.3639975</v>
      </c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  <c r="AE59" s="280"/>
      <c r="AF59" s="280"/>
      <c r="AG59" s="280"/>
      <c r="AH59" s="280"/>
      <c r="AI59" s="280"/>
      <c r="AJ59" s="280"/>
      <c r="AK59" s="280"/>
      <c r="AL59" s="280"/>
      <c r="AM59" s="280"/>
      <c r="AN59" s="280"/>
      <c r="AO59" s="280"/>
      <c r="AP59" s="280"/>
      <c r="AQ59" s="280"/>
      <c r="AR59" s="280"/>
      <c r="AS59" s="280"/>
      <c r="AT59" s="280"/>
      <c r="AU59" s="280"/>
      <c r="AV59" s="281"/>
      <c r="AW59" s="281"/>
      <c r="AX59" s="281"/>
      <c r="AY59" s="281"/>
      <c r="AZ59" s="28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</row>
    <row r="60" spans="1:126">
      <c r="A60" s="280"/>
      <c r="B60" s="280"/>
      <c r="C60" s="280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  <c r="AE60" s="280"/>
      <c r="AF60" s="280"/>
      <c r="AG60" s="280"/>
      <c r="AH60" s="280"/>
      <c r="AI60" s="280"/>
      <c r="AJ60" s="280"/>
      <c r="AK60" s="280"/>
      <c r="AL60" s="280"/>
      <c r="AM60" s="280"/>
      <c r="AN60" s="280"/>
      <c r="AO60" s="280"/>
      <c r="AP60" s="280"/>
      <c r="AQ60" s="280"/>
      <c r="AR60" s="280"/>
      <c r="AS60" s="280"/>
      <c r="AT60" s="280"/>
      <c r="AU60" s="280"/>
      <c r="AV60" s="281"/>
      <c r="AW60" s="281"/>
      <c r="AX60" s="281"/>
      <c r="AY60" s="281"/>
      <c r="AZ60" s="28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</row>
    <row r="61" spans="1:126">
      <c r="A61" s="280"/>
      <c r="B61" s="280"/>
      <c r="C61" s="280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  <c r="AF61" s="280"/>
      <c r="AG61" s="280"/>
      <c r="AH61" s="280"/>
      <c r="AI61" s="280"/>
      <c r="AJ61" s="280"/>
      <c r="AK61" s="280"/>
      <c r="AL61" s="280"/>
      <c r="AM61" s="280"/>
      <c r="AN61" s="280"/>
      <c r="AO61" s="280"/>
      <c r="AP61" s="280"/>
      <c r="AQ61" s="280"/>
      <c r="AR61" s="280"/>
      <c r="AS61" s="280"/>
      <c r="AT61" s="280"/>
      <c r="AU61" s="280"/>
      <c r="AV61" s="281"/>
      <c r="AW61" s="281"/>
      <c r="AX61" s="281"/>
      <c r="AY61" s="281"/>
      <c r="AZ61" s="28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</row>
    <row r="62" spans="1:126">
      <c r="A62" s="280"/>
      <c r="B62" s="280"/>
      <c r="C62" s="280"/>
      <c r="D62" s="280"/>
      <c r="E62" s="280"/>
      <c r="F62" s="280"/>
      <c r="G62" s="280"/>
      <c r="H62" s="280"/>
      <c r="I62" s="280"/>
      <c r="J62" s="280"/>
      <c r="K62" s="280"/>
      <c r="L62" s="280"/>
      <c r="M62" s="494"/>
      <c r="N62" s="494"/>
      <c r="O62" s="494"/>
      <c r="P62" s="494"/>
      <c r="Q62" s="494"/>
      <c r="R62" s="494"/>
      <c r="S62" s="494"/>
      <c r="T62" s="494"/>
      <c r="U62" s="494"/>
      <c r="V62" s="494"/>
      <c r="W62" s="494"/>
      <c r="X62" s="455"/>
      <c r="Y62" s="280"/>
      <c r="Z62" s="280"/>
      <c r="AA62" s="280"/>
      <c r="AB62" s="280"/>
      <c r="AC62" s="280"/>
      <c r="AD62" s="280"/>
      <c r="AE62" s="280"/>
      <c r="AF62" s="280"/>
      <c r="AG62" s="280"/>
      <c r="AH62" s="280"/>
      <c r="AI62" s="280"/>
      <c r="AJ62" s="280"/>
      <c r="AK62" s="280"/>
      <c r="AL62" s="280"/>
      <c r="AM62" s="280"/>
      <c r="AN62" s="280"/>
      <c r="AO62" s="280"/>
      <c r="AP62" s="280"/>
      <c r="AQ62" s="280"/>
      <c r="AR62" s="280"/>
      <c r="AS62" s="280"/>
      <c r="AT62" s="280"/>
      <c r="AU62" s="280"/>
      <c r="AV62" s="281"/>
      <c r="AW62" s="281"/>
      <c r="AX62" s="281"/>
      <c r="AY62" s="281"/>
      <c r="AZ62" s="28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</row>
    <row r="63" spans="1:126">
      <c r="A63" s="280"/>
      <c r="B63" s="280"/>
      <c r="C63" s="280"/>
      <c r="D63" s="280"/>
      <c r="E63" s="280"/>
      <c r="F63" s="280"/>
      <c r="G63" s="280"/>
      <c r="H63" s="280"/>
      <c r="I63" s="280"/>
      <c r="J63" s="280"/>
      <c r="K63" s="280"/>
      <c r="L63" s="280"/>
      <c r="M63" s="494"/>
      <c r="N63" s="494"/>
      <c r="O63" s="494"/>
      <c r="P63" s="494"/>
      <c r="Q63" s="494"/>
      <c r="R63" s="494"/>
      <c r="S63" s="494"/>
      <c r="T63" s="494"/>
      <c r="U63" s="494"/>
      <c r="V63" s="494"/>
      <c r="W63" s="494"/>
      <c r="X63" s="455"/>
      <c r="Y63" s="280"/>
      <c r="Z63" s="280"/>
      <c r="AA63" s="280"/>
      <c r="AB63" s="280"/>
      <c r="AC63" s="280"/>
      <c r="AD63" s="280"/>
      <c r="AE63" s="280"/>
      <c r="AF63" s="280"/>
      <c r="AG63" s="280"/>
      <c r="AH63" s="280"/>
      <c r="AI63" s="280"/>
      <c r="AJ63" s="280"/>
      <c r="AK63" s="280"/>
      <c r="AL63" s="280"/>
      <c r="AM63" s="280"/>
      <c r="AN63" s="280"/>
      <c r="AO63" s="280"/>
      <c r="AP63" s="280"/>
      <c r="AQ63" s="280"/>
      <c r="AR63" s="280"/>
      <c r="AS63" s="280"/>
      <c r="AT63" s="280"/>
      <c r="AU63" s="280"/>
      <c r="AV63" s="281"/>
      <c r="AW63" s="281"/>
      <c r="AX63" s="281"/>
      <c r="AY63" s="281"/>
      <c r="AZ63" s="28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</row>
    <row r="64" spans="1:126">
      <c r="A64" s="280"/>
      <c r="B64" s="280"/>
      <c r="C64" s="280"/>
      <c r="D64" s="280"/>
      <c r="E64" s="280"/>
      <c r="F64" s="280"/>
      <c r="G64" s="280"/>
      <c r="H64" s="280"/>
      <c r="I64" s="280"/>
      <c r="J64" s="280"/>
      <c r="K64" s="280"/>
      <c r="L64" s="280"/>
      <c r="M64" s="494"/>
      <c r="N64" s="494"/>
      <c r="O64" s="494"/>
      <c r="P64" s="494"/>
      <c r="Q64" s="494"/>
      <c r="R64" s="494"/>
      <c r="S64" s="494"/>
      <c r="T64" s="494"/>
      <c r="U64" s="494"/>
      <c r="V64" s="494"/>
      <c r="W64" s="494"/>
      <c r="X64" s="455"/>
      <c r="Y64" s="280"/>
      <c r="Z64" s="280"/>
      <c r="AA64" s="280"/>
      <c r="AB64" s="280"/>
      <c r="AC64" s="280"/>
      <c r="AD64" s="280"/>
      <c r="AE64" s="280"/>
      <c r="AF64" s="280"/>
      <c r="AG64" s="280"/>
      <c r="AH64" s="280"/>
      <c r="AI64" s="280"/>
      <c r="AJ64" s="280"/>
      <c r="AK64" s="280"/>
      <c r="AL64" s="280"/>
      <c r="AM64" s="280"/>
      <c r="AN64" s="280"/>
      <c r="AO64" s="280"/>
      <c r="AP64" s="280"/>
      <c r="AQ64" s="280"/>
      <c r="AR64" s="280"/>
      <c r="AS64" s="280"/>
      <c r="AT64" s="280"/>
      <c r="AU64" s="280"/>
      <c r="AV64" s="281"/>
      <c r="AW64" s="281"/>
      <c r="AX64" s="281"/>
      <c r="AY64" s="281"/>
      <c r="AZ64" s="28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</row>
    <row r="65" spans="1:126">
      <c r="A65" s="280"/>
      <c r="B65" s="280"/>
      <c r="C65" s="280"/>
      <c r="D65" s="280"/>
      <c r="E65" s="280"/>
      <c r="F65" s="280"/>
      <c r="G65" s="280"/>
      <c r="H65" s="280"/>
      <c r="I65" s="280"/>
      <c r="J65" s="280"/>
      <c r="K65" s="280"/>
      <c r="L65" s="280"/>
      <c r="M65" s="494"/>
      <c r="N65" s="494"/>
      <c r="O65" s="494"/>
      <c r="P65" s="494"/>
      <c r="Q65" s="494"/>
      <c r="R65" s="494"/>
      <c r="S65" s="494"/>
      <c r="T65" s="494"/>
      <c r="U65" s="494"/>
      <c r="V65" s="494"/>
      <c r="W65" s="494"/>
      <c r="X65" s="455"/>
      <c r="Y65" s="280"/>
      <c r="Z65" s="280"/>
      <c r="AA65" s="280"/>
      <c r="AB65" s="280"/>
      <c r="AC65" s="280"/>
      <c r="AD65" s="280"/>
      <c r="AE65" s="280"/>
      <c r="AF65" s="280"/>
      <c r="AG65" s="280"/>
      <c r="AH65" s="280"/>
      <c r="AI65" s="280"/>
      <c r="AJ65" s="280"/>
      <c r="AK65" s="280"/>
      <c r="AL65" s="280"/>
      <c r="AM65" s="280"/>
      <c r="AN65" s="280"/>
      <c r="AO65" s="280"/>
      <c r="AP65" s="280"/>
      <c r="AQ65" s="280"/>
      <c r="AR65" s="280"/>
      <c r="AS65" s="280"/>
      <c r="AT65" s="280"/>
      <c r="AU65" s="280"/>
      <c r="AV65" s="281"/>
      <c r="AW65" s="281"/>
      <c r="AX65" s="281"/>
      <c r="AY65" s="281"/>
      <c r="AZ65" s="28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</row>
    <row r="66" spans="1:126">
      <c r="A66" s="280"/>
      <c r="B66" s="280"/>
      <c r="C66" s="280"/>
      <c r="D66" s="280"/>
      <c r="E66" s="280"/>
      <c r="F66" s="280"/>
      <c r="G66" s="280"/>
      <c r="H66" s="280"/>
      <c r="I66" s="280"/>
      <c r="J66" s="280"/>
      <c r="K66" s="280"/>
      <c r="L66" s="280"/>
      <c r="M66" s="455"/>
      <c r="N66" s="455"/>
      <c r="O66" s="455"/>
      <c r="P66" s="455"/>
      <c r="Q66" s="455"/>
      <c r="R66" s="455"/>
      <c r="S66" s="455"/>
      <c r="T66" s="455"/>
      <c r="U66" s="455"/>
      <c r="V66" s="455"/>
      <c r="W66" s="455"/>
      <c r="X66" s="455"/>
      <c r="Y66" s="280"/>
      <c r="Z66" s="280"/>
      <c r="AA66" s="280"/>
      <c r="AB66" s="280"/>
      <c r="AC66" s="280"/>
      <c r="AD66" s="280"/>
      <c r="AE66" s="280"/>
      <c r="AF66" s="280"/>
      <c r="AG66" s="280"/>
      <c r="AH66" s="280"/>
      <c r="AI66" s="280"/>
      <c r="AJ66" s="280"/>
      <c r="AK66" s="280"/>
      <c r="AL66" s="280"/>
      <c r="AM66" s="280"/>
      <c r="AN66" s="280"/>
      <c r="AO66" s="280"/>
      <c r="AP66" s="280"/>
      <c r="AQ66" s="280"/>
      <c r="AR66" s="280"/>
      <c r="AS66" s="280"/>
      <c r="AT66" s="280"/>
      <c r="AU66" s="280"/>
      <c r="AV66" s="281"/>
      <c r="AW66" s="281"/>
      <c r="AX66" s="281"/>
      <c r="AY66" s="281"/>
      <c r="AZ66" s="28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</row>
    <row r="67" spans="1:126">
      <c r="A67" s="280"/>
      <c r="B67" s="280"/>
      <c r="C67" s="280"/>
      <c r="D67" s="280"/>
      <c r="E67" s="280"/>
      <c r="F67" s="280"/>
      <c r="G67" s="280"/>
      <c r="H67" s="280"/>
      <c r="I67" s="280"/>
      <c r="J67" s="280"/>
      <c r="K67" s="280"/>
      <c r="L67" s="280"/>
      <c r="M67" s="456"/>
      <c r="N67" s="456"/>
      <c r="O67" s="456"/>
      <c r="P67" s="456"/>
      <c r="Q67" s="456"/>
      <c r="R67" s="456"/>
      <c r="S67" s="456"/>
      <c r="T67" s="456"/>
      <c r="U67" s="456"/>
      <c r="V67" s="456"/>
      <c r="W67" s="457"/>
      <c r="X67" s="455"/>
      <c r="Y67" s="280"/>
      <c r="Z67" s="280"/>
      <c r="AA67" s="280"/>
      <c r="AB67" s="280"/>
      <c r="AC67" s="280"/>
      <c r="AD67" s="280"/>
      <c r="AE67" s="280"/>
      <c r="AF67" s="280"/>
      <c r="AG67" s="280"/>
      <c r="AH67" s="280"/>
      <c r="AI67" s="280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0"/>
      <c r="AV67" s="281"/>
      <c r="AW67" s="281"/>
      <c r="AX67" s="281"/>
      <c r="AY67" s="281"/>
      <c r="AZ67" s="28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</row>
    <row r="68" spans="1:126">
      <c r="A68" s="280"/>
      <c r="B68" s="280"/>
      <c r="C68" s="280"/>
      <c r="D68" s="280"/>
      <c r="E68" s="280"/>
      <c r="F68" s="280"/>
      <c r="G68" s="280"/>
      <c r="H68" s="280"/>
      <c r="I68" s="280"/>
      <c r="J68" s="280"/>
      <c r="K68" s="280"/>
      <c r="L68" s="280"/>
      <c r="M68" s="458"/>
      <c r="N68" s="288"/>
      <c r="O68" s="288"/>
      <c r="P68" s="288"/>
      <c r="Q68" s="288"/>
      <c r="R68" s="288"/>
      <c r="S68" s="288"/>
      <c r="T68" s="288"/>
      <c r="U68" s="288"/>
      <c r="V68" s="288"/>
      <c r="W68" s="459"/>
      <c r="X68" s="455"/>
      <c r="Y68" s="280"/>
      <c r="Z68" s="280"/>
      <c r="AA68" s="280"/>
      <c r="AB68" s="280"/>
      <c r="AC68" s="280"/>
      <c r="AD68" s="280"/>
      <c r="AE68" s="280"/>
      <c r="AF68" s="280"/>
      <c r="AG68" s="280"/>
      <c r="AH68" s="280"/>
      <c r="AI68" s="280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0"/>
      <c r="AV68" s="281"/>
      <c r="AW68" s="281"/>
      <c r="AX68" s="281"/>
      <c r="AY68" s="281"/>
      <c r="AZ68" s="28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</row>
    <row r="69" spans="1:126">
      <c r="A69" s="280"/>
      <c r="B69" s="280"/>
      <c r="C69" s="280"/>
      <c r="D69" s="280"/>
      <c r="E69" s="280"/>
      <c r="F69" s="280"/>
      <c r="G69" s="280"/>
      <c r="H69" s="280"/>
      <c r="I69" s="280"/>
      <c r="J69" s="280"/>
      <c r="K69" s="280"/>
      <c r="L69" s="280"/>
      <c r="M69" s="458"/>
      <c r="N69" s="288"/>
      <c r="O69" s="288"/>
      <c r="P69" s="288"/>
      <c r="Q69" s="288"/>
      <c r="R69" s="288"/>
      <c r="S69" s="288"/>
      <c r="T69" s="288"/>
      <c r="U69" s="288"/>
      <c r="V69" s="288"/>
      <c r="W69" s="459"/>
      <c r="X69" s="455"/>
      <c r="Y69" s="280"/>
      <c r="Z69" s="280"/>
      <c r="AA69" s="280"/>
      <c r="AB69" s="280"/>
      <c r="AC69" s="280"/>
      <c r="AD69" s="280"/>
      <c r="AE69" s="280"/>
      <c r="AF69" s="280"/>
      <c r="AG69" s="280"/>
      <c r="AH69" s="280"/>
      <c r="AI69" s="280"/>
      <c r="AJ69" s="280"/>
      <c r="AK69" s="280"/>
      <c r="AL69" s="280"/>
      <c r="AM69" s="280"/>
      <c r="AN69" s="280"/>
      <c r="AO69" s="280"/>
      <c r="AP69" s="280"/>
      <c r="AQ69" s="280"/>
      <c r="AR69" s="280"/>
      <c r="AS69" s="280"/>
      <c r="AT69" s="280"/>
      <c r="AU69" s="280"/>
      <c r="AV69" s="281"/>
      <c r="AW69" s="281"/>
      <c r="AX69" s="281"/>
      <c r="AY69" s="281"/>
      <c r="AZ69" s="28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</row>
    <row r="70" spans="1:126">
      <c r="A70" s="280"/>
      <c r="B70" s="280"/>
      <c r="C70" s="280"/>
      <c r="D70" s="280"/>
      <c r="E70" s="280"/>
      <c r="F70" s="280"/>
      <c r="G70" s="280"/>
      <c r="H70" s="280"/>
      <c r="I70" s="280"/>
      <c r="J70" s="280"/>
      <c r="K70" s="280"/>
      <c r="L70" s="280"/>
      <c r="M70" s="458"/>
      <c r="N70" s="288"/>
      <c r="O70" s="288"/>
      <c r="P70" s="288"/>
      <c r="Q70" s="288"/>
      <c r="R70" s="288"/>
      <c r="S70" s="288"/>
      <c r="T70" s="288"/>
      <c r="U70" s="288"/>
      <c r="V70" s="288"/>
      <c r="W70" s="459"/>
      <c r="X70" s="455"/>
      <c r="Y70" s="280"/>
      <c r="Z70" s="280"/>
      <c r="AA70" s="280"/>
      <c r="AB70" s="280"/>
      <c r="AC70" s="280"/>
      <c r="AD70" s="280"/>
      <c r="AE70" s="280"/>
      <c r="AF70" s="280"/>
      <c r="AG70" s="280"/>
      <c r="AH70" s="280"/>
      <c r="AI70" s="280"/>
      <c r="AJ70" s="280"/>
      <c r="AK70" s="280"/>
      <c r="AL70" s="280"/>
      <c r="AM70" s="280"/>
      <c r="AN70" s="280"/>
      <c r="AO70" s="280"/>
      <c r="AP70" s="280"/>
      <c r="AQ70" s="280"/>
      <c r="AR70" s="280"/>
      <c r="AS70" s="280"/>
      <c r="AT70" s="280"/>
      <c r="AU70" s="280"/>
      <c r="AV70" s="281"/>
      <c r="AW70" s="281"/>
      <c r="AX70" s="281"/>
      <c r="AY70" s="281"/>
      <c r="AZ70" s="28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</row>
    <row r="71" spans="1:126">
      <c r="A71" s="280"/>
      <c r="B71" s="280"/>
      <c r="C71" s="280"/>
      <c r="D71" s="280"/>
      <c r="E71" s="280"/>
      <c r="F71" s="280"/>
      <c r="G71" s="280"/>
      <c r="H71" s="280"/>
      <c r="I71" s="280"/>
      <c r="J71" s="280"/>
      <c r="K71" s="280"/>
      <c r="L71" s="280"/>
      <c r="M71" s="458"/>
      <c r="N71" s="288"/>
      <c r="O71" s="288"/>
      <c r="P71" s="288"/>
      <c r="Q71" s="288"/>
      <c r="R71" s="288"/>
      <c r="S71" s="288"/>
      <c r="T71" s="288"/>
      <c r="U71" s="288"/>
      <c r="V71" s="288"/>
      <c r="W71" s="459"/>
      <c r="X71" s="455"/>
      <c r="Y71" s="280"/>
      <c r="Z71" s="280"/>
      <c r="AA71" s="280"/>
      <c r="AB71" s="280"/>
      <c r="AC71" s="280"/>
      <c r="AD71" s="280"/>
      <c r="AE71" s="280"/>
      <c r="AF71" s="280"/>
      <c r="AG71" s="280"/>
      <c r="AH71" s="280"/>
      <c r="AI71" s="280"/>
      <c r="AJ71" s="280"/>
      <c r="AK71" s="280"/>
      <c r="AL71" s="280"/>
      <c r="AM71" s="280"/>
      <c r="AN71" s="280"/>
      <c r="AO71" s="280"/>
      <c r="AP71" s="280"/>
      <c r="AQ71" s="280"/>
      <c r="AR71" s="280"/>
      <c r="AS71" s="280"/>
      <c r="AT71" s="280"/>
      <c r="AU71" s="280"/>
      <c r="AV71" s="281"/>
      <c r="AW71" s="281"/>
      <c r="AX71" s="281"/>
      <c r="AY71" s="281"/>
      <c r="AZ71" s="28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</row>
    <row r="72" spans="1:126">
      <c r="A72" s="280"/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458"/>
      <c r="N72" s="288"/>
      <c r="O72" s="288"/>
      <c r="P72" s="288"/>
      <c r="Q72" s="288"/>
      <c r="R72" s="288"/>
      <c r="S72" s="288"/>
      <c r="T72" s="288"/>
      <c r="U72" s="288"/>
      <c r="V72" s="288"/>
      <c r="W72" s="459"/>
      <c r="X72" s="455"/>
      <c r="Y72" s="280"/>
      <c r="Z72" s="280"/>
      <c r="AA72" s="280"/>
      <c r="AB72" s="280"/>
      <c r="AC72" s="280"/>
      <c r="AD72" s="280"/>
      <c r="AE72" s="280"/>
      <c r="AF72" s="280"/>
      <c r="AG72" s="280"/>
      <c r="AH72" s="280"/>
      <c r="AI72" s="280"/>
      <c r="AJ72" s="280"/>
      <c r="AK72" s="280"/>
      <c r="AL72" s="280"/>
      <c r="AM72" s="280"/>
      <c r="AN72" s="280"/>
      <c r="AO72" s="280"/>
      <c r="AP72" s="280"/>
      <c r="AQ72" s="280"/>
      <c r="AR72" s="280"/>
      <c r="AS72" s="280"/>
      <c r="AT72" s="280"/>
      <c r="AU72" s="280"/>
      <c r="AV72" s="281"/>
      <c r="AW72" s="281"/>
      <c r="AX72" s="281"/>
      <c r="AY72" s="281"/>
      <c r="AZ72" s="28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</row>
    <row r="73" spans="1:126">
      <c r="A73" s="280"/>
      <c r="B73" s="280"/>
      <c r="C73" s="280"/>
      <c r="D73" s="280"/>
      <c r="E73" s="280"/>
      <c r="F73" s="280"/>
      <c r="G73" s="280"/>
      <c r="H73" s="280"/>
      <c r="I73" s="280"/>
      <c r="J73" s="280"/>
      <c r="K73" s="280"/>
      <c r="L73" s="280"/>
      <c r="M73" s="458"/>
      <c r="N73" s="288"/>
      <c r="O73" s="288"/>
      <c r="P73" s="288"/>
      <c r="Q73" s="288"/>
      <c r="R73" s="288"/>
      <c r="S73" s="288"/>
      <c r="T73" s="288"/>
      <c r="U73" s="288"/>
      <c r="V73" s="288"/>
      <c r="W73" s="459"/>
      <c r="X73" s="455"/>
      <c r="Y73" s="280"/>
      <c r="Z73" s="280"/>
      <c r="AA73" s="280"/>
      <c r="AB73" s="280"/>
      <c r="AC73" s="280"/>
      <c r="AD73" s="280"/>
      <c r="AE73" s="280"/>
      <c r="AF73" s="280"/>
      <c r="AG73" s="280"/>
      <c r="AH73" s="280"/>
      <c r="AI73" s="280"/>
      <c r="AJ73" s="280"/>
      <c r="AK73" s="280"/>
      <c r="AL73" s="280"/>
      <c r="AM73" s="280"/>
      <c r="AN73" s="280"/>
      <c r="AO73" s="280"/>
      <c r="AP73" s="280"/>
      <c r="AQ73" s="280"/>
      <c r="AR73" s="280"/>
      <c r="AS73" s="280"/>
      <c r="AT73" s="280"/>
      <c r="AU73" s="280"/>
      <c r="AV73" s="281"/>
      <c r="AW73" s="281"/>
      <c r="AX73" s="281"/>
      <c r="AY73" s="281"/>
      <c r="AZ73" s="28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</row>
    <row r="74" spans="1:126">
      <c r="A74" s="280"/>
      <c r="B74" s="280"/>
      <c r="C74" s="280"/>
      <c r="D74" s="280"/>
      <c r="E74" s="280"/>
      <c r="F74" s="280"/>
      <c r="G74" s="280"/>
      <c r="H74" s="280"/>
      <c r="I74" s="280"/>
      <c r="J74" s="280"/>
      <c r="K74" s="280"/>
      <c r="L74" s="280"/>
      <c r="M74" s="458"/>
      <c r="N74" s="288"/>
      <c r="O74" s="288"/>
      <c r="P74" s="288"/>
      <c r="Q74" s="288"/>
      <c r="R74" s="288"/>
      <c r="S74" s="288"/>
      <c r="T74" s="288"/>
      <c r="U74" s="288"/>
      <c r="V74" s="288"/>
      <c r="W74" s="459"/>
      <c r="X74" s="455"/>
      <c r="Y74" s="280"/>
      <c r="Z74" s="280"/>
      <c r="AA74" s="280"/>
      <c r="AB74" s="280"/>
      <c r="AC74" s="280"/>
      <c r="AD74" s="280"/>
      <c r="AE74" s="280"/>
      <c r="AF74" s="280"/>
      <c r="AG74" s="280"/>
      <c r="AH74" s="280"/>
      <c r="AI74" s="280"/>
      <c r="AJ74" s="280"/>
      <c r="AK74" s="280"/>
      <c r="AL74" s="280"/>
      <c r="AM74" s="280"/>
      <c r="AN74" s="280"/>
      <c r="AO74" s="280"/>
      <c r="AP74" s="280"/>
      <c r="AQ74" s="280"/>
      <c r="AR74" s="280"/>
      <c r="AS74" s="280"/>
      <c r="AT74" s="280"/>
      <c r="AU74" s="280"/>
      <c r="AV74" s="281"/>
      <c r="AW74" s="281"/>
      <c r="AX74" s="281"/>
      <c r="AY74" s="281"/>
      <c r="AZ74" s="28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</row>
    <row r="75" spans="1:126">
      <c r="A75" s="280"/>
      <c r="B75" s="280"/>
      <c r="C75" s="280"/>
      <c r="D75" s="280"/>
      <c r="E75" s="280"/>
      <c r="F75" s="280"/>
      <c r="G75" s="280"/>
      <c r="H75" s="280"/>
      <c r="I75" s="280"/>
      <c r="J75" s="280"/>
      <c r="K75" s="280"/>
      <c r="L75" s="280"/>
      <c r="M75" s="458"/>
      <c r="N75" s="288"/>
      <c r="O75" s="288"/>
      <c r="P75" s="288"/>
      <c r="Q75" s="288"/>
      <c r="R75" s="288"/>
      <c r="S75" s="288"/>
      <c r="T75" s="288"/>
      <c r="U75" s="288"/>
      <c r="V75" s="288"/>
      <c r="W75" s="459"/>
      <c r="X75" s="455"/>
      <c r="Y75" s="280"/>
      <c r="Z75" s="280"/>
      <c r="AA75" s="280"/>
      <c r="AB75" s="280"/>
      <c r="AC75" s="280"/>
      <c r="AD75" s="280"/>
      <c r="AE75" s="280"/>
      <c r="AF75" s="280"/>
      <c r="AG75" s="280"/>
      <c r="AH75" s="280"/>
      <c r="AI75" s="280"/>
      <c r="AJ75" s="280"/>
      <c r="AK75" s="280"/>
      <c r="AL75" s="280"/>
      <c r="AM75" s="280"/>
      <c r="AN75" s="280"/>
      <c r="AO75" s="280"/>
      <c r="AP75" s="280"/>
      <c r="AQ75" s="280"/>
      <c r="AR75" s="280"/>
      <c r="AS75" s="280"/>
      <c r="AT75" s="280"/>
      <c r="AU75" s="280"/>
      <c r="AV75" s="281"/>
      <c r="AW75" s="281"/>
      <c r="AX75" s="281"/>
      <c r="AY75" s="281"/>
      <c r="AZ75" s="28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</row>
    <row r="76" spans="1:126">
      <c r="A76" s="280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458"/>
      <c r="N76" s="288"/>
      <c r="O76" s="288"/>
      <c r="P76" s="288"/>
      <c r="Q76" s="288"/>
      <c r="R76" s="288"/>
      <c r="S76" s="288"/>
      <c r="T76" s="288"/>
      <c r="U76" s="288"/>
      <c r="V76" s="288"/>
      <c r="W76" s="459"/>
      <c r="X76" s="455"/>
      <c r="Y76" s="280"/>
      <c r="Z76" s="280"/>
      <c r="AA76" s="280"/>
      <c r="AB76" s="280"/>
      <c r="AC76" s="280"/>
      <c r="AD76" s="280"/>
      <c r="AE76" s="280"/>
      <c r="AF76" s="280"/>
      <c r="AG76" s="280"/>
      <c r="AH76" s="280"/>
      <c r="AI76" s="280"/>
      <c r="AJ76" s="280"/>
      <c r="AK76" s="280"/>
      <c r="AL76" s="280"/>
      <c r="AM76" s="280"/>
      <c r="AN76" s="280"/>
      <c r="AO76" s="280"/>
      <c r="AP76" s="280"/>
      <c r="AQ76" s="280"/>
      <c r="AR76" s="280"/>
      <c r="AS76" s="280"/>
      <c r="AT76" s="280"/>
      <c r="AU76" s="280"/>
      <c r="AV76" s="281"/>
      <c r="AW76" s="281"/>
      <c r="AX76" s="281"/>
      <c r="AY76" s="281"/>
      <c r="AZ76" s="28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</row>
    <row r="77" spans="1:126">
      <c r="A77" s="280"/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458"/>
      <c r="N77" s="288"/>
      <c r="O77" s="288"/>
      <c r="P77" s="288"/>
      <c r="Q77" s="288"/>
      <c r="R77" s="288"/>
      <c r="S77" s="288"/>
      <c r="T77" s="288"/>
      <c r="U77" s="288"/>
      <c r="V77" s="288"/>
      <c r="W77" s="459"/>
      <c r="X77" s="455"/>
      <c r="Y77" s="280"/>
      <c r="Z77" s="280"/>
      <c r="AA77" s="280"/>
      <c r="AB77" s="280"/>
      <c r="AC77" s="280"/>
      <c r="AD77" s="280"/>
      <c r="AE77" s="280"/>
      <c r="AF77" s="280"/>
      <c r="AG77" s="280"/>
      <c r="AH77" s="280"/>
      <c r="AI77" s="280"/>
      <c r="AJ77" s="280"/>
      <c r="AK77" s="280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1"/>
      <c r="AW77" s="281"/>
      <c r="AX77" s="281"/>
      <c r="AY77" s="281"/>
      <c r="AZ77" s="28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</row>
    <row r="78" spans="1:126">
      <c r="A78" s="280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458"/>
      <c r="N78" s="288"/>
      <c r="O78" s="288"/>
      <c r="P78" s="288"/>
      <c r="Q78" s="288"/>
      <c r="R78" s="288"/>
      <c r="S78" s="288"/>
      <c r="T78" s="288"/>
      <c r="U78" s="288"/>
      <c r="V78" s="288"/>
      <c r="W78" s="459"/>
      <c r="X78" s="455"/>
      <c r="Y78" s="280"/>
      <c r="Z78" s="280"/>
      <c r="AA78" s="280"/>
      <c r="AB78" s="280"/>
      <c r="AC78" s="280"/>
      <c r="AD78" s="280"/>
      <c r="AE78" s="280"/>
      <c r="AF78" s="280"/>
      <c r="AG78" s="280"/>
      <c r="AH78" s="280"/>
      <c r="AI78" s="280"/>
      <c r="AJ78" s="280"/>
      <c r="AK78" s="280"/>
      <c r="AL78" s="280"/>
      <c r="AM78" s="280"/>
      <c r="AN78" s="280"/>
      <c r="AO78" s="280"/>
      <c r="AP78" s="280"/>
      <c r="AQ78" s="280"/>
      <c r="AR78" s="280"/>
      <c r="AS78" s="280"/>
      <c r="AT78" s="280"/>
      <c r="AU78" s="280"/>
      <c r="AV78" s="281"/>
      <c r="AW78" s="281"/>
      <c r="AX78" s="281"/>
      <c r="AY78" s="281"/>
      <c r="AZ78" s="28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</row>
    <row r="79" spans="1:126">
      <c r="A79" s="280"/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458"/>
      <c r="N79" s="288"/>
      <c r="O79" s="288"/>
      <c r="P79" s="288"/>
      <c r="Q79" s="288"/>
      <c r="R79" s="288"/>
      <c r="S79" s="288"/>
      <c r="T79" s="288"/>
      <c r="U79" s="288"/>
      <c r="V79" s="288"/>
      <c r="W79" s="459"/>
      <c r="X79" s="455"/>
      <c r="Y79" s="280"/>
      <c r="Z79" s="280"/>
      <c r="AA79" s="280"/>
      <c r="AB79" s="280"/>
      <c r="AC79" s="280"/>
      <c r="AD79" s="280"/>
      <c r="AE79" s="280"/>
      <c r="AF79" s="280"/>
      <c r="AG79" s="280"/>
      <c r="AH79" s="280"/>
      <c r="AI79" s="280"/>
      <c r="AJ79" s="280"/>
      <c r="AK79" s="280"/>
      <c r="AL79" s="280"/>
      <c r="AM79" s="280"/>
      <c r="AN79" s="280"/>
      <c r="AO79" s="280"/>
      <c r="AP79" s="280"/>
      <c r="AQ79" s="280"/>
      <c r="AR79" s="280"/>
      <c r="AS79" s="280"/>
      <c r="AT79" s="280"/>
      <c r="AU79" s="280"/>
      <c r="AV79" s="281"/>
      <c r="AW79" s="281"/>
      <c r="AX79" s="281"/>
      <c r="AY79" s="281"/>
      <c r="AZ79" s="28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</row>
    <row r="80" spans="1:126">
      <c r="A80" s="280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458"/>
      <c r="N80" s="288"/>
      <c r="O80" s="288"/>
      <c r="P80" s="288"/>
      <c r="Q80" s="288"/>
      <c r="R80" s="288"/>
      <c r="S80" s="288"/>
      <c r="T80" s="288"/>
      <c r="U80" s="288"/>
      <c r="V80" s="288"/>
      <c r="W80" s="459"/>
      <c r="X80" s="455"/>
      <c r="Y80" s="280"/>
      <c r="Z80" s="280"/>
      <c r="AA80" s="280"/>
      <c r="AB80" s="280"/>
      <c r="AC80" s="280"/>
      <c r="AD80" s="280"/>
      <c r="AE80" s="280"/>
      <c r="AF80" s="280"/>
      <c r="AG80" s="280"/>
      <c r="AH80" s="280"/>
      <c r="AI80" s="280"/>
      <c r="AJ80" s="280"/>
      <c r="AK80" s="280"/>
      <c r="AL80" s="280"/>
      <c r="AM80" s="280"/>
      <c r="AN80" s="280"/>
      <c r="AO80" s="280"/>
      <c r="AP80" s="280"/>
      <c r="AQ80" s="280"/>
      <c r="AR80" s="280"/>
      <c r="AS80" s="280"/>
      <c r="AT80" s="280"/>
      <c r="AU80" s="280"/>
      <c r="AV80" s="281"/>
      <c r="AW80" s="281"/>
      <c r="AX80" s="281"/>
      <c r="AY80" s="281"/>
      <c r="AZ80" s="28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</row>
    <row r="81" spans="1:126">
      <c r="A81" s="280"/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458"/>
      <c r="N81" s="288"/>
      <c r="O81" s="288"/>
      <c r="P81" s="288"/>
      <c r="Q81" s="288"/>
      <c r="R81" s="288"/>
      <c r="S81" s="288"/>
      <c r="T81" s="288"/>
      <c r="U81" s="288"/>
      <c r="V81" s="288"/>
      <c r="W81" s="459"/>
      <c r="X81" s="455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1"/>
      <c r="AW81" s="281"/>
      <c r="AX81" s="281"/>
      <c r="AY81" s="281"/>
      <c r="AZ81" s="28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</row>
    <row r="82" spans="1:126">
      <c r="A82" s="280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458"/>
      <c r="N82" s="288"/>
      <c r="O82" s="288"/>
      <c r="P82" s="288"/>
      <c r="Q82" s="288"/>
      <c r="R82" s="288"/>
      <c r="S82" s="288"/>
      <c r="T82" s="288"/>
      <c r="U82" s="288"/>
      <c r="V82" s="288"/>
      <c r="W82" s="459"/>
      <c r="X82" s="455"/>
      <c r="Y82" s="280"/>
      <c r="Z82" s="280"/>
      <c r="AA82" s="280"/>
      <c r="AB82" s="280"/>
      <c r="AC82" s="280"/>
      <c r="AD82" s="280"/>
      <c r="AE82" s="280"/>
      <c r="AF82" s="280"/>
      <c r="AG82" s="280"/>
      <c r="AH82" s="280"/>
      <c r="AI82" s="280"/>
      <c r="AJ82" s="280"/>
      <c r="AK82" s="280"/>
      <c r="AL82" s="280"/>
      <c r="AM82" s="280"/>
      <c r="AN82" s="280"/>
      <c r="AO82" s="280"/>
      <c r="AP82" s="280"/>
      <c r="AQ82" s="280"/>
      <c r="AR82" s="280"/>
      <c r="AS82" s="280"/>
      <c r="AT82" s="280"/>
      <c r="AU82" s="280"/>
      <c r="AV82" s="281"/>
      <c r="AW82" s="281"/>
      <c r="AX82" s="281"/>
      <c r="AY82" s="281"/>
      <c r="AZ82" s="28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</row>
    <row r="83" spans="1:126">
      <c r="A83" s="280"/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458"/>
      <c r="N83" s="288"/>
      <c r="O83" s="288"/>
      <c r="P83" s="288"/>
      <c r="Q83" s="288"/>
      <c r="R83" s="288"/>
      <c r="S83" s="288"/>
      <c r="T83" s="288"/>
      <c r="U83" s="288"/>
      <c r="V83" s="288"/>
      <c r="W83" s="459"/>
      <c r="X83" s="455"/>
      <c r="Y83" s="280"/>
      <c r="Z83" s="280"/>
      <c r="AA83" s="280"/>
      <c r="AB83" s="280"/>
      <c r="AC83" s="280"/>
      <c r="AD83" s="280"/>
      <c r="AE83" s="280"/>
      <c r="AF83" s="280"/>
      <c r="AG83" s="280"/>
      <c r="AH83" s="280"/>
      <c r="AI83" s="280"/>
      <c r="AJ83" s="280"/>
      <c r="AK83" s="280"/>
      <c r="AL83" s="280"/>
      <c r="AM83" s="280"/>
      <c r="AN83" s="280"/>
      <c r="AO83" s="280"/>
      <c r="AP83" s="280"/>
      <c r="AQ83" s="280"/>
      <c r="AR83" s="280"/>
      <c r="AS83" s="280"/>
      <c r="AT83" s="280"/>
      <c r="AU83" s="280"/>
      <c r="AV83" s="281"/>
      <c r="AW83" s="281"/>
      <c r="AX83" s="281"/>
      <c r="AY83" s="281"/>
      <c r="AZ83" s="28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</row>
    <row r="84" spans="1:126">
      <c r="A84" s="280"/>
      <c r="B84" s="280"/>
      <c r="C84" s="280"/>
      <c r="D84" s="280"/>
      <c r="E84" s="280"/>
      <c r="F84" s="280"/>
      <c r="G84" s="280"/>
      <c r="H84" s="280"/>
      <c r="I84" s="280"/>
      <c r="J84" s="280"/>
      <c r="K84" s="280"/>
      <c r="L84" s="280"/>
      <c r="M84" s="458"/>
      <c r="N84" s="288"/>
      <c r="O84" s="288"/>
      <c r="P84" s="288"/>
      <c r="Q84" s="288"/>
      <c r="R84" s="288"/>
      <c r="S84" s="288"/>
      <c r="T84" s="288"/>
      <c r="U84" s="288"/>
      <c r="V84" s="288"/>
      <c r="W84" s="459"/>
      <c r="X84" s="455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1"/>
      <c r="AW84" s="281"/>
      <c r="AX84" s="281"/>
      <c r="AY84" s="281"/>
      <c r="AZ84" s="28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</row>
    <row r="85" spans="1:126">
      <c r="A85" s="280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458"/>
      <c r="N85" s="288"/>
      <c r="O85" s="288"/>
      <c r="P85" s="288"/>
      <c r="Q85" s="288"/>
      <c r="R85" s="288"/>
      <c r="S85" s="288"/>
      <c r="T85" s="288"/>
      <c r="U85" s="288"/>
      <c r="V85" s="288"/>
      <c r="W85" s="459"/>
      <c r="X85" s="455"/>
      <c r="Y85" s="280"/>
      <c r="Z85" s="280"/>
      <c r="AA85" s="280"/>
      <c r="AB85" s="280"/>
      <c r="AC85" s="280"/>
      <c r="AD85" s="280"/>
      <c r="AE85" s="280"/>
      <c r="AF85" s="280"/>
      <c r="AG85" s="280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80"/>
      <c r="AS85" s="280"/>
      <c r="AT85" s="280"/>
      <c r="AU85" s="280"/>
      <c r="AV85" s="281"/>
      <c r="AW85" s="281"/>
      <c r="AX85" s="281"/>
      <c r="AY85" s="281"/>
      <c r="AZ85" s="28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</row>
    <row r="86" spans="1:126">
      <c r="A86" s="280"/>
      <c r="B86" s="280"/>
      <c r="C86" s="280"/>
      <c r="D86" s="280"/>
      <c r="E86" s="280"/>
      <c r="F86" s="280"/>
      <c r="G86" s="280"/>
      <c r="H86" s="280"/>
      <c r="I86" s="280"/>
      <c r="J86" s="280"/>
      <c r="K86" s="280"/>
      <c r="L86" s="280"/>
      <c r="M86" s="458"/>
      <c r="N86" s="288"/>
      <c r="O86" s="288"/>
      <c r="P86" s="288"/>
      <c r="Q86" s="288"/>
      <c r="R86" s="288"/>
      <c r="S86" s="288"/>
      <c r="T86" s="288"/>
      <c r="U86" s="288"/>
      <c r="V86" s="288"/>
      <c r="W86" s="459"/>
      <c r="X86" s="455"/>
      <c r="Y86" s="280"/>
      <c r="Z86" s="280"/>
      <c r="AA86" s="280"/>
      <c r="AB86" s="280"/>
      <c r="AC86" s="280"/>
      <c r="AD86" s="280"/>
      <c r="AE86" s="280"/>
      <c r="AF86" s="280"/>
      <c r="AG86" s="280"/>
      <c r="AH86" s="280"/>
      <c r="AI86" s="280"/>
      <c r="AJ86" s="280"/>
      <c r="AK86" s="280"/>
      <c r="AL86" s="280"/>
      <c r="AM86" s="280"/>
      <c r="AN86" s="280"/>
      <c r="AO86" s="280"/>
      <c r="AP86" s="280"/>
      <c r="AQ86" s="280"/>
      <c r="AR86" s="280"/>
      <c r="AS86" s="280"/>
      <c r="AT86" s="280"/>
      <c r="AU86" s="280"/>
      <c r="AV86" s="281"/>
      <c r="AW86" s="281"/>
      <c r="AX86" s="281"/>
      <c r="AY86" s="281"/>
      <c r="AZ86" s="28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</row>
    <row r="87" spans="1:126">
      <c r="A87" s="280"/>
      <c r="B87" s="280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458"/>
      <c r="N87" s="288"/>
      <c r="O87" s="288"/>
      <c r="P87" s="288"/>
      <c r="Q87" s="288"/>
      <c r="R87" s="288"/>
      <c r="S87" s="288"/>
      <c r="T87" s="288"/>
      <c r="U87" s="288"/>
      <c r="V87" s="288"/>
      <c r="W87" s="459"/>
      <c r="X87" s="455"/>
      <c r="Y87" s="280"/>
      <c r="Z87" s="280"/>
      <c r="AA87" s="280"/>
      <c r="AB87" s="280"/>
      <c r="AC87" s="280"/>
      <c r="AD87" s="280"/>
      <c r="AE87" s="280"/>
      <c r="AF87" s="280"/>
      <c r="AG87" s="280"/>
      <c r="AH87" s="280"/>
      <c r="AI87" s="280"/>
      <c r="AJ87" s="280"/>
      <c r="AK87" s="280"/>
      <c r="AL87" s="280"/>
      <c r="AM87" s="280"/>
      <c r="AN87" s="280"/>
      <c r="AO87" s="280"/>
      <c r="AP87" s="280"/>
      <c r="AQ87" s="280"/>
      <c r="AR87" s="280"/>
      <c r="AS87" s="280"/>
      <c r="AT87" s="280"/>
      <c r="AU87" s="280"/>
      <c r="AV87" s="281"/>
      <c r="AW87" s="281"/>
      <c r="AX87" s="281"/>
      <c r="AY87" s="281"/>
      <c r="AZ87" s="28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</row>
    <row r="88" spans="1:126">
      <c r="A88" s="280"/>
      <c r="B88" s="280"/>
      <c r="C88" s="280"/>
      <c r="D88" s="280"/>
      <c r="E88" s="280"/>
      <c r="F88" s="280"/>
      <c r="G88" s="280"/>
      <c r="H88" s="280"/>
      <c r="I88" s="280"/>
      <c r="J88" s="280"/>
      <c r="K88" s="280"/>
      <c r="L88" s="280"/>
      <c r="M88" s="458"/>
      <c r="N88" s="288"/>
      <c r="O88" s="288"/>
      <c r="P88" s="288"/>
      <c r="Q88" s="288"/>
      <c r="R88" s="288"/>
      <c r="S88" s="288"/>
      <c r="T88" s="288"/>
      <c r="U88" s="288"/>
      <c r="V88" s="288"/>
      <c r="W88" s="459"/>
      <c r="X88" s="455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J88" s="280"/>
      <c r="AK88" s="280"/>
      <c r="AL88" s="280"/>
      <c r="AM88" s="280"/>
      <c r="AN88" s="280"/>
      <c r="AO88" s="280"/>
      <c r="AP88" s="280"/>
      <c r="AQ88" s="280"/>
      <c r="AR88" s="280"/>
      <c r="AS88" s="280"/>
      <c r="AT88" s="280"/>
      <c r="AU88" s="280"/>
      <c r="AV88" s="281"/>
      <c r="AW88" s="281"/>
      <c r="AX88" s="281"/>
      <c r="AY88" s="281"/>
      <c r="AZ88" s="28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</row>
    <row r="89" spans="1:126">
      <c r="A89" s="280"/>
      <c r="B89" s="280"/>
      <c r="C89" s="280"/>
      <c r="D89" s="280"/>
      <c r="E89" s="280"/>
      <c r="F89" s="280"/>
      <c r="G89" s="280"/>
      <c r="H89" s="280"/>
      <c r="I89" s="280"/>
      <c r="J89" s="280"/>
      <c r="K89" s="280"/>
      <c r="L89" s="280"/>
      <c r="M89" s="458"/>
      <c r="N89" s="288"/>
      <c r="O89" s="288"/>
      <c r="P89" s="288"/>
      <c r="Q89" s="288"/>
      <c r="R89" s="288"/>
      <c r="S89" s="288"/>
      <c r="T89" s="288"/>
      <c r="U89" s="288"/>
      <c r="V89" s="288"/>
      <c r="W89" s="459"/>
      <c r="X89" s="455"/>
      <c r="Y89" s="280"/>
      <c r="Z89" s="280"/>
      <c r="AA89" s="280"/>
      <c r="AB89" s="280"/>
      <c r="AC89" s="280"/>
      <c r="AD89" s="280"/>
      <c r="AE89" s="280"/>
      <c r="AF89" s="280"/>
      <c r="AG89" s="280"/>
      <c r="AH89" s="280"/>
      <c r="AI89" s="280"/>
      <c r="AJ89" s="280"/>
      <c r="AK89" s="280"/>
      <c r="AL89" s="280"/>
      <c r="AM89" s="280"/>
      <c r="AN89" s="280"/>
      <c r="AO89" s="280"/>
      <c r="AP89" s="280"/>
      <c r="AQ89" s="280"/>
      <c r="AR89" s="280"/>
      <c r="AS89" s="280"/>
      <c r="AT89" s="280"/>
      <c r="AU89" s="280"/>
      <c r="AV89" s="281"/>
      <c r="AW89" s="281"/>
      <c r="AX89" s="281"/>
      <c r="AY89" s="281"/>
      <c r="AZ89" s="28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</row>
    <row r="90" spans="1:126">
      <c r="A90" s="280"/>
      <c r="B90" s="280"/>
      <c r="C90" s="280"/>
      <c r="D90" s="280"/>
      <c r="E90" s="280"/>
      <c r="F90" s="280"/>
      <c r="G90" s="280"/>
      <c r="H90" s="280"/>
      <c r="I90" s="280"/>
      <c r="J90" s="280"/>
      <c r="K90" s="280"/>
      <c r="L90" s="280"/>
      <c r="M90" s="458"/>
      <c r="N90" s="288"/>
      <c r="O90" s="288"/>
      <c r="P90" s="288"/>
      <c r="Q90" s="288"/>
      <c r="R90" s="288"/>
      <c r="S90" s="288"/>
      <c r="T90" s="288"/>
      <c r="U90" s="288"/>
      <c r="V90" s="288"/>
      <c r="W90" s="459"/>
      <c r="X90" s="455"/>
      <c r="Y90" s="280"/>
      <c r="Z90" s="280"/>
      <c r="AA90" s="280"/>
      <c r="AB90" s="280"/>
      <c r="AC90" s="280"/>
      <c r="AD90" s="280"/>
      <c r="AE90" s="280"/>
      <c r="AF90" s="280"/>
      <c r="AG90" s="280"/>
      <c r="AH90" s="280"/>
      <c r="AI90" s="280"/>
      <c r="AJ90" s="280"/>
      <c r="AK90" s="280"/>
      <c r="AL90" s="280"/>
      <c r="AM90" s="280"/>
      <c r="AN90" s="280"/>
      <c r="AO90" s="280"/>
      <c r="AP90" s="280"/>
      <c r="AQ90" s="280"/>
      <c r="AR90" s="280"/>
      <c r="AS90" s="280"/>
      <c r="AT90" s="280"/>
      <c r="AU90" s="280"/>
      <c r="AV90" s="281"/>
      <c r="AW90" s="281"/>
      <c r="AX90" s="281"/>
      <c r="AY90" s="281"/>
      <c r="AZ90" s="28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</row>
    <row r="91" spans="1:126">
      <c r="A91" s="280"/>
      <c r="B91" s="280"/>
      <c r="C91" s="280"/>
      <c r="D91" s="280"/>
      <c r="E91" s="280"/>
      <c r="F91" s="280"/>
      <c r="G91" s="280"/>
      <c r="H91" s="280"/>
      <c r="I91" s="280"/>
      <c r="J91" s="280"/>
      <c r="K91" s="280"/>
      <c r="L91" s="280"/>
      <c r="M91" s="458"/>
      <c r="N91" s="288"/>
      <c r="O91" s="288"/>
      <c r="P91" s="288"/>
      <c r="Q91" s="288"/>
      <c r="R91" s="288"/>
      <c r="S91" s="288"/>
      <c r="T91" s="288"/>
      <c r="U91" s="288"/>
      <c r="V91" s="288"/>
      <c r="W91" s="459"/>
      <c r="X91" s="455"/>
      <c r="Y91" s="280"/>
      <c r="Z91" s="280"/>
      <c r="AA91" s="280"/>
      <c r="AB91" s="280"/>
      <c r="AC91" s="280"/>
      <c r="AD91" s="280"/>
      <c r="AE91" s="280"/>
      <c r="AF91" s="280"/>
      <c r="AG91" s="280"/>
      <c r="AH91" s="280"/>
      <c r="AI91" s="280"/>
      <c r="AJ91" s="280"/>
      <c r="AK91" s="280"/>
      <c r="AL91" s="280"/>
      <c r="AM91" s="280"/>
      <c r="AN91" s="280"/>
      <c r="AO91" s="280"/>
      <c r="AP91" s="280"/>
      <c r="AQ91" s="280"/>
      <c r="AR91" s="280"/>
      <c r="AS91" s="280"/>
      <c r="AT91" s="280"/>
      <c r="AU91" s="280"/>
      <c r="AV91" s="281"/>
      <c r="AW91" s="281"/>
      <c r="AX91" s="281"/>
      <c r="AY91" s="281"/>
      <c r="AZ91" s="28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</row>
    <row r="92" spans="1:126">
      <c r="A92" s="280"/>
      <c r="B92" s="280"/>
      <c r="C92" s="280"/>
      <c r="D92" s="280"/>
      <c r="E92" s="280"/>
      <c r="F92" s="280"/>
      <c r="G92" s="280"/>
      <c r="H92" s="280"/>
      <c r="I92" s="280"/>
      <c r="J92" s="280"/>
      <c r="K92" s="280"/>
      <c r="L92" s="280"/>
      <c r="M92" s="458"/>
      <c r="N92" s="288"/>
      <c r="O92" s="288"/>
      <c r="P92" s="288"/>
      <c r="Q92" s="288"/>
      <c r="R92" s="288"/>
      <c r="S92" s="288"/>
      <c r="T92" s="288"/>
      <c r="U92" s="288"/>
      <c r="V92" s="288"/>
      <c r="W92" s="459"/>
      <c r="X92" s="455"/>
      <c r="Y92" s="280"/>
      <c r="Z92" s="280"/>
      <c r="AA92" s="280"/>
      <c r="AB92" s="280"/>
      <c r="AC92" s="280"/>
      <c r="AD92" s="280"/>
      <c r="AE92" s="280"/>
      <c r="AF92" s="280"/>
      <c r="AG92" s="280"/>
      <c r="AH92" s="280"/>
      <c r="AI92" s="280"/>
      <c r="AJ92" s="280"/>
      <c r="AK92" s="280"/>
      <c r="AL92" s="280"/>
      <c r="AM92" s="280"/>
      <c r="AN92" s="280"/>
      <c r="AO92" s="280"/>
      <c r="AP92" s="280"/>
      <c r="AQ92" s="280"/>
      <c r="AR92" s="280"/>
      <c r="AS92" s="280"/>
      <c r="AT92" s="280"/>
      <c r="AU92" s="280"/>
      <c r="AV92" s="281"/>
      <c r="AW92" s="281"/>
      <c r="AX92" s="281"/>
      <c r="AY92" s="281"/>
      <c r="AZ92" s="28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</row>
    <row r="93" spans="1:126">
      <c r="A93" s="280"/>
      <c r="B93" s="280"/>
      <c r="C93" s="280"/>
      <c r="D93" s="280"/>
      <c r="E93" s="280"/>
      <c r="F93" s="280"/>
      <c r="G93" s="280"/>
      <c r="H93" s="280"/>
      <c r="I93" s="280"/>
      <c r="J93" s="280"/>
      <c r="K93" s="280"/>
      <c r="L93" s="280"/>
      <c r="M93" s="458"/>
      <c r="N93" s="288"/>
      <c r="O93" s="288"/>
      <c r="P93" s="288"/>
      <c r="Q93" s="288"/>
      <c r="R93" s="288"/>
      <c r="S93" s="288"/>
      <c r="T93" s="288"/>
      <c r="U93" s="288"/>
      <c r="V93" s="288"/>
      <c r="W93" s="459"/>
      <c r="X93" s="455"/>
      <c r="Y93" s="280"/>
      <c r="Z93" s="280"/>
      <c r="AA93" s="280"/>
      <c r="AB93" s="280"/>
      <c r="AC93" s="280"/>
      <c r="AD93" s="280"/>
      <c r="AE93" s="280"/>
      <c r="AF93" s="280"/>
      <c r="AG93" s="280"/>
      <c r="AH93" s="280"/>
      <c r="AI93" s="280"/>
      <c r="AJ93" s="280"/>
      <c r="AK93" s="280"/>
      <c r="AL93" s="280"/>
      <c r="AM93" s="280"/>
      <c r="AN93" s="280"/>
      <c r="AO93" s="280"/>
      <c r="AP93" s="280"/>
      <c r="AQ93" s="280"/>
      <c r="AR93" s="280"/>
      <c r="AS93" s="280"/>
      <c r="AT93" s="280"/>
      <c r="AU93" s="280"/>
      <c r="AV93" s="281"/>
      <c r="AW93" s="281"/>
      <c r="AX93" s="281"/>
      <c r="AY93" s="281"/>
      <c r="AZ93" s="28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</row>
    <row r="94" spans="1:126">
      <c r="A94" s="280"/>
      <c r="B94" s="280"/>
      <c r="C94" s="280"/>
      <c r="D94" s="280"/>
      <c r="E94" s="280"/>
      <c r="F94" s="280"/>
      <c r="G94" s="280"/>
      <c r="H94" s="280"/>
      <c r="I94" s="280"/>
      <c r="J94" s="280"/>
      <c r="K94" s="280"/>
      <c r="L94" s="280"/>
      <c r="M94" s="458"/>
      <c r="N94" s="288"/>
      <c r="O94" s="288"/>
      <c r="P94" s="288"/>
      <c r="Q94" s="288"/>
      <c r="R94" s="288"/>
      <c r="S94" s="288"/>
      <c r="T94" s="288"/>
      <c r="U94" s="288"/>
      <c r="V94" s="288"/>
      <c r="W94" s="459"/>
      <c r="X94" s="455"/>
      <c r="Y94" s="280"/>
      <c r="Z94" s="280"/>
      <c r="AA94" s="280"/>
      <c r="AB94" s="280"/>
      <c r="AC94" s="280"/>
      <c r="AD94" s="280"/>
      <c r="AE94" s="280"/>
      <c r="AF94" s="280"/>
      <c r="AG94" s="280"/>
      <c r="AH94" s="280"/>
      <c r="AI94" s="280"/>
      <c r="AJ94" s="280"/>
      <c r="AK94" s="280"/>
      <c r="AL94" s="280"/>
      <c r="AM94" s="280"/>
      <c r="AN94" s="280"/>
      <c r="AO94" s="280"/>
      <c r="AP94" s="280"/>
      <c r="AQ94" s="280"/>
      <c r="AR94" s="280"/>
      <c r="AS94" s="280"/>
      <c r="AT94" s="280"/>
      <c r="AU94" s="280"/>
      <c r="AV94" s="281"/>
      <c r="AW94" s="281"/>
      <c r="AX94" s="281"/>
      <c r="AY94" s="281"/>
      <c r="AZ94" s="28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</row>
    <row r="95" spans="1:126">
      <c r="A95" s="280"/>
      <c r="B95" s="280"/>
      <c r="C95" s="280"/>
      <c r="D95" s="280"/>
      <c r="E95" s="280"/>
      <c r="F95" s="280"/>
      <c r="G95" s="280"/>
      <c r="H95" s="280"/>
      <c r="I95" s="280"/>
      <c r="J95" s="280"/>
      <c r="K95" s="280"/>
      <c r="L95" s="280"/>
      <c r="M95" s="458"/>
      <c r="N95" s="288"/>
      <c r="O95" s="288"/>
      <c r="P95" s="288"/>
      <c r="Q95" s="288"/>
      <c r="R95" s="288"/>
      <c r="S95" s="288"/>
      <c r="T95" s="288"/>
      <c r="U95" s="288"/>
      <c r="V95" s="288"/>
      <c r="W95" s="459"/>
      <c r="X95" s="455"/>
      <c r="Y95" s="280"/>
      <c r="Z95" s="280"/>
      <c r="AA95" s="280"/>
      <c r="AB95" s="280"/>
      <c r="AC95" s="280"/>
      <c r="AD95" s="280"/>
      <c r="AE95" s="280"/>
      <c r="AF95" s="280"/>
      <c r="AG95" s="280"/>
      <c r="AH95" s="280"/>
      <c r="AI95" s="280"/>
      <c r="AJ95" s="280"/>
      <c r="AK95" s="280"/>
      <c r="AL95" s="280"/>
      <c r="AM95" s="280"/>
      <c r="AN95" s="280"/>
      <c r="AO95" s="280"/>
      <c r="AP95" s="280"/>
      <c r="AQ95" s="280"/>
      <c r="AR95" s="280"/>
      <c r="AS95" s="280"/>
      <c r="AT95" s="280"/>
      <c r="AU95" s="280"/>
      <c r="AV95" s="281"/>
      <c r="AW95" s="281"/>
      <c r="AX95" s="281"/>
      <c r="AY95" s="281"/>
      <c r="AZ95" s="28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</row>
    <row r="96" spans="1:126">
      <c r="A96" s="280"/>
      <c r="B96" s="280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458"/>
      <c r="N96" s="288"/>
      <c r="O96" s="288"/>
      <c r="P96" s="288"/>
      <c r="Q96" s="288"/>
      <c r="R96" s="288"/>
      <c r="S96" s="288"/>
      <c r="T96" s="288"/>
      <c r="U96" s="288"/>
      <c r="V96" s="288"/>
      <c r="W96" s="459"/>
      <c r="X96" s="455"/>
      <c r="Y96" s="280"/>
      <c r="Z96" s="280"/>
      <c r="AA96" s="280"/>
      <c r="AB96" s="280"/>
      <c r="AC96" s="280"/>
      <c r="AD96" s="280"/>
      <c r="AE96" s="280"/>
      <c r="AF96" s="280"/>
      <c r="AG96" s="280"/>
      <c r="AH96" s="280"/>
      <c r="AI96" s="280"/>
      <c r="AJ96" s="280"/>
      <c r="AK96" s="280"/>
      <c r="AL96" s="280"/>
      <c r="AM96" s="280"/>
      <c r="AN96" s="280"/>
      <c r="AO96" s="280"/>
      <c r="AP96" s="280"/>
      <c r="AQ96" s="280"/>
      <c r="AR96" s="280"/>
      <c r="AS96" s="280"/>
      <c r="AT96" s="280"/>
      <c r="AU96" s="280"/>
      <c r="AV96" s="281"/>
      <c r="AW96" s="281"/>
      <c r="AX96" s="281"/>
      <c r="AY96" s="281"/>
      <c r="AZ96" s="28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</row>
    <row r="97" spans="1:126">
      <c r="A97" s="280"/>
      <c r="B97" s="280"/>
      <c r="C97" s="280"/>
      <c r="D97" s="280"/>
      <c r="E97" s="280"/>
      <c r="F97" s="280"/>
      <c r="G97" s="280"/>
      <c r="H97" s="280"/>
      <c r="I97" s="280"/>
      <c r="J97" s="280"/>
      <c r="K97" s="280"/>
      <c r="L97" s="280"/>
      <c r="M97" s="458"/>
      <c r="N97" s="288"/>
      <c r="O97" s="288"/>
      <c r="P97" s="288"/>
      <c r="Q97" s="288"/>
      <c r="R97" s="288"/>
      <c r="S97" s="288"/>
      <c r="T97" s="288"/>
      <c r="U97" s="288"/>
      <c r="V97" s="288"/>
      <c r="W97" s="459"/>
      <c r="X97" s="455"/>
      <c r="Y97" s="280"/>
      <c r="Z97" s="280"/>
      <c r="AA97" s="280"/>
      <c r="AB97" s="280"/>
      <c r="AC97" s="280"/>
      <c r="AD97" s="280"/>
      <c r="AE97" s="280"/>
      <c r="AF97" s="280"/>
      <c r="AG97" s="280"/>
      <c r="AH97" s="280"/>
      <c r="AI97" s="280"/>
      <c r="AJ97" s="280"/>
      <c r="AK97" s="280"/>
      <c r="AL97" s="280"/>
      <c r="AM97" s="280"/>
      <c r="AN97" s="280"/>
      <c r="AO97" s="280"/>
      <c r="AP97" s="280"/>
      <c r="AQ97" s="280"/>
      <c r="AR97" s="280"/>
      <c r="AS97" s="280"/>
      <c r="AT97" s="280"/>
      <c r="AU97" s="280"/>
      <c r="AV97" s="281"/>
      <c r="AW97" s="281"/>
      <c r="AX97" s="281"/>
      <c r="AY97" s="281"/>
      <c r="AZ97" s="28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</row>
    <row r="98" spans="1:126">
      <c r="A98" s="280"/>
      <c r="B98" s="280"/>
      <c r="C98" s="280"/>
      <c r="D98" s="280"/>
      <c r="E98" s="280"/>
      <c r="F98" s="280"/>
      <c r="G98" s="280"/>
      <c r="H98" s="280"/>
      <c r="I98" s="280"/>
      <c r="J98" s="280"/>
      <c r="K98" s="280"/>
      <c r="L98" s="280"/>
      <c r="M98" s="458"/>
      <c r="N98" s="288"/>
      <c r="O98" s="288"/>
      <c r="P98" s="288"/>
      <c r="Q98" s="288"/>
      <c r="R98" s="288"/>
      <c r="S98" s="288"/>
      <c r="T98" s="288"/>
      <c r="U98" s="288"/>
      <c r="V98" s="288"/>
      <c r="W98" s="459"/>
      <c r="X98" s="455"/>
      <c r="Y98" s="280"/>
      <c r="Z98" s="280"/>
      <c r="AA98" s="280"/>
      <c r="AB98" s="280"/>
      <c r="AC98" s="280"/>
      <c r="AD98" s="280"/>
      <c r="AE98" s="280"/>
      <c r="AF98" s="280"/>
      <c r="AG98" s="280"/>
      <c r="AH98" s="280"/>
      <c r="AI98" s="280"/>
      <c r="AJ98" s="280"/>
      <c r="AK98" s="280"/>
      <c r="AL98" s="280"/>
      <c r="AM98" s="280"/>
      <c r="AN98" s="280"/>
      <c r="AO98" s="280"/>
      <c r="AP98" s="280"/>
      <c r="AQ98" s="280"/>
      <c r="AR98" s="280"/>
      <c r="AS98" s="280"/>
      <c r="AT98" s="280"/>
      <c r="AU98" s="280"/>
      <c r="AV98" s="281"/>
      <c r="AW98" s="281"/>
      <c r="AX98" s="281"/>
      <c r="AY98" s="281"/>
      <c r="AZ98" s="28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</row>
    <row r="99" spans="1:126">
      <c r="A99" s="280"/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458"/>
      <c r="N99" s="288"/>
      <c r="O99" s="288"/>
      <c r="P99" s="288"/>
      <c r="Q99" s="288"/>
      <c r="R99" s="288"/>
      <c r="S99" s="288"/>
      <c r="T99" s="288"/>
      <c r="U99" s="288"/>
      <c r="V99" s="288"/>
      <c r="W99" s="459"/>
      <c r="X99" s="455"/>
      <c r="Y99" s="280"/>
      <c r="Z99" s="280"/>
      <c r="AA99" s="280"/>
      <c r="AB99" s="280"/>
      <c r="AC99" s="280"/>
      <c r="AD99" s="280"/>
      <c r="AE99" s="280"/>
      <c r="AF99" s="280"/>
      <c r="AG99" s="280"/>
      <c r="AH99" s="280"/>
      <c r="AI99" s="280"/>
      <c r="AJ99" s="280"/>
      <c r="AK99" s="280"/>
      <c r="AL99" s="280"/>
      <c r="AM99" s="280"/>
      <c r="AN99" s="280"/>
      <c r="AO99" s="280"/>
      <c r="AP99" s="280"/>
      <c r="AQ99" s="280"/>
      <c r="AR99" s="280"/>
      <c r="AS99" s="280"/>
      <c r="AT99" s="280"/>
      <c r="AU99" s="280"/>
      <c r="AV99" s="281"/>
      <c r="AW99" s="281"/>
      <c r="AX99" s="281"/>
      <c r="AY99" s="281"/>
      <c r="AZ99" s="28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</row>
    <row r="100" spans="1:126">
      <c r="A100" s="280"/>
      <c r="B100" s="280"/>
      <c r="C100" s="280"/>
      <c r="D100" s="280"/>
      <c r="E100" s="280"/>
      <c r="F100" s="280"/>
      <c r="G100" s="280"/>
      <c r="H100" s="280"/>
      <c r="I100" s="280"/>
      <c r="J100" s="280"/>
      <c r="K100" s="280"/>
      <c r="L100" s="280"/>
      <c r="M100" s="458"/>
      <c r="N100" s="288"/>
      <c r="O100" s="288"/>
      <c r="P100" s="288"/>
      <c r="Q100" s="288"/>
      <c r="R100" s="288"/>
      <c r="S100" s="288"/>
      <c r="T100" s="288"/>
      <c r="U100" s="288"/>
      <c r="V100" s="288"/>
      <c r="W100" s="459"/>
      <c r="X100" s="455"/>
      <c r="Y100" s="280"/>
      <c r="Z100" s="280"/>
      <c r="AA100" s="280"/>
      <c r="AB100" s="280"/>
      <c r="AC100" s="280"/>
      <c r="AD100" s="280"/>
      <c r="AE100" s="280"/>
      <c r="AF100" s="280"/>
      <c r="AG100" s="280"/>
      <c r="AH100" s="280"/>
      <c r="AI100" s="280"/>
      <c r="AJ100" s="280"/>
      <c r="AK100" s="280"/>
      <c r="AL100" s="280"/>
      <c r="AM100" s="280"/>
      <c r="AN100" s="280"/>
      <c r="AO100" s="280"/>
      <c r="AP100" s="280"/>
      <c r="AQ100" s="280"/>
      <c r="AR100" s="280"/>
      <c r="AS100" s="280"/>
      <c r="AT100" s="280"/>
      <c r="AU100" s="280"/>
      <c r="AV100" s="281"/>
      <c r="AW100" s="281"/>
      <c r="AX100" s="281"/>
      <c r="AY100" s="281"/>
      <c r="AZ100" s="28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</row>
    <row r="101" spans="1:126">
      <c r="A101" s="280"/>
      <c r="B101" s="280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458"/>
      <c r="N101" s="288"/>
      <c r="O101" s="288"/>
      <c r="P101" s="288"/>
      <c r="Q101" s="288"/>
      <c r="R101" s="288"/>
      <c r="S101" s="288"/>
      <c r="T101" s="288"/>
      <c r="U101" s="288"/>
      <c r="V101" s="288"/>
      <c r="W101" s="459"/>
      <c r="X101" s="455"/>
      <c r="Y101" s="280"/>
      <c r="Z101" s="280"/>
      <c r="AA101" s="280"/>
      <c r="AB101" s="280"/>
      <c r="AC101" s="280"/>
      <c r="AD101" s="280"/>
      <c r="AE101" s="280"/>
      <c r="AF101" s="280"/>
      <c r="AG101" s="280"/>
      <c r="AH101" s="280"/>
      <c r="AI101" s="280"/>
      <c r="AJ101" s="280"/>
      <c r="AK101" s="280"/>
      <c r="AL101" s="280"/>
      <c r="AM101" s="280"/>
      <c r="AN101" s="280"/>
      <c r="AO101" s="280"/>
      <c r="AP101" s="280"/>
      <c r="AQ101" s="280"/>
      <c r="AR101" s="280"/>
      <c r="AS101" s="280"/>
      <c r="AT101" s="280"/>
      <c r="AU101" s="280"/>
      <c r="AV101" s="281"/>
      <c r="AW101" s="281"/>
      <c r="AX101" s="281"/>
      <c r="AY101" s="281"/>
      <c r="AZ101" s="28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</row>
    <row r="102" spans="1:126">
      <c r="A102" s="280"/>
      <c r="B102" s="280"/>
      <c r="C102" s="280"/>
      <c r="D102" s="280"/>
      <c r="E102" s="280"/>
      <c r="F102" s="280"/>
      <c r="G102" s="280"/>
      <c r="H102" s="280"/>
      <c r="I102" s="280"/>
      <c r="J102" s="280"/>
      <c r="K102" s="280"/>
      <c r="L102" s="280"/>
      <c r="M102" s="458"/>
      <c r="N102" s="288"/>
      <c r="O102" s="288"/>
      <c r="P102" s="288"/>
      <c r="Q102" s="288"/>
      <c r="R102" s="288"/>
      <c r="S102" s="288"/>
      <c r="T102" s="288"/>
      <c r="U102" s="288"/>
      <c r="V102" s="288"/>
      <c r="W102" s="459"/>
      <c r="X102" s="455"/>
      <c r="Y102" s="280"/>
      <c r="Z102" s="280"/>
      <c r="AA102" s="280"/>
      <c r="AB102" s="280"/>
      <c r="AC102" s="280"/>
      <c r="AD102" s="280"/>
      <c r="AE102" s="280"/>
      <c r="AF102" s="280"/>
      <c r="AG102" s="280"/>
      <c r="AH102" s="280"/>
      <c r="AI102" s="280"/>
      <c r="AJ102" s="280"/>
      <c r="AK102" s="280"/>
      <c r="AL102" s="280"/>
      <c r="AM102" s="280"/>
      <c r="AN102" s="280"/>
      <c r="AO102" s="280"/>
      <c r="AP102" s="280"/>
      <c r="AQ102" s="280"/>
      <c r="AR102" s="280"/>
      <c r="AS102" s="280"/>
      <c r="AT102" s="280"/>
      <c r="AU102" s="280"/>
      <c r="AV102" s="281"/>
      <c r="AW102" s="281"/>
      <c r="AX102" s="281"/>
      <c r="AY102" s="281"/>
      <c r="AZ102" s="28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</row>
    <row r="103" spans="1:126">
      <c r="A103" s="280"/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  <c r="L103" s="280"/>
      <c r="M103" s="458"/>
      <c r="N103" s="288"/>
      <c r="O103" s="288"/>
      <c r="P103" s="288"/>
      <c r="Q103" s="288"/>
      <c r="R103" s="288"/>
      <c r="S103" s="288"/>
      <c r="T103" s="288"/>
      <c r="U103" s="288"/>
      <c r="V103" s="288"/>
      <c r="W103" s="459"/>
      <c r="X103" s="455"/>
      <c r="Y103" s="280"/>
      <c r="Z103" s="280"/>
      <c r="AA103" s="280"/>
      <c r="AB103" s="280"/>
      <c r="AC103" s="280"/>
      <c r="AD103" s="280"/>
      <c r="AE103" s="280"/>
      <c r="AF103" s="280"/>
      <c r="AG103" s="280"/>
      <c r="AH103" s="280"/>
      <c r="AI103" s="280"/>
      <c r="AJ103" s="280"/>
      <c r="AK103" s="280"/>
      <c r="AL103" s="280"/>
      <c r="AM103" s="280"/>
      <c r="AN103" s="280"/>
      <c r="AO103" s="280"/>
      <c r="AP103" s="280"/>
      <c r="AQ103" s="280"/>
      <c r="AR103" s="280"/>
      <c r="AS103" s="280"/>
      <c r="AT103" s="280"/>
      <c r="AU103" s="280"/>
      <c r="AV103" s="281"/>
      <c r="AW103" s="281"/>
      <c r="AX103" s="281"/>
      <c r="AY103" s="281"/>
      <c r="AZ103" s="28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</row>
    <row r="104" spans="1:126">
      <c r="A104" s="280"/>
      <c r="B104" s="280"/>
      <c r="C104" s="280"/>
      <c r="D104" s="280"/>
      <c r="E104" s="280"/>
      <c r="F104" s="280"/>
      <c r="G104" s="280"/>
      <c r="H104" s="280"/>
      <c r="I104" s="280"/>
      <c r="J104" s="280"/>
      <c r="K104" s="280"/>
      <c r="L104" s="280"/>
      <c r="M104" s="458"/>
      <c r="N104" s="288"/>
      <c r="O104" s="288"/>
      <c r="P104" s="288"/>
      <c r="Q104" s="288"/>
      <c r="R104" s="288"/>
      <c r="S104" s="288"/>
      <c r="T104" s="288"/>
      <c r="U104" s="288"/>
      <c r="V104" s="288"/>
      <c r="W104" s="459"/>
      <c r="X104" s="455"/>
      <c r="Y104" s="280"/>
      <c r="Z104" s="280"/>
      <c r="AA104" s="280"/>
      <c r="AB104" s="280"/>
      <c r="AC104" s="280"/>
      <c r="AD104" s="280"/>
      <c r="AE104" s="280"/>
      <c r="AF104" s="280"/>
      <c r="AG104" s="280"/>
      <c r="AH104" s="280"/>
      <c r="AI104" s="280"/>
      <c r="AJ104" s="280"/>
      <c r="AK104" s="280"/>
      <c r="AL104" s="280"/>
      <c r="AM104" s="280"/>
      <c r="AN104" s="280"/>
      <c r="AO104" s="280"/>
      <c r="AP104" s="280"/>
      <c r="AQ104" s="280"/>
      <c r="AR104" s="280"/>
      <c r="AS104" s="280"/>
      <c r="AT104" s="280"/>
      <c r="AU104" s="280"/>
      <c r="AV104" s="281"/>
      <c r="AW104" s="281"/>
      <c r="AX104" s="281"/>
      <c r="AY104" s="281"/>
      <c r="AZ104" s="28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</row>
    <row r="105" spans="1:126">
      <c r="A105" s="280"/>
      <c r="B105" s="280"/>
      <c r="C105" s="280"/>
      <c r="D105" s="280"/>
      <c r="E105" s="280"/>
      <c r="F105" s="280"/>
      <c r="G105" s="280"/>
      <c r="H105" s="280"/>
      <c r="I105" s="280"/>
      <c r="J105" s="280"/>
      <c r="K105" s="280"/>
      <c r="L105" s="280"/>
      <c r="M105" s="458"/>
      <c r="N105" s="288"/>
      <c r="O105" s="288"/>
      <c r="P105" s="288"/>
      <c r="Q105" s="288"/>
      <c r="R105" s="288"/>
      <c r="S105" s="288"/>
      <c r="T105" s="288"/>
      <c r="U105" s="288"/>
      <c r="V105" s="288"/>
      <c r="W105" s="459"/>
      <c r="X105" s="455"/>
      <c r="Y105" s="280"/>
      <c r="Z105" s="280"/>
      <c r="AA105" s="280"/>
      <c r="AB105" s="280"/>
      <c r="AC105" s="280"/>
      <c r="AD105" s="280"/>
      <c r="AE105" s="280"/>
      <c r="AF105" s="280"/>
      <c r="AG105" s="280"/>
      <c r="AH105" s="280"/>
      <c r="AI105" s="280"/>
      <c r="AJ105" s="280"/>
      <c r="AK105" s="280"/>
      <c r="AL105" s="280"/>
      <c r="AM105" s="280"/>
      <c r="AN105" s="280"/>
      <c r="AO105" s="280"/>
      <c r="AP105" s="280"/>
      <c r="AQ105" s="280"/>
      <c r="AR105" s="280"/>
      <c r="AS105" s="280"/>
      <c r="AT105" s="280"/>
      <c r="AU105" s="280"/>
      <c r="AV105" s="281"/>
      <c r="AW105" s="281"/>
      <c r="AX105" s="281"/>
      <c r="AY105" s="281"/>
      <c r="AZ105" s="28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</row>
    <row r="106" spans="1:126">
      <c r="A106" s="280"/>
      <c r="B106" s="280"/>
      <c r="C106" s="280"/>
      <c r="D106" s="280"/>
      <c r="E106" s="280"/>
      <c r="F106" s="280"/>
      <c r="G106" s="280"/>
      <c r="H106" s="280"/>
      <c r="I106" s="280"/>
      <c r="J106" s="280"/>
      <c r="K106" s="280"/>
      <c r="L106" s="280"/>
      <c r="M106" s="458"/>
      <c r="N106" s="288"/>
      <c r="O106" s="288"/>
      <c r="P106" s="288"/>
      <c r="Q106" s="288"/>
      <c r="R106" s="288"/>
      <c r="S106" s="288"/>
      <c r="T106" s="288"/>
      <c r="U106" s="288"/>
      <c r="V106" s="288"/>
      <c r="W106" s="459"/>
      <c r="X106" s="455"/>
      <c r="Y106" s="280"/>
      <c r="Z106" s="280"/>
      <c r="AA106" s="280"/>
      <c r="AB106" s="280"/>
      <c r="AC106" s="280"/>
      <c r="AD106" s="280"/>
      <c r="AE106" s="280"/>
      <c r="AF106" s="280"/>
      <c r="AG106" s="280"/>
      <c r="AH106" s="280"/>
      <c r="AI106" s="280"/>
      <c r="AJ106" s="280"/>
      <c r="AK106" s="280"/>
      <c r="AL106" s="280"/>
      <c r="AM106" s="280"/>
      <c r="AN106" s="280"/>
      <c r="AO106" s="280"/>
      <c r="AP106" s="280"/>
      <c r="AQ106" s="280"/>
      <c r="AR106" s="280"/>
      <c r="AS106" s="280"/>
      <c r="AT106" s="280"/>
      <c r="AU106" s="280"/>
      <c r="AV106" s="281"/>
      <c r="AW106" s="281"/>
      <c r="AX106" s="281"/>
      <c r="AY106" s="281"/>
      <c r="AZ106" s="28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</row>
    <row r="107" spans="1:126">
      <c r="A107" s="280"/>
      <c r="B107" s="280"/>
      <c r="C107" s="280"/>
      <c r="D107" s="280"/>
      <c r="E107" s="280"/>
      <c r="F107" s="280"/>
      <c r="G107" s="280"/>
      <c r="H107" s="280"/>
      <c r="I107" s="280"/>
      <c r="J107" s="280"/>
      <c r="K107" s="280"/>
      <c r="L107" s="280"/>
      <c r="M107" s="458"/>
      <c r="N107" s="288"/>
      <c r="O107" s="288"/>
      <c r="P107" s="288"/>
      <c r="Q107" s="288"/>
      <c r="R107" s="288"/>
      <c r="S107" s="288"/>
      <c r="T107" s="288"/>
      <c r="U107" s="288"/>
      <c r="V107" s="288"/>
      <c r="W107" s="459"/>
      <c r="X107" s="455"/>
      <c r="Y107" s="280"/>
      <c r="Z107" s="280"/>
      <c r="AA107" s="280"/>
      <c r="AB107" s="280"/>
      <c r="AC107" s="280"/>
      <c r="AD107" s="280"/>
      <c r="AE107" s="280"/>
      <c r="AF107" s="280"/>
      <c r="AG107" s="280"/>
      <c r="AH107" s="280"/>
      <c r="AI107" s="280"/>
      <c r="AJ107" s="280"/>
      <c r="AK107" s="280"/>
      <c r="AL107" s="280"/>
      <c r="AM107" s="280"/>
      <c r="AN107" s="280"/>
      <c r="AO107" s="280"/>
      <c r="AP107" s="280"/>
      <c r="AQ107" s="280"/>
      <c r="AR107" s="280"/>
      <c r="AS107" s="280"/>
      <c r="AT107" s="280"/>
      <c r="AU107" s="280"/>
      <c r="AV107" s="281"/>
      <c r="AW107" s="281"/>
      <c r="AX107" s="281"/>
      <c r="AY107" s="281"/>
      <c r="AZ107" s="28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</row>
    <row r="108" spans="1:126">
      <c r="A108" s="280"/>
      <c r="B108" s="280"/>
      <c r="C108" s="280"/>
      <c r="D108" s="280"/>
      <c r="E108" s="280"/>
      <c r="F108" s="280"/>
      <c r="G108" s="280"/>
      <c r="H108" s="280"/>
      <c r="I108" s="280"/>
      <c r="J108" s="280"/>
      <c r="K108" s="280"/>
      <c r="L108" s="280"/>
      <c r="M108" s="458"/>
      <c r="N108" s="288"/>
      <c r="O108" s="288"/>
      <c r="P108" s="288"/>
      <c r="Q108" s="288"/>
      <c r="R108" s="288"/>
      <c r="S108" s="288"/>
      <c r="T108" s="288"/>
      <c r="U108" s="288"/>
      <c r="V108" s="288"/>
      <c r="W108" s="459"/>
      <c r="X108" s="455"/>
      <c r="Y108" s="280"/>
      <c r="Z108" s="280"/>
      <c r="AA108" s="280"/>
      <c r="AB108" s="280"/>
      <c r="AC108" s="280"/>
      <c r="AD108" s="280"/>
      <c r="AE108" s="280"/>
      <c r="AF108" s="280"/>
      <c r="AG108" s="280"/>
      <c r="AH108" s="280"/>
      <c r="AI108" s="280"/>
      <c r="AJ108" s="280"/>
      <c r="AK108" s="280"/>
      <c r="AL108" s="280"/>
      <c r="AM108" s="280"/>
      <c r="AN108" s="280"/>
      <c r="AO108" s="280"/>
      <c r="AP108" s="280"/>
      <c r="AQ108" s="280"/>
      <c r="AR108" s="280"/>
      <c r="AS108" s="280"/>
      <c r="AT108" s="280"/>
      <c r="AU108" s="280"/>
      <c r="AV108" s="281"/>
      <c r="AW108" s="281"/>
      <c r="AX108" s="281"/>
      <c r="AY108" s="281"/>
      <c r="AZ108" s="28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</row>
    <row r="109" spans="1:126">
      <c r="A109" s="280"/>
      <c r="B109" s="280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458"/>
      <c r="N109" s="288"/>
      <c r="O109" s="288"/>
      <c r="P109" s="288"/>
      <c r="Q109" s="288"/>
      <c r="R109" s="288"/>
      <c r="S109" s="288"/>
      <c r="T109" s="288"/>
      <c r="U109" s="288"/>
      <c r="V109" s="288"/>
      <c r="W109" s="459"/>
      <c r="X109" s="455"/>
      <c r="Y109" s="280"/>
      <c r="Z109" s="280"/>
      <c r="AA109" s="280"/>
      <c r="AB109" s="280"/>
      <c r="AC109" s="280"/>
      <c r="AD109" s="280"/>
      <c r="AE109" s="280"/>
      <c r="AF109" s="280"/>
      <c r="AG109" s="280"/>
      <c r="AH109" s="280"/>
      <c r="AI109" s="280"/>
      <c r="AJ109" s="280"/>
      <c r="AK109" s="280"/>
      <c r="AL109" s="280"/>
      <c r="AM109" s="280"/>
      <c r="AN109" s="280"/>
      <c r="AO109" s="280"/>
      <c r="AP109" s="280"/>
      <c r="AQ109" s="280"/>
      <c r="AR109" s="280"/>
      <c r="AS109" s="280"/>
      <c r="AT109" s="280"/>
      <c r="AU109" s="280"/>
      <c r="AV109" s="281"/>
      <c r="AW109" s="281"/>
      <c r="AX109" s="281"/>
      <c r="AY109" s="281"/>
      <c r="AZ109" s="28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</row>
    <row r="110" spans="1:126">
      <c r="A110" s="280"/>
      <c r="B110" s="280"/>
      <c r="C110" s="280"/>
      <c r="D110" s="280"/>
      <c r="E110" s="280"/>
      <c r="F110" s="280"/>
      <c r="G110" s="280"/>
      <c r="H110" s="280"/>
      <c r="I110" s="280"/>
      <c r="J110" s="280"/>
      <c r="K110" s="280"/>
      <c r="L110" s="280"/>
      <c r="M110" s="458"/>
      <c r="N110" s="288"/>
      <c r="O110" s="288"/>
      <c r="P110" s="288"/>
      <c r="Q110" s="288"/>
      <c r="R110" s="288"/>
      <c r="S110" s="288"/>
      <c r="T110" s="288"/>
      <c r="U110" s="288"/>
      <c r="V110" s="288"/>
      <c r="W110" s="459"/>
      <c r="X110" s="455"/>
      <c r="Y110" s="280"/>
      <c r="Z110" s="280"/>
      <c r="AA110" s="280"/>
      <c r="AB110" s="280"/>
      <c r="AC110" s="280"/>
      <c r="AD110" s="280"/>
      <c r="AE110" s="280"/>
      <c r="AF110" s="280"/>
      <c r="AG110" s="280"/>
      <c r="AH110" s="280"/>
      <c r="AI110" s="280"/>
      <c r="AJ110" s="280"/>
      <c r="AK110" s="280"/>
      <c r="AL110" s="280"/>
      <c r="AM110" s="280"/>
      <c r="AN110" s="280"/>
      <c r="AO110" s="280"/>
      <c r="AP110" s="280"/>
      <c r="AQ110" s="280"/>
      <c r="AR110" s="280"/>
      <c r="AS110" s="280"/>
      <c r="AT110" s="280"/>
      <c r="AU110" s="280"/>
      <c r="AV110" s="281"/>
      <c r="AW110" s="281"/>
      <c r="AX110" s="281"/>
      <c r="AY110" s="281"/>
      <c r="AZ110" s="28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</row>
    <row r="111" spans="1:126">
      <c r="A111" s="280"/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458"/>
      <c r="N111" s="288"/>
      <c r="O111" s="288"/>
      <c r="P111" s="288"/>
      <c r="Q111" s="288"/>
      <c r="R111" s="288"/>
      <c r="S111" s="288"/>
      <c r="T111" s="288"/>
      <c r="U111" s="288"/>
      <c r="V111" s="288"/>
      <c r="W111" s="459"/>
      <c r="X111" s="455"/>
      <c r="Y111" s="280"/>
      <c r="Z111" s="280"/>
      <c r="AA111" s="280"/>
      <c r="AB111" s="280"/>
      <c r="AC111" s="280"/>
      <c r="AD111" s="280"/>
      <c r="AE111" s="280"/>
      <c r="AF111" s="280"/>
      <c r="AG111" s="280"/>
      <c r="AH111" s="280"/>
      <c r="AI111" s="280"/>
      <c r="AJ111" s="280"/>
      <c r="AK111" s="280"/>
      <c r="AL111" s="280"/>
      <c r="AM111" s="280"/>
      <c r="AN111" s="280"/>
      <c r="AO111" s="280"/>
      <c r="AP111" s="280"/>
      <c r="AQ111" s="280"/>
      <c r="AR111" s="280"/>
      <c r="AS111" s="280"/>
      <c r="AT111" s="280"/>
      <c r="AU111" s="280"/>
      <c r="AV111" s="281"/>
      <c r="AW111" s="281"/>
      <c r="AX111" s="281"/>
      <c r="AY111" s="281"/>
      <c r="AZ111" s="28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</row>
    <row r="112" spans="1:126">
      <c r="A112" s="280"/>
      <c r="B112" s="280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458"/>
      <c r="N112" s="288"/>
      <c r="O112" s="288"/>
      <c r="P112" s="288"/>
      <c r="Q112" s="288"/>
      <c r="R112" s="288"/>
      <c r="S112" s="288"/>
      <c r="T112" s="288"/>
      <c r="U112" s="288"/>
      <c r="V112" s="288"/>
      <c r="W112" s="459"/>
      <c r="X112" s="455"/>
      <c r="Y112" s="280"/>
      <c r="Z112" s="280"/>
      <c r="AA112" s="280"/>
      <c r="AB112" s="280"/>
      <c r="AC112" s="280"/>
      <c r="AD112" s="280"/>
      <c r="AE112" s="280"/>
      <c r="AF112" s="280"/>
      <c r="AG112" s="280"/>
      <c r="AH112" s="280"/>
      <c r="AI112" s="280"/>
      <c r="AJ112" s="280"/>
      <c r="AK112" s="280"/>
      <c r="AL112" s="280"/>
      <c r="AM112" s="280"/>
      <c r="AN112" s="280"/>
      <c r="AO112" s="280"/>
      <c r="AP112" s="280"/>
      <c r="AQ112" s="280"/>
      <c r="AR112" s="280"/>
      <c r="AS112" s="280"/>
      <c r="AT112" s="280"/>
      <c r="AU112" s="280"/>
      <c r="AV112" s="281"/>
      <c r="AW112" s="281"/>
      <c r="AX112" s="281"/>
      <c r="AY112" s="281"/>
      <c r="AZ112" s="28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</row>
    <row r="113" spans="1:126">
      <c r="A113" s="280"/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458"/>
      <c r="N113" s="288"/>
      <c r="O113" s="288"/>
      <c r="P113" s="288"/>
      <c r="Q113" s="288"/>
      <c r="R113" s="288"/>
      <c r="S113" s="288"/>
      <c r="T113" s="288"/>
      <c r="U113" s="288"/>
      <c r="V113" s="288"/>
      <c r="W113" s="459"/>
      <c r="X113" s="455"/>
      <c r="Y113" s="280"/>
      <c r="Z113" s="280"/>
      <c r="AA113" s="280"/>
      <c r="AB113" s="280"/>
      <c r="AC113" s="280"/>
      <c r="AD113" s="280"/>
      <c r="AE113" s="280"/>
      <c r="AF113" s="280"/>
      <c r="AG113" s="280"/>
      <c r="AH113" s="280"/>
      <c r="AI113" s="280"/>
      <c r="AJ113" s="280"/>
      <c r="AK113" s="280"/>
      <c r="AL113" s="280"/>
      <c r="AM113" s="280"/>
      <c r="AN113" s="280"/>
      <c r="AO113" s="280"/>
      <c r="AP113" s="280"/>
      <c r="AQ113" s="280"/>
      <c r="AR113" s="280"/>
      <c r="AS113" s="280"/>
      <c r="AT113" s="280"/>
      <c r="AU113" s="280"/>
      <c r="AV113" s="281"/>
      <c r="AW113" s="281"/>
      <c r="AX113" s="281"/>
      <c r="AY113" s="281"/>
      <c r="AZ113" s="28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</row>
    <row r="114" spans="1:126">
      <c r="A114" s="280"/>
      <c r="B114" s="280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458"/>
      <c r="N114" s="288"/>
      <c r="O114" s="288"/>
      <c r="P114" s="288"/>
      <c r="Q114" s="288"/>
      <c r="R114" s="288"/>
      <c r="S114" s="288"/>
      <c r="T114" s="288"/>
      <c r="U114" s="288"/>
      <c r="V114" s="288"/>
      <c r="W114" s="459"/>
      <c r="X114" s="455"/>
      <c r="Y114" s="280"/>
      <c r="Z114" s="280"/>
      <c r="AA114" s="280"/>
      <c r="AB114" s="280"/>
      <c r="AC114" s="280"/>
      <c r="AD114" s="280"/>
      <c r="AE114" s="280"/>
      <c r="AF114" s="280"/>
      <c r="AG114" s="280"/>
      <c r="AH114" s="280"/>
      <c r="AI114" s="280"/>
      <c r="AJ114" s="280"/>
      <c r="AK114" s="280"/>
      <c r="AL114" s="280"/>
      <c r="AM114" s="280"/>
      <c r="AN114" s="280"/>
      <c r="AO114" s="280"/>
      <c r="AP114" s="280"/>
      <c r="AQ114" s="280"/>
      <c r="AR114" s="280"/>
      <c r="AS114" s="280"/>
      <c r="AT114" s="280"/>
      <c r="AU114" s="280"/>
      <c r="AV114" s="281"/>
      <c r="AW114" s="281"/>
      <c r="AX114" s="281"/>
      <c r="AY114" s="281"/>
      <c r="AZ114" s="28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</row>
    <row r="115" spans="1:126">
      <c r="A115" s="280"/>
      <c r="B115" s="280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458"/>
      <c r="N115" s="288"/>
      <c r="O115" s="288"/>
      <c r="P115" s="288"/>
      <c r="Q115" s="288"/>
      <c r="R115" s="288"/>
      <c r="S115" s="288"/>
      <c r="T115" s="288"/>
      <c r="U115" s="288"/>
      <c r="V115" s="288"/>
      <c r="W115" s="459"/>
      <c r="X115" s="455"/>
      <c r="Y115" s="280"/>
      <c r="Z115" s="280"/>
      <c r="AA115" s="280"/>
      <c r="AB115" s="280"/>
      <c r="AC115" s="280"/>
      <c r="AD115" s="280"/>
      <c r="AE115" s="280"/>
      <c r="AF115" s="280"/>
      <c r="AG115" s="280"/>
      <c r="AH115" s="280"/>
      <c r="AI115" s="280"/>
      <c r="AJ115" s="280"/>
      <c r="AK115" s="280"/>
      <c r="AL115" s="280"/>
      <c r="AM115" s="280"/>
      <c r="AN115" s="280"/>
      <c r="AO115" s="280"/>
      <c r="AP115" s="280"/>
      <c r="AQ115" s="280"/>
      <c r="AR115" s="280"/>
      <c r="AS115" s="280"/>
      <c r="AT115" s="280"/>
      <c r="AU115" s="280"/>
      <c r="AV115" s="281"/>
      <c r="AW115" s="281"/>
      <c r="AX115" s="281"/>
      <c r="AY115" s="281"/>
      <c r="AZ115" s="28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</row>
    <row r="116" spans="1:126">
      <c r="A116" s="280"/>
      <c r="B116" s="280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458"/>
      <c r="N116" s="288"/>
      <c r="O116" s="288"/>
      <c r="P116" s="288"/>
      <c r="Q116" s="288"/>
      <c r="R116" s="288"/>
      <c r="S116" s="288"/>
      <c r="T116" s="288"/>
      <c r="U116" s="288"/>
      <c r="V116" s="288"/>
      <c r="W116" s="459"/>
      <c r="X116" s="455"/>
      <c r="Y116" s="280"/>
      <c r="Z116" s="280"/>
      <c r="AA116" s="280"/>
      <c r="AB116" s="280"/>
      <c r="AC116" s="280"/>
      <c r="AD116" s="280"/>
      <c r="AE116" s="280"/>
      <c r="AF116" s="280"/>
      <c r="AG116" s="280"/>
      <c r="AH116" s="280"/>
      <c r="AI116" s="280"/>
      <c r="AJ116" s="280"/>
      <c r="AK116" s="280"/>
      <c r="AL116" s="280"/>
      <c r="AM116" s="280"/>
      <c r="AN116" s="280"/>
      <c r="AO116" s="280"/>
      <c r="AP116" s="280"/>
      <c r="AQ116" s="280"/>
      <c r="AR116" s="280"/>
      <c r="AS116" s="280"/>
      <c r="AT116" s="280"/>
      <c r="AU116" s="280"/>
      <c r="AV116" s="281"/>
      <c r="AW116" s="281"/>
      <c r="AX116" s="281"/>
      <c r="AY116" s="281"/>
      <c r="AZ116" s="28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</row>
    <row r="117" spans="1:126">
      <c r="A117" s="280"/>
      <c r="B117" s="280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458"/>
      <c r="N117" s="288"/>
      <c r="O117" s="288"/>
      <c r="P117" s="288"/>
      <c r="Q117" s="288"/>
      <c r="R117" s="288"/>
      <c r="S117" s="288"/>
      <c r="T117" s="288"/>
      <c r="U117" s="288"/>
      <c r="V117" s="288"/>
      <c r="W117" s="459"/>
      <c r="X117" s="455"/>
      <c r="Y117" s="280"/>
      <c r="Z117" s="280"/>
      <c r="AA117" s="280"/>
      <c r="AB117" s="280"/>
      <c r="AC117" s="280"/>
      <c r="AD117" s="280"/>
      <c r="AE117" s="280"/>
      <c r="AF117" s="280"/>
      <c r="AG117" s="280"/>
      <c r="AH117" s="280"/>
      <c r="AI117" s="280"/>
      <c r="AJ117" s="280"/>
      <c r="AK117" s="280"/>
      <c r="AL117" s="280"/>
      <c r="AM117" s="280"/>
      <c r="AN117" s="280"/>
      <c r="AO117" s="280"/>
      <c r="AP117" s="280"/>
      <c r="AQ117" s="280"/>
      <c r="AR117" s="280"/>
      <c r="AS117" s="280"/>
      <c r="AT117" s="280"/>
      <c r="AU117" s="280"/>
      <c r="AV117" s="281"/>
      <c r="AW117" s="281"/>
      <c r="AX117" s="281"/>
      <c r="AY117" s="281"/>
      <c r="AZ117" s="28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</row>
    <row r="118" spans="1:126">
      <c r="A118" s="280"/>
      <c r="B118" s="280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458"/>
      <c r="N118" s="288"/>
      <c r="O118" s="288"/>
      <c r="P118" s="288"/>
      <c r="Q118" s="288"/>
      <c r="R118" s="288"/>
      <c r="S118" s="288"/>
      <c r="T118" s="288"/>
      <c r="U118" s="288"/>
      <c r="V118" s="288"/>
      <c r="W118" s="459"/>
      <c r="X118" s="455"/>
      <c r="Y118" s="280"/>
      <c r="Z118" s="280"/>
      <c r="AA118" s="280"/>
      <c r="AB118" s="280"/>
      <c r="AC118" s="280"/>
      <c r="AD118" s="280"/>
      <c r="AE118" s="280"/>
      <c r="AF118" s="280"/>
      <c r="AG118" s="280"/>
      <c r="AH118" s="280"/>
      <c r="AI118" s="280"/>
      <c r="AJ118" s="280"/>
      <c r="AK118" s="280"/>
      <c r="AL118" s="280"/>
      <c r="AM118" s="280"/>
      <c r="AN118" s="280"/>
      <c r="AO118" s="280"/>
      <c r="AP118" s="280"/>
      <c r="AQ118" s="280"/>
      <c r="AR118" s="280"/>
      <c r="AS118" s="280"/>
      <c r="AT118" s="280"/>
      <c r="AU118" s="280"/>
      <c r="AV118" s="281"/>
      <c r="AW118" s="281"/>
      <c r="AX118" s="281"/>
      <c r="AY118" s="281"/>
      <c r="AZ118" s="28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</row>
    <row r="119" spans="1:126">
      <c r="A119" s="280"/>
      <c r="B119" s="280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458"/>
      <c r="N119" s="460"/>
      <c r="O119" s="460"/>
      <c r="P119" s="460"/>
      <c r="Q119" s="460"/>
      <c r="R119" s="460"/>
      <c r="S119" s="460"/>
      <c r="T119" s="460"/>
      <c r="U119" s="460"/>
      <c r="V119" s="460"/>
      <c r="W119" s="460"/>
      <c r="X119" s="455"/>
      <c r="Y119" s="280"/>
      <c r="Z119" s="280"/>
      <c r="AA119" s="280"/>
      <c r="AB119" s="280"/>
      <c r="AC119" s="280"/>
      <c r="AD119" s="280"/>
      <c r="AE119" s="280"/>
      <c r="AF119" s="280"/>
      <c r="AG119" s="280"/>
      <c r="AH119" s="280"/>
      <c r="AI119" s="280"/>
      <c r="AJ119" s="280"/>
      <c r="AK119" s="280"/>
      <c r="AL119" s="280"/>
      <c r="AM119" s="280"/>
      <c r="AN119" s="280"/>
      <c r="AO119" s="280"/>
      <c r="AP119" s="280"/>
      <c r="AQ119" s="280"/>
      <c r="AR119" s="280"/>
      <c r="AS119" s="280"/>
      <c r="AT119" s="280"/>
      <c r="AU119" s="280"/>
      <c r="AV119" s="281"/>
      <c r="AW119" s="281"/>
      <c r="AX119" s="281"/>
      <c r="AY119" s="281"/>
      <c r="AZ119" s="28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</row>
    <row r="120" spans="1:126">
      <c r="A120" s="280"/>
      <c r="B120" s="280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455"/>
      <c r="N120" s="455"/>
      <c r="O120" s="455"/>
      <c r="P120" s="455"/>
      <c r="Q120" s="455"/>
      <c r="R120" s="455"/>
      <c r="S120" s="455"/>
      <c r="T120" s="455"/>
      <c r="U120" s="455"/>
      <c r="V120" s="455"/>
      <c r="W120" s="455"/>
      <c r="X120" s="455"/>
      <c r="Y120" s="280"/>
      <c r="Z120" s="280"/>
      <c r="AA120" s="280"/>
      <c r="AB120" s="280"/>
      <c r="AC120" s="280"/>
      <c r="AD120" s="280"/>
      <c r="AE120" s="280"/>
      <c r="AF120" s="280"/>
      <c r="AG120" s="280"/>
      <c r="AH120" s="280"/>
      <c r="AI120" s="280"/>
      <c r="AJ120" s="280"/>
      <c r="AK120" s="280"/>
      <c r="AL120" s="280"/>
      <c r="AM120" s="280"/>
      <c r="AN120" s="280"/>
      <c r="AO120" s="280"/>
      <c r="AP120" s="280"/>
      <c r="AQ120" s="280"/>
      <c r="AR120" s="280"/>
      <c r="AS120" s="280"/>
      <c r="AT120" s="280"/>
      <c r="AU120" s="280"/>
      <c r="AV120" s="281"/>
      <c r="AW120" s="281"/>
      <c r="AX120" s="281"/>
      <c r="AY120" s="281"/>
      <c r="AZ120" s="28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</row>
    <row r="121" spans="1:126">
      <c r="A121" s="280"/>
      <c r="B121" s="280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455"/>
      <c r="N121" s="455"/>
      <c r="O121" s="455"/>
      <c r="P121" s="455"/>
      <c r="Q121" s="455"/>
      <c r="R121" s="455"/>
      <c r="S121" s="455"/>
      <c r="T121" s="455"/>
      <c r="U121" s="455"/>
      <c r="V121" s="455"/>
      <c r="W121" s="455"/>
      <c r="X121" s="455"/>
      <c r="Y121" s="280"/>
      <c r="Z121" s="280"/>
      <c r="AA121" s="280"/>
      <c r="AB121" s="280"/>
      <c r="AC121" s="280"/>
      <c r="AD121" s="280"/>
      <c r="AE121" s="280"/>
      <c r="AF121" s="280"/>
      <c r="AG121" s="280"/>
      <c r="AH121" s="280"/>
      <c r="AI121" s="280"/>
      <c r="AJ121" s="280"/>
      <c r="AK121" s="280"/>
      <c r="AL121" s="280"/>
      <c r="AM121" s="280"/>
      <c r="AN121" s="280"/>
      <c r="AO121" s="280"/>
      <c r="AP121" s="280"/>
      <c r="AQ121" s="280"/>
      <c r="AR121" s="280"/>
      <c r="AS121" s="280"/>
      <c r="AT121" s="280"/>
      <c r="AU121" s="280"/>
      <c r="AV121" s="281"/>
      <c r="AW121" s="281"/>
      <c r="AX121" s="281"/>
      <c r="AY121" s="281"/>
      <c r="AZ121" s="28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</row>
    <row r="122" spans="1:126">
      <c r="A122" s="280"/>
      <c r="B122" s="280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455"/>
      <c r="N122" s="455"/>
      <c r="O122" s="455"/>
      <c r="P122" s="455"/>
      <c r="Q122" s="455"/>
      <c r="R122" s="455"/>
      <c r="S122" s="455"/>
      <c r="T122" s="455"/>
      <c r="U122" s="455"/>
      <c r="V122" s="455"/>
      <c r="W122" s="455"/>
      <c r="X122" s="455"/>
      <c r="Y122" s="280"/>
      <c r="Z122" s="280"/>
      <c r="AA122" s="280"/>
      <c r="AB122" s="280"/>
      <c r="AC122" s="280"/>
      <c r="AD122" s="280"/>
      <c r="AE122" s="280"/>
      <c r="AF122" s="280"/>
      <c r="AG122" s="280"/>
      <c r="AH122" s="280"/>
      <c r="AI122" s="280"/>
      <c r="AJ122" s="280"/>
      <c r="AK122" s="280"/>
      <c r="AL122" s="280"/>
      <c r="AM122" s="280"/>
      <c r="AN122" s="280"/>
      <c r="AO122" s="280"/>
      <c r="AP122" s="280"/>
      <c r="AQ122" s="280"/>
      <c r="AR122" s="280"/>
      <c r="AS122" s="280"/>
      <c r="AT122" s="280"/>
      <c r="AU122" s="280"/>
      <c r="AV122" s="281"/>
      <c r="AW122" s="281"/>
      <c r="AX122" s="281"/>
      <c r="AY122" s="281"/>
      <c r="AZ122" s="28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</row>
    <row r="123" spans="1:126">
      <c r="A123" s="280"/>
      <c r="B123" s="280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455"/>
      <c r="N123" s="455"/>
      <c r="O123" s="455"/>
      <c r="P123" s="455"/>
      <c r="Q123" s="455"/>
      <c r="R123" s="455"/>
      <c r="S123" s="455"/>
      <c r="T123" s="455"/>
      <c r="U123" s="455"/>
      <c r="V123" s="455"/>
      <c r="W123" s="455"/>
      <c r="X123" s="455"/>
      <c r="Y123" s="280"/>
      <c r="Z123" s="280"/>
      <c r="AA123" s="280"/>
      <c r="AB123" s="280"/>
      <c r="AC123" s="280"/>
      <c r="AD123" s="280"/>
      <c r="AE123" s="280"/>
      <c r="AF123" s="280"/>
      <c r="AG123" s="280"/>
      <c r="AH123" s="280"/>
      <c r="AI123" s="280"/>
      <c r="AJ123" s="280"/>
      <c r="AK123" s="280"/>
      <c r="AL123" s="280"/>
      <c r="AM123" s="280"/>
      <c r="AN123" s="280"/>
      <c r="AO123" s="280"/>
      <c r="AP123" s="280"/>
      <c r="AQ123" s="280"/>
      <c r="AR123" s="280"/>
      <c r="AS123" s="280"/>
      <c r="AT123" s="280"/>
      <c r="AU123" s="280"/>
      <c r="AV123" s="281"/>
      <c r="AW123" s="281"/>
      <c r="AX123" s="281"/>
      <c r="AY123" s="281"/>
      <c r="AZ123" s="28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</row>
    <row r="124" spans="1:126">
      <c r="A124" s="280"/>
      <c r="B124" s="280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  <c r="AE124" s="280"/>
      <c r="AF124" s="280"/>
      <c r="AG124" s="280"/>
      <c r="AH124" s="280"/>
      <c r="AI124" s="280"/>
      <c r="AJ124" s="280"/>
      <c r="AK124" s="280"/>
      <c r="AL124" s="280"/>
      <c r="AM124" s="280"/>
      <c r="AN124" s="280"/>
      <c r="AO124" s="280"/>
      <c r="AP124" s="280"/>
      <c r="AQ124" s="280"/>
      <c r="AR124" s="280"/>
      <c r="AS124" s="280"/>
      <c r="AT124" s="280"/>
      <c r="AU124" s="280"/>
      <c r="AV124" s="281"/>
      <c r="AW124" s="281"/>
      <c r="AX124" s="281"/>
      <c r="AY124" s="281"/>
      <c r="AZ124" s="28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</row>
    <row r="125" spans="1:126">
      <c r="A125" s="280"/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  <c r="AE125" s="280"/>
      <c r="AF125" s="280"/>
      <c r="AG125" s="280"/>
      <c r="AH125" s="280"/>
      <c r="AI125" s="280"/>
      <c r="AJ125" s="280"/>
      <c r="AK125" s="280"/>
      <c r="AL125" s="280"/>
      <c r="AM125" s="280"/>
      <c r="AN125" s="280"/>
      <c r="AO125" s="280"/>
      <c r="AP125" s="280"/>
      <c r="AQ125" s="280"/>
      <c r="AR125" s="280"/>
      <c r="AS125" s="280"/>
      <c r="AT125" s="280"/>
      <c r="AU125" s="280"/>
      <c r="AV125" s="281"/>
      <c r="AW125" s="281"/>
      <c r="AX125" s="281"/>
      <c r="AY125" s="281"/>
      <c r="AZ125" s="28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</row>
    <row r="126" spans="1:126">
      <c r="A126" s="280"/>
      <c r="B126" s="280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  <c r="AE126" s="280"/>
      <c r="AF126" s="280"/>
      <c r="AG126" s="280"/>
      <c r="AH126" s="280"/>
      <c r="AI126" s="280"/>
      <c r="AJ126" s="280"/>
      <c r="AK126" s="280"/>
      <c r="AL126" s="280"/>
      <c r="AM126" s="280"/>
      <c r="AN126" s="280"/>
      <c r="AO126" s="280"/>
      <c r="AP126" s="280"/>
      <c r="AQ126" s="280"/>
      <c r="AR126" s="280"/>
      <c r="AS126" s="280"/>
      <c r="AT126" s="280"/>
      <c r="AU126" s="280"/>
      <c r="AV126" s="281"/>
      <c r="AW126" s="281"/>
      <c r="AX126" s="281"/>
      <c r="AY126" s="281"/>
      <c r="AZ126" s="28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</row>
    <row r="127" spans="1:126">
      <c r="A127" s="280"/>
      <c r="B127" s="280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  <c r="AE127" s="280"/>
      <c r="AF127" s="280"/>
      <c r="AG127" s="280"/>
      <c r="AH127" s="280"/>
      <c r="AI127" s="280"/>
      <c r="AJ127" s="280"/>
      <c r="AK127" s="280"/>
      <c r="AL127" s="280"/>
      <c r="AM127" s="280"/>
      <c r="AN127" s="280"/>
      <c r="AO127" s="280"/>
      <c r="AP127" s="280"/>
      <c r="AQ127" s="280"/>
      <c r="AR127" s="280"/>
      <c r="AS127" s="280"/>
      <c r="AT127" s="280"/>
      <c r="AU127" s="280"/>
      <c r="AV127" s="281"/>
      <c r="AW127" s="281"/>
      <c r="AX127" s="281"/>
      <c r="AY127" s="281"/>
      <c r="AZ127" s="28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</row>
    <row r="128" spans="1:126">
      <c r="A128" s="280"/>
      <c r="B128" s="280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  <c r="AE128" s="280"/>
      <c r="AF128" s="280"/>
      <c r="AG128" s="280"/>
      <c r="AH128" s="280"/>
      <c r="AI128" s="280"/>
      <c r="AJ128" s="280"/>
      <c r="AK128" s="280"/>
      <c r="AL128" s="280"/>
      <c r="AM128" s="280"/>
      <c r="AN128" s="280"/>
      <c r="AO128" s="280"/>
      <c r="AP128" s="280"/>
      <c r="AQ128" s="280"/>
      <c r="AR128" s="280"/>
      <c r="AS128" s="280"/>
      <c r="AT128" s="280"/>
      <c r="AU128" s="280"/>
      <c r="AV128" s="281"/>
      <c r="AW128" s="281"/>
      <c r="AX128" s="281"/>
      <c r="AY128" s="281"/>
      <c r="AZ128" s="28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</row>
    <row r="129" spans="1:126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</row>
    <row r="130" spans="1:126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</row>
    <row r="131" spans="1:126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</row>
    <row r="132" spans="1:126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</row>
    <row r="133" spans="1:126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</row>
    <row r="134" spans="1:126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</row>
    <row r="135" spans="1:126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</row>
    <row r="136" spans="1:12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</row>
    <row r="137" spans="1:126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</row>
    <row r="138" spans="1:126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</row>
    <row r="139" spans="1:126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</row>
    <row r="140" spans="1:126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</row>
    <row r="141" spans="1:126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</row>
    <row r="142" spans="1:126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</row>
    <row r="143" spans="1:126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</row>
    <row r="144" spans="1:126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</row>
    <row r="145" spans="1:126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</row>
    <row r="146" spans="1:12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</row>
    <row r="147" spans="1:126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</row>
    <row r="148" spans="1:126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</row>
    <row r="149" spans="1:126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</row>
    <row r="150" spans="1:126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</row>
    <row r="151" spans="1:126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</row>
    <row r="152" spans="1:126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</row>
    <row r="153" spans="1:126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</row>
    <row r="154" spans="1:126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</row>
    <row r="155" spans="1:126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</row>
    <row r="156" spans="1:12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</row>
    <row r="157" spans="1:126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</row>
    <row r="158" spans="1:126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</row>
    <row r="159" spans="1:126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</row>
    <row r="160" spans="1:126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</row>
    <row r="161" spans="1:126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</row>
    <row r="162" spans="1:126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</row>
    <row r="163" spans="1:126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</row>
    <row r="164" spans="1:126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</row>
    <row r="165" spans="1:126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</row>
    <row r="166" spans="1:12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</row>
    <row r="167" spans="1:126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</row>
    <row r="168" spans="1:126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</row>
    <row r="169" spans="1:126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</row>
    <row r="170" spans="1:126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</row>
    <row r="171" spans="1:126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</row>
    <row r="172" spans="1:126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</row>
    <row r="173" spans="1:126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</row>
    <row r="174" spans="1:126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</row>
    <row r="175" spans="1:126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</row>
    <row r="176" spans="1:12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</row>
    <row r="177" spans="1:126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</row>
    <row r="178" spans="1:126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</row>
    <row r="179" spans="1:126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</row>
    <row r="180" spans="1:126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</row>
    <row r="181" spans="1:126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</row>
    <row r="182" spans="1:126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</row>
    <row r="183" spans="1:126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</row>
    <row r="184" spans="1:126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</row>
    <row r="185" spans="1:126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</row>
    <row r="186" spans="1:12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</row>
    <row r="187" spans="1:126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</row>
    <row r="188" spans="1:126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</row>
    <row r="189" spans="1:126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</row>
    <row r="190" spans="1:126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</row>
    <row r="191" spans="1:126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</row>
    <row r="192" spans="1:126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</row>
    <row r="193" spans="1:126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</row>
    <row r="194" spans="1:126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</row>
    <row r="195" spans="1:126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</row>
    <row r="196" spans="1:12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</row>
    <row r="197" spans="1:126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</row>
    <row r="198" spans="1:126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</row>
    <row r="199" spans="1:126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</row>
    <row r="200" spans="1:126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</row>
    <row r="201" spans="1:126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</row>
    <row r="202" spans="1:126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</row>
    <row r="203" spans="1:126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</row>
    <row r="204" spans="1:126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</row>
    <row r="205" spans="1:126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</row>
    <row r="206" spans="1:12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</row>
    <row r="207" spans="1:126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</row>
    <row r="208" spans="1:126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</row>
    <row r="209" spans="1:126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</row>
    <row r="210" spans="1:126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</row>
    <row r="211" spans="1:126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</row>
    <row r="212" spans="1:126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</row>
    <row r="213" spans="1:126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</row>
    <row r="214" spans="1:126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</row>
    <row r="215" spans="1:126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</row>
    <row r="216" spans="1:12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</row>
    <row r="217" spans="1:126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</row>
    <row r="218" spans="1:126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</row>
    <row r="219" spans="1:126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</row>
    <row r="220" spans="1:126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</row>
    <row r="221" spans="1:126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</row>
    <row r="222" spans="1:126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</row>
    <row r="223" spans="1:126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</row>
    <row r="224" spans="1:126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</row>
    <row r="225" spans="1:126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</row>
    <row r="226" spans="1:1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</row>
    <row r="227" spans="1:126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</row>
    <row r="228" spans="1:126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</row>
    <row r="229" spans="1:126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</row>
    <row r="230" spans="1:126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</row>
    <row r="231" spans="1:126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</row>
    <row r="232" spans="1:126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</row>
    <row r="233" spans="1:126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</row>
    <row r="234" spans="1:126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</row>
    <row r="235" spans="1:126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</row>
    <row r="236" spans="1:12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</row>
    <row r="237" spans="1:126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</row>
    <row r="238" spans="1:126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</row>
    <row r="239" spans="1:126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</row>
    <row r="240" spans="1:126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</row>
    <row r="241" spans="1:126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</row>
    <row r="242" spans="1:126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</row>
    <row r="243" spans="1:126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</row>
    <row r="244" spans="1:126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</row>
    <row r="245" spans="1:126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</row>
    <row r="246" spans="1:12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</row>
    <row r="247" spans="1:126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</row>
    <row r="248" spans="1:126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</row>
    <row r="249" spans="1:126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</row>
    <row r="250" spans="1:126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</row>
    <row r="251" spans="1:126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</row>
    <row r="252" spans="1:126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</row>
    <row r="253" spans="1:126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</row>
    <row r="254" spans="1:126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</row>
    <row r="255" spans="1:126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</row>
    <row r="256" spans="1:12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</row>
    <row r="257" spans="1:126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</row>
    <row r="258" spans="1:126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</row>
    <row r="259" spans="1:126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</row>
    <row r="260" spans="1:126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</row>
    <row r="261" spans="1:126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</row>
    <row r="262" spans="1:126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</row>
    <row r="263" spans="1:126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</row>
    <row r="264" spans="1:126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</row>
    <row r="265" spans="1:126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</row>
    <row r="266" spans="1:12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</row>
    <row r="267" spans="1:126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</row>
    <row r="268" spans="1:126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</row>
    <row r="269" spans="1:126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</row>
    <row r="270" spans="1:126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</row>
    <row r="271" spans="1:126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</row>
    <row r="272" spans="1:126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</row>
    <row r="273" spans="1:126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</row>
    <row r="274" spans="1:126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</row>
    <row r="275" spans="1:126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</row>
    <row r="276" spans="1:12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</row>
    <row r="277" spans="1:126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</row>
    <row r="278" spans="1:126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</row>
    <row r="279" spans="1:126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</row>
    <row r="280" spans="1:126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</row>
    <row r="281" spans="1:126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</row>
    <row r="282" spans="1:126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</row>
    <row r="283" spans="1:126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</row>
    <row r="284" spans="1:126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</row>
    <row r="285" spans="1:126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</row>
    <row r="286" spans="1:12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</row>
    <row r="287" spans="1:126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</row>
    <row r="288" spans="1:126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</row>
    <row r="289" spans="1:126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</row>
    <row r="290" spans="1:126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</row>
    <row r="291" spans="1:126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</row>
    <row r="292" spans="1:126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</row>
    <row r="293" spans="1:126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</row>
    <row r="294" spans="1:126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</row>
    <row r="295" spans="1:126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</row>
    <row r="296" spans="1:12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</row>
    <row r="297" spans="1:126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</row>
    <row r="298" spans="1:126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</row>
    <row r="299" spans="1:126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</row>
    <row r="300" spans="1:126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</row>
    <row r="301" spans="1:126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</row>
    <row r="302" spans="1:126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</row>
    <row r="303" spans="1:126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</row>
    <row r="304" spans="1:126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</row>
    <row r="305" spans="1:126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</row>
    <row r="306" spans="1:12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</row>
    <row r="307" spans="1:126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</row>
    <row r="308" spans="1:126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</row>
    <row r="309" spans="1:126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</row>
    <row r="310" spans="1:126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</row>
    <row r="311" spans="1:126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</row>
    <row r="312" spans="1:126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</row>
    <row r="313" spans="1:126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</row>
    <row r="314" spans="1:126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</row>
    <row r="315" spans="1:126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</row>
    <row r="316" spans="1:12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</row>
    <row r="317" spans="1:126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</row>
    <row r="318" spans="1:126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</row>
    <row r="319" spans="1:126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</row>
    <row r="320" spans="1:126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</row>
    <row r="321" spans="1:126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</row>
    <row r="322" spans="1:126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</row>
    <row r="323" spans="1:126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</row>
    <row r="324" spans="1:126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</row>
    <row r="325" spans="1:126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</row>
    <row r="326" spans="1:1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</row>
    <row r="327" spans="1:126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</row>
    <row r="328" spans="1:126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</row>
    <row r="329" spans="1:126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</row>
    <row r="330" spans="1:126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</row>
    <row r="331" spans="1:126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</row>
    <row r="332" spans="1:126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</row>
    <row r="333" spans="1:126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</row>
    <row r="334" spans="1:126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</row>
    <row r="335" spans="1:126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</row>
    <row r="336" spans="1:12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</row>
    <row r="337" spans="1:126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</row>
    <row r="338" spans="1:126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</row>
    <row r="339" spans="1:126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</row>
    <row r="340" spans="1:126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</row>
    <row r="341" spans="1:126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</row>
    <row r="342" spans="1:126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</row>
    <row r="343" spans="1:126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</row>
    <row r="344" spans="1:126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</row>
    <row r="345" spans="1:126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</row>
    <row r="346" spans="1:12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</row>
    <row r="347" spans="1:126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</row>
    <row r="348" spans="1:126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</row>
    <row r="349" spans="1:126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</row>
    <row r="350" spans="1:126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</row>
    <row r="351" spans="1:126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</row>
    <row r="352" spans="1:126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</row>
    <row r="353" spans="1:126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</row>
    <row r="354" spans="1:126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</row>
    <row r="355" spans="1:126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</row>
    <row r="356" spans="1:12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</row>
    <row r="357" spans="1:126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</row>
    <row r="358" spans="1:126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</row>
    <row r="359" spans="1:126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</row>
    <row r="360" spans="1:126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</row>
    <row r="361" spans="1:126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</row>
    <row r="362" spans="1:126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</row>
    <row r="363" spans="1:126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</row>
    <row r="364" spans="1:126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</row>
    <row r="365" spans="1:126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</row>
    <row r="366" spans="1:12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</row>
    <row r="367" spans="1:126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</row>
    <row r="368" spans="1:126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</row>
    <row r="369" spans="1:126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</row>
    <row r="370" spans="1:126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</row>
    <row r="371" spans="1:126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</row>
    <row r="372" spans="1:126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</row>
    <row r="373" spans="1:126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</row>
    <row r="374" spans="1:126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</row>
    <row r="375" spans="1:126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</row>
    <row r="376" spans="1:12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</row>
    <row r="377" spans="1:126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</row>
    <row r="378" spans="1:126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</row>
    <row r="379" spans="1:126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</row>
    <row r="380" spans="1:126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</row>
    <row r="381" spans="1:126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</row>
    <row r="382" spans="1:126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</row>
    <row r="383" spans="1:126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</row>
    <row r="384" spans="1:126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</row>
    <row r="385" spans="1:126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</row>
    <row r="386" spans="1:12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</row>
    <row r="387" spans="1:126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</row>
    <row r="388" spans="1:126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</row>
    <row r="389" spans="1:126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</row>
    <row r="390" spans="1:126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</row>
    <row r="391" spans="1:126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</row>
    <row r="392" spans="1:126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</row>
    <row r="393" spans="1:126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</row>
    <row r="394" spans="1:126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</row>
    <row r="395" spans="1:126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</row>
    <row r="396" spans="1:12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</row>
    <row r="397" spans="1:126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</row>
    <row r="398" spans="1:126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</row>
    <row r="399" spans="1:126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</row>
    <row r="400" spans="1:126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</row>
    <row r="401" spans="1:126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</row>
    <row r="402" spans="1:126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</row>
    <row r="403" spans="1:126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</row>
    <row r="404" spans="1:126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</row>
    <row r="405" spans="1:126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</row>
    <row r="406" spans="1:12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</row>
    <row r="407" spans="1:126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</row>
    <row r="408" spans="1:126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</row>
    <row r="409" spans="1:126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</row>
    <row r="410" spans="1:126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</row>
    <row r="411" spans="1:126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</row>
    <row r="412" spans="1:126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</row>
    <row r="413" spans="1:126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</row>
    <row r="414" spans="1:126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</row>
    <row r="415" spans="1:126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</row>
    <row r="416" spans="1:12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</row>
    <row r="417" spans="1:126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</row>
    <row r="418" spans="1:126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</row>
    <row r="419" spans="1:126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</row>
    <row r="420" spans="1:126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</row>
    <row r="421" spans="1:126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</row>
    <row r="422" spans="1:126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</row>
    <row r="423" spans="1:126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</row>
    <row r="424" spans="1:126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</row>
    <row r="425" spans="1:126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</row>
    <row r="426" spans="1:1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</row>
    <row r="427" spans="1:126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</row>
    <row r="428" spans="1:126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</row>
    <row r="429" spans="1:126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</row>
    <row r="430" spans="1:126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</row>
    <row r="431" spans="1:126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</row>
    <row r="432" spans="1:126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</row>
    <row r="433" spans="1:126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</row>
    <row r="434" spans="1:126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</row>
    <row r="435" spans="1:126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</row>
    <row r="436" spans="1:12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</row>
    <row r="437" spans="1:126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</row>
    <row r="438" spans="1:126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</row>
    <row r="439" spans="1:126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</row>
    <row r="440" spans="1:126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</row>
    <row r="441" spans="1:126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</row>
    <row r="442" spans="1:126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</row>
    <row r="443" spans="1:126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</row>
    <row r="444" spans="1:126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</row>
    <row r="445" spans="1:126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</row>
    <row r="446" spans="1:12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</row>
    <row r="447" spans="1:126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</row>
    <row r="448" spans="1:126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</row>
    <row r="449" spans="1:126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</row>
    <row r="450" spans="1:126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</row>
    <row r="451" spans="1:126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</row>
    <row r="452" spans="1:126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</row>
    <row r="453" spans="1:126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</row>
    <row r="454" spans="1:126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</row>
    <row r="455" spans="1:126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</row>
    <row r="456" spans="1:12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</row>
    <row r="457" spans="1:126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</row>
    <row r="458" spans="1:126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</row>
    <row r="459" spans="1:126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</row>
    <row r="460" spans="1:126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</row>
    <row r="461" spans="1:126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</row>
    <row r="462" spans="1:126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</row>
    <row r="463" spans="1:126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</row>
    <row r="464" spans="1:126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</row>
    <row r="465" spans="1:126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</row>
    <row r="466" spans="1:12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</row>
    <row r="467" spans="1:126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</row>
    <row r="468" spans="1:126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</row>
    <row r="469" spans="1:126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</row>
    <row r="470" spans="1:126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</row>
    <row r="471" spans="1:126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</row>
    <row r="472" spans="1:126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</row>
    <row r="473" spans="1:126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</row>
    <row r="474" spans="1:126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</row>
    <row r="475" spans="1:126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</row>
    <row r="476" spans="1:12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</row>
    <row r="477" spans="1:126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</row>
    <row r="478" spans="1:126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</row>
    <row r="479" spans="1:126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</row>
    <row r="480" spans="1:126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</row>
    <row r="481" spans="1:126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</row>
    <row r="482" spans="1:126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</row>
    <row r="483" spans="1:126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</row>
    <row r="484" spans="1:126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</row>
    <row r="485" spans="1:126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</row>
    <row r="486" spans="1:12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</row>
    <row r="487" spans="1:126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</row>
    <row r="488" spans="1:126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</row>
    <row r="489" spans="1:126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</row>
    <row r="490" spans="1:126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</row>
    <row r="491" spans="1:126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</row>
    <row r="492" spans="1:126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</row>
    <row r="493" spans="1:126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</row>
    <row r="494" spans="1:126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</row>
    <row r="495" spans="1:126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</row>
    <row r="496" spans="1:12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</row>
    <row r="497" spans="1:126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</row>
    <row r="498" spans="1:126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</row>
    <row r="499" spans="1:126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</row>
    <row r="500" spans="1:126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</row>
    <row r="501" spans="1:126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</row>
    <row r="502" spans="1:126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</row>
    <row r="503" spans="1:126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</row>
    <row r="504" spans="1:126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</row>
    <row r="505" spans="1:126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</row>
    <row r="506" spans="1:12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</row>
    <row r="507" spans="1:126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</row>
    <row r="508" spans="1:126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</row>
    <row r="509" spans="1:126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</row>
    <row r="510" spans="1:126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</row>
    <row r="511" spans="1:126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</row>
    <row r="512" spans="1:126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</row>
    <row r="513" spans="1:126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</row>
    <row r="514" spans="1:126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</row>
    <row r="515" spans="1:126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</row>
    <row r="516" spans="1:12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</row>
    <row r="517" spans="1:126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</row>
    <row r="518" spans="1:126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</row>
    <row r="519" spans="1:126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</row>
    <row r="520" spans="1:126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</row>
    <row r="521" spans="1:126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</row>
    <row r="522" spans="1:126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</row>
    <row r="523" spans="1:126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</row>
    <row r="524" spans="1:126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</row>
    <row r="525" spans="1:126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</row>
    <row r="526" spans="1:1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</row>
    <row r="527" spans="1:126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</row>
    <row r="528" spans="1:126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</row>
    <row r="529" spans="1:126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</row>
    <row r="530" spans="1:126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</row>
    <row r="531" spans="1:126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</row>
    <row r="532" spans="1:126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</row>
    <row r="533" spans="1:126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</row>
    <row r="534" spans="1:126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</row>
    <row r="535" spans="1:126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</row>
    <row r="536" spans="1:12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</row>
    <row r="537" spans="1:126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</row>
    <row r="538" spans="1:126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</row>
    <row r="539" spans="1:126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</row>
    <row r="540" spans="1:126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</row>
    <row r="541" spans="1:126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</row>
    <row r="542" spans="1:126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</row>
    <row r="543" spans="1:126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</row>
    <row r="544" spans="1:126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</row>
    <row r="545" spans="1:126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</row>
    <row r="546" spans="1:12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</row>
    <row r="547" spans="1:126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</row>
    <row r="548" spans="1:126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</row>
    <row r="549" spans="1:126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</row>
    <row r="550" spans="1:126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</row>
    <row r="551" spans="1:126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</row>
    <row r="552" spans="1:126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</row>
    <row r="553" spans="1:126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</row>
    <row r="554" spans="1:126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</row>
    <row r="555" spans="1:126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</row>
    <row r="556" spans="1:12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</row>
    <row r="557" spans="1:126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</row>
    <row r="558" spans="1:126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</row>
    <row r="559" spans="1:126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</row>
    <row r="560" spans="1:126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</row>
    <row r="561" spans="1:126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</row>
    <row r="562" spans="1:126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</row>
    <row r="563" spans="1:126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</row>
    <row r="564" spans="1:126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</row>
    <row r="565" spans="1:126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</row>
    <row r="566" spans="1:12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</row>
    <row r="567" spans="1:126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</row>
    <row r="568" spans="1:126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</row>
    <row r="569" spans="1:126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</row>
    <row r="570" spans="1:126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</row>
    <row r="571" spans="1:126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</row>
    <row r="572" spans="1:126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</row>
    <row r="573" spans="1:126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</row>
    <row r="574" spans="1:126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</row>
    <row r="575" spans="1:126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</row>
    <row r="576" spans="1:12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</row>
    <row r="577" spans="1:126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</row>
    <row r="578" spans="1:126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</row>
    <row r="579" spans="1:126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</row>
    <row r="580" spans="1:126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</row>
    <row r="581" spans="1:126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</row>
    <row r="582" spans="1:126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</row>
    <row r="583" spans="1:126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</row>
    <row r="584" spans="1:126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</row>
    <row r="585" spans="1:126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</row>
    <row r="586" spans="1:12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</row>
    <row r="587" spans="1:126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</row>
    <row r="588" spans="1:126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</row>
    <row r="589" spans="1:126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</row>
    <row r="590" spans="1:126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</row>
    <row r="591" spans="1:126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</row>
    <row r="592" spans="1:126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</row>
    <row r="593" spans="1:126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</row>
    <row r="594" spans="1:126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</row>
    <row r="595" spans="1:126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</row>
    <row r="596" spans="1:12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</row>
    <row r="597" spans="1:126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</row>
    <row r="598" spans="1:126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</row>
    <row r="599" spans="1:126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</row>
    <row r="600" spans="1:126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</row>
    <row r="601" spans="1:126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</row>
    <row r="602" spans="1:126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</row>
    <row r="603" spans="1:126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</row>
    <row r="604" spans="1:126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</row>
    <row r="605" spans="1:126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</row>
    <row r="606" spans="1:12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</row>
    <row r="607" spans="1:126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</row>
    <row r="608" spans="1:126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</row>
    <row r="609" spans="1:126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</row>
    <row r="610" spans="1:126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</row>
    <row r="611" spans="1:126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</row>
    <row r="612" spans="1:126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</row>
    <row r="613" spans="1:126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</row>
    <row r="614" spans="1:126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</row>
    <row r="615" spans="1:126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</row>
    <row r="616" spans="1:12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</row>
    <row r="617" spans="1:126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</row>
    <row r="618" spans="1:126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</row>
    <row r="619" spans="1:126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</row>
    <row r="620" spans="1:126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</row>
    <row r="621" spans="1:126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</row>
    <row r="622" spans="1:126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</row>
    <row r="623" spans="1:126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</row>
    <row r="624" spans="1:126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</row>
    <row r="625" spans="1:126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</row>
    <row r="626" spans="1:1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</row>
    <row r="627" spans="1:126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</row>
    <row r="628" spans="1:126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</row>
    <row r="629" spans="1:126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</row>
    <row r="630" spans="1:126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</row>
    <row r="631" spans="1:126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</row>
    <row r="632" spans="1:126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</row>
    <row r="633" spans="1:126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</row>
    <row r="634" spans="1:126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</row>
    <row r="635" spans="1:126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</row>
    <row r="636" spans="1:12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</row>
    <row r="637" spans="1:126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</row>
    <row r="638" spans="1:126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</row>
    <row r="639" spans="1:126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</row>
    <row r="640" spans="1:126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</row>
    <row r="641" spans="1:126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</row>
    <row r="642" spans="1:126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</row>
    <row r="643" spans="1:126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</row>
    <row r="644" spans="1:126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</row>
    <row r="645" spans="1:126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</row>
    <row r="646" spans="1:12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</row>
    <row r="647" spans="1:126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</row>
    <row r="648" spans="1:126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</row>
    <row r="649" spans="1:126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</row>
    <row r="650" spans="1:126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</row>
    <row r="651" spans="1:126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</row>
    <row r="652" spans="1:126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</row>
    <row r="653" spans="1:126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</row>
    <row r="654" spans="1:126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</row>
    <row r="655" spans="1:126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</row>
    <row r="656" spans="1:12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</row>
    <row r="657" spans="1:126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</row>
    <row r="658" spans="1:126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</row>
    <row r="659" spans="1:126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</row>
    <row r="660" spans="1:126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</row>
    <row r="661" spans="1:126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</row>
    <row r="662" spans="1:126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</row>
    <row r="663" spans="1:126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</row>
    <row r="664" spans="1:126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</row>
    <row r="665" spans="1:126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</row>
    <row r="666" spans="1:12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</row>
    <row r="667" spans="1:126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</row>
    <row r="668" spans="1:126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</row>
    <row r="669" spans="1:126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</row>
    <row r="670" spans="1:126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</row>
    <row r="671" spans="1:126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</row>
    <row r="672" spans="1:126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</row>
    <row r="673" spans="1:126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</row>
    <row r="674" spans="1:126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</row>
    <row r="675" spans="1:126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</row>
    <row r="676" spans="1:12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</row>
    <row r="677" spans="1:126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</row>
    <row r="678" spans="1:126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</row>
    <row r="679" spans="1:126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</row>
    <row r="680" spans="1:126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</row>
    <row r="681" spans="1:126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</row>
    <row r="682" spans="1:126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</row>
    <row r="683" spans="1:126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</row>
    <row r="684" spans="1:126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</row>
    <row r="685" spans="1:126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</row>
    <row r="686" spans="1:12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</row>
    <row r="687" spans="1:126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</row>
    <row r="688" spans="1:126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</row>
    <row r="689" spans="1:126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</row>
    <row r="690" spans="1:126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</row>
    <row r="691" spans="1:126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</row>
    <row r="692" spans="1:126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</row>
    <row r="693" spans="1:126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</row>
    <row r="694" spans="1:126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</row>
    <row r="695" spans="1:126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</row>
    <row r="696" spans="1:12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</row>
    <row r="697" spans="1:126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</row>
    <row r="698" spans="1:126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</row>
    <row r="699" spans="1:126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</row>
    <row r="700" spans="1:126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</row>
    <row r="701" spans="1:126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</row>
    <row r="702" spans="1:126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</row>
    <row r="703" spans="1:126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</row>
    <row r="704" spans="1:126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</row>
    <row r="705" spans="1:126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</row>
    <row r="706" spans="1:12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</row>
    <row r="707" spans="1:126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</row>
    <row r="708" spans="1:126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</row>
    <row r="709" spans="1:126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</row>
    <row r="710" spans="1:126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</row>
    <row r="711" spans="1:126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</row>
    <row r="712" spans="1:126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</row>
    <row r="713" spans="1:126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</row>
    <row r="714" spans="1:126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</row>
    <row r="715" spans="1:126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</row>
    <row r="716" spans="1:12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</row>
    <row r="717" spans="1:126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</row>
    <row r="718" spans="1:126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</row>
    <row r="719" spans="1:126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</row>
    <row r="720" spans="1:126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</row>
    <row r="721" spans="1:126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</row>
    <row r="722" spans="1:126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</row>
    <row r="723" spans="1:126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</row>
    <row r="724" spans="1:126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</row>
    <row r="725" spans="1:126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</row>
    <row r="726" spans="1:1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</row>
    <row r="727" spans="1:126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</row>
    <row r="728" spans="1:126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</row>
    <row r="729" spans="1:126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</row>
    <row r="730" spans="1:126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</row>
    <row r="731" spans="1:126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</row>
    <row r="732" spans="1:126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</row>
    <row r="733" spans="1:126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</row>
    <row r="734" spans="1:126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</row>
    <row r="735" spans="1:126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</row>
    <row r="736" spans="1:12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</row>
    <row r="737" spans="1:126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</row>
    <row r="738" spans="1:126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</row>
    <row r="739" spans="1:126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</row>
    <row r="740" spans="1:126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</row>
    <row r="741" spans="1:126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</row>
    <row r="742" spans="1:126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</row>
    <row r="743" spans="1:126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</row>
    <row r="744" spans="1:126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</row>
    <row r="745" spans="1:126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</row>
    <row r="746" spans="1:12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</row>
    <row r="747" spans="1:126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</row>
    <row r="748" spans="1:126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</row>
    <row r="749" spans="1:126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</row>
    <row r="750" spans="1:126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</row>
    <row r="751" spans="1:126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</row>
    <row r="752" spans="1:126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</row>
    <row r="753" spans="1:126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</row>
    <row r="754" spans="1:126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</row>
    <row r="755" spans="1:126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</row>
    <row r="756" spans="1:12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</row>
    <row r="757" spans="1:126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</row>
    <row r="758" spans="1:126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</row>
    <row r="759" spans="1:126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</row>
    <row r="760" spans="1:126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</row>
    <row r="761" spans="1:126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</row>
    <row r="762" spans="1:126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</row>
    <row r="763" spans="1:126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</row>
    <row r="764" spans="1:126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</row>
    <row r="765" spans="1:126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</row>
    <row r="766" spans="1:12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</row>
    <row r="767" spans="1:126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</row>
    <row r="768" spans="1:126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</row>
    <row r="769" spans="1:126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</row>
    <row r="770" spans="1:126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</row>
    <row r="771" spans="1:126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</row>
    <row r="772" spans="1:126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</row>
    <row r="773" spans="1:126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</row>
    <row r="774" spans="1:126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</row>
    <row r="775" spans="1:126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</row>
    <row r="776" spans="1:12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</row>
    <row r="777" spans="1:126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</row>
    <row r="778" spans="1:126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</row>
    <row r="779" spans="1:126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</row>
    <row r="780" spans="1:126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</row>
    <row r="781" spans="1:126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</row>
    <row r="782" spans="1:126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</row>
    <row r="783" spans="1:126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</row>
    <row r="784" spans="1:126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</row>
    <row r="785" spans="1:126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</row>
    <row r="786" spans="1:12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</row>
    <row r="787" spans="1:126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</row>
    <row r="788" spans="1:126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</row>
    <row r="789" spans="1:126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</row>
    <row r="790" spans="1:126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</row>
    <row r="791" spans="1:126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</row>
    <row r="792" spans="1:126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</row>
    <row r="793" spans="1:126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</row>
    <row r="794" spans="1:126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</row>
    <row r="795" spans="1:126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</row>
    <row r="796" spans="1:12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</row>
    <row r="797" spans="1:126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</row>
    <row r="798" spans="1:126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</row>
    <row r="799" spans="1:126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</row>
    <row r="800" spans="1:126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</row>
    <row r="801" spans="1:126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</row>
    <row r="802" spans="1:126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</row>
    <row r="803" spans="1:126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</row>
    <row r="804" spans="1:126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</row>
    <row r="805" spans="1:126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</row>
    <row r="806" spans="1:12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</row>
    <row r="807" spans="1:126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</row>
    <row r="808" spans="1:126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</row>
    <row r="809" spans="1:126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</row>
    <row r="810" spans="1:126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</row>
    <row r="811" spans="1:126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</row>
    <row r="812" spans="1:126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</row>
    <row r="813" spans="1:126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</row>
    <row r="814" spans="1:126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</row>
    <row r="815" spans="1:126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</row>
    <row r="816" spans="1:12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</row>
    <row r="817" spans="1:126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</row>
    <row r="818" spans="1:126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</row>
    <row r="819" spans="1:126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</row>
    <row r="820" spans="1:126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</row>
    <row r="821" spans="1:126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</row>
    <row r="822" spans="1:126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</row>
    <row r="823" spans="1:126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</row>
    <row r="824" spans="1:126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</row>
    <row r="825" spans="1:126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</row>
    <row r="826" spans="1:1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</row>
    <row r="827" spans="1:126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</row>
    <row r="828" spans="1:126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</row>
    <row r="829" spans="1:126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</row>
    <row r="830" spans="1:126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</row>
    <row r="831" spans="1:126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</row>
    <row r="832" spans="1:126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</row>
    <row r="833" spans="1:126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</row>
    <row r="834" spans="1:126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</row>
    <row r="835" spans="1:126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</row>
    <row r="836" spans="1:12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</row>
    <row r="837" spans="1:126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</row>
    <row r="838" spans="1:126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</row>
    <row r="839" spans="1:126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</row>
    <row r="840" spans="1:126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</row>
    <row r="841" spans="1:126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</row>
    <row r="842" spans="1:126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</row>
    <row r="843" spans="1:126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</row>
    <row r="844" spans="1:126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</row>
    <row r="845" spans="1:126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</row>
    <row r="846" spans="1:12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</row>
    <row r="847" spans="1:126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</row>
    <row r="848" spans="1:126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</row>
    <row r="849" spans="1:126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</row>
    <row r="850" spans="1:126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</row>
    <row r="851" spans="1:126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</row>
    <row r="852" spans="1:126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</row>
    <row r="853" spans="1:126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</row>
    <row r="854" spans="1:126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</row>
    <row r="855" spans="1:126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</row>
    <row r="856" spans="1:12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</row>
    <row r="857" spans="1:126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</row>
    <row r="858" spans="1:126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</row>
    <row r="859" spans="1:126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</row>
    <row r="860" spans="1:126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</row>
    <row r="861" spans="1:126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</row>
    <row r="862" spans="1:126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</row>
    <row r="863" spans="1:126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</row>
    <row r="864" spans="1:126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</row>
    <row r="865" spans="1:126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</row>
    <row r="866" spans="1:12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</row>
    <row r="867" spans="1:126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</row>
    <row r="868" spans="1:126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</row>
    <row r="869" spans="1:126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</row>
    <row r="870" spans="1:126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</row>
    <row r="871" spans="1:126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</row>
    <row r="872" spans="1:126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</row>
    <row r="873" spans="1:126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</row>
    <row r="874" spans="1:126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</row>
    <row r="875" spans="1:126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</row>
    <row r="876" spans="1:12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</row>
    <row r="877" spans="1:126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</row>
    <row r="878" spans="1:126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</row>
    <row r="879" spans="1:126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</row>
    <row r="880" spans="1:126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</row>
    <row r="881" spans="1:126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</row>
    <row r="882" spans="1:126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</row>
    <row r="883" spans="1:126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</row>
    <row r="884" spans="1:126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</row>
    <row r="885" spans="1:126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</row>
    <row r="886" spans="1:12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</row>
    <row r="887" spans="1:126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</row>
    <row r="888" spans="1:126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</row>
    <row r="889" spans="1:126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</row>
    <row r="890" spans="1:126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</row>
    <row r="891" spans="1:126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</row>
    <row r="892" spans="1:126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</row>
    <row r="893" spans="1:126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</row>
    <row r="894" spans="1:126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</row>
    <row r="895" spans="1:126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</row>
    <row r="896" spans="1:12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</row>
    <row r="897" spans="1:126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</row>
    <row r="898" spans="1:126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</row>
    <row r="899" spans="1:126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</row>
    <row r="900" spans="1:126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</row>
    <row r="901" spans="1:126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</row>
    <row r="902" spans="1:126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</row>
    <row r="903" spans="1:126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</row>
    <row r="904" spans="1:126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</row>
    <row r="905" spans="1:126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</row>
    <row r="906" spans="1:12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</row>
    <row r="907" spans="1:126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</row>
    <row r="908" spans="1:126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</row>
    <row r="909" spans="1:126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</row>
    <row r="910" spans="1:126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</row>
    <row r="911" spans="1:126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</row>
    <row r="912" spans="1:126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</row>
    <row r="913" spans="1:126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</row>
    <row r="914" spans="1:126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</row>
    <row r="915" spans="1:126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</row>
    <row r="916" spans="1:12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</row>
    <row r="917" spans="1:126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</row>
    <row r="918" spans="1:126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</row>
    <row r="919" spans="1:126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</row>
    <row r="920" spans="1:126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</row>
    <row r="921" spans="1:126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</row>
    <row r="922" spans="1:126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</row>
    <row r="923" spans="1:126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</row>
    <row r="924" spans="1:126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</row>
    <row r="925" spans="1:126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</row>
    <row r="926" spans="1:1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</row>
    <row r="927" spans="1:126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</row>
    <row r="928" spans="1:126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</row>
    <row r="929" spans="1:126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</row>
    <row r="930" spans="1:126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</row>
    <row r="931" spans="1:126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</row>
    <row r="932" spans="1:126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</row>
    <row r="933" spans="1:126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</row>
    <row r="934" spans="1:126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</row>
    <row r="935" spans="1:126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</row>
    <row r="936" spans="1:12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</row>
    <row r="937" spans="1:126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</row>
    <row r="938" spans="1:126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</row>
    <row r="939" spans="1:126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</row>
    <row r="940" spans="1:126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</row>
    <row r="941" spans="1:126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</row>
    <row r="942" spans="1:126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</row>
    <row r="943" spans="1:126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</row>
    <row r="944" spans="1:126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</row>
    <row r="945" spans="1:126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</row>
    <row r="946" spans="1:12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</row>
    <row r="947" spans="1:126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</row>
    <row r="948" spans="1:126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</row>
    <row r="949" spans="1:126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</row>
    <row r="950" spans="1:126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</row>
    <row r="951" spans="1:126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</row>
    <row r="952" spans="1:126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</row>
    <row r="953" spans="1:126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</row>
    <row r="954" spans="1:126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</row>
    <row r="955" spans="1:126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</row>
    <row r="956" spans="1:12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</row>
    <row r="957" spans="1:126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</row>
    <row r="958" spans="1:126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</row>
    <row r="959" spans="1:126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</row>
    <row r="960" spans="1:126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</row>
    <row r="961" spans="1:126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</row>
    <row r="962" spans="1:126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</row>
    <row r="963" spans="1:126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</row>
    <row r="964" spans="1:126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</row>
    <row r="965" spans="1:126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</row>
    <row r="966" spans="1:1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</row>
    <row r="967" spans="1:1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</row>
    <row r="968" spans="1:1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</row>
    <row r="969" spans="1:1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</row>
    <row r="970" spans="1:1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</row>
    <row r="971" spans="1:1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</row>
    <row r="972" spans="1:1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</row>
    <row r="973" spans="1:1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</row>
    <row r="974" spans="1:1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</row>
    <row r="975" spans="1:1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</row>
    <row r="976" spans="1:1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</row>
    <row r="977" spans="1:1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</row>
    <row r="978" spans="1:1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</row>
    <row r="979" spans="1:1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</row>
    <row r="980" spans="1:1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</row>
    <row r="981" spans="1:1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</row>
    <row r="982" spans="1:1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</row>
    <row r="983" spans="1:1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</row>
    <row r="984" spans="1:1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</row>
    <row r="985" spans="1:1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</row>
    <row r="986" spans="1:1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</row>
    <row r="987" spans="1:1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</row>
    <row r="988" spans="1:1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</row>
    <row r="989" spans="1:1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</row>
    <row r="990" spans="1:1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</row>
    <row r="991" spans="1:1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</row>
    <row r="992" spans="1:1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</row>
    <row r="993" spans="1:1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</row>
    <row r="994" spans="1:1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</row>
    <row r="995" spans="1:1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</row>
    <row r="996" spans="1:1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</row>
    <row r="997" spans="1:1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</row>
    <row r="998" spans="1:1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</row>
    <row r="999" spans="1:1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</row>
    <row r="1000" spans="1:1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</row>
    <row r="1001" spans="1:1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</row>
    <row r="1002" spans="1:1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</row>
    <row r="1003" spans="1:1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</row>
    <row r="1004" spans="1:1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</row>
    <row r="1005" spans="1:1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</row>
    <row r="1006" spans="1:126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</row>
    <row r="1007" spans="1:126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</row>
    <row r="1008" spans="1:126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</row>
    <row r="1009" spans="1:126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</row>
    <row r="1010" spans="1:126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</row>
    <row r="1011" spans="1:126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</row>
    <row r="1012" spans="1:126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</row>
    <row r="1013" spans="1:126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</row>
    <row r="1014" spans="1:126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BP1014" s="21"/>
      <c r="BQ1014" s="21"/>
      <c r="BR1014" s="21"/>
      <c r="BS1014" s="21"/>
      <c r="BT1014" s="21"/>
      <c r="BU1014" s="21"/>
      <c r="BV1014" s="21"/>
      <c r="BW1014" s="21"/>
      <c r="BX1014" s="21"/>
      <c r="BY1014" s="21"/>
      <c r="BZ1014" s="21"/>
      <c r="CA1014" s="21"/>
      <c r="CB1014" s="21"/>
      <c r="CC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</row>
    <row r="1015" spans="1:126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1"/>
      <c r="DH1015" s="21"/>
      <c r="DI1015" s="21"/>
      <c r="DJ1015" s="21"/>
      <c r="DK1015" s="21"/>
      <c r="DL1015" s="21"/>
      <c r="DM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</row>
    <row r="1016" spans="1:1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</row>
    <row r="1017" spans="1:1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</row>
    <row r="1018" spans="1:1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1"/>
      <c r="BS1018" s="21"/>
      <c r="BT1018" s="21"/>
      <c r="BU1018" s="21"/>
      <c r="BV1018" s="21"/>
      <c r="BW1018" s="21"/>
      <c r="BX1018" s="21"/>
      <c r="BY1018" s="21"/>
      <c r="BZ1018" s="21"/>
      <c r="CA1018" s="21"/>
      <c r="CB1018" s="21"/>
      <c r="CC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</row>
    <row r="1019" spans="1:1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</row>
    <row r="1020" spans="1:1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  <c r="DB1020" s="21"/>
      <c r="DC1020" s="21"/>
      <c r="DD1020" s="21"/>
      <c r="DE1020" s="21"/>
      <c r="DF1020" s="21"/>
      <c r="DG1020" s="21"/>
      <c r="DH1020" s="21"/>
      <c r="DI1020" s="21"/>
      <c r="DJ1020" s="21"/>
      <c r="DK1020" s="21"/>
      <c r="DL1020" s="21"/>
      <c r="DM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</row>
    <row r="1021" spans="1:1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  <c r="DB1021" s="21"/>
      <c r="DC1021" s="21"/>
      <c r="DD1021" s="21"/>
      <c r="DE1021" s="21"/>
      <c r="DF1021" s="21"/>
      <c r="DG1021" s="21"/>
      <c r="DH1021" s="21"/>
      <c r="DI1021" s="21"/>
      <c r="DJ1021" s="21"/>
      <c r="DK1021" s="21"/>
      <c r="DL1021" s="21"/>
      <c r="DM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</row>
    <row r="1022" spans="1:1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1"/>
      <c r="BS1022" s="21"/>
      <c r="BT1022" s="21"/>
      <c r="BU1022" s="21"/>
      <c r="BV1022" s="21"/>
      <c r="BW1022" s="21"/>
      <c r="BX1022" s="21"/>
      <c r="BY1022" s="21"/>
      <c r="BZ1022" s="21"/>
      <c r="CA1022" s="21"/>
      <c r="CB1022" s="21"/>
      <c r="CC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CW1022" s="21"/>
      <c r="CX1022" s="21"/>
      <c r="CY1022" s="21"/>
      <c r="CZ1022" s="21"/>
      <c r="DA1022" s="21"/>
      <c r="DB1022" s="21"/>
      <c r="DC1022" s="21"/>
      <c r="DD1022" s="21"/>
      <c r="DE1022" s="21"/>
      <c r="DF1022" s="21"/>
      <c r="DG1022" s="21"/>
      <c r="DH1022" s="21"/>
      <c r="DI1022" s="21"/>
      <c r="DJ1022" s="21"/>
      <c r="DK1022" s="21"/>
      <c r="DL1022" s="21"/>
      <c r="DM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</row>
    <row r="1023" spans="1:126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</row>
    <row r="1024" spans="1:126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BP1024" s="21"/>
      <c r="BQ1024" s="21"/>
      <c r="BR1024" s="21"/>
      <c r="BS1024" s="21"/>
      <c r="BT1024" s="21"/>
      <c r="BU1024" s="21"/>
      <c r="BV1024" s="21"/>
      <c r="BW1024" s="21"/>
      <c r="BX1024" s="21"/>
      <c r="BY1024" s="21"/>
      <c r="BZ1024" s="21"/>
      <c r="CA1024" s="21"/>
      <c r="CB1024" s="21"/>
      <c r="CC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  <c r="DB1024" s="21"/>
      <c r="DC1024" s="21"/>
      <c r="DD1024" s="21"/>
      <c r="DE1024" s="21"/>
      <c r="DF1024" s="21"/>
      <c r="DG1024" s="21"/>
      <c r="DH1024" s="21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</row>
    <row r="1025" spans="1:126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CW1025" s="21"/>
      <c r="CX1025" s="21"/>
      <c r="CY1025" s="21"/>
      <c r="CZ1025" s="21"/>
      <c r="DA1025" s="21"/>
      <c r="DB1025" s="21"/>
      <c r="DC1025" s="21"/>
      <c r="DD1025" s="21"/>
      <c r="DE1025" s="21"/>
      <c r="DF1025" s="21"/>
      <c r="DG1025" s="21"/>
      <c r="DH1025" s="21"/>
      <c r="DI1025" s="21"/>
      <c r="DJ1025" s="21"/>
      <c r="DK1025" s="21"/>
      <c r="DL1025" s="21"/>
      <c r="DM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</row>
    <row r="1026" spans="1:126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1"/>
      <c r="BS1026" s="21"/>
      <c r="BT1026" s="21"/>
      <c r="BU1026" s="21"/>
      <c r="BV1026" s="21"/>
      <c r="BW1026" s="21"/>
      <c r="BX1026" s="21"/>
      <c r="BY1026" s="21"/>
      <c r="BZ1026" s="21"/>
      <c r="CA1026" s="21"/>
      <c r="CB1026" s="21"/>
      <c r="CC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</row>
    <row r="1027" spans="1:126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</row>
    <row r="1028" spans="1:126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BP1028" s="21"/>
      <c r="BQ1028" s="21"/>
      <c r="BR1028" s="21"/>
      <c r="BS1028" s="21"/>
      <c r="BT1028" s="21"/>
      <c r="BU1028" s="21"/>
      <c r="BV1028" s="21"/>
      <c r="BW1028" s="21"/>
      <c r="BX1028" s="21"/>
      <c r="BY1028" s="21"/>
      <c r="BZ1028" s="21"/>
      <c r="CA1028" s="21"/>
      <c r="CB1028" s="21"/>
      <c r="CC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CW1028" s="21"/>
      <c r="CX1028" s="21"/>
      <c r="CY1028" s="21"/>
      <c r="CZ1028" s="21"/>
      <c r="DA1028" s="21"/>
      <c r="DB1028" s="21"/>
      <c r="DC1028" s="21"/>
      <c r="DD1028" s="21"/>
      <c r="DE1028" s="21"/>
      <c r="DF1028" s="21"/>
      <c r="DG1028" s="21"/>
      <c r="DH1028" s="21"/>
      <c r="DI1028" s="21"/>
      <c r="DJ1028" s="21"/>
      <c r="DK1028" s="21"/>
      <c r="DL1028" s="21"/>
      <c r="DM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</row>
    <row r="1029" spans="1:126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</row>
    <row r="1030" spans="1:126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</row>
    <row r="1031" spans="1:126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</row>
  </sheetData>
  <mergeCells count="20">
    <mergeCell ref="M63:W63"/>
    <mergeCell ref="M64:W64"/>
    <mergeCell ref="M65:W65"/>
    <mergeCell ref="A3:K3"/>
    <mergeCell ref="M3:W3"/>
    <mergeCell ref="A4:K4"/>
    <mergeCell ref="M4:W4"/>
    <mergeCell ref="Y4:AI4"/>
    <mergeCell ref="AK4:AU4"/>
    <mergeCell ref="Y3:AI3"/>
    <mergeCell ref="AK3:AU3"/>
    <mergeCell ref="M62:W62"/>
    <mergeCell ref="Y1:AI1"/>
    <mergeCell ref="Y2:AI2"/>
    <mergeCell ref="AK2:AU2"/>
    <mergeCell ref="AK1:AU1"/>
    <mergeCell ref="A1:K1"/>
    <mergeCell ref="A2:K2"/>
    <mergeCell ref="M1:W1"/>
    <mergeCell ref="M2:W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topLeftCell="A25" zoomScale="85" zoomScaleNormal="85" workbookViewId="0">
      <selection activeCell="K43" sqref="K43"/>
    </sheetView>
  </sheetViews>
  <sheetFormatPr baseColWidth="10" defaultColWidth="11.42578125" defaultRowHeight="15"/>
  <cols>
    <col min="1" max="1" width="29.5703125" style="256" bestFit="1" customWidth="1"/>
    <col min="2" max="9" width="12.7109375" style="256" bestFit="1" customWidth="1"/>
    <col min="10" max="10" width="13.28515625" style="256" bestFit="1" customWidth="1"/>
    <col min="11" max="13" width="12.7109375" style="256" bestFit="1" customWidth="1"/>
    <col min="14" max="14" width="18.42578125" style="256" bestFit="1" customWidth="1"/>
    <col min="15" max="15" width="17.5703125" style="256" customWidth="1"/>
    <col min="16" max="16384" width="11.42578125" style="256"/>
  </cols>
  <sheetData>
    <row r="1" spans="1:15" ht="15" customHeight="1">
      <c r="A1" s="495" t="s">
        <v>110</v>
      </c>
      <c r="B1" s="495"/>
      <c r="C1" s="495"/>
      <c r="D1" s="495"/>
      <c r="E1" s="495"/>
      <c r="F1" s="495"/>
      <c r="G1" s="495"/>
      <c r="H1" s="495"/>
      <c r="I1" s="495"/>
      <c r="J1" s="495"/>
      <c r="K1" s="495"/>
      <c r="L1" s="495"/>
      <c r="M1" s="495"/>
      <c r="N1" s="495"/>
    </row>
    <row r="2" spans="1:15" ht="15" customHeight="1">
      <c r="A2" s="491" t="s">
        <v>126</v>
      </c>
      <c r="B2" s="491"/>
      <c r="C2" s="491"/>
      <c r="D2" s="491"/>
      <c r="E2" s="491"/>
      <c r="F2" s="491"/>
      <c r="G2" s="491"/>
      <c r="H2" s="491"/>
      <c r="I2" s="491"/>
      <c r="J2" s="491"/>
      <c r="K2" s="491"/>
      <c r="L2" s="491"/>
      <c r="M2" s="491"/>
      <c r="N2" s="491"/>
    </row>
    <row r="3" spans="1:15">
      <c r="A3" s="495" t="s">
        <v>295</v>
      </c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M3" s="495"/>
      <c r="N3" s="495"/>
    </row>
    <row r="4" spans="1:15" ht="15.75" thickBot="1">
      <c r="A4" s="496" t="s">
        <v>296</v>
      </c>
      <c r="B4" s="496"/>
      <c r="C4" s="496"/>
      <c r="D4" s="496"/>
      <c r="E4" s="496"/>
      <c r="F4" s="496"/>
      <c r="G4" s="496"/>
      <c r="H4" s="496"/>
      <c r="I4" s="496"/>
      <c r="J4" s="496"/>
      <c r="K4" s="496"/>
      <c r="L4" s="496"/>
      <c r="M4" s="496"/>
      <c r="N4" s="496"/>
    </row>
    <row r="5" spans="1:15" ht="51.75" thickTop="1">
      <c r="A5" s="257" t="s">
        <v>0</v>
      </c>
      <c r="B5" s="258" t="s">
        <v>297</v>
      </c>
      <c r="C5" s="259" t="s">
        <v>298</v>
      </c>
      <c r="D5" s="259" t="s">
        <v>299</v>
      </c>
      <c r="E5" s="259" t="s">
        <v>300</v>
      </c>
      <c r="F5" s="259" t="s">
        <v>301</v>
      </c>
      <c r="G5" s="259" t="s">
        <v>302</v>
      </c>
      <c r="H5" s="259" t="s">
        <v>303</v>
      </c>
      <c r="I5" s="259" t="s">
        <v>304</v>
      </c>
      <c r="J5" s="259" t="s">
        <v>305</v>
      </c>
      <c r="K5" s="259" t="s">
        <v>306</v>
      </c>
      <c r="L5" s="259" t="s">
        <v>307</v>
      </c>
      <c r="M5" s="260" t="s">
        <v>308</v>
      </c>
      <c r="N5" s="259" t="s">
        <v>309</v>
      </c>
      <c r="O5" s="261" t="s">
        <v>310</v>
      </c>
    </row>
    <row r="6" spans="1:15">
      <c r="A6" s="262" t="s">
        <v>1</v>
      </c>
      <c r="B6" s="263">
        <v>0</v>
      </c>
      <c r="C6" s="264">
        <v>0</v>
      </c>
      <c r="D6" s="264">
        <v>0</v>
      </c>
      <c r="E6" s="264">
        <v>0</v>
      </c>
      <c r="F6" s="264">
        <v>149819</v>
      </c>
      <c r="G6" s="264">
        <v>68714</v>
      </c>
      <c r="H6" s="264">
        <v>0</v>
      </c>
      <c r="I6" s="264">
        <v>77156</v>
      </c>
      <c r="J6" s="264">
        <v>0</v>
      </c>
      <c r="K6" s="264">
        <v>0</v>
      </c>
      <c r="L6" s="264">
        <v>0</v>
      </c>
      <c r="M6" s="265">
        <v>0</v>
      </c>
      <c r="N6" s="266">
        <f>SUM(B6:M6)</f>
        <v>295689</v>
      </c>
      <c r="O6" s="267">
        <f>N6/$N$57</f>
        <v>4.4572328389266239E-4</v>
      </c>
    </row>
    <row r="7" spans="1:15">
      <c r="A7" s="262" t="s">
        <v>2</v>
      </c>
      <c r="B7" s="263">
        <v>0</v>
      </c>
      <c r="C7" s="264">
        <v>352413</v>
      </c>
      <c r="D7" s="264">
        <v>0</v>
      </c>
      <c r="E7" s="264">
        <v>0</v>
      </c>
      <c r="F7" s="264">
        <v>375612</v>
      </c>
      <c r="G7" s="264">
        <v>197933</v>
      </c>
      <c r="H7" s="264">
        <v>227490</v>
      </c>
      <c r="I7" s="264">
        <v>665</v>
      </c>
      <c r="J7" s="264">
        <v>0</v>
      </c>
      <c r="K7" s="264">
        <v>229385</v>
      </c>
      <c r="L7" s="264">
        <v>228635</v>
      </c>
      <c r="M7" s="265">
        <v>0</v>
      </c>
      <c r="N7" s="266">
        <f t="shared" ref="N7:N56" si="0">SUM(B7:M7)</f>
        <v>1612133</v>
      </c>
      <c r="O7" s="267">
        <f t="shared" ref="O7:O56" si="1">N7/$N$57</f>
        <v>2.430138472624039E-3</v>
      </c>
    </row>
    <row r="8" spans="1:15">
      <c r="A8" s="262" t="s">
        <v>3</v>
      </c>
      <c r="B8" s="263">
        <v>0</v>
      </c>
      <c r="C8" s="264">
        <v>0</v>
      </c>
      <c r="D8" s="264">
        <v>0</v>
      </c>
      <c r="E8" s="264">
        <v>0</v>
      </c>
      <c r="F8" s="264">
        <v>0</v>
      </c>
      <c r="G8" s="264">
        <v>-3691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5">
        <v>0</v>
      </c>
      <c r="N8" s="266">
        <f t="shared" si="0"/>
        <v>-3691</v>
      </c>
      <c r="O8" s="267">
        <f t="shared" si="1"/>
        <v>-5.5638344370193575E-6</v>
      </c>
    </row>
    <row r="9" spans="1:15">
      <c r="A9" s="262" t="s">
        <v>4</v>
      </c>
      <c r="B9" s="263">
        <v>0</v>
      </c>
      <c r="C9" s="264">
        <v>2290683</v>
      </c>
      <c r="D9" s="264">
        <v>705545</v>
      </c>
      <c r="E9" s="264">
        <v>0</v>
      </c>
      <c r="F9" s="264">
        <v>1470573</v>
      </c>
      <c r="G9" s="264">
        <v>629383</v>
      </c>
      <c r="H9" s="264">
        <v>681121</v>
      </c>
      <c r="I9" s="264">
        <v>747116</v>
      </c>
      <c r="J9" s="264">
        <v>739833</v>
      </c>
      <c r="K9" s="264">
        <v>1388477</v>
      </c>
      <c r="L9" s="264">
        <v>0</v>
      </c>
      <c r="M9" s="265">
        <v>749742</v>
      </c>
      <c r="N9" s="266">
        <f t="shared" si="0"/>
        <v>9402473</v>
      </c>
      <c r="O9" s="267">
        <f t="shared" si="1"/>
        <v>1.4173341390014823E-2</v>
      </c>
    </row>
    <row r="10" spans="1:15">
      <c r="A10" s="262" t="s">
        <v>5</v>
      </c>
      <c r="B10" s="263">
        <v>80170</v>
      </c>
      <c r="C10" s="264">
        <v>157316</v>
      </c>
      <c r="D10" s="264">
        <v>19325</v>
      </c>
      <c r="E10" s="264">
        <v>12488</v>
      </c>
      <c r="F10" s="264">
        <v>16500</v>
      </c>
      <c r="G10" s="264">
        <v>-3913</v>
      </c>
      <c r="H10" s="264">
        <v>16209</v>
      </c>
      <c r="I10" s="264">
        <v>9272</v>
      </c>
      <c r="J10" s="264">
        <v>13424</v>
      </c>
      <c r="K10" s="264">
        <v>11362</v>
      </c>
      <c r="L10" s="264">
        <v>197385</v>
      </c>
      <c r="M10" s="265">
        <v>231546</v>
      </c>
      <c r="N10" s="266">
        <f t="shared" si="0"/>
        <v>761084</v>
      </c>
      <c r="O10" s="267">
        <f t="shared" si="1"/>
        <v>1.1472623594322516E-3</v>
      </c>
    </row>
    <row r="11" spans="1:15">
      <c r="A11" s="262" t="s">
        <v>6</v>
      </c>
      <c r="B11" s="263">
        <v>3692534</v>
      </c>
      <c r="C11" s="264">
        <v>5952713</v>
      </c>
      <c r="D11" s="264">
        <v>3682509</v>
      </c>
      <c r="E11" s="264">
        <v>3235914</v>
      </c>
      <c r="F11" s="264">
        <v>13086181</v>
      </c>
      <c r="G11" s="264">
        <v>-912916</v>
      </c>
      <c r="H11" s="264">
        <v>3612426</v>
      </c>
      <c r="I11" s="264">
        <v>3537355</v>
      </c>
      <c r="J11" s="264">
        <v>0</v>
      </c>
      <c r="K11" s="264">
        <v>-719270</v>
      </c>
      <c r="L11" s="264">
        <v>4483761</v>
      </c>
      <c r="M11" s="265">
        <v>3678350</v>
      </c>
      <c r="N11" s="266">
        <f t="shared" si="0"/>
        <v>43329557</v>
      </c>
      <c r="O11" s="267">
        <f t="shared" si="1"/>
        <v>6.5315221180545419E-2</v>
      </c>
    </row>
    <row r="12" spans="1:15">
      <c r="A12" s="262" t="s">
        <v>7</v>
      </c>
      <c r="B12" s="263">
        <v>1915366</v>
      </c>
      <c r="C12" s="264">
        <v>178369</v>
      </c>
      <c r="D12" s="264">
        <v>0</v>
      </c>
      <c r="E12" s="264">
        <v>0</v>
      </c>
      <c r="F12" s="264">
        <v>0</v>
      </c>
      <c r="G12" s="264">
        <v>-11518</v>
      </c>
      <c r="H12" s="264">
        <v>0</v>
      </c>
      <c r="I12" s="264">
        <v>0</v>
      </c>
      <c r="J12" s="264">
        <v>0</v>
      </c>
      <c r="K12" s="264">
        <v>-73472</v>
      </c>
      <c r="L12" s="264">
        <v>0</v>
      </c>
      <c r="M12" s="265">
        <v>0</v>
      </c>
      <c r="N12" s="266">
        <f t="shared" si="0"/>
        <v>2008745</v>
      </c>
      <c r="O12" s="267">
        <f t="shared" si="1"/>
        <v>3.0279936619318475E-3</v>
      </c>
    </row>
    <row r="13" spans="1:15">
      <c r="A13" s="262" t="s">
        <v>8</v>
      </c>
      <c r="B13" s="263">
        <v>0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5">
        <v>0</v>
      </c>
      <c r="N13" s="266">
        <f t="shared" si="0"/>
        <v>0</v>
      </c>
      <c r="O13" s="267">
        <f t="shared" si="1"/>
        <v>0</v>
      </c>
    </row>
    <row r="14" spans="1:15">
      <c r="A14" s="262" t="s">
        <v>9</v>
      </c>
      <c r="B14" s="263">
        <v>0</v>
      </c>
      <c r="C14" s="264">
        <v>-39949</v>
      </c>
      <c r="D14" s="264">
        <v>0</v>
      </c>
      <c r="E14" s="264">
        <v>0</v>
      </c>
      <c r="F14" s="264">
        <v>0</v>
      </c>
      <c r="G14" s="264">
        <v>-677692</v>
      </c>
      <c r="H14" s="264">
        <v>0</v>
      </c>
      <c r="I14" s="264">
        <v>0</v>
      </c>
      <c r="J14" s="264">
        <v>0</v>
      </c>
      <c r="K14" s="264">
        <v>-581341</v>
      </c>
      <c r="L14" s="264">
        <v>0</v>
      </c>
      <c r="M14" s="265">
        <v>0</v>
      </c>
      <c r="N14" s="266">
        <f t="shared" si="0"/>
        <v>-1298982</v>
      </c>
      <c r="O14" s="267">
        <f t="shared" si="1"/>
        <v>-1.9580928704059277E-3</v>
      </c>
    </row>
    <row r="15" spans="1:15">
      <c r="A15" s="262" t="s">
        <v>10</v>
      </c>
      <c r="B15" s="263">
        <v>1211005</v>
      </c>
      <c r="C15" s="264">
        <v>366732</v>
      </c>
      <c r="D15" s="264">
        <v>281179</v>
      </c>
      <c r="E15" s="264">
        <v>141170</v>
      </c>
      <c r="F15" s="264">
        <v>0</v>
      </c>
      <c r="G15" s="264">
        <v>573731</v>
      </c>
      <c r="H15" s="264">
        <v>1266405</v>
      </c>
      <c r="I15" s="264">
        <v>6167</v>
      </c>
      <c r="J15" s="264">
        <v>351166</v>
      </c>
      <c r="K15" s="264">
        <v>3795</v>
      </c>
      <c r="L15" s="264">
        <v>0</v>
      </c>
      <c r="M15" s="265">
        <v>0</v>
      </c>
      <c r="N15" s="266">
        <f t="shared" si="0"/>
        <v>4201350</v>
      </c>
      <c r="O15" s="267">
        <f t="shared" si="1"/>
        <v>6.3331389357819774E-3</v>
      </c>
    </row>
    <row r="16" spans="1:15">
      <c r="A16" s="262" t="s">
        <v>311</v>
      </c>
      <c r="B16" s="263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5">
        <v>0</v>
      </c>
      <c r="N16" s="266">
        <f t="shared" si="0"/>
        <v>0</v>
      </c>
      <c r="O16" s="267">
        <f t="shared" si="1"/>
        <v>0</v>
      </c>
    </row>
    <row r="17" spans="1:15">
      <c r="A17" s="262" t="s">
        <v>12</v>
      </c>
      <c r="B17" s="263">
        <v>0</v>
      </c>
      <c r="C17" s="264">
        <v>-4645</v>
      </c>
      <c r="D17" s="264">
        <v>0</v>
      </c>
      <c r="E17" s="264">
        <v>0</v>
      </c>
      <c r="F17" s="264">
        <v>1399715</v>
      </c>
      <c r="G17" s="264">
        <v>-7267</v>
      </c>
      <c r="H17" s="264">
        <v>0</v>
      </c>
      <c r="I17" s="264">
        <v>814976</v>
      </c>
      <c r="J17" s="264">
        <v>0</v>
      </c>
      <c r="K17" s="264">
        <v>0</v>
      </c>
      <c r="L17" s="264">
        <v>0</v>
      </c>
      <c r="M17" s="265">
        <v>0</v>
      </c>
      <c r="N17" s="266">
        <f t="shared" si="0"/>
        <v>2202779</v>
      </c>
      <c r="O17" s="267">
        <f t="shared" si="1"/>
        <v>3.3204816194372972E-3</v>
      </c>
    </row>
    <row r="18" spans="1:15">
      <c r="A18" s="262" t="s">
        <v>13</v>
      </c>
      <c r="B18" s="263">
        <v>0</v>
      </c>
      <c r="C18" s="264">
        <v>0</v>
      </c>
      <c r="D18" s="264">
        <v>0</v>
      </c>
      <c r="E18" s="264">
        <v>0</v>
      </c>
      <c r="F18" s="264">
        <v>0</v>
      </c>
      <c r="G18" s="264">
        <v>0</v>
      </c>
      <c r="H18" s="264">
        <v>0</v>
      </c>
      <c r="I18" s="264">
        <v>0</v>
      </c>
      <c r="J18" s="264">
        <v>0</v>
      </c>
      <c r="K18" s="264">
        <v>0</v>
      </c>
      <c r="L18" s="264">
        <v>0</v>
      </c>
      <c r="M18" s="265">
        <v>0</v>
      </c>
      <c r="N18" s="266">
        <f t="shared" si="0"/>
        <v>0</v>
      </c>
      <c r="O18" s="267">
        <f t="shared" si="1"/>
        <v>0</v>
      </c>
    </row>
    <row r="19" spans="1:15">
      <c r="A19" s="262" t="s">
        <v>14</v>
      </c>
      <c r="B19" s="263">
        <v>0</v>
      </c>
      <c r="C19" s="264">
        <v>0</v>
      </c>
      <c r="D19" s="264">
        <v>0</v>
      </c>
      <c r="E19" s="264">
        <v>0</v>
      </c>
      <c r="F19" s="264">
        <v>0</v>
      </c>
      <c r="G19" s="264">
        <v>0</v>
      </c>
      <c r="H19" s="264">
        <v>0</v>
      </c>
      <c r="I19" s="264">
        <v>0</v>
      </c>
      <c r="J19" s="264">
        <v>0</v>
      </c>
      <c r="K19" s="264">
        <v>0</v>
      </c>
      <c r="L19" s="264">
        <v>0</v>
      </c>
      <c r="M19" s="265">
        <v>0</v>
      </c>
      <c r="N19" s="266">
        <f t="shared" si="0"/>
        <v>0</v>
      </c>
      <c r="O19" s="267">
        <f t="shared" si="1"/>
        <v>0</v>
      </c>
    </row>
    <row r="20" spans="1:15">
      <c r="A20" s="262" t="s">
        <v>15</v>
      </c>
      <c r="B20" s="263">
        <v>0</v>
      </c>
      <c r="C20" s="264">
        <v>0</v>
      </c>
      <c r="D20" s="264">
        <v>0</v>
      </c>
      <c r="E20" s="264">
        <v>164103</v>
      </c>
      <c r="F20" s="264">
        <v>0</v>
      </c>
      <c r="G20" s="264">
        <v>0</v>
      </c>
      <c r="H20" s="264">
        <v>0</v>
      </c>
      <c r="I20" s="264">
        <v>0</v>
      </c>
      <c r="J20" s="264">
        <v>0</v>
      </c>
      <c r="K20" s="264">
        <v>7113</v>
      </c>
      <c r="L20" s="264">
        <v>0</v>
      </c>
      <c r="M20" s="265">
        <v>0</v>
      </c>
      <c r="N20" s="266">
        <f t="shared" si="0"/>
        <v>171216</v>
      </c>
      <c r="O20" s="267">
        <f t="shared" si="1"/>
        <v>2.5809197425323934E-4</v>
      </c>
    </row>
    <row r="21" spans="1:15">
      <c r="A21" s="262" t="s">
        <v>16</v>
      </c>
      <c r="B21" s="263">
        <v>222510</v>
      </c>
      <c r="C21" s="264">
        <v>213547</v>
      </c>
      <c r="D21" s="264">
        <v>334217</v>
      </c>
      <c r="E21" s="264">
        <v>95572</v>
      </c>
      <c r="F21" s="264">
        <v>92790</v>
      </c>
      <c r="G21" s="264">
        <v>100663</v>
      </c>
      <c r="H21" s="264">
        <v>137537</v>
      </c>
      <c r="I21" s="264">
        <v>0</v>
      </c>
      <c r="J21" s="264">
        <v>134116</v>
      </c>
      <c r="K21" s="264">
        <v>85672</v>
      </c>
      <c r="L21" s="264">
        <v>298643</v>
      </c>
      <c r="M21" s="265">
        <v>87950</v>
      </c>
      <c r="N21" s="266">
        <f t="shared" si="0"/>
        <v>1803217</v>
      </c>
      <c r="O21" s="267">
        <f t="shared" si="1"/>
        <v>2.7181795833158317E-3</v>
      </c>
    </row>
    <row r="22" spans="1:15">
      <c r="A22" s="262" t="s">
        <v>17</v>
      </c>
      <c r="B22" s="263">
        <v>262384</v>
      </c>
      <c r="C22" s="264">
        <v>3283596</v>
      </c>
      <c r="D22" s="264">
        <v>678151</v>
      </c>
      <c r="E22" s="264">
        <v>254742</v>
      </c>
      <c r="F22" s="264">
        <v>301554</v>
      </c>
      <c r="G22" s="264">
        <v>742501</v>
      </c>
      <c r="H22" s="264">
        <v>487917</v>
      </c>
      <c r="I22" s="264">
        <v>37208</v>
      </c>
      <c r="J22" s="264">
        <v>1010598</v>
      </c>
      <c r="K22" s="264">
        <v>257903</v>
      </c>
      <c r="L22" s="264">
        <v>1892690</v>
      </c>
      <c r="M22" s="265">
        <v>769964</v>
      </c>
      <c r="N22" s="266">
        <f t="shared" si="0"/>
        <v>9979208</v>
      </c>
      <c r="O22" s="267">
        <f t="shared" si="1"/>
        <v>1.5042715016141715E-2</v>
      </c>
    </row>
    <row r="23" spans="1:15">
      <c r="A23" s="262" t="s">
        <v>18</v>
      </c>
      <c r="B23" s="263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-158282</v>
      </c>
      <c r="H23" s="264">
        <v>592293</v>
      </c>
      <c r="I23" s="264">
        <v>0</v>
      </c>
      <c r="J23" s="264">
        <v>0</v>
      </c>
      <c r="K23" s="264">
        <v>-30223</v>
      </c>
      <c r="L23" s="264">
        <v>0</v>
      </c>
      <c r="M23" s="265">
        <v>0</v>
      </c>
      <c r="N23" s="266">
        <f t="shared" si="0"/>
        <v>403788</v>
      </c>
      <c r="O23" s="267">
        <f t="shared" si="1"/>
        <v>6.0867233260774103E-4</v>
      </c>
    </row>
    <row r="24" spans="1:15">
      <c r="A24" s="262" t="s">
        <v>19</v>
      </c>
      <c r="B24" s="263">
        <v>0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5">
        <v>0</v>
      </c>
      <c r="N24" s="266">
        <f t="shared" si="0"/>
        <v>0</v>
      </c>
      <c r="O24" s="267">
        <f t="shared" si="1"/>
        <v>0</v>
      </c>
    </row>
    <row r="25" spans="1:15">
      <c r="A25" s="262" t="s">
        <v>20</v>
      </c>
      <c r="B25" s="263">
        <v>0</v>
      </c>
      <c r="C25" s="264">
        <v>0</v>
      </c>
      <c r="D25" s="264">
        <v>11809300</v>
      </c>
      <c r="E25" s="264">
        <v>156299</v>
      </c>
      <c r="F25" s="264">
        <v>5547971</v>
      </c>
      <c r="G25" s="264">
        <v>65326</v>
      </c>
      <c r="H25" s="264">
        <v>5734358</v>
      </c>
      <c r="I25" s="264">
        <v>9991635</v>
      </c>
      <c r="J25" s="264">
        <v>2956638</v>
      </c>
      <c r="K25" s="264">
        <v>-73778</v>
      </c>
      <c r="L25" s="264">
        <v>3160997</v>
      </c>
      <c r="M25" s="265">
        <v>22905283</v>
      </c>
      <c r="N25" s="266">
        <f t="shared" si="0"/>
        <v>62254029</v>
      </c>
      <c r="O25" s="267">
        <f t="shared" si="1"/>
        <v>9.384207813421884E-2</v>
      </c>
    </row>
    <row r="26" spans="1:15">
      <c r="A26" s="262" t="s">
        <v>21</v>
      </c>
      <c r="B26" s="263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-160190</v>
      </c>
      <c r="H26" s="264">
        <v>462215</v>
      </c>
      <c r="I26" s="264">
        <v>1681976</v>
      </c>
      <c r="J26" s="264">
        <v>340054</v>
      </c>
      <c r="K26" s="264">
        <v>613290</v>
      </c>
      <c r="L26" s="264">
        <v>0</v>
      </c>
      <c r="M26" s="265">
        <v>0</v>
      </c>
      <c r="N26" s="266">
        <f t="shared" si="0"/>
        <v>2937345</v>
      </c>
      <c r="O26" s="267">
        <f t="shared" si="1"/>
        <v>4.4277705945290234E-3</v>
      </c>
    </row>
    <row r="27" spans="1:15">
      <c r="A27" s="262" t="s">
        <v>22</v>
      </c>
      <c r="B27" s="263">
        <v>0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5">
        <v>0</v>
      </c>
      <c r="N27" s="266">
        <f t="shared" si="0"/>
        <v>0</v>
      </c>
      <c r="O27" s="267">
        <f t="shared" si="1"/>
        <v>0</v>
      </c>
    </row>
    <row r="28" spans="1:15">
      <c r="A28" s="262" t="s">
        <v>23</v>
      </c>
      <c r="B28" s="263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5">
        <v>0</v>
      </c>
      <c r="N28" s="266">
        <f t="shared" si="0"/>
        <v>0</v>
      </c>
      <c r="O28" s="267">
        <f t="shared" si="1"/>
        <v>0</v>
      </c>
    </row>
    <row r="29" spans="1:15">
      <c r="A29" s="262" t="s">
        <v>24</v>
      </c>
      <c r="B29" s="263">
        <v>0</v>
      </c>
      <c r="C29" s="264">
        <v>0</v>
      </c>
      <c r="D29" s="264">
        <v>0</v>
      </c>
      <c r="E29" s="264">
        <v>0</v>
      </c>
      <c r="F29" s="264">
        <v>972015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5">
        <v>0</v>
      </c>
      <c r="N29" s="266">
        <f t="shared" si="0"/>
        <v>972015</v>
      </c>
      <c r="O29" s="267">
        <f t="shared" si="1"/>
        <v>1.4652209510429073E-3</v>
      </c>
    </row>
    <row r="30" spans="1:15">
      <c r="A30" s="262" t="s">
        <v>25</v>
      </c>
      <c r="B30" s="263">
        <v>5902765</v>
      </c>
      <c r="C30" s="264">
        <v>-339987</v>
      </c>
      <c r="D30" s="264">
        <v>27502123</v>
      </c>
      <c r="E30" s="264">
        <v>5448216</v>
      </c>
      <c r="F30" s="264">
        <v>9722427</v>
      </c>
      <c r="G30" s="264">
        <v>3326855</v>
      </c>
      <c r="H30" s="264">
        <v>5323837</v>
      </c>
      <c r="I30" s="264">
        <v>5161717</v>
      </c>
      <c r="J30" s="264">
        <v>5355657</v>
      </c>
      <c r="K30" s="264">
        <v>3898128</v>
      </c>
      <c r="L30" s="264">
        <v>5171639</v>
      </c>
      <c r="M30" s="265">
        <v>5101292</v>
      </c>
      <c r="N30" s="266">
        <f t="shared" si="0"/>
        <v>81574669</v>
      </c>
      <c r="O30" s="267">
        <f t="shared" si="1"/>
        <v>0.12296612098906948</v>
      </c>
    </row>
    <row r="31" spans="1:15">
      <c r="A31" s="262" t="s">
        <v>26</v>
      </c>
      <c r="B31" s="263">
        <v>267356</v>
      </c>
      <c r="C31" s="264">
        <v>89268</v>
      </c>
      <c r="D31" s="264">
        <v>289588</v>
      </c>
      <c r="E31" s="264">
        <v>0</v>
      </c>
      <c r="F31" s="264">
        <v>688867</v>
      </c>
      <c r="G31" s="264">
        <v>43835</v>
      </c>
      <c r="H31" s="264">
        <v>45387</v>
      </c>
      <c r="I31" s="264">
        <v>103974</v>
      </c>
      <c r="J31" s="264">
        <v>0</v>
      </c>
      <c r="K31" s="264">
        <v>-3168</v>
      </c>
      <c r="L31" s="264">
        <v>0</v>
      </c>
      <c r="M31" s="265">
        <v>0</v>
      </c>
      <c r="N31" s="266">
        <f t="shared" si="0"/>
        <v>1525107</v>
      </c>
      <c r="O31" s="267">
        <f t="shared" si="1"/>
        <v>2.298954984215465E-3</v>
      </c>
    </row>
    <row r="32" spans="1:15">
      <c r="A32" s="262" t="s">
        <v>27</v>
      </c>
      <c r="B32" s="263">
        <v>717608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210343</v>
      </c>
      <c r="J32" s="264">
        <v>0</v>
      </c>
      <c r="K32" s="264">
        <v>0</v>
      </c>
      <c r="L32" s="264">
        <v>0</v>
      </c>
      <c r="M32" s="265">
        <v>0</v>
      </c>
      <c r="N32" s="266">
        <f t="shared" si="0"/>
        <v>927951</v>
      </c>
      <c r="O32" s="267">
        <f t="shared" si="1"/>
        <v>1.3987986262981712E-3</v>
      </c>
    </row>
    <row r="33" spans="1:15">
      <c r="A33" s="262" t="s">
        <v>28</v>
      </c>
      <c r="B33" s="263">
        <v>0</v>
      </c>
      <c r="C33" s="264">
        <v>104618</v>
      </c>
      <c r="D33" s="264">
        <v>49764</v>
      </c>
      <c r="E33" s="264">
        <v>0</v>
      </c>
      <c r="F33" s="264">
        <v>99273</v>
      </c>
      <c r="G33" s="264">
        <v>47365</v>
      </c>
      <c r="H33" s="264">
        <v>50858</v>
      </c>
      <c r="I33" s="264">
        <v>0</v>
      </c>
      <c r="J33" s="264">
        <v>0</v>
      </c>
      <c r="K33" s="264">
        <v>133055</v>
      </c>
      <c r="L33" s="264">
        <v>214969</v>
      </c>
      <c r="M33" s="265">
        <v>58721</v>
      </c>
      <c r="N33" s="266">
        <f t="shared" si="0"/>
        <v>758623</v>
      </c>
      <c r="O33" s="267">
        <f t="shared" si="1"/>
        <v>1.1435526340056721E-3</v>
      </c>
    </row>
    <row r="34" spans="1:15">
      <c r="A34" s="262" t="s">
        <v>29</v>
      </c>
      <c r="B34" s="263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-1011</v>
      </c>
      <c r="H34" s="264">
        <v>0</v>
      </c>
      <c r="I34" s="264">
        <v>0</v>
      </c>
      <c r="J34" s="264">
        <v>0</v>
      </c>
      <c r="K34" s="264">
        <v>-2051</v>
      </c>
      <c r="L34" s="264">
        <v>37952</v>
      </c>
      <c r="M34" s="265">
        <v>38989</v>
      </c>
      <c r="N34" s="266">
        <f t="shared" si="0"/>
        <v>73879</v>
      </c>
      <c r="O34" s="267">
        <f t="shared" si="1"/>
        <v>1.1136562567666029E-4</v>
      </c>
    </row>
    <row r="35" spans="1:15">
      <c r="A35" s="262" t="s">
        <v>30</v>
      </c>
      <c r="B35" s="263">
        <v>0</v>
      </c>
      <c r="C35" s="264">
        <v>46511</v>
      </c>
      <c r="D35" s="264">
        <v>0</v>
      </c>
      <c r="E35" s="264">
        <v>0</v>
      </c>
      <c r="F35" s="264">
        <v>501938</v>
      </c>
      <c r="G35" s="264">
        <v>-5328</v>
      </c>
      <c r="H35" s="264">
        <v>88466</v>
      </c>
      <c r="I35" s="264">
        <v>0</v>
      </c>
      <c r="J35" s="264">
        <v>0</v>
      </c>
      <c r="K35" s="264">
        <v>-4611</v>
      </c>
      <c r="L35" s="264">
        <v>102015</v>
      </c>
      <c r="M35" s="265">
        <v>0</v>
      </c>
      <c r="N35" s="266">
        <f t="shared" si="0"/>
        <v>728991</v>
      </c>
      <c r="O35" s="267">
        <f t="shared" si="1"/>
        <v>1.0988851883167647E-3</v>
      </c>
    </row>
    <row r="36" spans="1:15">
      <c r="A36" s="262" t="s">
        <v>31</v>
      </c>
      <c r="B36" s="263">
        <v>0</v>
      </c>
      <c r="C36" s="264">
        <v>-26859</v>
      </c>
      <c r="D36" s="264">
        <v>0</v>
      </c>
      <c r="E36" s="264">
        <v>0</v>
      </c>
      <c r="F36" s="264">
        <v>0</v>
      </c>
      <c r="G36" s="264">
        <v>-354928</v>
      </c>
      <c r="H36" s="264">
        <v>0</v>
      </c>
      <c r="I36" s="264">
        <v>0</v>
      </c>
      <c r="J36" s="264">
        <v>0</v>
      </c>
      <c r="K36" s="264">
        <v>-88365</v>
      </c>
      <c r="L36" s="264">
        <v>0</v>
      </c>
      <c r="M36" s="265">
        <v>0</v>
      </c>
      <c r="N36" s="266">
        <f t="shared" si="0"/>
        <v>-470152</v>
      </c>
      <c r="O36" s="267">
        <f t="shared" si="1"/>
        <v>-7.0870980445232319E-4</v>
      </c>
    </row>
    <row r="37" spans="1:15">
      <c r="A37" s="262" t="s">
        <v>32</v>
      </c>
      <c r="B37" s="263">
        <v>0</v>
      </c>
      <c r="C37" s="264">
        <v>0</v>
      </c>
      <c r="D37" s="264">
        <v>77457</v>
      </c>
      <c r="E37" s="264">
        <v>69616</v>
      </c>
      <c r="F37" s="264">
        <v>78250</v>
      </c>
      <c r="G37" s="264">
        <v>3716</v>
      </c>
      <c r="H37" s="264">
        <v>81635</v>
      </c>
      <c r="I37" s="264">
        <v>81308</v>
      </c>
      <c r="J37" s="264">
        <v>0</v>
      </c>
      <c r="K37" s="264">
        <v>85139</v>
      </c>
      <c r="L37" s="264">
        <v>0</v>
      </c>
      <c r="M37" s="265">
        <v>118535</v>
      </c>
      <c r="N37" s="266">
        <f t="shared" si="0"/>
        <v>595656</v>
      </c>
      <c r="O37" s="267">
        <f t="shared" si="1"/>
        <v>8.978952493679768E-4</v>
      </c>
    </row>
    <row r="38" spans="1:15">
      <c r="A38" s="262" t="s">
        <v>33</v>
      </c>
      <c r="B38" s="263">
        <v>3132587</v>
      </c>
      <c r="C38" s="264">
        <v>834680</v>
      </c>
      <c r="D38" s="264">
        <v>814894</v>
      </c>
      <c r="E38" s="264">
        <v>954284</v>
      </c>
      <c r="F38" s="264">
        <v>784085</v>
      </c>
      <c r="G38" s="264">
        <v>660605</v>
      </c>
      <c r="H38" s="264">
        <v>821581</v>
      </c>
      <c r="I38" s="264">
        <v>837655</v>
      </c>
      <c r="J38" s="264">
        <v>823528</v>
      </c>
      <c r="K38" s="264">
        <v>-55642</v>
      </c>
      <c r="L38" s="264">
        <v>251681</v>
      </c>
      <c r="M38" s="265">
        <v>1168988</v>
      </c>
      <c r="N38" s="266">
        <f t="shared" si="0"/>
        <v>11028926</v>
      </c>
      <c r="O38" s="267">
        <f t="shared" si="1"/>
        <v>1.6625065912256341E-2</v>
      </c>
    </row>
    <row r="39" spans="1:15">
      <c r="A39" s="262" t="s">
        <v>34</v>
      </c>
      <c r="B39" s="263">
        <v>107339</v>
      </c>
      <c r="C39" s="264">
        <v>0</v>
      </c>
      <c r="D39" s="264">
        <v>202526</v>
      </c>
      <c r="E39" s="264">
        <v>0</v>
      </c>
      <c r="F39" s="264">
        <v>118777</v>
      </c>
      <c r="G39" s="264">
        <v>98024</v>
      </c>
      <c r="H39" s="264">
        <v>104807</v>
      </c>
      <c r="I39" s="264">
        <v>125484</v>
      </c>
      <c r="J39" s="264">
        <v>0</v>
      </c>
      <c r="K39" s="264">
        <v>346135</v>
      </c>
      <c r="L39" s="264">
        <v>267649</v>
      </c>
      <c r="M39" s="265">
        <v>56676</v>
      </c>
      <c r="N39" s="266">
        <f t="shared" si="0"/>
        <v>1427417</v>
      </c>
      <c r="O39" s="267">
        <f t="shared" si="1"/>
        <v>2.1516965214269466E-3</v>
      </c>
    </row>
    <row r="40" spans="1:15">
      <c r="A40" s="262" t="s">
        <v>35</v>
      </c>
      <c r="B40" s="263">
        <v>71571</v>
      </c>
      <c r="C40" s="264">
        <v>266636</v>
      </c>
      <c r="D40" s="264">
        <v>76362</v>
      </c>
      <c r="E40" s="264">
        <v>72336</v>
      </c>
      <c r="F40" s="264">
        <v>73196</v>
      </c>
      <c r="G40" s="264">
        <v>85004</v>
      </c>
      <c r="H40" s="264">
        <v>80149</v>
      </c>
      <c r="I40" s="264">
        <v>72536</v>
      </c>
      <c r="J40" s="264">
        <v>77990</v>
      </c>
      <c r="K40" s="264">
        <v>76917</v>
      </c>
      <c r="L40" s="264">
        <v>106950</v>
      </c>
      <c r="M40" s="265">
        <v>71865</v>
      </c>
      <c r="N40" s="266">
        <f t="shared" si="0"/>
        <v>1131512</v>
      </c>
      <c r="O40" s="267">
        <f t="shared" si="1"/>
        <v>1.7056476379031828E-3</v>
      </c>
    </row>
    <row r="41" spans="1:15">
      <c r="A41" s="262" t="s">
        <v>36</v>
      </c>
      <c r="B41" s="263">
        <v>0</v>
      </c>
      <c r="C41" s="264">
        <v>183813</v>
      </c>
      <c r="D41" s="264">
        <v>0</v>
      </c>
      <c r="E41" s="264">
        <v>456110</v>
      </c>
      <c r="F41" s="264">
        <v>0</v>
      </c>
      <c r="G41" s="264">
        <v>-6386</v>
      </c>
      <c r="H41" s="264">
        <v>255328</v>
      </c>
      <c r="I41" s="264">
        <v>703140</v>
      </c>
      <c r="J41" s="264">
        <v>1564460</v>
      </c>
      <c r="K41" s="264">
        <v>-14882</v>
      </c>
      <c r="L41" s="264">
        <v>329504</v>
      </c>
      <c r="M41" s="265">
        <v>187980</v>
      </c>
      <c r="N41" s="266">
        <f t="shared" si="0"/>
        <v>3659067</v>
      </c>
      <c r="O41" s="267">
        <f t="shared" si="1"/>
        <v>5.5156984508157982E-3</v>
      </c>
    </row>
    <row r="42" spans="1:15">
      <c r="A42" s="262" t="s">
        <v>37</v>
      </c>
      <c r="B42" s="263">
        <v>0</v>
      </c>
      <c r="C42" s="264">
        <v>0</v>
      </c>
      <c r="D42" s="264">
        <v>0</v>
      </c>
      <c r="E42" s="264">
        <v>0</v>
      </c>
      <c r="F42" s="264">
        <v>0</v>
      </c>
      <c r="G42" s="264">
        <v>0</v>
      </c>
      <c r="H42" s="264">
        <v>0</v>
      </c>
      <c r="I42" s="264">
        <v>0</v>
      </c>
      <c r="J42" s="264">
        <v>0</v>
      </c>
      <c r="K42" s="264">
        <v>0</v>
      </c>
      <c r="L42" s="264">
        <v>0</v>
      </c>
      <c r="M42" s="265">
        <v>0</v>
      </c>
      <c r="N42" s="266">
        <f t="shared" si="0"/>
        <v>0</v>
      </c>
      <c r="O42" s="267">
        <f t="shared" si="1"/>
        <v>0</v>
      </c>
    </row>
    <row r="43" spans="1:15">
      <c r="A43" s="262" t="s">
        <v>38</v>
      </c>
      <c r="B43" s="263">
        <v>0</v>
      </c>
      <c r="C43" s="264">
        <v>771677</v>
      </c>
      <c r="D43" s="264">
        <v>789648</v>
      </c>
      <c r="E43" s="264">
        <v>790528</v>
      </c>
      <c r="F43" s="264">
        <v>0</v>
      </c>
      <c r="G43" s="264">
        <v>-113143</v>
      </c>
      <c r="H43" s="264">
        <v>0</v>
      </c>
      <c r="I43" s="264">
        <v>0</v>
      </c>
      <c r="J43" s="264">
        <v>0</v>
      </c>
      <c r="K43" s="264">
        <v>-41806</v>
      </c>
      <c r="L43" s="264">
        <v>0</v>
      </c>
      <c r="M43" s="265">
        <v>0</v>
      </c>
      <c r="N43" s="266">
        <f t="shared" si="0"/>
        <v>2196904</v>
      </c>
      <c r="O43" s="267">
        <f t="shared" si="1"/>
        <v>3.3116256109524721E-3</v>
      </c>
    </row>
    <row r="44" spans="1:15">
      <c r="A44" s="262" t="s">
        <v>39</v>
      </c>
      <c r="B44" s="263">
        <v>3198685</v>
      </c>
      <c r="C44" s="264">
        <v>16604186</v>
      </c>
      <c r="D44" s="264">
        <v>2414337</v>
      </c>
      <c r="E44" s="264">
        <v>38858328</v>
      </c>
      <c r="F44" s="264">
        <v>1393297</v>
      </c>
      <c r="G44" s="264">
        <v>44413709</v>
      </c>
      <c r="H44" s="264">
        <v>8290824</v>
      </c>
      <c r="I44" s="264">
        <v>3910136</v>
      </c>
      <c r="J44" s="264">
        <v>4555040</v>
      </c>
      <c r="K44" s="264">
        <v>8903869</v>
      </c>
      <c r="L44" s="264">
        <v>10385398</v>
      </c>
      <c r="M44" s="265">
        <v>8628614</v>
      </c>
      <c r="N44" s="266">
        <f t="shared" si="0"/>
        <v>151556423</v>
      </c>
      <c r="O44" s="267">
        <f t="shared" si="1"/>
        <v>0.22845701583280212</v>
      </c>
    </row>
    <row r="45" spans="1:15">
      <c r="A45" s="262" t="s">
        <v>40</v>
      </c>
      <c r="B45" s="263">
        <v>24042</v>
      </c>
      <c r="C45" s="264">
        <v>260720</v>
      </c>
      <c r="D45" s="264">
        <v>25370</v>
      </c>
      <c r="E45" s="264">
        <v>0</v>
      </c>
      <c r="F45" s="264">
        <v>49003</v>
      </c>
      <c r="G45" s="264">
        <v>-11145</v>
      </c>
      <c r="H45" s="264">
        <v>24067</v>
      </c>
      <c r="I45" s="264">
        <v>24390</v>
      </c>
      <c r="J45" s="264">
        <v>0</v>
      </c>
      <c r="K45" s="264">
        <v>24639</v>
      </c>
      <c r="L45" s="264">
        <v>25012</v>
      </c>
      <c r="M45" s="265">
        <v>27079</v>
      </c>
      <c r="N45" s="266">
        <f t="shared" si="0"/>
        <v>473177</v>
      </c>
      <c r="O45" s="267">
        <f t="shared" si="1"/>
        <v>7.1326970669344583E-4</v>
      </c>
    </row>
    <row r="46" spans="1:15">
      <c r="A46" s="262" t="s">
        <v>41</v>
      </c>
      <c r="B46" s="263">
        <v>590564</v>
      </c>
      <c r="C46" s="264">
        <v>1346115</v>
      </c>
      <c r="D46" s="264">
        <v>679706</v>
      </c>
      <c r="E46" s="264">
        <v>668359</v>
      </c>
      <c r="F46" s="264">
        <v>646928</v>
      </c>
      <c r="G46" s="264">
        <v>283935</v>
      </c>
      <c r="H46" s="264">
        <v>659966</v>
      </c>
      <c r="I46" s="264">
        <v>572103</v>
      </c>
      <c r="J46" s="264">
        <v>592143</v>
      </c>
      <c r="K46" s="264">
        <v>557418</v>
      </c>
      <c r="L46" s="264">
        <v>583212</v>
      </c>
      <c r="M46" s="265">
        <v>611822</v>
      </c>
      <c r="N46" s="266">
        <f t="shared" si="0"/>
        <v>7792271</v>
      </c>
      <c r="O46" s="267">
        <f t="shared" si="1"/>
        <v>1.1746113717796604E-2</v>
      </c>
    </row>
    <row r="47" spans="1:15">
      <c r="A47" s="262" t="s">
        <v>42</v>
      </c>
      <c r="B47" s="263">
        <v>0</v>
      </c>
      <c r="C47" s="264">
        <v>0</v>
      </c>
      <c r="D47" s="264">
        <v>156572</v>
      </c>
      <c r="E47" s="264">
        <v>0</v>
      </c>
      <c r="F47" s="264">
        <v>0</v>
      </c>
      <c r="G47" s="264">
        <v>2733797</v>
      </c>
      <c r="H47" s="264">
        <v>822969</v>
      </c>
      <c r="I47" s="264">
        <v>172653</v>
      </c>
      <c r="J47" s="264">
        <v>0</v>
      </c>
      <c r="K47" s="264">
        <v>-3226</v>
      </c>
      <c r="L47" s="264">
        <v>166726</v>
      </c>
      <c r="M47" s="265">
        <v>0</v>
      </c>
      <c r="N47" s="266">
        <f t="shared" si="0"/>
        <v>4049491</v>
      </c>
      <c r="O47" s="267">
        <f t="shared" si="1"/>
        <v>6.1042258136548237E-3</v>
      </c>
    </row>
    <row r="48" spans="1:15">
      <c r="A48" s="262" t="s">
        <v>43</v>
      </c>
      <c r="B48" s="263">
        <v>0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5">
        <v>0</v>
      </c>
      <c r="N48" s="266">
        <f t="shared" si="0"/>
        <v>0</v>
      </c>
      <c r="O48" s="267">
        <f t="shared" si="1"/>
        <v>0</v>
      </c>
    </row>
    <row r="49" spans="1:15">
      <c r="A49" s="262" t="s">
        <v>44</v>
      </c>
      <c r="B49" s="263">
        <v>1306210</v>
      </c>
      <c r="C49" s="264">
        <v>7811166</v>
      </c>
      <c r="D49" s="264">
        <v>0</v>
      </c>
      <c r="E49" s="264">
        <v>1249519</v>
      </c>
      <c r="F49" s="264">
        <v>631316</v>
      </c>
      <c r="G49" s="264">
        <v>571783</v>
      </c>
      <c r="H49" s="264">
        <v>630444</v>
      </c>
      <c r="I49" s="264">
        <v>629307</v>
      </c>
      <c r="J49" s="264">
        <v>618162</v>
      </c>
      <c r="K49" s="264">
        <v>-22591</v>
      </c>
      <c r="L49" s="264">
        <v>0</v>
      </c>
      <c r="M49" s="265">
        <v>0</v>
      </c>
      <c r="N49" s="266">
        <f t="shared" si="0"/>
        <v>13425316</v>
      </c>
      <c r="O49" s="267">
        <f t="shared" si="1"/>
        <v>2.023739785658818E-2</v>
      </c>
    </row>
    <row r="50" spans="1:15">
      <c r="A50" s="262" t="s">
        <v>45</v>
      </c>
      <c r="B50" s="263">
        <v>1832975</v>
      </c>
      <c r="C50" s="264">
        <v>499105</v>
      </c>
      <c r="D50" s="264">
        <v>486327</v>
      </c>
      <c r="E50" s="264">
        <v>472304</v>
      </c>
      <c r="F50" s="264">
        <v>480963</v>
      </c>
      <c r="G50" s="264">
        <v>439404</v>
      </c>
      <c r="H50" s="264">
        <v>6148977</v>
      </c>
      <c r="I50" s="264">
        <v>486395</v>
      </c>
      <c r="J50" s="264">
        <v>465691</v>
      </c>
      <c r="K50" s="264">
        <v>402254</v>
      </c>
      <c r="L50" s="264">
        <v>483575</v>
      </c>
      <c r="M50" s="265">
        <v>0</v>
      </c>
      <c r="N50" s="266">
        <f t="shared" si="0"/>
        <v>12197970</v>
      </c>
      <c r="O50" s="267">
        <f t="shared" si="1"/>
        <v>1.8387289500874836E-2</v>
      </c>
    </row>
    <row r="51" spans="1:15">
      <c r="A51" s="262" t="s">
        <v>46</v>
      </c>
      <c r="B51" s="263">
        <v>5803373</v>
      </c>
      <c r="C51" s="264">
        <v>1862089</v>
      </c>
      <c r="D51" s="264">
        <v>7015308</v>
      </c>
      <c r="E51" s="264">
        <v>10375117</v>
      </c>
      <c r="F51" s="264">
        <v>7471946</v>
      </c>
      <c r="G51" s="264">
        <v>-805780</v>
      </c>
      <c r="H51" s="264">
        <v>5049573</v>
      </c>
      <c r="I51" s="264">
        <v>4015280</v>
      </c>
      <c r="J51" s="264">
        <v>4770597</v>
      </c>
      <c r="K51" s="264">
        <v>3911800</v>
      </c>
      <c r="L51" s="264">
        <v>5863580</v>
      </c>
      <c r="M51" s="265">
        <v>4128306</v>
      </c>
      <c r="N51" s="266">
        <f t="shared" si="0"/>
        <v>59461189</v>
      </c>
      <c r="O51" s="267">
        <f t="shared" si="1"/>
        <v>8.9632135200302526E-2</v>
      </c>
    </row>
    <row r="52" spans="1:15">
      <c r="A52" s="262" t="s">
        <v>47</v>
      </c>
      <c r="B52" s="263">
        <v>9935075</v>
      </c>
      <c r="C52" s="264">
        <v>450814</v>
      </c>
      <c r="D52" s="264">
        <v>12889477</v>
      </c>
      <c r="E52" s="264">
        <v>9127174</v>
      </c>
      <c r="F52" s="264">
        <v>13770570</v>
      </c>
      <c r="G52" s="264">
        <v>7303826</v>
      </c>
      <c r="H52" s="264">
        <v>8601263</v>
      </c>
      <c r="I52" s="264">
        <v>9634296</v>
      </c>
      <c r="J52" s="264">
        <v>15247448</v>
      </c>
      <c r="K52" s="264">
        <v>7985920</v>
      </c>
      <c r="L52" s="264">
        <v>8367757</v>
      </c>
      <c r="M52" s="265">
        <v>30790491</v>
      </c>
      <c r="N52" s="266">
        <f t="shared" si="0"/>
        <v>134104111</v>
      </c>
      <c r="O52" s="267">
        <f t="shared" si="1"/>
        <v>0.20214930125377037</v>
      </c>
    </row>
    <row r="53" spans="1:15">
      <c r="A53" s="262" t="s">
        <v>48</v>
      </c>
      <c r="B53" s="263">
        <v>0</v>
      </c>
      <c r="C53" s="264">
        <v>-203643</v>
      </c>
      <c r="D53" s="264">
        <v>0</v>
      </c>
      <c r="E53" s="264">
        <v>0</v>
      </c>
      <c r="F53" s="264">
        <v>14719339</v>
      </c>
      <c r="G53" s="264">
        <v>-2055336</v>
      </c>
      <c r="H53" s="264">
        <v>0</v>
      </c>
      <c r="I53" s="264">
        <v>3091884</v>
      </c>
      <c r="J53" s="264">
        <v>6536818</v>
      </c>
      <c r="K53" s="264">
        <v>2568895</v>
      </c>
      <c r="L53" s="264">
        <v>3345855</v>
      </c>
      <c r="M53" s="265">
        <v>69</v>
      </c>
      <c r="N53" s="266">
        <f t="shared" si="0"/>
        <v>28003881</v>
      </c>
      <c r="O53" s="267">
        <f t="shared" si="1"/>
        <v>4.2213209828770547E-2</v>
      </c>
    </row>
    <row r="54" spans="1:15">
      <c r="A54" s="262" t="s">
        <v>49</v>
      </c>
      <c r="B54" s="263">
        <v>3649776</v>
      </c>
      <c r="C54" s="264">
        <v>551802</v>
      </c>
      <c r="D54" s="264">
        <v>190321</v>
      </c>
      <c r="E54" s="264">
        <v>0</v>
      </c>
      <c r="F54" s="264">
        <v>350014</v>
      </c>
      <c r="G54" s="264">
        <v>155173</v>
      </c>
      <c r="H54" s="264">
        <v>183804</v>
      </c>
      <c r="I54" s="264">
        <v>0</v>
      </c>
      <c r="J54" s="264">
        <v>423899</v>
      </c>
      <c r="K54" s="264">
        <v>-150339</v>
      </c>
      <c r="L54" s="264">
        <v>0</v>
      </c>
      <c r="M54" s="265">
        <v>599872</v>
      </c>
      <c r="N54" s="266">
        <f t="shared" si="0"/>
        <v>5954322</v>
      </c>
      <c r="O54" s="267">
        <f t="shared" si="1"/>
        <v>8.9755789197241871E-3</v>
      </c>
    </row>
    <row r="55" spans="1:15">
      <c r="A55" s="262" t="s">
        <v>50</v>
      </c>
      <c r="B55" s="263">
        <v>0</v>
      </c>
      <c r="C55" s="264">
        <v>0</v>
      </c>
      <c r="D55" s="264">
        <v>0</v>
      </c>
      <c r="E55" s="264">
        <v>0</v>
      </c>
      <c r="F55" s="264">
        <v>10696</v>
      </c>
      <c r="G55" s="264">
        <v>74298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5">
        <v>97765</v>
      </c>
      <c r="N55" s="266">
        <f t="shared" si="0"/>
        <v>182759</v>
      </c>
      <c r="O55" s="267">
        <f t="shared" si="1"/>
        <v>2.754919582430834E-4</v>
      </c>
    </row>
    <row r="56" spans="1:15">
      <c r="A56" s="262" t="s">
        <v>51</v>
      </c>
      <c r="B56" s="263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5">
        <v>0</v>
      </c>
      <c r="N56" s="266">
        <f t="shared" si="0"/>
        <v>0</v>
      </c>
      <c r="O56" s="267">
        <f t="shared" si="1"/>
        <v>0</v>
      </c>
    </row>
    <row r="57" spans="1:15" ht="15.75" thickBot="1">
      <c r="A57" s="268" t="s">
        <v>52</v>
      </c>
      <c r="B57" s="269">
        <f>SUM(B6:B56)</f>
        <v>43923895</v>
      </c>
      <c r="C57" s="270">
        <f t="shared" ref="C57:O57" si="2">SUM(C6:C56)</f>
        <v>43863486</v>
      </c>
      <c r="D57" s="270">
        <f t="shared" si="2"/>
        <v>71170006</v>
      </c>
      <c r="E57" s="270">
        <f t="shared" si="2"/>
        <v>72602179</v>
      </c>
      <c r="F57" s="270">
        <f t="shared" si="2"/>
        <v>75003615</v>
      </c>
      <c r="G57" s="270">
        <f t="shared" si="2"/>
        <v>57331054</v>
      </c>
      <c r="H57" s="270">
        <f t="shared" si="2"/>
        <v>50481906</v>
      </c>
      <c r="I57" s="270">
        <f t="shared" si="2"/>
        <v>46736127</v>
      </c>
      <c r="J57" s="270">
        <f t="shared" si="2"/>
        <v>46577262</v>
      </c>
      <c r="K57" s="270">
        <f t="shared" si="2"/>
        <v>29626401</v>
      </c>
      <c r="L57" s="270">
        <f t="shared" si="2"/>
        <v>45965585</v>
      </c>
      <c r="M57" s="271">
        <f t="shared" si="2"/>
        <v>80109899</v>
      </c>
      <c r="N57" s="269">
        <f t="shared" si="2"/>
        <v>663391415</v>
      </c>
      <c r="O57" s="272">
        <f t="shared" si="2"/>
        <v>1.0000000000000002</v>
      </c>
    </row>
    <row r="58" spans="1:15" ht="15.75" thickTop="1"/>
    <row r="59" spans="1:15">
      <c r="A59" s="273" t="s">
        <v>312</v>
      </c>
      <c r="B59" s="274">
        <v>657082235</v>
      </c>
      <c r="C59" s="274">
        <v>439754915</v>
      </c>
      <c r="D59" s="274">
        <v>520684086</v>
      </c>
      <c r="E59" s="274">
        <v>416430245</v>
      </c>
      <c r="F59" s="274">
        <v>456912106</v>
      </c>
      <c r="G59" s="274">
        <v>374667732</v>
      </c>
      <c r="H59" s="274">
        <v>359944660</v>
      </c>
      <c r="I59" s="274">
        <v>488520384</v>
      </c>
      <c r="J59" s="274">
        <v>321934224</v>
      </c>
      <c r="K59" s="274">
        <v>275281906</v>
      </c>
      <c r="L59" s="274">
        <v>675954525</v>
      </c>
      <c r="M59" s="274">
        <v>375921024</v>
      </c>
      <c r="N59" s="275">
        <f>SUM(B59:M59)</f>
        <v>5363088042</v>
      </c>
    </row>
    <row r="60" spans="1:15">
      <c r="A60" s="276" t="s">
        <v>313</v>
      </c>
      <c r="B60" s="277">
        <f>IFERROR(B57/B59:B59,0)</f>
        <v>6.684687647962359E-2</v>
      </c>
      <c r="C60" s="277">
        <f t="shared" ref="C60:N60" si="3">IFERROR(C57/C59:C59,0)</f>
        <v>9.9745300174757565E-2</v>
      </c>
      <c r="D60" s="277">
        <f t="shared" si="3"/>
        <v>0.1366855794398141</v>
      </c>
      <c r="E60" s="277">
        <f t="shared" si="3"/>
        <v>0.17434415456543029</v>
      </c>
      <c r="F60" s="277">
        <f t="shared" si="3"/>
        <v>0.16415326714937162</v>
      </c>
      <c r="G60" s="277">
        <f t="shared" si="3"/>
        <v>0.15301839230713363</v>
      </c>
      <c r="H60" s="277">
        <f t="shared" si="3"/>
        <v>0.14024907606630418</v>
      </c>
      <c r="I60" s="277">
        <f t="shared" si="3"/>
        <v>9.5668734674539194E-2</v>
      </c>
      <c r="J60" s="277">
        <f t="shared" si="3"/>
        <v>0.1446794361322703</v>
      </c>
      <c r="K60" s="277">
        <f t="shared" si="3"/>
        <v>0.10762204254717707</v>
      </c>
      <c r="L60" s="277">
        <f t="shared" si="3"/>
        <v>6.8001001990481535E-2</v>
      </c>
      <c r="M60" s="277">
        <f t="shared" si="3"/>
        <v>0.21310300272006069</v>
      </c>
      <c r="N60" s="278">
        <f t="shared" si="3"/>
        <v>0.12369579052306745</v>
      </c>
    </row>
    <row r="62" spans="1:15">
      <c r="B62" s="279"/>
    </row>
    <row r="64" spans="1:15">
      <c r="D64" s="279"/>
      <c r="F64" s="279"/>
    </row>
  </sheetData>
  <mergeCells count="4">
    <mergeCell ref="A1:N1"/>
    <mergeCell ref="A2:N2"/>
    <mergeCell ref="A3:N3"/>
    <mergeCell ref="A4:N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W54"/>
  <sheetViews>
    <sheetView showGridLines="0" topLeftCell="K1" zoomScale="136" zoomScaleNormal="136" zoomScaleSheetLayoutView="100" workbookViewId="0">
      <selection activeCell="W15" sqref="W15"/>
    </sheetView>
  </sheetViews>
  <sheetFormatPr baseColWidth="10" defaultColWidth="11.42578125" defaultRowHeight="12.75"/>
  <cols>
    <col min="1" max="1" width="28" style="16" customWidth="1"/>
    <col min="2" max="11" width="14.28515625" style="58" customWidth="1"/>
    <col min="12" max="12" width="11.42578125" style="66"/>
    <col min="13" max="13" width="32" style="16" customWidth="1"/>
    <col min="14" max="16384" width="11.42578125" style="16"/>
  </cols>
  <sheetData>
    <row r="1" spans="1:23" ht="27" thickTop="1" thickBot="1">
      <c r="A1" s="18" t="s">
        <v>0</v>
      </c>
      <c r="B1" s="54" t="s">
        <v>96</v>
      </c>
      <c r="C1" s="54" t="s">
        <v>128</v>
      </c>
      <c r="D1" s="65" t="s">
        <v>127</v>
      </c>
      <c r="E1" s="54" t="s">
        <v>98</v>
      </c>
      <c r="F1" s="54" t="s">
        <v>112</v>
      </c>
      <c r="G1" s="54" t="s">
        <v>111</v>
      </c>
      <c r="H1" s="54" t="s">
        <v>124</v>
      </c>
      <c r="I1" s="54" t="s">
        <v>125</v>
      </c>
      <c r="J1" s="54" t="s">
        <v>154</v>
      </c>
      <c r="K1" s="55" t="s">
        <v>53</v>
      </c>
      <c r="M1" s="18" t="s">
        <v>0</v>
      </c>
      <c r="N1" s="54" t="s">
        <v>96</v>
      </c>
      <c r="O1" s="54" t="s">
        <v>128</v>
      </c>
      <c r="P1" s="65" t="s">
        <v>127</v>
      </c>
      <c r="Q1" s="54" t="s">
        <v>98</v>
      </c>
      <c r="R1" s="54" t="s">
        <v>112</v>
      </c>
      <c r="S1" s="54" t="s">
        <v>111</v>
      </c>
      <c r="T1" s="54" t="s">
        <v>124</v>
      </c>
      <c r="U1" s="54" t="s">
        <v>125</v>
      </c>
      <c r="V1" s="54" t="s">
        <v>154</v>
      </c>
      <c r="W1" s="55" t="s">
        <v>53</v>
      </c>
    </row>
    <row r="2" spans="1:23" ht="13.5" thickTop="1">
      <c r="A2" s="19" t="s">
        <v>1</v>
      </c>
      <c r="B2" s="67" t="e">
        <f>+'[5]1er Sem coef act'!B2-'[5]1er Sem distribuido'!B2</f>
        <v>#REF!</v>
      </c>
      <c r="C2" s="67" t="e">
        <f>+'[5]1er Sem coef act'!C2-'[5]1er Sem distribuido'!C2</f>
        <v>#REF!</v>
      </c>
      <c r="D2" s="67" t="e">
        <f>+'[5]1er Sem coef act'!D2-'[5]1er Sem distribuido'!D2</f>
        <v>#REF!</v>
      </c>
      <c r="E2" s="67" t="e">
        <f>+'[5]1er Sem coef act'!E2-'[5]1er Sem distribuido'!E2</f>
        <v>#REF!</v>
      </c>
      <c r="F2" s="67" t="e">
        <f>+'[5]1er Sem coef act'!F2-'[5]1er Sem distribuido'!F2</f>
        <v>#REF!</v>
      </c>
      <c r="G2" s="67" t="e">
        <f>+'[5]1er Sem coef act'!G2-'[5]1er Sem distribuido'!G2</f>
        <v>#REF!</v>
      </c>
      <c r="H2" s="67" t="e">
        <f>+'[5]1er Sem coef act'!H2-'[5]1er Sem distribuido'!H2</f>
        <v>#REF!</v>
      </c>
      <c r="I2" s="67" t="e">
        <f>+'[5]1er Sem coef act'!I2-'[5]1er Sem distribuido'!I2</f>
        <v>#REF!</v>
      </c>
      <c r="J2" s="67" t="e">
        <f>+'[5]1er Sem coef act'!J2-'[5]1er Sem distribuido'!J2</f>
        <v>#REF!</v>
      </c>
      <c r="K2" s="68" t="e">
        <f t="shared" ref="K2:K52" si="0">SUM(B2:J2)</f>
        <v>#REF!</v>
      </c>
      <c r="M2" s="19" t="s">
        <v>1</v>
      </c>
      <c r="N2" s="67">
        <v>0</v>
      </c>
      <c r="O2" s="67">
        <v>0</v>
      </c>
      <c r="P2" s="67">
        <f>(-751624.504116406/6)</f>
        <v>-125270.75068606767</v>
      </c>
      <c r="Q2" s="67">
        <v>0</v>
      </c>
      <c r="R2" s="67">
        <v>0</v>
      </c>
      <c r="S2" s="67">
        <v>0</v>
      </c>
      <c r="T2" s="67">
        <v>0</v>
      </c>
      <c r="U2" s="67">
        <v>0</v>
      </c>
      <c r="V2" s="67">
        <f>(-49.5233118287942/6)</f>
        <v>-8.2538853047990326</v>
      </c>
      <c r="W2" s="68">
        <v>-751674.02742823481</v>
      </c>
    </row>
    <row r="3" spans="1:23">
      <c r="A3" s="19" t="s">
        <v>2</v>
      </c>
      <c r="B3" s="67" t="e">
        <f>+'[5]1er Sem coef act'!B3-'[5]1er Sem distribuido'!B3</f>
        <v>#REF!</v>
      </c>
      <c r="C3" s="67" t="e">
        <f>+'[5]1er Sem coef act'!C3-'[5]1er Sem distribuido'!C3</f>
        <v>#REF!</v>
      </c>
      <c r="D3" s="67" t="e">
        <f>+'[5]1er Sem coef act'!D3-'[5]1er Sem distribuido'!D3</f>
        <v>#REF!</v>
      </c>
      <c r="E3" s="67" t="e">
        <f>+'[5]1er Sem coef act'!E3-'[5]1er Sem distribuido'!E3</f>
        <v>#REF!</v>
      </c>
      <c r="F3" s="67" t="e">
        <f>+'[5]1er Sem coef act'!F3-'[5]1er Sem distribuido'!F3</f>
        <v>#REF!</v>
      </c>
      <c r="G3" s="67" t="e">
        <f>+'[5]1er Sem coef act'!G3-'[5]1er Sem distribuido'!G3</f>
        <v>#REF!</v>
      </c>
      <c r="H3" s="67" t="e">
        <f>+'[5]1er Sem coef act'!H3-'[5]1er Sem distribuido'!H3</f>
        <v>#REF!</v>
      </c>
      <c r="I3" s="67" t="e">
        <f>+'[5]1er Sem coef act'!I3-'[5]1er Sem distribuido'!I3</f>
        <v>#REF!</v>
      </c>
      <c r="J3" s="67" t="e">
        <f>+'[5]1er Sem coef act'!J3-'[5]1er Sem distribuido'!J3</f>
        <v>#REF!</v>
      </c>
      <c r="K3" s="68" t="e">
        <f t="shared" si="0"/>
        <v>#REF!</v>
      </c>
      <c r="M3" s="19" t="s">
        <v>2</v>
      </c>
      <c r="N3" s="67">
        <v>0</v>
      </c>
      <c r="O3" s="67">
        <v>0</v>
      </c>
      <c r="P3" s="67">
        <f>(429946.316578855/6)</f>
        <v>71657.719429809164</v>
      </c>
      <c r="Q3" s="67">
        <v>0</v>
      </c>
      <c r="R3" s="67">
        <v>0</v>
      </c>
      <c r="S3" s="67">
        <v>0</v>
      </c>
      <c r="T3" s="67">
        <v>0</v>
      </c>
      <c r="U3" s="67">
        <v>0</v>
      </c>
      <c r="V3" s="67">
        <f>(688.590111504964/6)</f>
        <v>114.76501858416067</v>
      </c>
      <c r="W3" s="68">
        <v>430634.90669036022</v>
      </c>
    </row>
    <row r="4" spans="1:23">
      <c r="A4" s="19" t="s">
        <v>216</v>
      </c>
      <c r="B4" s="67" t="e">
        <f>+'[5]1er Sem coef act'!B4-'[5]1er Sem distribuido'!B4</f>
        <v>#REF!</v>
      </c>
      <c r="C4" s="67" t="e">
        <f>+'[5]1er Sem coef act'!C4-'[5]1er Sem distribuido'!C4</f>
        <v>#REF!</v>
      </c>
      <c r="D4" s="67" t="e">
        <f>+'[5]1er Sem coef act'!D4-'[5]1er Sem distribuido'!D4</f>
        <v>#REF!</v>
      </c>
      <c r="E4" s="67" t="e">
        <f>+'[5]1er Sem coef act'!E4-'[5]1er Sem distribuido'!E4</f>
        <v>#REF!</v>
      </c>
      <c r="F4" s="67" t="e">
        <f>+'[5]1er Sem coef act'!F4-'[5]1er Sem distribuido'!F4</f>
        <v>#REF!</v>
      </c>
      <c r="G4" s="67" t="e">
        <f>+'[5]1er Sem coef act'!G4-'[5]1er Sem distribuido'!G4</f>
        <v>#REF!</v>
      </c>
      <c r="H4" s="67" t="e">
        <f>+'[5]1er Sem coef act'!H4-'[5]1er Sem distribuido'!H4</f>
        <v>#REF!</v>
      </c>
      <c r="I4" s="67" t="e">
        <f>+'[5]1er Sem coef act'!I4-'[5]1er Sem distribuido'!I4</f>
        <v>#REF!</v>
      </c>
      <c r="J4" s="67" t="e">
        <f>+'[5]1er Sem coef act'!J4-'[5]1er Sem distribuido'!J4</f>
        <v>#REF!</v>
      </c>
      <c r="K4" s="68" t="e">
        <f t="shared" si="0"/>
        <v>#REF!</v>
      </c>
      <c r="M4" s="19" t="s">
        <v>216</v>
      </c>
      <c r="N4" s="67">
        <v>0</v>
      </c>
      <c r="O4" s="67">
        <v>0</v>
      </c>
      <c r="P4" s="67">
        <f>(1593133.38480329/6)</f>
        <v>265522.23080054834</v>
      </c>
      <c r="Q4" s="67">
        <v>0</v>
      </c>
      <c r="R4" s="67">
        <v>0</v>
      </c>
      <c r="S4" s="67">
        <v>0</v>
      </c>
      <c r="T4" s="67">
        <v>0</v>
      </c>
      <c r="U4" s="67">
        <v>0</v>
      </c>
      <c r="V4" s="67">
        <f>(137.276240081977/6)</f>
        <v>22.879373346996164</v>
      </c>
      <c r="W4" s="68">
        <v>1593270.6610433715</v>
      </c>
    </row>
    <row r="5" spans="1:23">
      <c r="A5" s="19" t="s">
        <v>4</v>
      </c>
      <c r="B5" s="67" t="e">
        <f>+'[5]1er Sem coef act'!B5-'[5]1er Sem distribuido'!B5</f>
        <v>#REF!</v>
      </c>
      <c r="C5" s="67" t="e">
        <f>+'[5]1er Sem coef act'!C5-'[5]1er Sem distribuido'!C5</f>
        <v>#REF!</v>
      </c>
      <c r="D5" s="67" t="e">
        <f>+'[5]1er Sem coef act'!D5-'[5]1er Sem distribuido'!D5</f>
        <v>#REF!</v>
      </c>
      <c r="E5" s="67" t="e">
        <f>+'[5]1er Sem coef act'!E5-'[5]1er Sem distribuido'!E5</f>
        <v>#REF!</v>
      </c>
      <c r="F5" s="67" t="e">
        <f>+'[5]1er Sem coef act'!F5-'[5]1er Sem distribuido'!F5</f>
        <v>#REF!</v>
      </c>
      <c r="G5" s="67" t="e">
        <f>+'[5]1er Sem coef act'!G5-'[5]1er Sem distribuido'!G5</f>
        <v>#REF!</v>
      </c>
      <c r="H5" s="67" t="e">
        <f>+'[5]1er Sem coef act'!H5-'[5]1er Sem distribuido'!H5</f>
        <v>#REF!</v>
      </c>
      <c r="I5" s="67" t="e">
        <f>+'[5]1er Sem coef act'!I5-'[5]1er Sem distribuido'!I5</f>
        <v>#REF!</v>
      </c>
      <c r="J5" s="67" t="e">
        <f>+'[5]1er Sem coef act'!J5-'[5]1er Sem distribuido'!J5</f>
        <v>#REF!</v>
      </c>
      <c r="K5" s="68" t="e">
        <f t="shared" si="0"/>
        <v>#REF!</v>
      </c>
      <c r="M5" s="19" t="s">
        <v>4</v>
      </c>
      <c r="N5" s="67">
        <v>0</v>
      </c>
      <c r="O5" s="67">
        <v>4.1909515857696533E-9</v>
      </c>
      <c r="P5" s="67">
        <f>(-17180.8354262514/6)</f>
        <v>-2863.4725710419002</v>
      </c>
      <c r="Q5" s="67">
        <v>0</v>
      </c>
      <c r="R5" s="67">
        <v>0</v>
      </c>
      <c r="S5" s="67">
        <v>7.2759576141834259E-11</v>
      </c>
      <c r="T5" s="67">
        <v>0</v>
      </c>
      <c r="U5" s="67">
        <v>0</v>
      </c>
      <c r="V5" s="67">
        <f>(20912.6376491142/6)</f>
        <v>3485.4396081856999</v>
      </c>
      <c r="W5" s="68">
        <v>3731.8022228671034</v>
      </c>
    </row>
    <row r="6" spans="1:23">
      <c r="A6" s="19" t="s">
        <v>5</v>
      </c>
      <c r="B6" s="67" t="e">
        <f>+'[5]1er Sem coef act'!B6-'[5]1er Sem distribuido'!B6</f>
        <v>#REF!</v>
      </c>
      <c r="C6" s="67" t="e">
        <f>+'[5]1er Sem coef act'!C6-'[5]1er Sem distribuido'!C6</f>
        <v>#REF!</v>
      </c>
      <c r="D6" s="67" t="e">
        <f>+'[5]1er Sem coef act'!D6-'[5]1er Sem distribuido'!D6</f>
        <v>#REF!</v>
      </c>
      <c r="E6" s="67" t="e">
        <f>+'[5]1er Sem coef act'!E6-'[5]1er Sem distribuido'!E6</f>
        <v>#REF!</v>
      </c>
      <c r="F6" s="67" t="e">
        <f>+'[5]1er Sem coef act'!F6-'[5]1er Sem distribuido'!F6</f>
        <v>#REF!</v>
      </c>
      <c r="G6" s="67" t="e">
        <f>+'[5]1er Sem coef act'!G6-'[5]1er Sem distribuido'!G6</f>
        <v>#REF!</v>
      </c>
      <c r="H6" s="67" t="e">
        <f>+'[5]1er Sem coef act'!H6-'[5]1er Sem distribuido'!H6</f>
        <v>#REF!</v>
      </c>
      <c r="I6" s="67" t="e">
        <f>+'[5]1er Sem coef act'!I6-'[5]1er Sem distribuido'!I6</f>
        <v>#REF!</v>
      </c>
      <c r="J6" s="67" t="e">
        <f>+'[5]1er Sem coef act'!J6-'[5]1er Sem distribuido'!J6</f>
        <v>#REF!</v>
      </c>
      <c r="K6" s="68" t="e">
        <f t="shared" si="0"/>
        <v>#REF!</v>
      </c>
      <c r="M6" s="19" t="s">
        <v>5</v>
      </c>
      <c r="N6" s="67">
        <v>0</v>
      </c>
      <c r="O6" s="67">
        <v>0</v>
      </c>
      <c r="P6" s="67">
        <f>(-275183.21096846/6)</f>
        <v>-45863.868494743336</v>
      </c>
      <c r="Q6" s="67">
        <v>0</v>
      </c>
      <c r="R6" s="67">
        <v>0</v>
      </c>
      <c r="S6" s="67">
        <v>0</v>
      </c>
      <c r="T6" s="67">
        <v>0</v>
      </c>
      <c r="U6" s="67">
        <v>0</v>
      </c>
      <c r="V6" s="67">
        <f>(-1236.31296374631/6)</f>
        <v>-206.05216062438501</v>
      </c>
      <c r="W6" s="68">
        <v>-276419.52393220592</v>
      </c>
    </row>
    <row r="7" spans="1:23">
      <c r="A7" s="19" t="s">
        <v>6</v>
      </c>
      <c r="B7" s="67" t="e">
        <f>+'[5]1er Sem coef act'!B7-'[5]1er Sem distribuido'!B7</f>
        <v>#REF!</v>
      </c>
      <c r="C7" s="67" t="e">
        <f>+'[5]1er Sem coef act'!C7-'[5]1er Sem distribuido'!C7</f>
        <v>#REF!</v>
      </c>
      <c r="D7" s="67" t="e">
        <f>+'[5]1er Sem coef act'!D7-'[5]1er Sem distribuido'!D7</f>
        <v>#REF!</v>
      </c>
      <c r="E7" s="67" t="e">
        <f>+'[5]1er Sem coef act'!E7-'[5]1er Sem distribuido'!E7</f>
        <v>#REF!</v>
      </c>
      <c r="F7" s="67" t="e">
        <f>+'[5]1er Sem coef act'!F7-'[5]1er Sem distribuido'!F7</f>
        <v>#REF!</v>
      </c>
      <c r="G7" s="67" t="e">
        <f>+'[5]1er Sem coef act'!G7-'[5]1er Sem distribuido'!G7</f>
        <v>#REF!</v>
      </c>
      <c r="H7" s="67" t="e">
        <f>+'[5]1er Sem coef act'!H7-'[5]1er Sem distribuido'!H7</f>
        <v>#REF!</v>
      </c>
      <c r="I7" s="67" t="e">
        <f>+'[5]1er Sem coef act'!I7-'[5]1er Sem distribuido'!I7</f>
        <v>#REF!</v>
      </c>
      <c r="J7" s="67" t="e">
        <f>+'[5]1er Sem coef act'!J7-'[5]1er Sem distribuido'!J7</f>
        <v>#REF!</v>
      </c>
      <c r="K7" s="68" t="e">
        <f t="shared" si="0"/>
        <v>#REF!</v>
      </c>
      <c r="M7" s="19" t="s">
        <v>6</v>
      </c>
      <c r="N7" s="67">
        <v>3.5762786865234375E-7</v>
      </c>
      <c r="O7" s="67">
        <v>5.5879354476928711E-8</v>
      </c>
      <c r="P7" s="67">
        <f>(-425177.449357113/6)</f>
        <v>-70862.908226185493</v>
      </c>
      <c r="Q7" s="67">
        <v>1.3038516044616699E-8</v>
      </c>
      <c r="R7" s="67">
        <v>2.0489096641540527E-8</v>
      </c>
      <c r="S7" s="67">
        <v>1.0477378964424133E-9</v>
      </c>
      <c r="T7" s="67">
        <v>9.3132257461547852E-9</v>
      </c>
      <c r="U7" s="67">
        <v>2.3283064365386963E-9</v>
      </c>
      <c r="V7" s="67">
        <f>(254659.352042157/6)</f>
        <v>42443.225340359502</v>
      </c>
      <c r="W7" s="68">
        <v>-170518.09731449594</v>
      </c>
    </row>
    <row r="8" spans="1:23">
      <c r="A8" s="19" t="s">
        <v>7</v>
      </c>
      <c r="B8" s="67" t="e">
        <f>+'[5]1er Sem coef act'!B8-'[5]1er Sem distribuido'!B8</f>
        <v>#REF!</v>
      </c>
      <c r="C8" s="67" t="e">
        <f>+'[5]1er Sem coef act'!C8-'[5]1er Sem distribuido'!C8</f>
        <v>#REF!</v>
      </c>
      <c r="D8" s="67" t="e">
        <f>+'[5]1er Sem coef act'!D8-'[5]1er Sem distribuido'!D8</f>
        <v>#REF!</v>
      </c>
      <c r="E8" s="67" t="e">
        <f>+'[5]1er Sem coef act'!E8-'[5]1er Sem distribuido'!E8</f>
        <v>#REF!</v>
      </c>
      <c r="F8" s="67" t="e">
        <f>+'[5]1er Sem coef act'!F8-'[5]1er Sem distribuido'!F8</f>
        <v>#REF!</v>
      </c>
      <c r="G8" s="67" t="e">
        <f>+'[5]1er Sem coef act'!G8-'[5]1er Sem distribuido'!G8</f>
        <v>#REF!</v>
      </c>
      <c r="H8" s="67" t="e">
        <f>+'[5]1er Sem coef act'!H8-'[5]1er Sem distribuido'!H8</f>
        <v>#REF!</v>
      </c>
      <c r="I8" s="67" t="e">
        <f>+'[5]1er Sem coef act'!I8-'[5]1er Sem distribuido'!I8</f>
        <v>#REF!</v>
      </c>
      <c r="J8" s="67" t="e">
        <f>+'[5]1er Sem coef act'!J8-'[5]1er Sem distribuido'!J8</f>
        <v>#REF!</v>
      </c>
      <c r="K8" s="68" t="e">
        <f t="shared" si="0"/>
        <v>#REF!</v>
      </c>
      <c r="M8" s="19" t="s">
        <v>7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f>(2830.50816723111/6)</f>
        <v>471.75136120518499</v>
      </c>
      <c r="W8" s="68">
        <v>2830.5081672311062</v>
      </c>
    </row>
    <row r="9" spans="1:23">
      <c r="A9" s="19" t="s">
        <v>8</v>
      </c>
      <c r="B9" s="67" t="e">
        <f>+'[5]1er Sem coef act'!B9-'[5]1er Sem distribuido'!B9</f>
        <v>#REF!</v>
      </c>
      <c r="C9" s="67" t="e">
        <f>+'[5]1er Sem coef act'!C9-'[5]1er Sem distribuido'!C9</f>
        <v>#REF!</v>
      </c>
      <c r="D9" s="67" t="e">
        <f>+'[5]1er Sem coef act'!D9-'[5]1er Sem distribuido'!D9</f>
        <v>#REF!</v>
      </c>
      <c r="E9" s="67" t="e">
        <f>+'[5]1er Sem coef act'!E9-'[5]1er Sem distribuido'!E9</f>
        <v>#REF!</v>
      </c>
      <c r="F9" s="67" t="e">
        <f>+'[5]1er Sem coef act'!F9-'[5]1er Sem distribuido'!F9</f>
        <v>#REF!</v>
      </c>
      <c r="G9" s="67" t="e">
        <f>+'[5]1er Sem coef act'!G9-'[5]1er Sem distribuido'!G9</f>
        <v>#REF!</v>
      </c>
      <c r="H9" s="67" t="e">
        <f>+'[5]1er Sem coef act'!H9-'[5]1er Sem distribuido'!H9</f>
        <v>#REF!</v>
      </c>
      <c r="I9" s="67" t="e">
        <f>+'[5]1er Sem coef act'!I9-'[5]1er Sem distribuido'!I9</f>
        <v>#REF!</v>
      </c>
      <c r="J9" s="67" t="e">
        <f>+'[5]1er Sem coef act'!J9-'[5]1er Sem distribuido'!J9</f>
        <v>#REF!</v>
      </c>
      <c r="K9" s="68" t="e">
        <f t="shared" si="0"/>
        <v>#REF!</v>
      </c>
      <c r="M9" s="19" t="s">
        <v>8</v>
      </c>
      <c r="N9" s="67">
        <v>0</v>
      </c>
      <c r="O9" s="67">
        <v>0</v>
      </c>
      <c r="P9" s="67">
        <f>(1156048.80239411/6)</f>
        <v>192674.80039901834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f>(1460.95238753285/6)</f>
        <v>243.49206458880835</v>
      </c>
      <c r="W9" s="68">
        <v>1157509.7547816415</v>
      </c>
    </row>
    <row r="10" spans="1:23">
      <c r="A10" s="19" t="s">
        <v>9</v>
      </c>
      <c r="B10" s="67" t="e">
        <f>+'[5]1er Sem coef act'!B10-'[5]1er Sem distribuido'!B10</f>
        <v>#REF!</v>
      </c>
      <c r="C10" s="67" t="e">
        <f>+'[5]1er Sem coef act'!C10-'[5]1er Sem distribuido'!C10</f>
        <v>#REF!</v>
      </c>
      <c r="D10" s="67" t="e">
        <f>+'[5]1er Sem coef act'!D10-'[5]1er Sem distribuido'!D10</f>
        <v>#REF!</v>
      </c>
      <c r="E10" s="67" t="e">
        <f>+'[5]1er Sem coef act'!E10-'[5]1er Sem distribuido'!E10</f>
        <v>#REF!</v>
      </c>
      <c r="F10" s="67" t="e">
        <f>+'[5]1er Sem coef act'!F10-'[5]1er Sem distribuido'!F10</f>
        <v>#REF!</v>
      </c>
      <c r="G10" s="67" t="e">
        <f>+'[5]1er Sem coef act'!G10-'[5]1er Sem distribuido'!G10</f>
        <v>#REF!</v>
      </c>
      <c r="H10" s="67" t="e">
        <f>+'[5]1er Sem coef act'!H10-'[5]1er Sem distribuido'!H10</f>
        <v>#REF!</v>
      </c>
      <c r="I10" s="67" t="e">
        <f>+'[5]1er Sem coef act'!I10-'[5]1er Sem distribuido'!I10</f>
        <v>#REF!</v>
      </c>
      <c r="J10" s="67" t="e">
        <f>+'[5]1er Sem coef act'!J10-'[5]1er Sem distribuido'!J10</f>
        <v>#REF!</v>
      </c>
      <c r="K10" s="68" t="e">
        <f t="shared" si="0"/>
        <v>#REF!</v>
      </c>
      <c r="M10" s="19" t="s">
        <v>9</v>
      </c>
      <c r="N10" s="67">
        <v>0</v>
      </c>
      <c r="O10" s="67">
        <v>0</v>
      </c>
      <c r="P10" s="67">
        <f>(-676548.752738139/6)</f>
        <v>-112758.1254563565</v>
      </c>
      <c r="Q10" s="67">
        <v>0</v>
      </c>
      <c r="R10" s="67">
        <v>0</v>
      </c>
      <c r="S10" s="67">
        <v>0</v>
      </c>
      <c r="T10" s="67">
        <v>0</v>
      </c>
      <c r="U10" s="67">
        <v>0</v>
      </c>
      <c r="V10" s="67">
        <f>(-6182.26334804412/6)</f>
        <v>-1030.37722467402</v>
      </c>
      <c r="W10" s="68">
        <v>-682731.01608618349</v>
      </c>
    </row>
    <row r="11" spans="1:23">
      <c r="A11" s="19" t="s">
        <v>10</v>
      </c>
      <c r="B11" s="67" t="e">
        <f>+'[5]1er Sem coef act'!B11-'[5]1er Sem distribuido'!B11</f>
        <v>#REF!</v>
      </c>
      <c r="C11" s="67" t="e">
        <f>+'[5]1er Sem coef act'!C11-'[5]1er Sem distribuido'!C11</f>
        <v>#REF!</v>
      </c>
      <c r="D11" s="67" t="e">
        <f>+'[5]1er Sem coef act'!D11-'[5]1er Sem distribuido'!D11</f>
        <v>#REF!</v>
      </c>
      <c r="E11" s="67" t="e">
        <f>+'[5]1er Sem coef act'!E11-'[5]1er Sem distribuido'!E11</f>
        <v>#REF!</v>
      </c>
      <c r="F11" s="67" t="e">
        <f>+'[5]1er Sem coef act'!F11-'[5]1er Sem distribuido'!F11</f>
        <v>#REF!</v>
      </c>
      <c r="G11" s="67" t="e">
        <f>+'[5]1er Sem coef act'!G11-'[5]1er Sem distribuido'!G11</f>
        <v>#REF!</v>
      </c>
      <c r="H11" s="67" t="e">
        <f>+'[5]1er Sem coef act'!H11-'[5]1er Sem distribuido'!H11</f>
        <v>#REF!</v>
      </c>
      <c r="I11" s="67" t="e">
        <f>+'[5]1er Sem coef act'!I11-'[5]1er Sem distribuido'!I11</f>
        <v>#REF!</v>
      </c>
      <c r="J11" s="67" t="e">
        <f>+'[5]1er Sem coef act'!J11-'[5]1er Sem distribuido'!J11</f>
        <v>#REF!</v>
      </c>
      <c r="K11" s="68" t="e">
        <f t="shared" si="0"/>
        <v>#REF!</v>
      </c>
      <c r="M11" s="19" t="s">
        <v>10</v>
      </c>
      <c r="N11" s="67">
        <v>0</v>
      </c>
      <c r="O11" s="67">
        <v>0</v>
      </c>
      <c r="P11" s="67">
        <f>(1337596.65948047/6)</f>
        <v>222932.77658007832</v>
      </c>
      <c r="Q11" s="67">
        <v>2.9103830456733704E-10</v>
      </c>
      <c r="R11" s="67">
        <v>5.8207660913467407E-10</v>
      </c>
      <c r="S11" s="67">
        <v>0</v>
      </c>
      <c r="T11" s="67">
        <v>2.6193447411060333E-10</v>
      </c>
      <c r="U11" s="67">
        <v>5.8207660913467407E-11</v>
      </c>
      <c r="V11" s="67">
        <f>(6677.74926069751/6)</f>
        <v>1112.9582101162516</v>
      </c>
      <c r="W11" s="68">
        <v>1344274.4087411717</v>
      </c>
    </row>
    <row r="12" spans="1:23">
      <c r="A12" s="19" t="s">
        <v>11</v>
      </c>
      <c r="B12" s="67" t="e">
        <f>+'[5]1er Sem coef act'!B12-'[5]1er Sem distribuido'!B12</f>
        <v>#REF!</v>
      </c>
      <c r="C12" s="67" t="e">
        <f>+'[5]1er Sem coef act'!C12-'[5]1er Sem distribuido'!C12</f>
        <v>#REF!</v>
      </c>
      <c r="D12" s="67" t="e">
        <f>+'[5]1er Sem coef act'!D12-'[5]1er Sem distribuido'!D12</f>
        <v>#REF!</v>
      </c>
      <c r="E12" s="67" t="e">
        <f>+'[5]1er Sem coef act'!E12-'[5]1er Sem distribuido'!E12</f>
        <v>#REF!</v>
      </c>
      <c r="F12" s="67" t="e">
        <f>+'[5]1er Sem coef act'!F12-'[5]1er Sem distribuido'!F12</f>
        <v>#REF!</v>
      </c>
      <c r="G12" s="67" t="e">
        <f>+'[5]1er Sem coef act'!G12-'[5]1er Sem distribuido'!G12</f>
        <v>#REF!</v>
      </c>
      <c r="H12" s="67" t="e">
        <f>+'[5]1er Sem coef act'!H12-'[5]1er Sem distribuido'!H12</f>
        <v>#REF!</v>
      </c>
      <c r="I12" s="67" t="e">
        <f>+'[5]1er Sem coef act'!I12-'[5]1er Sem distribuido'!I12</f>
        <v>#REF!</v>
      </c>
      <c r="J12" s="67" t="e">
        <f>+'[5]1er Sem coef act'!J12-'[5]1er Sem distribuido'!J12</f>
        <v>#REF!</v>
      </c>
      <c r="K12" s="68" t="e">
        <f t="shared" si="0"/>
        <v>#REF!</v>
      </c>
      <c r="M12" s="19" t="s">
        <v>11</v>
      </c>
      <c r="N12" s="67">
        <v>0</v>
      </c>
      <c r="O12" s="67">
        <v>0</v>
      </c>
      <c r="P12" s="67">
        <f>(-3479361.47247573/6)</f>
        <v>-579893.57874595502</v>
      </c>
      <c r="Q12" s="67">
        <v>0</v>
      </c>
      <c r="R12" s="67">
        <v>0</v>
      </c>
      <c r="S12" s="67">
        <v>0</v>
      </c>
      <c r="T12" s="67">
        <v>0</v>
      </c>
      <c r="U12" s="67">
        <v>0</v>
      </c>
      <c r="V12" s="67">
        <f>(-29805.267626765/6)</f>
        <v>-4967.5446044608334</v>
      </c>
      <c r="W12" s="68">
        <v>-3509166.7401024923</v>
      </c>
    </row>
    <row r="13" spans="1:23">
      <c r="A13" s="19" t="s">
        <v>12</v>
      </c>
      <c r="B13" s="67" t="e">
        <f>+'[5]1er Sem coef act'!B13-'[5]1er Sem distribuido'!B13</f>
        <v>#REF!</v>
      </c>
      <c r="C13" s="67" t="e">
        <f>+'[5]1er Sem coef act'!C13-'[5]1er Sem distribuido'!C13</f>
        <v>#REF!</v>
      </c>
      <c r="D13" s="67" t="e">
        <f>+'[5]1er Sem coef act'!D13-'[5]1er Sem distribuido'!D13</f>
        <v>#REF!</v>
      </c>
      <c r="E13" s="67" t="e">
        <f>+'[5]1er Sem coef act'!E13-'[5]1er Sem distribuido'!E13</f>
        <v>#REF!</v>
      </c>
      <c r="F13" s="67" t="e">
        <f>+'[5]1er Sem coef act'!F13-'[5]1er Sem distribuido'!F13</f>
        <v>#REF!</v>
      </c>
      <c r="G13" s="67" t="e">
        <f>+'[5]1er Sem coef act'!G13-'[5]1er Sem distribuido'!G13</f>
        <v>#REF!</v>
      </c>
      <c r="H13" s="67" t="e">
        <f>+'[5]1er Sem coef act'!H13-'[5]1er Sem distribuido'!H13</f>
        <v>#REF!</v>
      </c>
      <c r="I13" s="67" t="e">
        <f>+'[5]1er Sem coef act'!I13-'[5]1er Sem distribuido'!I13</f>
        <v>#REF!</v>
      </c>
      <c r="J13" s="67" t="e">
        <f>+'[5]1er Sem coef act'!J13-'[5]1er Sem distribuido'!J13</f>
        <v>#REF!</v>
      </c>
      <c r="K13" s="68" t="e">
        <f t="shared" si="0"/>
        <v>#REF!</v>
      </c>
      <c r="M13" s="19" t="s">
        <v>12</v>
      </c>
      <c r="N13" s="67">
        <v>0</v>
      </c>
      <c r="O13" s="67">
        <v>0</v>
      </c>
      <c r="P13" s="67">
        <f>(682103.562508308/6)</f>
        <v>113683.927084718</v>
      </c>
      <c r="Q13" s="67">
        <v>0</v>
      </c>
      <c r="R13" s="67">
        <v>0</v>
      </c>
      <c r="S13" s="67">
        <v>0</v>
      </c>
      <c r="T13" s="67">
        <v>0</v>
      </c>
      <c r="U13" s="67">
        <v>0</v>
      </c>
      <c r="V13" s="67">
        <f>(1078.24124767451/6)</f>
        <v>179.70687461241835</v>
      </c>
      <c r="W13" s="68">
        <v>683181.80375598208</v>
      </c>
    </row>
    <row r="14" spans="1:23">
      <c r="A14" s="19" t="s">
        <v>13</v>
      </c>
      <c r="B14" s="67" t="e">
        <f>+'[5]1er Sem coef act'!B14-'[5]1er Sem distribuido'!B14</f>
        <v>#REF!</v>
      </c>
      <c r="C14" s="67" t="e">
        <f>+'[5]1er Sem coef act'!C14-'[5]1er Sem distribuido'!C14</f>
        <v>#REF!</v>
      </c>
      <c r="D14" s="67" t="e">
        <f>+'[5]1er Sem coef act'!D14-'[5]1er Sem distribuido'!D14</f>
        <v>#REF!</v>
      </c>
      <c r="E14" s="67" t="e">
        <f>+'[5]1er Sem coef act'!E14-'[5]1er Sem distribuido'!E14</f>
        <v>#REF!</v>
      </c>
      <c r="F14" s="67" t="e">
        <f>+'[5]1er Sem coef act'!F14-'[5]1er Sem distribuido'!F14</f>
        <v>#REF!</v>
      </c>
      <c r="G14" s="67" t="e">
        <f>+'[5]1er Sem coef act'!G14-'[5]1er Sem distribuido'!G14</f>
        <v>#REF!</v>
      </c>
      <c r="H14" s="67" t="e">
        <f>+'[5]1er Sem coef act'!H14-'[5]1er Sem distribuido'!H14</f>
        <v>#REF!</v>
      </c>
      <c r="I14" s="67" t="e">
        <f>+'[5]1er Sem coef act'!I14-'[5]1er Sem distribuido'!I14</f>
        <v>#REF!</v>
      </c>
      <c r="J14" s="67" t="e">
        <f>+'[5]1er Sem coef act'!J14-'[5]1er Sem distribuido'!J14</f>
        <v>#REF!</v>
      </c>
      <c r="K14" s="68" t="e">
        <f t="shared" si="0"/>
        <v>#REF!</v>
      </c>
      <c r="M14" s="19" t="s">
        <v>13</v>
      </c>
      <c r="N14" s="67">
        <v>0</v>
      </c>
      <c r="O14" s="67">
        <v>0</v>
      </c>
      <c r="P14" s="67">
        <f>(60866.6962344662/6)</f>
        <v>10144.449372411034</v>
      </c>
      <c r="Q14" s="67">
        <v>0</v>
      </c>
      <c r="R14" s="67">
        <v>0</v>
      </c>
      <c r="S14" s="67">
        <v>0</v>
      </c>
      <c r="T14" s="67">
        <v>0</v>
      </c>
      <c r="U14" s="67">
        <v>0</v>
      </c>
      <c r="V14" s="67">
        <f>(4092.77655500022/6)</f>
        <v>682.12942583336996</v>
      </c>
      <c r="W14" s="68">
        <v>64959.472789466497</v>
      </c>
    </row>
    <row r="15" spans="1:23">
      <c r="A15" s="19" t="s">
        <v>14</v>
      </c>
      <c r="B15" s="67" t="e">
        <f>+'[5]1er Sem coef act'!B15-'[5]1er Sem distribuido'!B15</f>
        <v>#REF!</v>
      </c>
      <c r="C15" s="67" t="e">
        <f>+'[5]1er Sem coef act'!C15-'[5]1er Sem distribuido'!C15</f>
        <v>#REF!</v>
      </c>
      <c r="D15" s="67" t="e">
        <f>+'[5]1er Sem coef act'!D15-'[5]1er Sem distribuido'!D15</f>
        <v>#REF!</v>
      </c>
      <c r="E15" s="67" t="e">
        <f>+'[5]1er Sem coef act'!E15-'[5]1er Sem distribuido'!E15</f>
        <v>#REF!</v>
      </c>
      <c r="F15" s="67" t="e">
        <f>+'[5]1er Sem coef act'!F15-'[5]1er Sem distribuido'!F15</f>
        <v>#REF!</v>
      </c>
      <c r="G15" s="67" t="e">
        <f>+'[5]1er Sem coef act'!G15-'[5]1er Sem distribuido'!G15</f>
        <v>#REF!</v>
      </c>
      <c r="H15" s="67" t="e">
        <f>+'[5]1er Sem coef act'!H15-'[5]1er Sem distribuido'!H15</f>
        <v>#REF!</v>
      </c>
      <c r="I15" s="67" t="e">
        <f>+'[5]1er Sem coef act'!I15-'[5]1er Sem distribuido'!I15</f>
        <v>#REF!</v>
      </c>
      <c r="J15" s="67" t="e">
        <f>+'[5]1er Sem coef act'!J15-'[5]1er Sem distribuido'!J15</f>
        <v>#REF!</v>
      </c>
      <c r="K15" s="68" t="e">
        <f t="shared" si="0"/>
        <v>#REF!</v>
      </c>
      <c r="M15" s="19" t="s">
        <v>14</v>
      </c>
      <c r="N15" s="67">
        <v>0</v>
      </c>
      <c r="O15" s="67">
        <v>0</v>
      </c>
      <c r="P15" s="67">
        <f>(1090570.81724013/6)</f>
        <v>181761.80287335499</v>
      </c>
      <c r="Q15" s="67">
        <v>0</v>
      </c>
      <c r="R15" s="67">
        <v>0</v>
      </c>
      <c r="S15" s="67">
        <v>0</v>
      </c>
      <c r="T15" s="67">
        <v>0</v>
      </c>
      <c r="U15" s="67">
        <v>0</v>
      </c>
      <c r="V15" s="67">
        <f>(242.682346421526/6)</f>
        <v>40.447057736921003</v>
      </c>
      <c r="W15" s="68">
        <v>1090813.4995865545</v>
      </c>
    </row>
    <row r="16" spans="1:23">
      <c r="A16" s="19" t="s">
        <v>15</v>
      </c>
      <c r="B16" s="67" t="e">
        <f>+'[5]1er Sem coef act'!B16-'[5]1er Sem distribuido'!B16</f>
        <v>#REF!</v>
      </c>
      <c r="C16" s="67" t="e">
        <f>+'[5]1er Sem coef act'!C16-'[5]1er Sem distribuido'!C16</f>
        <v>#REF!</v>
      </c>
      <c r="D16" s="67" t="e">
        <f>+'[5]1er Sem coef act'!D16-'[5]1er Sem distribuido'!D16</f>
        <v>#REF!</v>
      </c>
      <c r="E16" s="67" t="e">
        <f>+'[5]1er Sem coef act'!E16-'[5]1er Sem distribuido'!E16</f>
        <v>#REF!</v>
      </c>
      <c r="F16" s="67" t="e">
        <f>+'[5]1er Sem coef act'!F16-'[5]1er Sem distribuido'!F16</f>
        <v>#REF!</v>
      </c>
      <c r="G16" s="67" t="e">
        <f>+'[5]1er Sem coef act'!G16-'[5]1er Sem distribuido'!G16</f>
        <v>#REF!</v>
      </c>
      <c r="H16" s="67" t="e">
        <f>+'[5]1er Sem coef act'!H16-'[5]1er Sem distribuido'!H16</f>
        <v>#REF!</v>
      </c>
      <c r="I16" s="67" t="e">
        <f>+'[5]1er Sem coef act'!I16-'[5]1er Sem distribuido'!I16</f>
        <v>#REF!</v>
      </c>
      <c r="J16" s="67" t="e">
        <f>+'[5]1er Sem coef act'!J16-'[5]1er Sem distribuido'!J16</f>
        <v>#REF!</v>
      </c>
      <c r="K16" s="68" t="e">
        <f t="shared" si="0"/>
        <v>#REF!</v>
      </c>
      <c r="M16" s="19" t="s">
        <v>15</v>
      </c>
      <c r="N16" s="67">
        <v>0</v>
      </c>
      <c r="O16" s="67">
        <v>0</v>
      </c>
      <c r="P16" s="67">
        <f>(-2988106.96987732/6)</f>
        <v>-498017.82831288665</v>
      </c>
      <c r="Q16" s="67">
        <v>0</v>
      </c>
      <c r="R16" s="67">
        <v>0</v>
      </c>
      <c r="S16" s="67">
        <v>0</v>
      </c>
      <c r="T16" s="67">
        <v>0</v>
      </c>
      <c r="U16" s="67">
        <v>0</v>
      </c>
      <c r="V16" s="67">
        <f>(-192.709598534828/6)</f>
        <v>-32.118266422471329</v>
      </c>
      <c r="W16" s="68">
        <v>-2988299.6794758555</v>
      </c>
    </row>
    <row r="17" spans="1:23">
      <c r="A17" s="19" t="s">
        <v>16</v>
      </c>
      <c r="B17" s="67" t="e">
        <f>+'[5]1er Sem coef act'!B17-'[5]1er Sem distribuido'!B17</f>
        <v>#REF!</v>
      </c>
      <c r="C17" s="67" t="e">
        <f>+'[5]1er Sem coef act'!C17-'[5]1er Sem distribuido'!C17</f>
        <v>#REF!</v>
      </c>
      <c r="D17" s="67" t="e">
        <f>+'[5]1er Sem coef act'!D17-'[5]1er Sem distribuido'!D17</f>
        <v>#REF!</v>
      </c>
      <c r="E17" s="67" t="e">
        <f>+'[5]1er Sem coef act'!E17-'[5]1er Sem distribuido'!E17</f>
        <v>#REF!</v>
      </c>
      <c r="F17" s="67" t="e">
        <f>+'[5]1er Sem coef act'!F17-'[5]1er Sem distribuido'!F17</f>
        <v>#REF!</v>
      </c>
      <c r="G17" s="67" t="e">
        <f>+'[5]1er Sem coef act'!G17-'[5]1er Sem distribuido'!G17</f>
        <v>#REF!</v>
      </c>
      <c r="H17" s="67" t="e">
        <f>+'[5]1er Sem coef act'!H17-'[5]1er Sem distribuido'!H17</f>
        <v>#REF!</v>
      </c>
      <c r="I17" s="67" t="e">
        <f>+'[5]1er Sem coef act'!I17-'[5]1er Sem distribuido'!I17</f>
        <v>#REF!</v>
      </c>
      <c r="J17" s="67" t="e">
        <f>+'[5]1er Sem coef act'!J17-'[5]1er Sem distribuido'!J17</f>
        <v>#REF!</v>
      </c>
      <c r="K17" s="68" t="e">
        <f t="shared" si="0"/>
        <v>#REF!</v>
      </c>
      <c r="M17" s="19" t="s">
        <v>16</v>
      </c>
      <c r="N17" s="67">
        <v>0</v>
      </c>
      <c r="O17" s="67">
        <v>0</v>
      </c>
      <c r="P17" s="67">
        <f>(-109788.293873443/6)</f>
        <v>-18298.048978907169</v>
      </c>
      <c r="Q17" s="67">
        <v>0</v>
      </c>
      <c r="R17" s="67">
        <v>0</v>
      </c>
      <c r="S17" s="67">
        <v>0</v>
      </c>
      <c r="T17" s="67">
        <v>0</v>
      </c>
      <c r="U17" s="67">
        <v>0</v>
      </c>
      <c r="V17" s="67">
        <f>(688.047597858684/6)</f>
        <v>114.67459964311399</v>
      </c>
      <c r="W17" s="68">
        <v>-109100.24627558459</v>
      </c>
    </row>
    <row r="18" spans="1:23">
      <c r="A18" s="19" t="s">
        <v>17</v>
      </c>
      <c r="B18" s="67" t="e">
        <f>+'[5]1er Sem coef act'!B18-'[5]1er Sem distribuido'!B18</f>
        <v>#REF!</v>
      </c>
      <c r="C18" s="67" t="e">
        <f>+'[5]1er Sem coef act'!C18-'[5]1er Sem distribuido'!C18</f>
        <v>#REF!</v>
      </c>
      <c r="D18" s="67" t="e">
        <f>+'[5]1er Sem coef act'!D18-'[5]1er Sem distribuido'!D18</f>
        <v>#REF!</v>
      </c>
      <c r="E18" s="67" t="e">
        <f>+'[5]1er Sem coef act'!E18-'[5]1er Sem distribuido'!E18</f>
        <v>#REF!</v>
      </c>
      <c r="F18" s="67" t="e">
        <f>+'[5]1er Sem coef act'!F18-'[5]1er Sem distribuido'!F18</f>
        <v>#REF!</v>
      </c>
      <c r="G18" s="67" t="e">
        <f>+'[5]1er Sem coef act'!G18-'[5]1er Sem distribuido'!G18</f>
        <v>#REF!</v>
      </c>
      <c r="H18" s="67" t="e">
        <f>+'[5]1er Sem coef act'!H18-'[5]1er Sem distribuido'!H18</f>
        <v>#REF!</v>
      </c>
      <c r="I18" s="67" t="e">
        <f>+'[5]1er Sem coef act'!I18-'[5]1er Sem distribuido'!I18</f>
        <v>#REF!</v>
      </c>
      <c r="J18" s="67" t="e">
        <f>+'[5]1er Sem coef act'!J18-'[5]1er Sem distribuido'!J18</f>
        <v>#REF!</v>
      </c>
      <c r="K18" s="68" t="e">
        <f t="shared" si="0"/>
        <v>#REF!</v>
      </c>
      <c r="M18" s="19" t="s">
        <v>17</v>
      </c>
      <c r="N18" s="67">
        <v>0</v>
      </c>
      <c r="O18" s="67">
        <v>0</v>
      </c>
      <c r="P18" s="67">
        <f>(-1369871.77591246/6)</f>
        <v>-228311.96265207665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f>(303.989069943549/6)</f>
        <v>50.664844990591497</v>
      </c>
      <c r="W18" s="68">
        <v>-1369567.7868425178</v>
      </c>
    </row>
    <row r="19" spans="1:23">
      <c r="A19" s="19" t="s">
        <v>18</v>
      </c>
      <c r="B19" s="67" t="e">
        <f>+'[5]1er Sem coef act'!B19-'[5]1er Sem distribuido'!B19</f>
        <v>#REF!</v>
      </c>
      <c r="C19" s="67" t="e">
        <f>+'[5]1er Sem coef act'!C19-'[5]1er Sem distribuido'!C19</f>
        <v>#REF!</v>
      </c>
      <c r="D19" s="67" t="e">
        <f>+'[5]1er Sem coef act'!D19-'[5]1er Sem distribuido'!D19</f>
        <v>#REF!</v>
      </c>
      <c r="E19" s="67" t="e">
        <f>+'[5]1er Sem coef act'!E19-'[5]1er Sem distribuido'!E19</f>
        <v>#REF!</v>
      </c>
      <c r="F19" s="67" t="e">
        <f>+'[5]1er Sem coef act'!F19-'[5]1er Sem distribuido'!F19</f>
        <v>#REF!</v>
      </c>
      <c r="G19" s="67" t="e">
        <f>+'[5]1er Sem coef act'!G19-'[5]1er Sem distribuido'!G19</f>
        <v>#REF!</v>
      </c>
      <c r="H19" s="67" t="e">
        <f>+'[5]1er Sem coef act'!H19-'[5]1er Sem distribuido'!H19</f>
        <v>#REF!</v>
      </c>
      <c r="I19" s="67" t="e">
        <f>+'[5]1er Sem coef act'!I19-'[5]1er Sem distribuido'!I19</f>
        <v>#REF!</v>
      </c>
      <c r="J19" s="67" t="e">
        <f>+'[5]1er Sem coef act'!J19-'[5]1er Sem distribuido'!J19</f>
        <v>#REF!</v>
      </c>
      <c r="K19" s="68" t="e">
        <f t="shared" si="0"/>
        <v>#REF!</v>
      </c>
      <c r="M19" s="19" t="s">
        <v>18</v>
      </c>
      <c r="N19" s="67">
        <v>0</v>
      </c>
      <c r="O19" s="67">
        <v>0</v>
      </c>
      <c r="P19" s="67">
        <f>(-1480809.2618418/6)</f>
        <v>-246801.54364030002</v>
      </c>
      <c r="Q19" s="67">
        <v>1.862645149230957E-9</v>
      </c>
      <c r="R19" s="67">
        <v>0</v>
      </c>
      <c r="S19" s="67">
        <v>0</v>
      </c>
      <c r="T19" s="67">
        <v>0</v>
      </c>
      <c r="U19" s="67">
        <v>0</v>
      </c>
      <c r="V19" s="67">
        <f>(18589.2083189194/6)</f>
        <v>3098.2013864865671</v>
      </c>
      <c r="W19" s="68">
        <v>-1462220.0535228828</v>
      </c>
    </row>
    <row r="20" spans="1:23">
      <c r="A20" s="19" t="s">
        <v>19</v>
      </c>
      <c r="B20" s="67" t="e">
        <f>+'[5]1er Sem coef act'!B20-'[5]1er Sem distribuido'!B20</f>
        <v>#REF!</v>
      </c>
      <c r="C20" s="67" t="e">
        <f>+'[5]1er Sem coef act'!C20-'[5]1er Sem distribuido'!C20</f>
        <v>#REF!</v>
      </c>
      <c r="D20" s="67" t="e">
        <f>+'[5]1er Sem coef act'!D20-'[5]1er Sem distribuido'!D20</f>
        <v>#REF!</v>
      </c>
      <c r="E20" s="67" t="e">
        <f>+'[5]1er Sem coef act'!E20-'[5]1er Sem distribuido'!E20</f>
        <v>#REF!</v>
      </c>
      <c r="F20" s="67" t="e">
        <f>+'[5]1er Sem coef act'!F20-'[5]1er Sem distribuido'!F20</f>
        <v>#REF!</v>
      </c>
      <c r="G20" s="67" t="e">
        <f>+'[5]1er Sem coef act'!G20-'[5]1er Sem distribuido'!G20</f>
        <v>#REF!</v>
      </c>
      <c r="H20" s="67" t="e">
        <f>+'[5]1er Sem coef act'!H20-'[5]1er Sem distribuido'!H20</f>
        <v>#REF!</v>
      </c>
      <c r="I20" s="67" t="e">
        <f>+'[5]1er Sem coef act'!I20-'[5]1er Sem distribuido'!I20</f>
        <v>#REF!</v>
      </c>
      <c r="J20" s="67" t="e">
        <f>+'[5]1er Sem coef act'!J20-'[5]1er Sem distribuido'!J20</f>
        <v>#REF!</v>
      </c>
      <c r="K20" s="68" t="e">
        <f t="shared" si="0"/>
        <v>#REF!</v>
      </c>
      <c r="M20" s="19" t="s">
        <v>19</v>
      </c>
      <c r="N20" s="67">
        <v>0</v>
      </c>
      <c r="O20" s="67">
        <v>0</v>
      </c>
      <c r="P20" s="67">
        <f>(-959342.807652745/6)</f>
        <v>-159890.46794212417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f>(-1200.77151391748/6)</f>
        <v>-200.12858565291333</v>
      </c>
      <c r="W20" s="68">
        <v>-960543.57916666206</v>
      </c>
    </row>
    <row r="21" spans="1:23">
      <c r="A21" s="19" t="s">
        <v>20</v>
      </c>
      <c r="B21" s="67" t="e">
        <f>+'[5]1er Sem coef act'!B21-'[5]1er Sem distribuido'!B21</f>
        <v>#REF!</v>
      </c>
      <c r="C21" s="67" t="e">
        <f>+'[5]1er Sem coef act'!C21-'[5]1er Sem distribuido'!C21</f>
        <v>#REF!</v>
      </c>
      <c r="D21" s="67" t="e">
        <f>+'[5]1er Sem coef act'!D21-'[5]1er Sem distribuido'!D21</f>
        <v>#REF!</v>
      </c>
      <c r="E21" s="67" t="e">
        <f>+'[5]1er Sem coef act'!E21-'[5]1er Sem distribuido'!E21</f>
        <v>#REF!</v>
      </c>
      <c r="F21" s="67" t="e">
        <f>+'[5]1er Sem coef act'!F21-'[5]1er Sem distribuido'!F21</f>
        <v>#REF!</v>
      </c>
      <c r="G21" s="67" t="e">
        <f>+'[5]1er Sem coef act'!G21-'[5]1er Sem distribuido'!G21</f>
        <v>#REF!</v>
      </c>
      <c r="H21" s="67" t="e">
        <f>+'[5]1er Sem coef act'!H21-'[5]1er Sem distribuido'!H21</f>
        <v>#REF!</v>
      </c>
      <c r="I21" s="67" t="e">
        <f>+'[5]1er Sem coef act'!I21-'[5]1er Sem distribuido'!I21</f>
        <v>#REF!</v>
      </c>
      <c r="J21" s="67" t="e">
        <f>+'[5]1er Sem coef act'!J21-'[5]1er Sem distribuido'!J21</f>
        <v>#REF!</v>
      </c>
      <c r="K21" s="68" t="e">
        <f t="shared" si="0"/>
        <v>#REF!</v>
      </c>
      <c r="M21" s="19" t="s">
        <v>20</v>
      </c>
      <c r="N21" s="67">
        <v>0</v>
      </c>
      <c r="O21" s="67">
        <v>0</v>
      </c>
      <c r="P21" s="67">
        <f>(-807693.523463218/6)</f>
        <v>-134615.58724386967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f>(56715.5968873118/6)</f>
        <v>9452.5994812186345</v>
      </c>
      <c r="W21" s="68">
        <v>-750977.92657590564</v>
      </c>
    </row>
    <row r="22" spans="1:23">
      <c r="A22" s="19" t="s">
        <v>21</v>
      </c>
      <c r="B22" s="67" t="e">
        <f>+'[5]1er Sem coef act'!B22-'[5]1er Sem distribuido'!B22</f>
        <v>#REF!</v>
      </c>
      <c r="C22" s="67" t="e">
        <f>+'[5]1er Sem coef act'!C22-'[5]1er Sem distribuido'!C22</f>
        <v>#REF!</v>
      </c>
      <c r="D22" s="67" t="e">
        <f>+'[5]1er Sem coef act'!D22-'[5]1er Sem distribuido'!D22</f>
        <v>#REF!</v>
      </c>
      <c r="E22" s="67" t="e">
        <f>+'[5]1er Sem coef act'!E22-'[5]1er Sem distribuido'!E22</f>
        <v>#REF!</v>
      </c>
      <c r="F22" s="67" t="e">
        <f>+'[5]1er Sem coef act'!F22-'[5]1er Sem distribuido'!F22</f>
        <v>#REF!</v>
      </c>
      <c r="G22" s="67" t="e">
        <f>+'[5]1er Sem coef act'!G22-'[5]1er Sem distribuido'!G22</f>
        <v>#REF!</v>
      </c>
      <c r="H22" s="67" t="e">
        <f>+'[5]1er Sem coef act'!H22-'[5]1er Sem distribuido'!H22</f>
        <v>#REF!</v>
      </c>
      <c r="I22" s="67" t="e">
        <f>+'[5]1er Sem coef act'!I22-'[5]1er Sem distribuido'!I22</f>
        <v>#REF!</v>
      </c>
      <c r="J22" s="67" t="e">
        <f>+'[5]1er Sem coef act'!J22-'[5]1er Sem distribuido'!J22</f>
        <v>#REF!</v>
      </c>
      <c r="K22" s="68" t="e">
        <f t="shared" si="0"/>
        <v>#REF!</v>
      </c>
      <c r="M22" s="19" t="s">
        <v>21</v>
      </c>
      <c r="N22" s="67">
        <v>0</v>
      </c>
      <c r="O22" s="67">
        <v>0</v>
      </c>
      <c r="P22" s="67">
        <f>(1071515.2127784/6)</f>
        <v>178585.8687964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f>(3959.86588016426/6)</f>
        <v>659.9776466940433</v>
      </c>
      <c r="W22" s="68">
        <v>1075475.0786585598</v>
      </c>
    </row>
    <row r="23" spans="1:23">
      <c r="A23" s="19" t="s">
        <v>22</v>
      </c>
      <c r="B23" s="67" t="e">
        <f>+'[5]1er Sem coef act'!B23-'[5]1er Sem distribuido'!B23</f>
        <v>#REF!</v>
      </c>
      <c r="C23" s="67" t="e">
        <f>+'[5]1er Sem coef act'!C23-'[5]1er Sem distribuido'!C23</f>
        <v>#REF!</v>
      </c>
      <c r="D23" s="67" t="e">
        <f>+'[5]1er Sem coef act'!D23-'[5]1er Sem distribuido'!D23</f>
        <v>#REF!</v>
      </c>
      <c r="E23" s="67" t="e">
        <f>+'[5]1er Sem coef act'!E23-'[5]1er Sem distribuido'!E23</f>
        <v>#REF!</v>
      </c>
      <c r="F23" s="67" t="e">
        <f>+'[5]1er Sem coef act'!F23-'[5]1er Sem distribuido'!F23</f>
        <v>#REF!</v>
      </c>
      <c r="G23" s="67" t="e">
        <f>+'[5]1er Sem coef act'!G23-'[5]1er Sem distribuido'!G23</f>
        <v>#REF!</v>
      </c>
      <c r="H23" s="67" t="e">
        <f>+'[5]1er Sem coef act'!H23-'[5]1er Sem distribuido'!H23</f>
        <v>#REF!</v>
      </c>
      <c r="I23" s="67" t="e">
        <f>+'[5]1er Sem coef act'!I23-'[5]1er Sem distribuido'!I23</f>
        <v>#REF!</v>
      </c>
      <c r="J23" s="67" t="e">
        <f>+'[5]1er Sem coef act'!J23-'[5]1er Sem distribuido'!J23</f>
        <v>#REF!</v>
      </c>
      <c r="K23" s="68" t="e">
        <f t="shared" si="0"/>
        <v>#REF!</v>
      </c>
      <c r="M23" s="19" t="s">
        <v>22</v>
      </c>
      <c r="N23" s="67">
        <v>0</v>
      </c>
      <c r="O23" s="67">
        <v>0</v>
      </c>
      <c r="P23" s="67">
        <f>(1432506.10481819/6)</f>
        <v>238751.01746969833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f>(593.560201354827/6)</f>
        <v>98.926700225804495</v>
      </c>
      <c r="W23" s="68">
        <v>1433099.6650195441</v>
      </c>
    </row>
    <row r="24" spans="1:23">
      <c r="A24" s="19" t="s">
        <v>23</v>
      </c>
      <c r="B24" s="67" t="e">
        <f>+'[5]1er Sem coef act'!B24-'[5]1er Sem distribuido'!B24</f>
        <v>#REF!</v>
      </c>
      <c r="C24" s="67" t="e">
        <f>+'[5]1er Sem coef act'!C24-'[5]1er Sem distribuido'!C24</f>
        <v>#REF!</v>
      </c>
      <c r="D24" s="67" t="e">
        <f>+'[5]1er Sem coef act'!D24-'[5]1er Sem distribuido'!D24</f>
        <v>#REF!</v>
      </c>
      <c r="E24" s="67" t="e">
        <f>+'[5]1er Sem coef act'!E24-'[5]1er Sem distribuido'!E24</f>
        <v>#REF!</v>
      </c>
      <c r="F24" s="67" t="e">
        <f>+'[5]1er Sem coef act'!F24-'[5]1er Sem distribuido'!F24</f>
        <v>#REF!</v>
      </c>
      <c r="G24" s="67" t="e">
        <f>+'[5]1er Sem coef act'!G24-'[5]1er Sem distribuido'!G24</f>
        <v>#REF!</v>
      </c>
      <c r="H24" s="67" t="e">
        <f>+'[5]1er Sem coef act'!H24-'[5]1er Sem distribuido'!H24</f>
        <v>#REF!</v>
      </c>
      <c r="I24" s="67" t="e">
        <f>+'[5]1er Sem coef act'!I24-'[5]1er Sem distribuido'!I24</f>
        <v>#REF!</v>
      </c>
      <c r="J24" s="67" t="e">
        <f>+'[5]1er Sem coef act'!J24-'[5]1er Sem distribuido'!J24</f>
        <v>#REF!</v>
      </c>
      <c r="K24" s="68" t="e">
        <f t="shared" si="0"/>
        <v>#REF!</v>
      </c>
      <c r="M24" s="19" t="s">
        <v>23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f>(-25.4681208093243/6)</f>
        <v>-4.2446868015540504</v>
      </c>
      <c r="W24" s="68">
        <v>-25.468120809324319</v>
      </c>
    </row>
    <row r="25" spans="1:23">
      <c r="A25" s="19" t="s">
        <v>24</v>
      </c>
      <c r="B25" s="67" t="e">
        <f>+'[5]1er Sem coef act'!B25-'[5]1er Sem distribuido'!B25</f>
        <v>#REF!</v>
      </c>
      <c r="C25" s="67" t="e">
        <f>+'[5]1er Sem coef act'!C25-'[5]1er Sem distribuido'!C25</f>
        <v>#REF!</v>
      </c>
      <c r="D25" s="67" t="e">
        <f>+'[5]1er Sem coef act'!D25-'[5]1er Sem distribuido'!D25</f>
        <v>#REF!</v>
      </c>
      <c r="E25" s="67" t="e">
        <f>+'[5]1er Sem coef act'!E25-'[5]1er Sem distribuido'!E25</f>
        <v>#REF!</v>
      </c>
      <c r="F25" s="67" t="e">
        <f>+'[5]1er Sem coef act'!F25-'[5]1er Sem distribuido'!F25</f>
        <v>#REF!</v>
      </c>
      <c r="G25" s="67" t="e">
        <f>+'[5]1er Sem coef act'!G25-'[5]1er Sem distribuido'!G25</f>
        <v>#REF!</v>
      </c>
      <c r="H25" s="67" t="e">
        <f>+'[5]1er Sem coef act'!H25-'[5]1er Sem distribuido'!H25</f>
        <v>#REF!</v>
      </c>
      <c r="I25" s="67" t="e">
        <f>+'[5]1er Sem coef act'!I25-'[5]1er Sem distribuido'!I25</f>
        <v>#REF!</v>
      </c>
      <c r="J25" s="67" t="e">
        <f>+'[5]1er Sem coef act'!J25-'[5]1er Sem distribuido'!J25</f>
        <v>#REF!</v>
      </c>
      <c r="K25" s="68" t="e">
        <f t="shared" si="0"/>
        <v>#REF!</v>
      </c>
      <c r="M25" s="19" t="s">
        <v>24</v>
      </c>
      <c r="N25" s="67">
        <v>0</v>
      </c>
      <c r="O25" s="67">
        <v>0</v>
      </c>
      <c r="P25" s="67">
        <f>(470326.730116419/6)</f>
        <v>78387.788352736505</v>
      </c>
      <c r="Q25" s="67">
        <v>0</v>
      </c>
      <c r="R25" s="67">
        <v>0</v>
      </c>
      <c r="S25" s="67">
        <v>0</v>
      </c>
      <c r="T25" s="67">
        <v>0</v>
      </c>
      <c r="U25" s="67">
        <v>0</v>
      </c>
      <c r="V25" s="67">
        <f>(-13530.9336126467/6)</f>
        <v>-2255.1556021077836</v>
      </c>
      <c r="W25" s="68">
        <v>456795.79650377249</v>
      </c>
    </row>
    <row r="26" spans="1:23">
      <c r="A26" s="19" t="s">
        <v>25</v>
      </c>
      <c r="B26" s="67" t="e">
        <f>+'[5]1er Sem coef act'!B26-'[5]1er Sem distribuido'!B26</f>
        <v>#REF!</v>
      </c>
      <c r="C26" s="67" t="e">
        <f>+'[5]1er Sem coef act'!C26-'[5]1er Sem distribuido'!C26</f>
        <v>#REF!</v>
      </c>
      <c r="D26" s="67" t="e">
        <f>+'[5]1er Sem coef act'!D26-'[5]1er Sem distribuido'!D26</f>
        <v>#REF!</v>
      </c>
      <c r="E26" s="67" t="e">
        <f>+'[5]1er Sem coef act'!E26-'[5]1er Sem distribuido'!E26</f>
        <v>#REF!</v>
      </c>
      <c r="F26" s="67" t="e">
        <f>+'[5]1er Sem coef act'!F26-'[5]1er Sem distribuido'!F26</f>
        <v>#REF!</v>
      </c>
      <c r="G26" s="67" t="e">
        <f>+'[5]1er Sem coef act'!G26-'[5]1er Sem distribuido'!G26</f>
        <v>#REF!</v>
      </c>
      <c r="H26" s="67" t="e">
        <f>+'[5]1er Sem coef act'!H26-'[5]1er Sem distribuido'!H26</f>
        <v>#REF!</v>
      </c>
      <c r="I26" s="67" t="e">
        <f>+'[5]1er Sem coef act'!I26-'[5]1er Sem distribuido'!I26</f>
        <v>#REF!</v>
      </c>
      <c r="J26" s="67" t="e">
        <f>+'[5]1er Sem coef act'!J26-'[5]1er Sem distribuido'!J26</f>
        <v>#REF!</v>
      </c>
      <c r="K26" s="68" t="e">
        <f t="shared" si="0"/>
        <v>#REF!</v>
      </c>
      <c r="M26" s="19" t="s">
        <v>25</v>
      </c>
      <c r="N26" s="67">
        <v>0</v>
      </c>
      <c r="O26" s="67">
        <v>0</v>
      </c>
      <c r="P26" s="67">
        <f>(-1275522.7794884/6)</f>
        <v>-212587.12991473335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f>(12223.2272638585/6)</f>
        <v>2037.2045439764167</v>
      </c>
      <c r="W26" s="68">
        <v>-1263299.5522245411</v>
      </c>
    </row>
    <row r="27" spans="1:23">
      <c r="A27" s="19" t="s">
        <v>217</v>
      </c>
      <c r="B27" s="67" t="e">
        <f>+'[5]1er Sem coef act'!B27-'[5]1er Sem distribuido'!B27</f>
        <v>#REF!</v>
      </c>
      <c r="C27" s="67" t="e">
        <f>+'[5]1er Sem coef act'!C27-'[5]1er Sem distribuido'!C27</f>
        <v>#REF!</v>
      </c>
      <c r="D27" s="67" t="e">
        <f>+'[5]1er Sem coef act'!D27-'[5]1er Sem distribuido'!D27</f>
        <v>#REF!</v>
      </c>
      <c r="E27" s="67" t="e">
        <f>+'[5]1er Sem coef act'!E27-'[5]1er Sem distribuido'!E27</f>
        <v>#REF!</v>
      </c>
      <c r="F27" s="67" t="e">
        <f>+'[5]1er Sem coef act'!F27-'[5]1er Sem distribuido'!F27</f>
        <v>#REF!</v>
      </c>
      <c r="G27" s="67" t="e">
        <f>+'[5]1er Sem coef act'!G27-'[5]1er Sem distribuido'!G27</f>
        <v>#REF!</v>
      </c>
      <c r="H27" s="67" t="e">
        <f>+'[5]1er Sem coef act'!H27-'[5]1er Sem distribuido'!H27</f>
        <v>#REF!</v>
      </c>
      <c r="I27" s="67" t="e">
        <f>+'[5]1er Sem coef act'!I27-'[5]1er Sem distribuido'!I27</f>
        <v>#REF!</v>
      </c>
      <c r="J27" s="67" t="e">
        <f>+'[5]1er Sem coef act'!J27-'[5]1er Sem distribuido'!J27</f>
        <v>#REF!</v>
      </c>
      <c r="K27" s="68" t="e">
        <f t="shared" si="0"/>
        <v>#REF!</v>
      </c>
      <c r="M27" s="19" t="s">
        <v>217</v>
      </c>
      <c r="N27" s="67">
        <v>0</v>
      </c>
      <c r="O27" s="67">
        <v>0</v>
      </c>
      <c r="P27" s="67">
        <f>(-108576.765660731/6)</f>
        <v>-18096.127610121835</v>
      </c>
      <c r="Q27" s="67">
        <v>0</v>
      </c>
      <c r="R27" s="67">
        <v>0</v>
      </c>
      <c r="S27" s="67">
        <v>0</v>
      </c>
      <c r="T27" s="67">
        <v>0</v>
      </c>
      <c r="U27" s="67">
        <v>0</v>
      </c>
      <c r="V27" s="67">
        <f>(296.516061764276/6)</f>
        <v>49.419343627379334</v>
      </c>
      <c r="W27" s="68">
        <v>-108280.24959896685</v>
      </c>
    </row>
    <row r="28" spans="1:23">
      <c r="A28" s="19" t="s">
        <v>27</v>
      </c>
      <c r="B28" s="67" t="e">
        <f>+'[5]1er Sem coef act'!B28-'[5]1er Sem distribuido'!B28</f>
        <v>#REF!</v>
      </c>
      <c r="C28" s="67" t="e">
        <f>+'[5]1er Sem coef act'!C28-'[5]1er Sem distribuido'!C28</f>
        <v>#REF!</v>
      </c>
      <c r="D28" s="67" t="e">
        <f>+'[5]1er Sem coef act'!D28-'[5]1er Sem distribuido'!D28</f>
        <v>#REF!</v>
      </c>
      <c r="E28" s="67" t="e">
        <f>+'[5]1er Sem coef act'!E28-'[5]1er Sem distribuido'!E28</f>
        <v>#REF!</v>
      </c>
      <c r="F28" s="67" t="e">
        <f>+'[5]1er Sem coef act'!F28-'[5]1er Sem distribuido'!F28</f>
        <v>#REF!</v>
      </c>
      <c r="G28" s="67" t="e">
        <f>+'[5]1er Sem coef act'!G28-'[5]1er Sem distribuido'!G28</f>
        <v>#REF!</v>
      </c>
      <c r="H28" s="67" t="e">
        <f>+'[5]1er Sem coef act'!H28-'[5]1er Sem distribuido'!H28</f>
        <v>#REF!</v>
      </c>
      <c r="I28" s="67" t="e">
        <f>+'[5]1er Sem coef act'!I28-'[5]1er Sem distribuido'!I28</f>
        <v>#REF!</v>
      </c>
      <c r="J28" s="67" t="e">
        <f>+'[5]1er Sem coef act'!J28-'[5]1er Sem distribuido'!J28</f>
        <v>#REF!</v>
      </c>
      <c r="K28" s="68" t="e">
        <f t="shared" si="0"/>
        <v>#REF!</v>
      </c>
      <c r="M28" s="19" t="s">
        <v>27</v>
      </c>
      <c r="N28" s="67">
        <v>0</v>
      </c>
      <c r="O28" s="67">
        <v>0</v>
      </c>
      <c r="P28" s="67">
        <f>(-249127.188296185/6)</f>
        <v>-41521.198049364168</v>
      </c>
      <c r="Q28" s="67">
        <v>0</v>
      </c>
      <c r="R28" s="67">
        <v>0</v>
      </c>
      <c r="S28" s="67">
        <v>0</v>
      </c>
      <c r="T28" s="67">
        <v>0</v>
      </c>
      <c r="U28" s="67">
        <v>0</v>
      </c>
      <c r="V28" s="67">
        <f>(-254.565771171387/6)</f>
        <v>-42.427628528564505</v>
      </c>
      <c r="W28" s="68">
        <v>-249381.75406735673</v>
      </c>
    </row>
    <row r="29" spans="1:23">
      <c r="A29" s="19" t="s">
        <v>28</v>
      </c>
      <c r="B29" s="67" t="e">
        <f>+'[5]1er Sem coef act'!B29-'[5]1er Sem distribuido'!B29</f>
        <v>#REF!</v>
      </c>
      <c r="C29" s="67" t="e">
        <f>+'[5]1er Sem coef act'!C29-'[5]1er Sem distribuido'!C29</f>
        <v>#REF!</v>
      </c>
      <c r="D29" s="67" t="e">
        <f>+'[5]1er Sem coef act'!D29-'[5]1er Sem distribuido'!D29</f>
        <v>#REF!</v>
      </c>
      <c r="E29" s="67" t="e">
        <f>+'[5]1er Sem coef act'!E29-'[5]1er Sem distribuido'!E29</f>
        <v>#REF!</v>
      </c>
      <c r="F29" s="67" t="e">
        <f>+'[5]1er Sem coef act'!F29-'[5]1er Sem distribuido'!F29</f>
        <v>#REF!</v>
      </c>
      <c r="G29" s="67" t="e">
        <f>+'[5]1er Sem coef act'!G29-'[5]1er Sem distribuido'!G29</f>
        <v>#REF!</v>
      </c>
      <c r="H29" s="67" t="e">
        <f>+'[5]1er Sem coef act'!H29-'[5]1er Sem distribuido'!H29</f>
        <v>#REF!</v>
      </c>
      <c r="I29" s="67" t="e">
        <f>+'[5]1er Sem coef act'!I29-'[5]1er Sem distribuido'!I29</f>
        <v>#REF!</v>
      </c>
      <c r="J29" s="67" t="e">
        <f>+'[5]1er Sem coef act'!J29-'[5]1er Sem distribuido'!J29</f>
        <v>#REF!</v>
      </c>
      <c r="K29" s="68" t="e">
        <f t="shared" si="0"/>
        <v>#REF!</v>
      </c>
      <c r="M29" s="19" t="s">
        <v>28</v>
      </c>
      <c r="N29" s="67">
        <v>0</v>
      </c>
      <c r="O29" s="67">
        <v>0</v>
      </c>
      <c r="P29" s="67">
        <f>(382808.873894416/6)</f>
        <v>63801.478982402674</v>
      </c>
      <c r="Q29" s="67">
        <v>0</v>
      </c>
      <c r="R29" s="67">
        <v>0</v>
      </c>
      <c r="S29" s="67">
        <v>0</v>
      </c>
      <c r="T29" s="67">
        <v>0</v>
      </c>
      <c r="U29" s="67">
        <v>0</v>
      </c>
      <c r="V29" s="67">
        <f>(242.128724547001/6)</f>
        <v>40.354787424500167</v>
      </c>
      <c r="W29" s="68">
        <v>383051.00261896278</v>
      </c>
    </row>
    <row r="30" spans="1:23">
      <c r="A30" s="19" t="s">
        <v>29</v>
      </c>
      <c r="B30" s="67" t="e">
        <f>+'[5]1er Sem coef act'!B30-'[5]1er Sem distribuido'!B30</f>
        <v>#REF!</v>
      </c>
      <c r="C30" s="67" t="e">
        <f>+'[5]1er Sem coef act'!C30-'[5]1er Sem distribuido'!C30</f>
        <v>#REF!</v>
      </c>
      <c r="D30" s="67" t="e">
        <f>+'[5]1er Sem coef act'!D30-'[5]1er Sem distribuido'!D30</f>
        <v>#REF!</v>
      </c>
      <c r="E30" s="67" t="e">
        <f>+'[5]1er Sem coef act'!E30-'[5]1er Sem distribuido'!E30</f>
        <v>#REF!</v>
      </c>
      <c r="F30" s="67" t="e">
        <f>+'[5]1er Sem coef act'!F30-'[5]1er Sem distribuido'!F30</f>
        <v>#REF!</v>
      </c>
      <c r="G30" s="67" t="e">
        <f>+'[5]1er Sem coef act'!G30-'[5]1er Sem distribuido'!G30</f>
        <v>#REF!</v>
      </c>
      <c r="H30" s="67" t="e">
        <f>+'[5]1er Sem coef act'!H30-'[5]1er Sem distribuido'!H30</f>
        <v>#REF!</v>
      </c>
      <c r="I30" s="67" t="e">
        <f>+'[5]1er Sem coef act'!I30-'[5]1er Sem distribuido'!I30</f>
        <v>#REF!</v>
      </c>
      <c r="J30" s="67" t="e">
        <f>+'[5]1er Sem coef act'!J30-'[5]1er Sem distribuido'!J30</f>
        <v>#REF!</v>
      </c>
      <c r="K30" s="68" t="e">
        <f t="shared" si="0"/>
        <v>#REF!</v>
      </c>
      <c r="M30" s="19" t="s">
        <v>29</v>
      </c>
      <c r="N30" s="67">
        <v>0</v>
      </c>
      <c r="O30" s="67">
        <v>0</v>
      </c>
      <c r="P30" s="67">
        <f>(-150876.781907313/6)</f>
        <v>-25146.130317885501</v>
      </c>
      <c r="Q30" s="67">
        <v>0</v>
      </c>
      <c r="R30" s="67">
        <v>0</v>
      </c>
      <c r="S30" s="67">
        <v>0</v>
      </c>
      <c r="T30" s="67">
        <v>0</v>
      </c>
      <c r="U30" s="67">
        <v>0</v>
      </c>
      <c r="V30" s="67">
        <f>(334.257665728218/6)</f>
        <v>55.709610954703003</v>
      </c>
      <c r="W30" s="68">
        <v>-150542.52424158482</v>
      </c>
    </row>
    <row r="31" spans="1:23">
      <c r="A31" s="19" t="s">
        <v>30</v>
      </c>
      <c r="B31" s="67" t="e">
        <f>+'[5]1er Sem coef act'!B31-'[5]1er Sem distribuido'!B31</f>
        <v>#REF!</v>
      </c>
      <c r="C31" s="67" t="e">
        <f>+'[5]1er Sem coef act'!C31-'[5]1er Sem distribuido'!C31</f>
        <v>#REF!</v>
      </c>
      <c r="D31" s="67" t="e">
        <f>+'[5]1er Sem coef act'!D31-'[5]1er Sem distribuido'!D31</f>
        <v>#REF!</v>
      </c>
      <c r="E31" s="67" t="e">
        <f>+'[5]1er Sem coef act'!E31-'[5]1er Sem distribuido'!E31</f>
        <v>#REF!</v>
      </c>
      <c r="F31" s="67" t="e">
        <f>+'[5]1er Sem coef act'!F31-'[5]1er Sem distribuido'!F31</f>
        <v>#REF!</v>
      </c>
      <c r="G31" s="67" t="e">
        <f>+'[5]1er Sem coef act'!G31-'[5]1er Sem distribuido'!G31</f>
        <v>#REF!</v>
      </c>
      <c r="H31" s="67" t="e">
        <f>+'[5]1er Sem coef act'!H31-'[5]1er Sem distribuido'!H31</f>
        <v>#REF!</v>
      </c>
      <c r="I31" s="67" t="e">
        <f>+'[5]1er Sem coef act'!I31-'[5]1er Sem distribuido'!I31</f>
        <v>#REF!</v>
      </c>
      <c r="J31" s="67" t="e">
        <f>+'[5]1er Sem coef act'!J31-'[5]1er Sem distribuido'!J31</f>
        <v>#REF!</v>
      </c>
      <c r="K31" s="68" t="e">
        <f t="shared" si="0"/>
        <v>#REF!</v>
      </c>
      <c r="M31" s="19" t="s">
        <v>30</v>
      </c>
      <c r="N31" s="67">
        <v>0</v>
      </c>
      <c r="O31" s="67">
        <v>0</v>
      </c>
      <c r="P31" s="67">
        <f>(-6383340.70245518/6)</f>
        <v>-1063890.1170758633</v>
      </c>
      <c r="Q31" s="67">
        <v>0</v>
      </c>
      <c r="R31" s="67">
        <v>0</v>
      </c>
      <c r="S31" s="67">
        <v>0</v>
      </c>
      <c r="T31" s="67">
        <v>0</v>
      </c>
      <c r="U31" s="67">
        <v>0</v>
      </c>
      <c r="V31" s="67">
        <f>(-25.9976985053509/6)</f>
        <v>-4.3329497508918164</v>
      </c>
      <c r="W31" s="68">
        <v>-6383366.7001536889</v>
      </c>
    </row>
    <row r="32" spans="1:23">
      <c r="A32" s="19" t="s">
        <v>31</v>
      </c>
      <c r="B32" s="67" t="e">
        <f>+'[5]1er Sem coef act'!B32-'[5]1er Sem distribuido'!B32</f>
        <v>#REF!</v>
      </c>
      <c r="C32" s="67" t="e">
        <f>+'[5]1er Sem coef act'!C32-'[5]1er Sem distribuido'!C32</f>
        <v>#REF!</v>
      </c>
      <c r="D32" s="67" t="e">
        <f>+'[5]1er Sem coef act'!D32-'[5]1er Sem distribuido'!D32</f>
        <v>#REF!</v>
      </c>
      <c r="E32" s="67" t="e">
        <f>+'[5]1er Sem coef act'!E32-'[5]1er Sem distribuido'!E32</f>
        <v>#REF!</v>
      </c>
      <c r="F32" s="67" t="e">
        <f>+'[5]1er Sem coef act'!F32-'[5]1er Sem distribuido'!F32</f>
        <v>#REF!</v>
      </c>
      <c r="G32" s="67" t="e">
        <f>+'[5]1er Sem coef act'!G32-'[5]1er Sem distribuido'!G32</f>
        <v>#REF!</v>
      </c>
      <c r="H32" s="67" t="e">
        <f>+'[5]1er Sem coef act'!H32-'[5]1er Sem distribuido'!H32</f>
        <v>#REF!</v>
      </c>
      <c r="I32" s="67" t="e">
        <f>+'[5]1er Sem coef act'!I32-'[5]1er Sem distribuido'!I32</f>
        <v>#REF!</v>
      </c>
      <c r="J32" s="67" t="e">
        <f>+'[5]1er Sem coef act'!J32-'[5]1er Sem distribuido'!J32</f>
        <v>#REF!</v>
      </c>
      <c r="K32" s="68" t="e">
        <f t="shared" si="0"/>
        <v>#REF!</v>
      </c>
      <c r="M32" s="19" t="s">
        <v>31</v>
      </c>
      <c r="N32" s="67">
        <v>1.7881393432617188E-7</v>
      </c>
      <c r="O32" s="67">
        <v>2.4214386940002441E-8</v>
      </c>
      <c r="P32" s="67">
        <v>0</v>
      </c>
      <c r="Q32" s="67">
        <v>5.5879354476928711E-9</v>
      </c>
      <c r="R32" s="67">
        <v>8.3819031715393066E-9</v>
      </c>
      <c r="S32" s="67">
        <v>4.3655745685100555E-10</v>
      </c>
      <c r="T32" s="67">
        <v>3.7252902984619141E-9</v>
      </c>
      <c r="U32" s="67">
        <v>1.0477378964424133E-9</v>
      </c>
      <c r="V32" s="67">
        <f>(133500.645626245/6)</f>
        <v>22250.107604374167</v>
      </c>
      <c r="W32" s="68">
        <v>133500.64562646727</v>
      </c>
    </row>
    <row r="33" spans="1:23">
      <c r="A33" s="19" t="s">
        <v>32</v>
      </c>
      <c r="B33" s="67" t="e">
        <f>+'[5]1er Sem coef act'!B33-'[5]1er Sem distribuido'!B33</f>
        <v>#REF!</v>
      </c>
      <c r="C33" s="67" t="e">
        <f>+'[5]1er Sem coef act'!C33-'[5]1er Sem distribuido'!C33</f>
        <v>#REF!</v>
      </c>
      <c r="D33" s="67" t="e">
        <f>+'[5]1er Sem coef act'!D33-'[5]1er Sem distribuido'!D33</f>
        <v>#REF!</v>
      </c>
      <c r="E33" s="67" t="e">
        <f>+'[5]1er Sem coef act'!E33-'[5]1er Sem distribuido'!E33</f>
        <v>#REF!</v>
      </c>
      <c r="F33" s="67" t="e">
        <f>+'[5]1er Sem coef act'!F33-'[5]1er Sem distribuido'!F33</f>
        <v>#REF!</v>
      </c>
      <c r="G33" s="67" t="e">
        <f>+'[5]1er Sem coef act'!G33-'[5]1er Sem distribuido'!G33</f>
        <v>#REF!</v>
      </c>
      <c r="H33" s="67" t="e">
        <f>+'[5]1er Sem coef act'!H33-'[5]1er Sem distribuido'!H33</f>
        <v>#REF!</v>
      </c>
      <c r="I33" s="67" t="e">
        <f>+'[5]1er Sem coef act'!I33-'[5]1er Sem distribuido'!I33</f>
        <v>#REF!</v>
      </c>
      <c r="J33" s="67" t="e">
        <f>+'[5]1er Sem coef act'!J33-'[5]1er Sem distribuido'!J33</f>
        <v>#REF!</v>
      </c>
      <c r="K33" s="68" t="e">
        <f t="shared" si="0"/>
        <v>#REF!</v>
      </c>
      <c r="M33" s="19" t="s">
        <v>32</v>
      </c>
      <c r="N33" s="67">
        <v>0</v>
      </c>
      <c r="O33" s="67">
        <v>0</v>
      </c>
      <c r="P33" s="67">
        <f>(892496.657943922/6)</f>
        <v>148749.44299065365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f>(1155.72071390535/6)</f>
        <v>192.620118984225</v>
      </c>
      <c r="W33" s="68">
        <v>893652.37865782762</v>
      </c>
    </row>
    <row r="34" spans="1:23">
      <c r="A34" s="19" t="s">
        <v>33</v>
      </c>
      <c r="B34" s="67" t="e">
        <f>+'[5]1er Sem coef act'!B34-'[5]1er Sem distribuido'!B34</f>
        <v>#REF!</v>
      </c>
      <c r="C34" s="67" t="e">
        <f>+'[5]1er Sem coef act'!C34-'[5]1er Sem distribuido'!C34</f>
        <v>#REF!</v>
      </c>
      <c r="D34" s="67" t="e">
        <f>+'[5]1er Sem coef act'!D34-'[5]1er Sem distribuido'!D34</f>
        <v>#REF!</v>
      </c>
      <c r="E34" s="67" t="e">
        <f>+'[5]1er Sem coef act'!E34-'[5]1er Sem distribuido'!E34</f>
        <v>#REF!</v>
      </c>
      <c r="F34" s="67" t="e">
        <f>+'[5]1er Sem coef act'!F34-'[5]1er Sem distribuido'!F34</f>
        <v>#REF!</v>
      </c>
      <c r="G34" s="67" t="e">
        <f>+'[5]1er Sem coef act'!G34-'[5]1er Sem distribuido'!G34</f>
        <v>#REF!</v>
      </c>
      <c r="H34" s="67" t="e">
        <f>+'[5]1er Sem coef act'!H34-'[5]1er Sem distribuido'!H34</f>
        <v>#REF!</v>
      </c>
      <c r="I34" s="67" t="e">
        <f>+'[5]1er Sem coef act'!I34-'[5]1er Sem distribuido'!I34</f>
        <v>#REF!</v>
      </c>
      <c r="J34" s="67" t="e">
        <f>+'[5]1er Sem coef act'!J34-'[5]1er Sem distribuido'!J34</f>
        <v>#REF!</v>
      </c>
      <c r="K34" s="68" t="e">
        <f t="shared" si="0"/>
        <v>#REF!</v>
      </c>
      <c r="M34" s="19" t="s">
        <v>33</v>
      </c>
      <c r="N34" s="67">
        <v>0</v>
      </c>
      <c r="O34" s="67">
        <v>0</v>
      </c>
      <c r="P34" s="67">
        <f>(296599.497473006/6)</f>
        <v>49433.249578834337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f>(2303.58470982383/6)</f>
        <v>383.93078497063834</v>
      </c>
      <c r="W34" s="68">
        <v>298903.0821828302</v>
      </c>
    </row>
    <row r="35" spans="1:23">
      <c r="A35" s="19" t="s">
        <v>34</v>
      </c>
      <c r="B35" s="67" t="e">
        <f>+'[5]1er Sem coef act'!B35-'[5]1er Sem distribuido'!B35</f>
        <v>#REF!</v>
      </c>
      <c r="C35" s="67" t="e">
        <f>+'[5]1er Sem coef act'!C35-'[5]1er Sem distribuido'!C35</f>
        <v>#REF!</v>
      </c>
      <c r="D35" s="67" t="e">
        <f>+'[5]1er Sem coef act'!D35-'[5]1er Sem distribuido'!D35</f>
        <v>#REF!</v>
      </c>
      <c r="E35" s="67" t="e">
        <f>+'[5]1er Sem coef act'!E35-'[5]1er Sem distribuido'!E35</f>
        <v>#REF!</v>
      </c>
      <c r="F35" s="67" t="e">
        <f>+'[5]1er Sem coef act'!F35-'[5]1er Sem distribuido'!F35</f>
        <v>#REF!</v>
      </c>
      <c r="G35" s="67" t="e">
        <f>+'[5]1er Sem coef act'!G35-'[5]1er Sem distribuido'!G35</f>
        <v>#REF!</v>
      </c>
      <c r="H35" s="67" t="e">
        <f>+'[5]1er Sem coef act'!H35-'[5]1er Sem distribuido'!H35</f>
        <v>#REF!</v>
      </c>
      <c r="I35" s="67" t="e">
        <f>+'[5]1er Sem coef act'!I35-'[5]1er Sem distribuido'!I35</f>
        <v>#REF!</v>
      </c>
      <c r="J35" s="67" t="e">
        <f>+'[5]1er Sem coef act'!J35-'[5]1er Sem distribuido'!J35</f>
        <v>#REF!</v>
      </c>
      <c r="K35" s="68" t="e">
        <f t="shared" si="0"/>
        <v>#REF!</v>
      </c>
      <c r="M35" s="19" t="s">
        <v>34</v>
      </c>
      <c r="N35" s="67">
        <v>0</v>
      </c>
      <c r="O35" s="67">
        <v>0</v>
      </c>
      <c r="P35" s="67">
        <f>(6785661.55134465/6)</f>
        <v>1130943.5918907749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f>(5271.56100077782/6)</f>
        <v>878.5935001296366</v>
      </c>
      <c r="W35" s="68">
        <v>6790933.1123454301</v>
      </c>
    </row>
    <row r="36" spans="1:23">
      <c r="A36" s="19" t="s">
        <v>35</v>
      </c>
      <c r="B36" s="67" t="e">
        <f>+'[5]1er Sem coef act'!B36-'[5]1er Sem distribuido'!B36</f>
        <v>#REF!</v>
      </c>
      <c r="C36" s="67" t="e">
        <f>+'[5]1er Sem coef act'!C36-'[5]1er Sem distribuido'!C36</f>
        <v>#REF!</v>
      </c>
      <c r="D36" s="67" t="e">
        <f>+'[5]1er Sem coef act'!D36-'[5]1er Sem distribuido'!D36</f>
        <v>#REF!</v>
      </c>
      <c r="E36" s="67" t="e">
        <f>+'[5]1er Sem coef act'!E36-'[5]1er Sem distribuido'!E36</f>
        <v>#REF!</v>
      </c>
      <c r="F36" s="67" t="e">
        <f>+'[5]1er Sem coef act'!F36-'[5]1er Sem distribuido'!F36</f>
        <v>#REF!</v>
      </c>
      <c r="G36" s="67" t="e">
        <f>+'[5]1er Sem coef act'!G36-'[5]1er Sem distribuido'!G36</f>
        <v>#REF!</v>
      </c>
      <c r="H36" s="67" t="e">
        <f>+'[5]1er Sem coef act'!H36-'[5]1er Sem distribuido'!H36</f>
        <v>#REF!</v>
      </c>
      <c r="I36" s="67" t="e">
        <f>+'[5]1er Sem coef act'!I36-'[5]1er Sem distribuido'!I36</f>
        <v>#REF!</v>
      </c>
      <c r="J36" s="67" t="e">
        <f>+'[5]1er Sem coef act'!J36-'[5]1er Sem distribuido'!J36</f>
        <v>#REF!</v>
      </c>
      <c r="K36" s="68" t="e">
        <f t="shared" si="0"/>
        <v>#REF!</v>
      </c>
      <c r="M36" s="19" t="s">
        <v>35</v>
      </c>
      <c r="N36" s="67">
        <v>0</v>
      </c>
      <c r="O36" s="67">
        <v>0</v>
      </c>
      <c r="P36" s="67">
        <f>(-1201823.66486563/6)</f>
        <v>-200303.94414427166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f>(89.737426245978/6)</f>
        <v>14.956237707663</v>
      </c>
      <c r="W36" s="68">
        <v>-1201733.9274393835</v>
      </c>
    </row>
    <row r="37" spans="1:23">
      <c r="A37" s="19" t="s">
        <v>36</v>
      </c>
      <c r="B37" s="67" t="e">
        <f>+'[5]1er Sem coef act'!B37-'[5]1er Sem distribuido'!B37</f>
        <v>#REF!</v>
      </c>
      <c r="C37" s="67" t="e">
        <f>+'[5]1er Sem coef act'!C37-'[5]1er Sem distribuido'!C37</f>
        <v>#REF!</v>
      </c>
      <c r="D37" s="67" t="e">
        <f>+'[5]1er Sem coef act'!D37-'[5]1er Sem distribuido'!D37</f>
        <v>#REF!</v>
      </c>
      <c r="E37" s="67" t="e">
        <f>+'[5]1er Sem coef act'!E37-'[5]1er Sem distribuido'!E37</f>
        <v>#REF!</v>
      </c>
      <c r="F37" s="67" t="e">
        <f>+'[5]1er Sem coef act'!F37-'[5]1er Sem distribuido'!F37</f>
        <v>#REF!</v>
      </c>
      <c r="G37" s="67" t="e">
        <f>+'[5]1er Sem coef act'!G37-'[5]1er Sem distribuido'!G37</f>
        <v>#REF!</v>
      </c>
      <c r="H37" s="67" t="e">
        <f>+'[5]1er Sem coef act'!H37-'[5]1er Sem distribuido'!H37</f>
        <v>#REF!</v>
      </c>
      <c r="I37" s="67" t="e">
        <f>+'[5]1er Sem coef act'!I37-'[5]1er Sem distribuido'!I37</f>
        <v>#REF!</v>
      </c>
      <c r="J37" s="67" t="e">
        <f>+'[5]1er Sem coef act'!J37-'[5]1er Sem distribuido'!J37</f>
        <v>#REF!</v>
      </c>
      <c r="K37" s="68" t="e">
        <f t="shared" si="0"/>
        <v>#REF!</v>
      </c>
      <c r="M37" s="19" t="s">
        <v>36</v>
      </c>
      <c r="N37" s="67">
        <v>0</v>
      </c>
      <c r="O37" s="67">
        <v>0</v>
      </c>
      <c r="P37" s="67">
        <f>(-1268111.71812124/6)</f>
        <v>-211351.95302020665</v>
      </c>
      <c r="Q37" s="67">
        <v>0</v>
      </c>
      <c r="R37" s="67">
        <v>0</v>
      </c>
      <c r="S37" s="67">
        <v>0</v>
      </c>
      <c r="T37" s="67">
        <v>0</v>
      </c>
      <c r="U37" s="67">
        <v>0</v>
      </c>
      <c r="V37" s="67">
        <f>(-46.4379940438084/6)</f>
        <v>-7.7396656739680667</v>
      </c>
      <c r="W37" s="68">
        <v>-1268158.1561152874</v>
      </c>
    </row>
    <row r="38" spans="1:23">
      <c r="A38" s="19" t="s">
        <v>37</v>
      </c>
      <c r="B38" s="67" t="e">
        <f>+'[5]1er Sem coef act'!B38-'[5]1er Sem distribuido'!B38</f>
        <v>#REF!</v>
      </c>
      <c r="C38" s="67" t="e">
        <f>+'[5]1er Sem coef act'!C38-'[5]1er Sem distribuido'!C38</f>
        <v>#REF!</v>
      </c>
      <c r="D38" s="67" t="e">
        <f>+'[5]1er Sem coef act'!D38-'[5]1er Sem distribuido'!D38</f>
        <v>#REF!</v>
      </c>
      <c r="E38" s="67" t="e">
        <f>+'[5]1er Sem coef act'!E38-'[5]1er Sem distribuido'!E38</f>
        <v>#REF!</v>
      </c>
      <c r="F38" s="67" t="e">
        <f>+'[5]1er Sem coef act'!F38-'[5]1er Sem distribuido'!F38</f>
        <v>#REF!</v>
      </c>
      <c r="G38" s="67" t="e">
        <f>+'[5]1er Sem coef act'!G38-'[5]1er Sem distribuido'!G38</f>
        <v>#REF!</v>
      </c>
      <c r="H38" s="67" t="e">
        <f>+'[5]1er Sem coef act'!H38-'[5]1er Sem distribuido'!H38</f>
        <v>#REF!</v>
      </c>
      <c r="I38" s="67" t="e">
        <f>+'[5]1er Sem coef act'!I38-'[5]1er Sem distribuido'!I38</f>
        <v>#REF!</v>
      </c>
      <c r="J38" s="67" t="e">
        <f>+'[5]1er Sem coef act'!J38-'[5]1er Sem distribuido'!J38</f>
        <v>#REF!</v>
      </c>
      <c r="K38" s="68" t="e">
        <f t="shared" si="0"/>
        <v>#REF!</v>
      </c>
      <c r="M38" s="19" t="s">
        <v>37</v>
      </c>
      <c r="N38" s="67">
        <v>0</v>
      </c>
      <c r="O38" s="67">
        <v>0</v>
      </c>
      <c r="P38" s="67">
        <f>(1914111.64009266/6)</f>
        <v>319018.60668211</v>
      </c>
      <c r="Q38" s="67">
        <v>0</v>
      </c>
      <c r="R38" s="67">
        <v>0</v>
      </c>
      <c r="S38" s="67">
        <v>0</v>
      </c>
      <c r="T38" s="67">
        <v>0</v>
      </c>
      <c r="U38" s="67">
        <v>0</v>
      </c>
      <c r="V38" s="67">
        <f>(661.881573312596/6)</f>
        <v>110.31359555209933</v>
      </c>
      <c r="W38" s="68">
        <v>1914773.5216659741</v>
      </c>
    </row>
    <row r="39" spans="1:23">
      <c r="A39" s="19" t="s">
        <v>38</v>
      </c>
      <c r="B39" s="67" t="e">
        <f>+'[5]1er Sem coef act'!B39-'[5]1er Sem distribuido'!B39</f>
        <v>#REF!</v>
      </c>
      <c r="C39" s="67" t="e">
        <f>+'[5]1er Sem coef act'!C39-'[5]1er Sem distribuido'!C39</f>
        <v>#REF!</v>
      </c>
      <c r="D39" s="67" t="e">
        <f>+'[5]1er Sem coef act'!D39-'[5]1er Sem distribuido'!D39</f>
        <v>#REF!</v>
      </c>
      <c r="E39" s="67" t="e">
        <f>+'[5]1er Sem coef act'!E39-'[5]1er Sem distribuido'!E39</f>
        <v>#REF!</v>
      </c>
      <c r="F39" s="67" t="e">
        <f>+'[5]1er Sem coef act'!F39-'[5]1er Sem distribuido'!F39</f>
        <v>#REF!</v>
      </c>
      <c r="G39" s="67" t="e">
        <f>+'[5]1er Sem coef act'!G39-'[5]1er Sem distribuido'!G39</f>
        <v>#REF!</v>
      </c>
      <c r="H39" s="67" t="e">
        <f>+'[5]1er Sem coef act'!H39-'[5]1er Sem distribuido'!H39</f>
        <v>#REF!</v>
      </c>
      <c r="I39" s="67" t="e">
        <f>+'[5]1er Sem coef act'!I39-'[5]1er Sem distribuido'!I39</f>
        <v>#REF!</v>
      </c>
      <c r="J39" s="67" t="e">
        <f>+'[5]1er Sem coef act'!J39-'[5]1er Sem distribuido'!J39</f>
        <v>#REF!</v>
      </c>
      <c r="K39" s="68" t="e">
        <f t="shared" si="0"/>
        <v>#REF!</v>
      </c>
      <c r="M39" s="19" t="s">
        <v>38</v>
      </c>
      <c r="N39" s="67">
        <v>0</v>
      </c>
      <c r="O39" s="67">
        <v>0</v>
      </c>
      <c r="P39" s="67">
        <f>(-613472.165705294/6)</f>
        <v>-102245.36095088233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f>(-398.601917372317/6)</f>
        <v>-66.433652895386174</v>
      </c>
      <c r="W39" s="68">
        <v>-613870.76762266643</v>
      </c>
    </row>
    <row r="40" spans="1:23">
      <c r="A40" s="19" t="s">
        <v>39</v>
      </c>
      <c r="B40" s="67" t="e">
        <f>+'[5]1er Sem coef act'!B40-'[5]1er Sem distribuido'!B40</f>
        <v>#REF!</v>
      </c>
      <c r="C40" s="67" t="e">
        <f>+'[5]1er Sem coef act'!C40-'[5]1er Sem distribuido'!C40</f>
        <v>#REF!</v>
      </c>
      <c r="D40" s="67" t="e">
        <f>+'[5]1er Sem coef act'!D40-'[5]1er Sem distribuido'!D40</f>
        <v>#REF!</v>
      </c>
      <c r="E40" s="67" t="e">
        <f>+'[5]1er Sem coef act'!E40-'[5]1er Sem distribuido'!E40</f>
        <v>#REF!</v>
      </c>
      <c r="F40" s="67" t="e">
        <f>+'[5]1er Sem coef act'!F40-'[5]1er Sem distribuido'!F40</f>
        <v>#REF!</v>
      </c>
      <c r="G40" s="67" t="e">
        <f>+'[5]1er Sem coef act'!G40-'[5]1er Sem distribuido'!G40</f>
        <v>#REF!</v>
      </c>
      <c r="H40" s="67" t="e">
        <f>+'[5]1er Sem coef act'!H40-'[5]1er Sem distribuido'!H40</f>
        <v>#REF!</v>
      </c>
      <c r="I40" s="67" t="e">
        <f>+'[5]1er Sem coef act'!I40-'[5]1er Sem distribuido'!I40</f>
        <v>#REF!</v>
      </c>
      <c r="J40" s="67" t="e">
        <f>+'[5]1er Sem coef act'!J40-'[5]1er Sem distribuido'!J40</f>
        <v>#REF!</v>
      </c>
      <c r="K40" s="68" t="e">
        <f t="shared" si="0"/>
        <v>#REF!</v>
      </c>
      <c r="M40" s="19" t="s">
        <v>39</v>
      </c>
      <c r="N40" s="67">
        <v>0</v>
      </c>
      <c r="O40" s="67">
        <v>0</v>
      </c>
      <c r="P40" s="67">
        <v>0</v>
      </c>
      <c r="Q40" s="67">
        <v>0</v>
      </c>
      <c r="R40" s="67">
        <v>0</v>
      </c>
      <c r="S40" s="67">
        <v>0</v>
      </c>
      <c r="T40" s="67">
        <v>0</v>
      </c>
      <c r="U40" s="67">
        <v>0</v>
      </c>
      <c r="V40" s="67">
        <f>(-361341.98141193/6)</f>
        <v>-60223.663568655</v>
      </c>
      <c r="W40" s="68">
        <v>-361341.98141193017</v>
      </c>
    </row>
    <row r="41" spans="1:23">
      <c r="A41" s="19" t="s">
        <v>40</v>
      </c>
      <c r="B41" s="67" t="e">
        <f>+'[5]1er Sem coef act'!B41-'[5]1er Sem distribuido'!B41</f>
        <v>#REF!</v>
      </c>
      <c r="C41" s="67" t="e">
        <f>+'[5]1er Sem coef act'!C41-'[5]1er Sem distribuido'!C41</f>
        <v>#REF!</v>
      </c>
      <c r="D41" s="67" t="e">
        <f>+'[5]1er Sem coef act'!D41-'[5]1er Sem distribuido'!D41</f>
        <v>#REF!</v>
      </c>
      <c r="E41" s="67" t="e">
        <f>+'[5]1er Sem coef act'!E41-'[5]1er Sem distribuido'!E41</f>
        <v>#REF!</v>
      </c>
      <c r="F41" s="67" t="e">
        <f>+'[5]1er Sem coef act'!F41-'[5]1er Sem distribuido'!F41</f>
        <v>#REF!</v>
      </c>
      <c r="G41" s="67" t="e">
        <f>+'[5]1er Sem coef act'!G41-'[5]1er Sem distribuido'!G41</f>
        <v>#REF!</v>
      </c>
      <c r="H41" s="67" t="e">
        <f>+'[5]1er Sem coef act'!H41-'[5]1er Sem distribuido'!H41</f>
        <v>#REF!</v>
      </c>
      <c r="I41" s="67" t="e">
        <f>+'[5]1er Sem coef act'!I41-'[5]1er Sem distribuido'!I41</f>
        <v>#REF!</v>
      </c>
      <c r="J41" s="67" t="e">
        <f>+'[5]1er Sem coef act'!J41-'[5]1er Sem distribuido'!J41</f>
        <v>#REF!</v>
      </c>
      <c r="K41" s="68" t="e">
        <f t="shared" si="0"/>
        <v>#REF!</v>
      </c>
      <c r="M41" s="19" t="s">
        <v>40</v>
      </c>
      <c r="N41" s="67">
        <v>0</v>
      </c>
      <c r="O41" s="67">
        <v>0</v>
      </c>
      <c r="P41" s="67">
        <f>(-200664.199937313/6)</f>
        <v>-33444.033322885502</v>
      </c>
      <c r="Q41" s="67">
        <v>0</v>
      </c>
      <c r="R41" s="67">
        <v>0</v>
      </c>
      <c r="S41" s="67">
        <v>0</v>
      </c>
      <c r="T41" s="67">
        <v>0</v>
      </c>
      <c r="U41" s="67">
        <v>0</v>
      </c>
      <c r="V41" s="67">
        <f>(-35.4534189197657/6)</f>
        <v>-5.9089031532942835</v>
      </c>
      <c r="W41" s="68">
        <v>-200699.65335623262</v>
      </c>
    </row>
    <row r="42" spans="1:23">
      <c r="A42" s="19" t="s">
        <v>41</v>
      </c>
      <c r="B42" s="67" t="e">
        <f>+'[5]1er Sem coef act'!B42-'[5]1er Sem distribuido'!B42</f>
        <v>#REF!</v>
      </c>
      <c r="C42" s="67" t="e">
        <f>+'[5]1er Sem coef act'!C42-'[5]1er Sem distribuido'!C42</f>
        <v>#REF!</v>
      </c>
      <c r="D42" s="67" t="e">
        <f>+'[5]1er Sem coef act'!D42-'[5]1er Sem distribuido'!D42</f>
        <v>#REF!</v>
      </c>
      <c r="E42" s="67" t="e">
        <f>+'[5]1er Sem coef act'!E42-'[5]1er Sem distribuido'!E42</f>
        <v>#REF!</v>
      </c>
      <c r="F42" s="67" t="e">
        <f>+'[5]1er Sem coef act'!F42-'[5]1er Sem distribuido'!F42</f>
        <v>#REF!</v>
      </c>
      <c r="G42" s="67" t="e">
        <f>+'[5]1er Sem coef act'!G42-'[5]1er Sem distribuido'!G42</f>
        <v>#REF!</v>
      </c>
      <c r="H42" s="67" t="e">
        <f>+'[5]1er Sem coef act'!H42-'[5]1er Sem distribuido'!H42</f>
        <v>#REF!</v>
      </c>
      <c r="I42" s="67" t="e">
        <f>+'[5]1er Sem coef act'!I42-'[5]1er Sem distribuido'!I42</f>
        <v>#REF!</v>
      </c>
      <c r="J42" s="67" t="e">
        <f>+'[5]1er Sem coef act'!J42-'[5]1er Sem distribuido'!J42</f>
        <v>#REF!</v>
      </c>
      <c r="K42" s="68" t="e">
        <f t="shared" si="0"/>
        <v>#REF!</v>
      </c>
      <c r="M42" s="19" t="s">
        <v>41</v>
      </c>
      <c r="N42" s="67">
        <v>0</v>
      </c>
      <c r="O42" s="67">
        <v>0</v>
      </c>
      <c r="P42" s="67">
        <f>(803418.503856068/6)</f>
        <v>133903.08397601134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f>(-5803.60305316513/6)</f>
        <v>-967.26717552752177</v>
      </c>
      <c r="W42" s="68">
        <v>797614.90080290299</v>
      </c>
    </row>
    <row r="43" spans="1:23">
      <c r="A43" s="19" t="s">
        <v>218</v>
      </c>
      <c r="B43" s="67" t="e">
        <f>+'[5]1er Sem coef act'!B43-'[5]1er Sem distribuido'!B43</f>
        <v>#REF!</v>
      </c>
      <c r="C43" s="67" t="e">
        <f>+'[5]1er Sem coef act'!C43-'[5]1er Sem distribuido'!C43</f>
        <v>#REF!</v>
      </c>
      <c r="D43" s="67" t="e">
        <f>+'[5]1er Sem coef act'!D43-'[5]1er Sem distribuido'!D43</f>
        <v>#REF!</v>
      </c>
      <c r="E43" s="67" t="e">
        <f>+'[5]1er Sem coef act'!E43-'[5]1er Sem distribuido'!E43</f>
        <v>#REF!</v>
      </c>
      <c r="F43" s="67" t="e">
        <f>+'[5]1er Sem coef act'!F43-'[5]1er Sem distribuido'!F43</f>
        <v>#REF!</v>
      </c>
      <c r="G43" s="67" t="e">
        <f>+'[5]1er Sem coef act'!G43-'[5]1er Sem distribuido'!G43</f>
        <v>#REF!</v>
      </c>
      <c r="H43" s="67" t="e">
        <f>+'[5]1er Sem coef act'!H43-'[5]1er Sem distribuido'!H43</f>
        <v>#REF!</v>
      </c>
      <c r="I43" s="67" t="e">
        <f>+'[5]1er Sem coef act'!I43-'[5]1er Sem distribuido'!I43</f>
        <v>#REF!</v>
      </c>
      <c r="J43" s="67" t="e">
        <f>+'[5]1er Sem coef act'!J43-'[5]1er Sem distribuido'!J43</f>
        <v>#REF!</v>
      </c>
      <c r="K43" s="68" t="e">
        <f t="shared" si="0"/>
        <v>#REF!</v>
      </c>
      <c r="M43" s="19" t="s">
        <v>218</v>
      </c>
      <c r="N43" s="67">
        <v>0</v>
      </c>
      <c r="O43" s="67">
        <v>0</v>
      </c>
      <c r="P43" s="67">
        <f>(2509002.63194255/6)</f>
        <v>418167.10532375838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f>(873.098942033044/6)</f>
        <v>145.51649033884067</v>
      </c>
      <c r="W43" s="68">
        <v>2509875.7308845874</v>
      </c>
    </row>
    <row r="44" spans="1:23">
      <c r="A44" s="19" t="s">
        <v>43</v>
      </c>
      <c r="B44" s="67" t="e">
        <f>+'[5]1er Sem coef act'!B44-'[5]1er Sem distribuido'!B44</f>
        <v>#REF!</v>
      </c>
      <c r="C44" s="67" t="e">
        <f>+'[5]1er Sem coef act'!C44-'[5]1er Sem distribuido'!C44</f>
        <v>#REF!</v>
      </c>
      <c r="D44" s="67" t="e">
        <f>+'[5]1er Sem coef act'!D44-'[5]1er Sem distribuido'!D44</f>
        <v>#REF!</v>
      </c>
      <c r="E44" s="67" t="e">
        <f>+'[5]1er Sem coef act'!E44-'[5]1er Sem distribuido'!E44</f>
        <v>#REF!</v>
      </c>
      <c r="F44" s="67" t="e">
        <f>+'[5]1er Sem coef act'!F44-'[5]1er Sem distribuido'!F44</f>
        <v>#REF!</v>
      </c>
      <c r="G44" s="67" t="e">
        <f>+'[5]1er Sem coef act'!G44-'[5]1er Sem distribuido'!G44</f>
        <v>#REF!</v>
      </c>
      <c r="H44" s="67" t="e">
        <f>+'[5]1er Sem coef act'!H44-'[5]1er Sem distribuido'!H44</f>
        <v>#REF!</v>
      </c>
      <c r="I44" s="67" t="e">
        <f>+'[5]1er Sem coef act'!I44-'[5]1er Sem distribuido'!I44</f>
        <v>#REF!</v>
      </c>
      <c r="J44" s="67" t="e">
        <f>+'[5]1er Sem coef act'!J44-'[5]1er Sem distribuido'!J44</f>
        <v>#REF!</v>
      </c>
      <c r="K44" s="68" t="e">
        <f t="shared" si="0"/>
        <v>#REF!</v>
      </c>
      <c r="M44" s="19" t="s">
        <v>43</v>
      </c>
      <c r="N44" s="67">
        <v>0</v>
      </c>
      <c r="O44" s="67">
        <v>0</v>
      </c>
      <c r="P44" s="67">
        <f>(-1901827.09729713/6)</f>
        <v>-316971.18288285501</v>
      </c>
      <c r="Q44" s="67">
        <v>0</v>
      </c>
      <c r="R44" s="67">
        <v>0</v>
      </c>
      <c r="S44" s="67">
        <v>0</v>
      </c>
      <c r="T44" s="67">
        <v>0</v>
      </c>
      <c r="U44" s="67">
        <v>0</v>
      </c>
      <c r="V44" s="67">
        <f>(-137.213281752411/6)</f>
        <v>-22.8688802920685</v>
      </c>
      <c r="W44" s="68">
        <v>-1901964.3105788801</v>
      </c>
    </row>
    <row r="45" spans="1:23">
      <c r="A45" s="19" t="s">
        <v>44</v>
      </c>
      <c r="B45" s="67" t="e">
        <f>+'[5]1er Sem coef act'!B45-'[5]1er Sem distribuido'!B45</f>
        <v>#REF!</v>
      </c>
      <c r="C45" s="67" t="e">
        <f>+'[5]1er Sem coef act'!C45-'[5]1er Sem distribuido'!C45</f>
        <v>#REF!</v>
      </c>
      <c r="D45" s="67" t="e">
        <f>+'[5]1er Sem coef act'!D45-'[5]1er Sem distribuido'!D45</f>
        <v>#REF!</v>
      </c>
      <c r="E45" s="67" t="e">
        <f>+'[5]1er Sem coef act'!E45-'[5]1er Sem distribuido'!E45</f>
        <v>#REF!</v>
      </c>
      <c r="F45" s="67" t="e">
        <f>+'[5]1er Sem coef act'!F45-'[5]1er Sem distribuido'!F45</f>
        <v>#REF!</v>
      </c>
      <c r="G45" s="67" t="e">
        <f>+'[5]1er Sem coef act'!G45-'[5]1er Sem distribuido'!G45</f>
        <v>#REF!</v>
      </c>
      <c r="H45" s="67" t="e">
        <f>+'[5]1er Sem coef act'!H45-'[5]1er Sem distribuido'!H45</f>
        <v>#REF!</v>
      </c>
      <c r="I45" s="67" t="e">
        <f>+'[5]1er Sem coef act'!I45-'[5]1er Sem distribuido'!I45</f>
        <v>#REF!</v>
      </c>
      <c r="J45" s="67" t="e">
        <f>+'[5]1er Sem coef act'!J45-'[5]1er Sem distribuido'!J45</f>
        <v>#REF!</v>
      </c>
      <c r="K45" s="68" t="e">
        <f t="shared" si="0"/>
        <v>#REF!</v>
      </c>
      <c r="M45" s="19" t="s">
        <v>44</v>
      </c>
      <c r="N45" s="67">
        <v>0</v>
      </c>
      <c r="O45" s="67">
        <v>0</v>
      </c>
      <c r="P45" s="67">
        <f>(2322730.41948619/6)</f>
        <v>387121.7365810317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f>(18980.0151635638/6)</f>
        <v>3163.3358605939666</v>
      </c>
      <c r="W45" s="68">
        <v>2341710.4346497571</v>
      </c>
    </row>
    <row r="46" spans="1:23">
      <c r="A46" s="19" t="s">
        <v>45</v>
      </c>
      <c r="B46" s="67" t="e">
        <f>+'[5]1er Sem coef act'!B46-'[5]1er Sem distribuido'!B46</f>
        <v>#REF!</v>
      </c>
      <c r="C46" s="67" t="e">
        <f>+'[5]1er Sem coef act'!C46-'[5]1er Sem distribuido'!C46</f>
        <v>#REF!</v>
      </c>
      <c r="D46" s="67" t="e">
        <f>+'[5]1er Sem coef act'!D46-'[5]1er Sem distribuido'!D46</f>
        <v>#REF!</v>
      </c>
      <c r="E46" s="67" t="e">
        <f>+'[5]1er Sem coef act'!E46-'[5]1er Sem distribuido'!E46</f>
        <v>#REF!</v>
      </c>
      <c r="F46" s="67" t="e">
        <f>+'[5]1er Sem coef act'!F46-'[5]1er Sem distribuido'!F46</f>
        <v>#REF!</v>
      </c>
      <c r="G46" s="67" t="e">
        <f>+'[5]1er Sem coef act'!G46-'[5]1er Sem distribuido'!G46</f>
        <v>#REF!</v>
      </c>
      <c r="H46" s="67" t="e">
        <f>+'[5]1er Sem coef act'!H46-'[5]1er Sem distribuido'!H46</f>
        <v>#REF!</v>
      </c>
      <c r="I46" s="67" t="e">
        <f>+'[5]1er Sem coef act'!I46-'[5]1er Sem distribuido'!I46</f>
        <v>#REF!</v>
      </c>
      <c r="J46" s="67" t="e">
        <f>+'[5]1er Sem coef act'!J46-'[5]1er Sem distribuido'!J46</f>
        <v>#REF!</v>
      </c>
      <c r="K46" s="68" t="e">
        <f t="shared" si="0"/>
        <v>#REF!</v>
      </c>
      <c r="M46" s="19" t="s">
        <v>45</v>
      </c>
      <c r="N46" s="67">
        <v>0</v>
      </c>
      <c r="O46" s="67">
        <v>0</v>
      </c>
      <c r="P46" s="67">
        <f>(491765.908426725/6)</f>
        <v>81960.984737787498</v>
      </c>
      <c r="Q46" s="67">
        <v>0</v>
      </c>
      <c r="R46" s="67">
        <v>0</v>
      </c>
      <c r="S46" s="67">
        <v>0</v>
      </c>
      <c r="T46" s="67">
        <v>0</v>
      </c>
      <c r="U46" s="67">
        <v>0</v>
      </c>
      <c r="V46" s="67">
        <f>(1297.68732325243/6)</f>
        <v>216.28122054207165</v>
      </c>
      <c r="W46" s="68">
        <v>493063.59574997704</v>
      </c>
    </row>
    <row r="47" spans="1:23">
      <c r="A47" s="19" t="s">
        <v>46</v>
      </c>
      <c r="B47" s="67" t="e">
        <f>+'[5]1er Sem coef act'!B47-'[5]1er Sem distribuido'!B47</f>
        <v>#REF!</v>
      </c>
      <c r="C47" s="67" t="e">
        <f>+'[5]1er Sem coef act'!C47-'[5]1er Sem distribuido'!C47</f>
        <v>#REF!</v>
      </c>
      <c r="D47" s="67" t="e">
        <f>+'[5]1er Sem coef act'!D47-'[5]1er Sem distribuido'!D47</f>
        <v>#REF!</v>
      </c>
      <c r="E47" s="67" t="e">
        <f>+'[5]1er Sem coef act'!E47-'[5]1er Sem distribuido'!E47</f>
        <v>#REF!</v>
      </c>
      <c r="F47" s="67" t="e">
        <f>+'[5]1er Sem coef act'!F47-'[5]1er Sem distribuido'!F47</f>
        <v>#REF!</v>
      </c>
      <c r="G47" s="67" t="e">
        <f>+'[5]1er Sem coef act'!G47-'[5]1er Sem distribuido'!G47</f>
        <v>#REF!</v>
      </c>
      <c r="H47" s="67" t="e">
        <f>+'[5]1er Sem coef act'!H47-'[5]1er Sem distribuido'!H47</f>
        <v>#REF!</v>
      </c>
      <c r="I47" s="67" t="e">
        <f>+'[5]1er Sem coef act'!I47-'[5]1er Sem distribuido'!I47</f>
        <v>#REF!</v>
      </c>
      <c r="J47" s="67" t="e">
        <f>+'[5]1er Sem coef act'!J47-'[5]1er Sem distribuido'!J47</f>
        <v>#REF!</v>
      </c>
      <c r="K47" s="68" t="e">
        <f t="shared" si="0"/>
        <v>#REF!</v>
      </c>
      <c r="M47" s="19" t="s">
        <v>46</v>
      </c>
      <c r="N47" s="67">
        <v>0</v>
      </c>
      <c r="O47" s="67">
        <v>0</v>
      </c>
      <c r="P47" s="67">
        <f>(-966795.817821407/6)</f>
        <v>-161132.63630356782</v>
      </c>
      <c r="Q47" s="67">
        <v>0</v>
      </c>
      <c r="R47" s="67">
        <v>0</v>
      </c>
      <c r="S47" s="67">
        <v>0</v>
      </c>
      <c r="T47" s="67">
        <v>0</v>
      </c>
      <c r="U47" s="67">
        <v>0</v>
      </c>
      <c r="V47" s="67">
        <f>(-84719.1065289183/6)</f>
        <v>-14119.851088153051</v>
      </c>
      <c r="W47" s="68">
        <v>-1051514.924350325</v>
      </c>
    </row>
    <row r="48" spans="1:23">
      <c r="A48" s="19" t="s">
        <v>47</v>
      </c>
      <c r="B48" s="67" t="e">
        <f>+'[5]1er Sem coef act'!B48-'[5]1er Sem distribuido'!B48</f>
        <v>#REF!</v>
      </c>
      <c r="C48" s="67" t="e">
        <f>+'[5]1er Sem coef act'!C48-'[5]1er Sem distribuido'!C48</f>
        <v>#REF!</v>
      </c>
      <c r="D48" s="67" t="e">
        <f>+'[5]1er Sem coef act'!D48-'[5]1er Sem distribuido'!D48</f>
        <v>#REF!</v>
      </c>
      <c r="E48" s="67" t="e">
        <f>+'[5]1er Sem coef act'!E48-'[5]1er Sem distribuido'!E48</f>
        <v>#REF!</v>
      </c>
      <c r="F48" s="67" t="e">
        <f>+'[5]1er Sem coef act'!F48-'[5]1er Sem distribuido'!F48</f>
        <v>#REF!</v>
      </c>
      <c r="G48" s="67" t="e">
        <f>+'[5]1er Sem coef act'!G48-'[5]1er Sem distribuido'!G48</f>
        <v>#REF!</v>
      </c>
      <c r="H48" s="67" t="e">
        <f>+'[5]1er Sem coef act'!H48-'[5]1er Sem distribuido'!H48</f>
        <v>#REF!</v>
      </c>
      <c r="I48" s="67" t="e">
        <f>+'[5]1er Sem coef act'!I48-'[5]1er Sem distribuido'!I48</f>
        <v>#REF!</v>
      </c>
      <c r="J48" s="67" t="e">
        <f>+'[5]1er Sem coef act'!J48-'[5]1er Sem distribuido'!J48</f>
        <v>#REF!</v>
      </c>
      <c r="K48" s="68" t="e">
        <f t="shared" si="0"/>
        <v>#REF!</v>
      </c>
      <c r="M48" s="19" t="s">
        <v>47</v>
      </c>
      <c r="N48" s="67">
        <v>0</v>
      </c>
      <c r="O48" s="67">
        <v>0</v>
      </c>
      <c r="P48" s="67">
        <f>(-1175041.61003996/6)</f>
        <v>-195840.26833999332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f>(-143570.494921874/6)</f>
        <v>-23928.415820312333</v>
      </c>
      <c r="W48" s="68">
        <v>-1318612.1049618311</v>
      </c>
    </row>
    <row r="49" spans="1:23">
      <c r="A49" s="19" t="s">
        <v>48</v>
      </c>
      <c r="B49" s="67" t="e">
        <f>+'[5]1er Sem coef act'!B49-'[5]1er Sem distribuido'!B49</f>
        <v>#REF!</v>
      </c>
      <c r="C49" s="67" t="e">
        <f>+'[5]1er Sem coef act'!C49-'[5]1er Sem distribuido'!C49</f>
        <v>#REF!</v>
      </c>
      <c r="D49" s="67" t="e">
        <f>+'[5]1er Sem coef act'!D49-'[5]1er Sem distribuido'!D49</f>
        <v>#REF!</v>
      </c>
      <c r="E49" s="67" t="e">
        <f>+'[5]1er Sem coef act'!E49-'[5]1er Sem distribuido'!E49</f>
        <v>#REF!</v>
      </c>
      <c r="F49" s="67" t="e">
        <f>+'[5]1er Sem coef act'!F49-'[5]1er Sem distribuido'!F49</f>
        <v>#REF!</v>
      </c>
      <c r="G49" s="67" t="e">
        <f>+'[5]1er Sem coef act'!G49-'[5]1er Sem distribuido'!G49</f>
        <v>#REF!</v>
      </c>
      <c r="H49" s="67" t="e">
        <f>+'[5]1er Sem coef act'!H49-'[5]1er Sem distribuido'!H49</f>
        <v>#REF!</v>
      </c>
      <c r="I49" s="67" t="e">
        <f>+'[5]1er Sem coef act'!I49-'[5]1er Sem distribuido'!I49</f>
        <v>#REF!</v>
      </c>
      <c r="J49" s="67" t="e">
        <f>+'[5]1er Sem coef act'!J49-'[5]1er Sem distribuido'!J49</f>
        <v>#REF!</v>
      </c>
      <c r="K49" s="68" t="e">
        <f t="shared" si="0"/>
        <v>#REF!</v>
      </c>
      <c r="M49" s="19" t="s">
        <v>48</v>
      </c>
      <c r="N49" s="67">
        <v>0</v>
      </c>
      <c r="O49" s="67">
        <v>0</v>
      </c>
      <c r="P49" s="67">
        <f>(63467.0501398183/6)</f>
        <v>10577.841689969717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f>(33455.106748864/6)</f>
        <v>5575.8511248106661</v>
      </c>
      <c r="W49" s="68">
        <v>96922.156888682395</v>
      </c>
    </row>
    <row r="50" spans="1:23">
      <c r="A50" s="19" t="s">
        <v>49</v>
      </c>
      <c r="B50" s="67" t="e">
        <f>+'[5]1er Sem coef act'!B50-'[5]1er Sem distribuido'!B50</f>
        <v>#REF!</v>
      </c>
      <c r="C50" s="67" t="e">
        <f>+'[5]1er Sem coef act'!C50-'[5]1er Sem distribuido'!C50</f>
        <v>#REF!</v>
      </c>
      <c r="D50" s="67" t="e">
        <f>+'[5]1er Sem coef act'!D50-'[5]1er Sem distribuido'!D50</f>
        <v>#REF!</v>
      </c>
      <c r="E50" s="67" t="e">
        <f>+'[5]1er Sem coef act'!E50-'[5]1er Sem distribuido'!E50</f>
        <v>#REF!</v>
      </c>
      <c r="F50" s="67" t="e">
        <f>+'[5]1er Sem coef act'!F50-'[5]1er Sem distribuido'!F50</f>
        <v>#REF!</v>
      </c>
      <c r="G50" s="67" t="e">
        <f>+'[5]1er Sem coef act'!G50-'[5]1er Sem distribuido'!G50</f>
        <v>#REF!</v>
      </c>
      <c r="H50" s="67" t="e">
        <f>+'[5]1er Sem coef act'!H50-'[5]1er Sem distribuido'!H50</f>
        <v>#REF!</v>
      </c>
      <c r="I50" s="67" t="e">
        <f>+'[5]1er Sem coef act'!I50-'[5]1er Sem distribuido'!I50</f>
        <v>#REF!</v>
      </c>
      <c r="J50" s="67" t="e">
        <f>+'[5]1er Sem coef act'!J50-'[5]1er Sem distribuido'!J50</f>
        <v>#REF!</v>
      </c>
      <c r="K50" s="68" t="e">
        <f t="shared" si="0"/>
        <v>#REF!</v>
      </c>
      <c r="M50" s="19" t="s">
        <v>49</v>
      </c>
      <c r="N50" s="67">
        <v>1.1175870895385742E-7</v>
      </c>
      <c r="O50" s="67">
        <v>1.4901161193847656E-8</v>
      </c>
      <c r="P50" s="67">
        <f>(159662.222888435/6)</f>
        <v>26610.370481405833</v>
      </c>
      <c r="Q50" s="67">
        <v>3.0267983675003052E-9</v>
      </c>
      <c r="R50" s="67">
        <v>5.5879354476928711E-9</v>
      </c>
      <c r="S50" s="67">
        <v>2.9103830456733704E-10</v>
      </c>
      <c r="T50" s="67">
        <v>2.6775524020195007E-9</v>
      </c>
      <c r="U50" s="67">
        <v>6.6938810050487518E-10</v>
      </c>
      <c r="V50" s="67">
        <f>(63420.2308577394/6)</f>
        <v>10570.038476289899</v>
      </c>
      <c r="W50" s="68">
        <v>223082.45374631314</v>
      </c>
    </row>
    <row r="51" spans="1:23">
      <c r="A51" s="19" t="s">
        <v>50</v>
      </c>
      <c r="B51" s="67" t="e">
        <f>+'[5]1er Sem coef act'!B51-'[5]1er Sem distribuido'!B51</f>
        <v>#REF!</v>
      </c>
      <c r="C51" s="67" t="e">
        <f>+'[5]1er Sem coef act'!C51-'[5]1er Sem distribuido'!C51</f>
        <v>#REF!</v>
      </c>
      <c r="D51" s="67" t="e">
        <f>+'[5]1er Sem coef act'!D51-'[5]1er Sem distribuido'!D51</f>
        <v>#REF!</v>
      </c>
      <c r="E51" s="67" t="e">
        <f>+'[5]1er Sem coef act'!E51-'[5]1er Sem distribuido'!E51</f>
        <v>#REF!</v>
      </c>
      <c r="F51" s="67" t="e">
        <f>+'[5]1er Sem coef act'!F51-'[5]1er Sem distribuido'!F51</f>
        <v>#REF!</v>
      </c>
      <c r="G51" s="67" t="e">
        <f>+'[5]1er Sem coef act'!G51-'[5]1er Sem distribuido'!G51</f>
        <v>#REF!</v>
      </c>
      <c r="H51" s="67" t="e">
        <f>+'[5]1er Sem coef act'!H51-'[5]1er Sem distribuido'!H51</f>
        <v>#REF!</v>
      </c>
      <c r="I51" s="67" t="e">
        <f>+'[5]1er Sem coef act'!I51-'[5]1er Sem distribuido'!I51</f>
        <v>#REF!</v>
      </c>
      <c r="J51" s="67" t="e">
        <f>+'[5]1er Sem coef act'!J51-'[5]1er Sem distribuido'!J51</f>
        <v>#REF!</v>
      </c>
      <c r="K51" s="68" t="e">
        <f t="shared" si="0"/>
        <v>#REF!</v>
      </c>
      <c r="M51" s="19" t="s">
        <v>50</v>
      </c>
      <c r="N51" s="67">
        <v>0</v>
      </c>
      <c r="O51" s="67">
        <v>0</v>
      </c>
      <c r="P51" s="67">
        <f>(1307488.81273855/6)</f>
        <v>217914.80212309165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f>(381.824477292466/6)</f>
        <v>63.637412882077662</v>
      </c>
      <c r="W51" s="68">
        <v>1307870.6372158432</v>
      </c>
    </row>
    <row r="52" spans="1:23" ht="13.5" thickBot="1">
      <c r="A52" s="19" t="s">
        <v>51</v>
      </c>
      <c r="B52" s="67" t="e">
        <f>+'[5]1er Sem coef act'!B52-'[5]1er Sem distribuido'!B52</f>
        <v>#REF!</v>
      </c>
      <c r="C52" s="67" t="e">
        <f>+'[5]1er Sem coef act'!C52-'[5]1er Sem distribuido'!C52</f>
        <v>#REF!</v>
      </c>
      <c r="D52" s="67" t="e">
        <f>+'[5]1er Sem coef act'!D52-'[5]1er Sem distribuido'!D52</f>
        <v>#REF!</v>
      </c>
      <c r="E52" s="67" t="e">
        <f>+'[5]1er Sem coef act'!E52-'[5]1er Sem distribuido'!E52</f>
        <v>#REF!</v>
      </c>
      <c r="F52" s="67" t="e">
        <f>+'[5]1er Sem coef act'!F52-'[5]1er Sem distribuido'!F52</f>
        <v>#REF!</v>
      </c>
      <c r="G52" s="67" t="e">
        <f>+'[5]1er Sem coef act'!G52-'[5]1er Sem distribuido'!G52</f>
        <v>#REF!</v>
      </c>
      <c r="H52" s="67" t="e">
        <f>+'[5]1er Sem coef act'!H52-'[5]1er Sem distribuido'!H52</f>
        <v>#REF!</v>
      </c>
      <c r="I52" s="67" t="e">
        <f>+'[5]1er Sem coef act'!I52-'[5]1er Sem distribuido'!I52</f>
        <v>#REF!</v>
      </c>
      <c r="J52" s="67" t="e">
        <f>+'[5]1er Sem coef act'!J52-'[5]1er Sem distribuido'!J52</f>
        <v>#REF!</v>
      </c>
      <c r="K52" s="68" t="e">
        <f t="shared" si="0"/>
        <v>#REF!</v>
      </c>
      <c r="M52" s="19" t="s">
        <v>51</v>
      </c>
      <c r="N52" s="67">
        <v>0</v>
      </c>
      <c r="O52" s="67">
        <v>0</v>
      </c>
      <c r="P52" s="67">
        <f>(1582041.2921192/6)</f>
        <v>263673.54868653335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f>(438.447852033176/6)</f>
        <v>73.074642005529327</v>
      </c>
      <c r="W52" s="68">
        <v>1582479.7399712307</v>
      </c>
    </row>
    <row r="53" spans="1:23" ht="14.25" thickTop="1" thickBot="1">
      <c r="A53" s="20" t="s">
        <v>52</v>
      </c>
      <c r="B53" s="69" t="e">
        <f t="shared" ref="B53:E53" si="1">SUM(B2:B52)</f>
        <v>#REF!</v>
      </c>
      <c r="C53" s="69" t="e">
        <f t="shared" si="1"/>
        <v>#REF!</v>
      </c>
      <c r="D53" s="69" t="e">
        <f t="shared" si="1"/>
        <v>#REF!</v>
      </c>
      <c r="E53" s="69" t="e">
        <f t="shared" si="1"/>
        <v>#REF!</v>
      </c>
      <c r="F53" s="69" t="e">
        <f>SUM(F2:F52)</f>
        <v>#REF!</v>
      </c>
      <c r="G53" s="69" t="e">
        <f t="shared" ref="G53:K53" si="2">SUM(G2:G52)</f>
        <v>#REF!</v>
      </c>
      <c r="H53" s="69" t="e">
        <f t="shared" si="2"/>
        <v>#REF!</v>
      </c>
      <c r="I53" s="69" t="e">
        <f t="shared" si="2"/>
        <v>#REF!</v>
      </c>
      <c r="J53" s="69" t="e">
        <f t="shared" si="2"/>
        <v>#REF!</v>
      </c>
      <c r="K53" s="70" t="e">
        <f t="shared" si="2"/>
        <v>#REF!</v>
      </c>
      <c r="M53" s="20" t="s">
        <v>52</v>
      </c>
      <c r="N53" s="69">
        <f t="shared" ref="N53:Q53" si="3">SUM(N2:N52)</f>
        <v>6.4820051193237305E-7</v>
      </c>
      <c r="O53" s="69">
        <f t="shared" si="3"/>
        <v>9.9185854196548462E-8</v>
      </c>
      <c r="P53" s="69">
        <f t="shared" si="3"/>
        <v>-6.8685039877891541E-9</v>
      </c>
      <c r="Q53" s="69">
        <f t="shared" si="3"/>
        <v>2.380693331360817E-8</v>
      </c>
      <c r="R53" s="69">
        <f>SUM(R2:R52)</f>
        <v>3.5041011869907379E-8</v>
      </c>
      <c r="S53" s="69">
        <f t="shared" ref="S53:W53" si="4">SUM(S2:S52)</f>
        <v>1.8480932340025902E-9</v>
      </c>
      <c r="T53" s="69">
        <f t="shared" si="4"/>
        <v>1.5978002920746803E-8</v>
      </c>
      <c r="U53" s="69">
        <f t="shared" si="4"/>
        <v>4.1036400943994522E-9</v>
      </c>
      <c r="V53" s="69">
        <f t="shared" si="4"/>
        <v>1.697671336842177E-9</v>
      </c>
      <c r="W53" s="70">
        <f t="shared" si="4"/>
        <v>8.0349855124950409E-7</v>
      </c>
    </row>
    <row r="54" spans="1:23" ht="13.5" thickTop="1"/>
  </sheetData>
  <printOptions horizontalCentered="1"/>
  <pageMargins left="0.39370078740157483" right="0.39370078740157483" top="0.74803149606299213" bottom="0.15748031496062992" header="0.15748031496062992" footer="0.15748031496062992"/>
  <pageSetup scale="75" orientation="landscape" r:id="rId1"/>
  <headerFooter alignWithMargins="0">
    <oddHeader>&amp;LAnexo IV&amp;C
DIFERENCIAS DE PARTICIPACIONES CALCULADAS EN EL PRIMER SEMESTRE
CON EL COEFICIENTE PRELIMINAR Vs PARTICIPACIONES CALCULADAS DEL PRIMER SEMESTRE CON EL COEFICIENTE ACUTALIZADO 
SALDOS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11</vt:i4>
      </vt:variant>
    </vt:vector>
  </HeadingPairs>
  <TitlesOfParts>
    <vt:vector size="25" baseType="lpstr">
      <vt:lpstr>PART MES</vt:lpstr>
      <vt:lpstr>DIST MES ENERO</vt:lpstr>
      <vt:lpstr>CENSO POB 2020</vt:lpstr>
      <vt:lpstr>TERRITORIO INEGI 2021</vt:lpstr>
      <vt:lpstr>COEF Art 14 F I </vt:lpstr>
      <vt:lpstr>CALCULO GARANTIA</vt:lpstr>
      <vt:lpstr>PART PEF2022 </vt:lpstr>
      <vt:lpstr>COEF Art 14 F II</vt:lpstr>
      <vt:lpstr>Art.14 Frac.III</vt:lpstr>
      <vt:lpstr>ISAI</vt:lpstr>
      <vt:lpstr>ISR ENERO </vt:lpstr>
      <vt:lpstr>Ajuste 2021</vt:lpstr>
      <vt:lpstr>ISR_Nóm_2021</vt:lpstr>
      <vt:lpstr>Ajuste Semestral </vt:lpstr>
      <vt:lpstr>'Ajuste Semestral '!Área_de_impresión</vt:lpstr>
      <vt:lpstr>'Art.14 Frac.III'!Área_de_impresión</vt:lpstr>
      <vt:lpstr>'CALCULO GARANTIA'!Área_de_impresión</vt:lpstr>
      <vt:lpstr>'COEF Art 14 F I '!Área_de_impresión</vt:lpstr>
      <vt:lpstr>'COEF Art 14 F II'!Área_de_impresión</vt:lpstr>
      <vt:lpstr>'DIST MES ENERO'!Área_de_impresión</vt:lpstr>
      <vt:lpstr>ISAI!Área_de_impresión</vt:lpstr>
      <vt:lpstr>'PART MES'!Área_de_impresión</vt:lpstr>
      <vt:lpstr>'PART PEF2022 '!Área_de_impresión</vt:lpstr>
      <vt:lpstr>'COEF Art 14 F I '!Títulos_a_imprimir</vt:lpstr>
      <vt:lpstr>'DIST MES ENERO'!Títulos_a_imprimir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Oswaldo Calzada Alba</cp:lastModifiedBy>
  <cp:lastPrinted>2022-01-31T21:37:01Z</cp:lastPrinted>
  <dcterms:created xsi:type="dcterms:W3CDTF">2009-12-17T23:31:03Z</dcterms:created>
  <dcterms:modified xsi:type="dcterms:W3CDTF">2022-02-10T22:15:50Z</dcterms:modified>
</cp:coreProperties>
</file>