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/>
  <mc:AlternateContent xmlns:mc="http://schemas.openxmlformats.org/markup-compatibility/2006">
    <mc:Choice Requires="x15">
      <x15ac:absPath xmlns:x15ac="http://schemas.microsoft.com/office/spreadsheetml/2010/11/ac" url="/Users/rodpalacios/Desktop/"/>
    </mc:Choice>
  </mc:AlternateContent>
  <xr:revisionPtr revIDLastSave="0" documentId="8_{5D3AEBDE-DFD3-374D-AFB0-9B00433999B4}" xr6:coauthVersionLast="47" xr6:coauthVersionMax="47" xr10:uidLastSave="{00000000-0000-0000-0000-000000000000}"/>
  <bookViews>
    <workbookView xWindow="220" yWindow="1220" windowWidth="33980" windowHeight="18660" activeTab="1" xr2:uid="{00000000-000D-0000-FFFF-FFFF00000000}"/>
  </bookViews>
  <sheets>
    <sheet name="Resumen" sheetId="1" r:id="rId1"/>
    <sheet name="Indicadores" sheetId="2" r:id="rId2"/>
    <sheet name="Escenarios Proyectados (24+)" sheetId="3" r:id="rId3"/>
    <sheet name="Cashflow" sheetId="4" r:id="rId4"/>
    <sheet name="Flow Detail (24 meses)" sheetId="5" r:id="rId5"/>
    <sheet name="Detalle de Utilidades Muni (24)" sheetId="6" r:id="rId6"/>
    <sheet name="Participaciones y Distribución " sheetId="7" r:id="rId7"/>
    <sheet name="Detalle comunas" sheetId="8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32" i="4" l="1"/>
  <c r="F60" i="8"/>
  <c r="E60" i="8"/>
  <c r="D60" i="8"/>
  <c r="F40" i="8"/>
  <c r="E40" i="8"/>
  <c r="D40" i="8"/>
  <c r="F20" i="8"/>
  <c r="E20" i="8"/>
  <c r="D20" i="8"/>
  <c r="C85" i="7"/>
  <c r="C76" i="7"/>
  <c r="C67" i="7"/>
  <c r="C58" i="7"/>
  <c r="C49" i="7"/>
  <c r="C40" i="7"/>
  <c r="C31" i="7"/>
  <c r="C22" i="7"/>
  <c r="H20" i="7"/>
  <c r="H19" i="7"/>
  <c r="H18" i="7"/>
  <c r="H22" i="7" s="1"/>
  <c r="C13" i="7"/>
  <c r="C5" i="7"/>
  <c r="C4" i="7"/>
  <c r="I53" i="5"/>
  <c r="F53" i="5"/>
  <c r="I29" i="5"/>
  <c r="I24" i="5"/>
  <c r="I25" i="5" s="1"/>
  <c r="I26" i="5" s="1"/>
  <c r="J19" i="5"/>
  <c r="J18" i="5"/>
  <c r="J17" i="5"/>
  <c r="J16" i="5"/>
  <c r="J14" i="5"/>
  <c r="H14" i="5"/>
  <c r="J13" i="5"/>
  <c r="I13" i="5"/>
  <c r="H13" i="5"/>
  <c r="J12" i="5"/>
  <c r="D35" i="3"/>
  <c r="D34" i="3"/>
  <c r="D33" i="3"/>
  <c r="D32" i="3"/>
  <c r="D31" i="3"/>
  <c r="D30" i="3"/>
  <c r="D29" i="3"/>
  <c r="D28" i="3"/>
  <c r="D27" i="3"/>
  <c r="D26" i="3"/>
  <c r="D25" i="3"/>
  <c r="D24" i="3"/>
  <c r="D23" i="3"/>
  <c r="D22" i="3"/>
  <c r="D16" i="3"/>
  <c r="D15" i="3"/>
  <c r="D14" i="3"/>
  <c r="F13" i="3"/>
  <c r="D13" i="3"/>
  <c r="D12" i="3"/>
  <c r="D11" i="3"/>
  <c r="D10" i="3"/>
  <c r="F6" i="3"/>
  <c r="D6" i="3"/>
  <c r="D5" i="3"/>
  <c r="F4" i="3"/>
  <c r="D4" i="3"/>
  <c r="C80" i="1"/>
  <c r="C86" i="1" s="1"/>
  <c r="C45" i="1"/>
  <c r="C29" i="1"/>
  <c r="H4" i="3" s="1"/>
  <c r="F28" i="1"/>
  <c r="F29" i="1" s="1"/>
  <c r="E28" i="1"/>
  <c r="G5" i="3" s="1"/>
  <c r="M27" i="1"/>
  <c r="M28" i="1" s="1"/>
  <c r="L27" i="1"/>
  <c r="K27" i="1"/>
  <c r="F14" i="3" s="1"/>
  <c r="J27" i="1"/>
  <c r="J28" i="1" s="1"/>
  <c r="I27" i="1"/>
  <c r="F12" i="3" s="1"/>
  <c r="H27" i="1"/>
  <c r="F11" i="3" s="1"/>
  <c r="G27" i="1"/>
  <c r="F10" i="3" s="1"/>
  <c r="F27" i="1"/>
  <c r="E27" i="1"/>
  <c r="F5" i="3" s="1"/>
  <c r="C27" i="1"/>
  <c r="C28" i="1" s="1"/>
  <c r="G4" i="3" s="1"/>
  <c r="E12" i="5" s="1"/>
  <c r="C25" i="1"/>
  <c r="C20" i="1"/>
  <c r="C21" i="1" s="1"/>
  <c r="C15" i="1"/>
  <c r="C16" i="1" s="1"/>
  <c r="C31" i="1" s="1"/>
  <c r="C8" i="1"/>
  <c r="G16" i="3" l="1"/>
  <c r="M29" i="1"/>
  <c r="J29" i="1"/>
  <c r="G13" i="3"/>
  <c r="E33" i="5"/>
  <c r="E28" i="5"/>
  <c r="E23" i="5"/>
  <c r="H6" i="3"/>
  <c r="L4" i="3" s="1"/>
  <c r="E45" i="5"/>
  <c r="C33" i="1"/>
  <c r="C35" i="1"/>
  <c r="E86" i="1"/>
  <c r="H46" i="5" s="1"/>
  <c r="J46" i="5" s="1"/>
  <c r="C88" i="1"/>
  <c r="E16" i="5"/>
  <c r="G16" i="5" s="1"/>
  <c r="E19" i="5"/>
  <c r="G12" i="5"/>
  <c r="E17" i="5"/>
  <c r="E18" i="5"/>
  <c r="E14" i="5"/>
  <c r="E13" i="5"/>
  <c r="I38" i="5"/>
  <c r="C53" i="5" s="1"/>
  <c r="G6" i="3"/>
  <c r="G28" i="1"/>
  <c r="C32" i="1"/>
  <c r="C40" i="1" s="1"/>
  <c r="C39" i="1" s="1"/>
  <c r="E80" i="1"/>
  <c r="H28" i="1"/>
  <c r="C82" i="1"/>
  <c r="I14" i="5"/>
  <c r="E29" i="1"/>
  <c r="H5" i="3" s="1"/>
  <c r="F16" i="3"/>
  <c r="I28" i="1"/>
  <c r="L28" i="1"/>
  <c r="F15" i="3"/>
  <c r="K28" i="1"/>
  <c r="K12" i="5" l="1"/>
  <c r="G13" i="5"/>
  <c r="E25" i="5"/>
  <c r="E24" i="5"/>
  <c r="E38" i="5" s="1"/>
  <c r="G23" i="5"/>
  <c r="E26" i="5"/>
  <c r="G17" i="5"/>
  <c r="K16" i="5"/>
  <c r="E82" i="1"/>
  <c r="H23" i="5"/>
  <c r="C84" i="1"/>
  <c r="E84" i="1" s="1"/>
  <c r="H45" i="5" s="1"/>
  <c r="E49" i="5"/>
  <c r="G49" i="5" s="1"/>
  <c r="H13" i="3"/>
  <c r="P4" i="3" s="1"/>
  <c r="E29" i="5"/>
  <c r="E30" i="5"/>
  <c r="E31" i="5"/>
  <c r="G28" i="5"/>
  <c r="E88" i="1"/>
  <c r="H47" i="5" s="1"/>
  <c r="J47" i="5" s="1"/>
  <c r="C90" i="1"/>
  <c r="G11" i="3"/>
  <c r="H29" i="1"/>
  <c r="H16" i="3"/>
  <c r="S4" i="3" s="1"/>
  <c r="E52" i="5"/>
  <c r="G52" i="5" s="1"/>
  <c r="G29" i="1"/>
  <c r="G10" i="3"/>
  <c r="E36" i="5"/>
  <c r="E35" i="5"/>
  <c r="E34" i="5"/>
  <c r="G33" i="5"/>
  <c r="K29" i="1"/>
  <c r="G14" i="3"/>
  <c r="C5" i="5"/>
  <c r="C36" i="1"/>
  <c r="C6" i="5" s="1"/>
  <c r="C37" i="1"/>
  <c r="G15" i="3"/>
  <c r="L29" i="1"/>
  <c r="G12" i="3"/>
  <c r="I29" i="1"/>
  <c r="C14" i="5"/>
  <c r="C16" i="5"/>
  <c r="C19" i="5"/>
  <c r="C9" i="5"/>
  <c r="C7" i="5"/>
  <c r="C18" i="5"/>
  <c r="C13" i="5"/>
  <c r="C17" i="5"/>
  <c r="C12" i="5"/>
  <c r="C10" i="5"/>
  <c r="G45" i="5"/>
  <c r="H12" i="3" l="1"/>
  <c r="O4" i="3" s="1"/>
  <c r="E48" i="5"/>
  <c r="G48" i="5" s="1"/>
  <c r="E47" i="5"/>
  <c r="G47" i="5" s="1"/>
  <c r="K47" i="5" s="1"/>
  <c r="I11" i="3" s="1"/>
  <c r="H11" i="3"/>
  <c r="N4" i="3" s="1"/>
  <c r="E51" i="5"/>
  <c r="G51" i="5" s="1"/>
  <c r="H15" i="3"/>
  <c r="R4" i="3" s="1"/>
  <c r="E90" i="1"/>
  <c r="H48" i="5" s="1"/>
  <c r="J48" i="5" s="1"/>
  <c r="C92" i="1"/>
  <c r="J23" i="5"/>
  <c r="H33" i="5"/>
  <c r="H24" i="5"/>
  <c r="H28" i="5"/>
  <c r="K13" i="5"/>
  <c r="G14" i="5"/>
  <c r="K14" i="5" s="1"/>
  <c r="H14" i="3"/>
  <c r="Q4" i="3" s="1"/>
  <c r="E50" i="5"/>
  <c r="G50" i="5" s="1"/>
  <c r="G34" i="5"/>
  <c r="K23" i="5"/>
  <c r="G24" i="5"/>
  <c r="J45" i="5"/>
  <c r="G29" i="5"/>
  <c r="C21" i="5"/>
  <c r="E46" i="5"/>
  <c r="H10" i="3"/>
  <c r="M4" i="3" s="1"/>
  <c r="C4" i="6"/>
  <c r="K17" i="5"/>
  <c r="G18" i="5"/>
  <c r="G46" i="5" l="1"/>
  <c r="E53" i="5"/>
  <c r="J28" i="5"/>
  <c r="K28" i="5" s="1"/>
  <c r="H29" i="5"/>
  <c r="H25" i="5"/>
  <c r="J24" i="5"/>
  <c r="G35" i="5"/>
  <c r="H34" i="5"/>
  <c r="J33" i="5"/>
  <c r="K33" i="5" s="1"/>
  <c r="J11" i="3"/>
  <c r="K11" i="3"/>
  <c r="J4" i="6" s="1"/>
  <c r="D4" i="6" a="1"/>
  <c r="K48" i="5"/>
  <c r="G25" i="5"/>
  <c r="D11" i="7"/>
  <c r="D9" i="7"/>
  <c r="C5" i="6"/>
  <c r="C6" i="6" s="1"/>
  <c r="G30" i="5"/>
  <c r="G19" i="5"/>
  <c r="K19" i="5" s="1"/>
  <c r="K18" i="5"/>
  <c r="I4" i="3" s="1"/>
  <c r="K45" i="5"/>
  <c r="C94" i="1"/>
  <c r="E92" i="1"/>
  <c r="H49" i="5" s="1"/>
  <c r="J49" i="5" s="1"/>
  <c r="K49" i="5" s="1"/>
  <c r="K4" i="3" l="1"/>
  <c r="J4" i="3"/>
  <c r="H26" i="5"/>
  <c r="J26" i="5" s="1"/>
  <c r="J25" i="5"/>
  <c r="K25" i="5" s="1"/>
  <c r="C96" i="1"/>
  <c r="E94" i="1"/>
  <c r="H50" i="5" s="1"/>
  <c r="C8" i="6" a="1"/>
  <c r="G36" i="5"/>
  <c r="G38" i="5"/>
  <c r="C24" i="6"/>
  <c r="C23" i="6"/>
  <c r="C25" i="6"/>
  <c r="D8" i="6" a="1"/>
  <c r="D6" i="6"/>
  <c r="F6" i="6" s="1"/>
  <c r="D5" i="6"/>
  <c r="F5" i="6" s="1"/>
  <c r="D4" i="6"/>
  <c r="K24" i="5"/>
  <c r="G26" i="5"/>
  <c r="I6" i="3"/>
  <c r="J29" i="6"/>
  <c r="J28" i="6"/>
  <c r="H30" i="5"/>
  <c r="J29" i="5"/>
  <c r="K29" i="5" s="1"/>
  <c r="K46" i="5"/>
  <c r="I10" i="3" s="1"/>
  <c r="G53" i="5"/>
  <c r="D38" i="7"/>
  <c r="D37" i="7"/>
  <c r="D36" i="7"/>
  <c r="D40" i="7" s="1"/>
  <c r="G31" i="5"/>
  <c r="J34" i="5"/>
  <c r="K34" i="5" s="1"/>
  <c r="H35" i="5"/>
  <c r="D10" i="7"/>
  <c r="J50" i="5" l="1"/>
  <c r="C98" i="1"/>
  <c r="E98" i="1" s="1"/>
  <c r="H52" i="5" s="1"/>
  <c r="J52" i="5" s="1"/>
  <c r="K52" i="5" s="1"/>
  <c r="E96" i="1"/>
  <c r="H51" i="5" s="1"/>
  <c r="J51" i="5" s="1"/>
  <c r="K51" i="5" s="1"/>
  <c r="K6" i="3"/>
  <c r="H4" i="6" s="1"/>
  <c r="J6" i="3"/>
  <c r="D11" i="6"/>
  <c r="F11" i="6" s="1"/>
  <c r="D9" i="6"/>
  <c r="F9" i="6" s="1"/>
  <c r="D8" i="6"/>
  <c r="F8" i="6" s="1"/>
  <c r="D10" i="6"/>
  <c r="F10" i="6" s="1"/>
  <c r="C10" i="6"/>
  <c r="C9" i="6"/>
  <c r="C11" i="6"/>
  <c r="C8" i="6"/>
  <c r="F4" i="6"/>
  <c r="J35" i="5"/>
  <c r="K35" i="5" s="1"/>
  <c r="H36" i="5"/>
  <c r="J36" i="5" s="1"/>
  <c r="J10" i="3"/>
  <c r="K10" i="3"/>
  <c r="I4" i="6" s="1"/>
  <c r="K26" i="5"/>
  <c r="F18" i="7"/>
  <c r="F19" i="7"/>
  <c r="F20" i="7"/>
  <c r="D13" i="7"/>
  <c r="H31" i="5"/>
  <c r="J30" i="5"/>
  <c r="K30" i="5" s="1"/>
  <c r="D13" i="6" a="1"/>
  <c r="C13" i="6" a="1"/>
  <c r="H29" i="6" l="1"/>
  <c r="H28" i="6"/>
  <c r="D29" i="7"/>
  <c r="D28" i="7"/>
  <c r="D27" i="7"/>
  <c r="F22" i="7"/>
  <c r="K50" i="5"/>
  <c r="J53" i="5"/>
  <c r="C16" i="6"/>
  <c r="C15" i="6"/>
  <c r="C14" i="6"/>
  <c r="C13" i="6"/>
  <c r="D14" i="6"/>
  <c r="F14" i="6" s="1"/>
  <c r="D16" i="6"/>
  <c r="F16" i="6" s="1"/>
  <c r="D15" i="6"/>
  <c r="F15" i="6" s="1"/>
  <c r="D13" i="6"/>
  <c r="F13" i="6" s="1"/>
  <c r="G8" i="6"/>
  <c r="J31" i="5"/>
  <c r="K31" i="5" s="1"/>
  <c r="H38" i="5"/>
  <c r="I29" i="6"/>
  <c r="I28" i="6"/>
  <c r="K36" i="5"/>
  <c r="G4" i="6"/>
  <c r="H53" i="5"/>
  <c r="D18" i="6" a="1"/>
  <c r="E11" i="7"/>
  <c r="E9" i="7"/>
  <c r="E10" i="7"/>
  <c r="D20" i="6" l="1"/>
  <c r="F20" i="6" s="1"/>
  <c r="D19" i="6"/>
  <c r="F19" i="6" s="1"/>
  <c r="D18" i="6"/>
  <c r="F18" i="6" s="1"/>
  <c r="D21" i="6"/>
  <c r="F21" i="6" s="1"/>
  <c r="D31" i="7"/>
  <c r="E13" i="7"/>
  <c r="D20" i="7"/>
  <c r="F9" i="7"/>
  <c r="D18" i="7"/>
  <c r="F10" i="7"/>
  <c r="D19" i="7"/>
  <c r="F11" i="7"/>
  <c r="J38" i="5"/>
  <c r="I5" i="3"/>
  <c r="G13" i="6"/>
  <c r="C18" i="6" a="1"/>
  <c r="K53" i="5"/>
  <c r="I12" i="3" a="1"/>
  <c r="C26" i="6"/>
  <c r="K38" i="5"/>
  <c r="D23" i="6" a="1"/>
  <c r="H10" i="7" l="1"/>
  <c r="H9" i="7"/>
  <c r="H11" i="7"/>
  <c r="D23" i="6"/>
  <c r="F23" i="6" s="1"/>
  <c r="D26" i="6"/>
  <c r="F26" i="6" s="1"/>
  <c r="D25" i="6"/>
  <c r="F25" i="6" s="1"/>
  <c r="D24" i="6"/>
  <c r="F24" i="6" s="1"/>
  <c r="F13" i="7"/>
  <c r="G18" i="6"/>
  <c r="I16" i="3"/>
  <c r="I15" i="3"/>
  <c r="I14" i="3"/>
  <c r="I13" i="3"/>
  <c r="I12" i="3"/>
  <c r="D22" i="7"/>
  <c r="C18" i="6"/>
  <c r="C21" i="6"/>
  <c r="C20" i="6"/>
  <c r="C19" i="6"/>
  <c r="K5" i="3"/>
  <c r="J5" i="3"/>
  <c r="G28" i="6" l="1"/>
  <c r="G23" i="6"/>
  <c r="D28" i="6"/>
  <c r="K13" i="3"/>
  <c r="L4" i="6" s="1"/>
  <c r="J13" i="3"/>
  <c r="G9" i="7"/>
  <c r="E18" i="7"/>
  <c r="G10" i="7"/>
  <c r="I10" i="7" s="1"/>
  <c r="E19" i="7"/>
  <c r="G11" i="7"/>
  <c r="I11" i="7" s="1"/>
  <c r="E20" i="7"/>
  <c r="C28" i="6"/>
  <c r="J14" i="3"/>
  <c r="K14" i="3"/>
  <c r="M4" i="6" s="1"/>
  <c r="H13" i="7"/>
  <c r="K15" i="3"/>
  <c r="N4" i="6" s="1"/>
  <c r="J15" i="3"/>
  <c r="K16" i="3"/>
  <c r="O4" i="6" s="1"/>
  <c r="J16" i="3"/>
  <c r="F28" i="6"/>
  <c r="K12" i="3"/>
  <c r="K4" i="6" s="1"/>
  <c r="J12" i="3"/>
  <c r="E22" i="7" l="1"/>
  <c r="M29" i="6"/>
  <c r="M28" i="6"/>
  <c r="G13" i="7"/>
  <c r="I9" i="7"/>
  <c r="I13" i="7" s="1"/>
  <c r="K29" i="6"/>
  <c r="K28" i="6"/>
  <c r="D56" i="7"/>
  <c r="D55" i="7"/>
  <c r="D54" i="7"/>
  <c r="D58" i="7" s="1"/>
  <c r="L29" i="6"/>
  <c r="L28" i="6"/>
  <c r="D46" i="7"/>
  <c r="D45" i="7"/>
  <c r="D49" i="7" s="1"/>
  <c r="D47" i="7"/>
  <c r="D65" i="7"/>
  <c r="D64" i="7"/>
  <c r="D63" i="7"/>
  <c r="D67" i="7" s="1"/>
  <c r="G18" i="7"/>
  <c r="G19" i="7"/>
  <c r="G20" i="7"/>
  <c r="I20" i="7" s="1"/>
  <c r="D83" i="7"/>
  <c r="D82" i="7"/>
  <c r="D81" i="7"/>
  <c r="O29" i="6"/>
  <c r="O28" i="6"/>
  <c r="D74" i="7"/>
  <c r="D73" i="7"/>
  <c r="D72" i="7"/>
  <c r="D76" i="7" s="1"/>
  <c r="I19" i="7"/>
  <c r="N29" i="6"/>
  <c r="N28" i="6"/>
  <c r="G22" i="7" l="1"/>
  <c r="D85" i="7"/>
  <c r="I18" i="7"/>
  <c r="I22" i="7" s="1"/>
</calcChain>
</file>

<file path=xl/sharedStrings.xml><?xml version="1.0" encoding="utf-8"?>
<sst xmlns="http://schemas.openxmlformats.org/spreadsheetml/2006/main" count="605" uniqueCount="447">
  <si>
    <t>Indicadores base</t>
  </si>
  <si>
    <t>Variaciones (cantidad de cruces)</t>
  </si>
  <si>
    <t>Porcentaje Invenor</t>
  </si>
  <si>
    <t>Porcenta Municipalidad</t>
  </si>
  <si>
    <t>Infracciones por cruce por día</t>
  </si>
  <si>
    <t>Cantidad de Infraciones por cruces totales (diario)</t>
  </si>
  <si>
    <t>Cantidad de Infraciones por cruces totales (mensual)</t>
  </si>
  <si>
    <t>Cantidad de Infraciones por cruces totales (Anual)</t>
  </si>
  <si>
    <t>Valor multa (CLP)</t>
  </si>
  <si>
    <t>Cantidad de cruces</t>
  </si>
  <si>
    <t>Costo por poste inteligente (CLP)</t>
  </si>
  <si>
    <t>Cantidad de postes</t>
  </si>
  <si>
    <t>Costo total implementación postes</t>
  </si>
  <si>
    <t>Desarrollo Software</t>
  </si>
  <si>
    <t>Costo total camionetas (CLP)</t>
  </si>
  <si>
    <t>Leasing camionetas</t>
  </si>
  <si>
    <t>Internet (devices)</t>
  </si>
  <si>
    <t>Internet valor mensual</t>
  </si>
  <si>
    <t>Internet valor total anual por todos los cruces + device</t>
  </si>
  <si>
    <t>Venta total diaria</t>
  </si>
  <si>
    <t>Venta total mensual</t>
  </si>
  <si>
    <t>Venta total anual</t>
  </si>
  <si>
    <t>Inversión desarrollo + implementación</t>
  </si>
  <si>
    <t>Inversión operacional (equipo inicial)</t>
  </si>
  <si>
    <t>Inversión total (Inversionista)</t>
  </si>
  <si>
    <t>Capex Mes 1</t>
  </si>
  <si>
    <t>Capex mes 2</t>
  </si>
  <si>
    <t>Capex Total</t>
  </si>
  <si>
    <t>Opex Mensual (3 al 12)</t>
  </si>
  <si>
    <t>Opex Total</t>
  </si>
  <si>
    <t>Primer mes de pago cuota inversión</t>
  </si>
  <si>
    <t>Primer monto de pago inversión</t>
  </si>
  <si>
    <t>Payback mes</t>
  </si>
  <si>
    <t>Retorno a inviersionista</t>
  </si>
  <si>
    <t>IRR Anual</t>
  </si>
  <si>
    <t>ROI</t>
  </si>
  <si>
    <t>Margen</t>
  </si>
  <si>
    <t>Costo Operación</t>
  </si>
  <si>
    <t>Oficina</t>
  </si>
  <si>
    <t>Pirazzoli's Support</t>
  </si>
  <si>
    <t>Interno Ferronor (Operdor interno Invenor para Ferronor)</t>
  </si>
  <si>
    <t>Gerente General</t>
  </si>
  <si>
    <t>Líder de Operaciones</t>
  </si>
  <si>
    <t>Gerente de Finanzas</t>
  </si>
  <si>
    <t>Contador</t>
  </si>
  <si>
    <t>Ing. Eléctrico</t>
  </si>
  <si>
    <t>Ing. Eléctrónico</t>
  </si>
  <si>
    <t>Ing. AI</t>
  </si>
  <si>
    <t>Fullstack</t>
  </si>
  <si>
    <t>Diseño</t>
  </si>
  <si>
    <t>Técnico 1 (zonal lider)</t>
  </si>
  <si>
    <t>Técnico 1 (zonal)</t>
  </si>
  <si>
    <t>Operador Cámaras 1</t>
  </si>
  <si>
    <t>Operador Cámaras 2</t>
  </si>
  <si>
    <t>Operador Cámaras 3</t>
  </si>
  <si>
    <t>Operador municipalidades</t>
  </si>
  <si>
    <t>Gestor Oficina</t>
  </si>
  <si>
    <t>Bencinas</t>
  </si>
  <si>
    <t>Alojamiento y viajes</t>
  </si>
  <si>
    <t>Caja chica mes</t>
  </si>
  <si>
    <t>Camionetas Leasing</t>
  </si>
  <si>
    <t>Nube</t>
  </si>
  <si>
    <t>Abogado</t>
  </si>
  <si>
    <t>Total mensual equipo inicial (Año 1)</t>
  </si>
  <si>
    <t>Total mensual equipo (Año 2)</t>
  </si>
  <si>
    <t>Total mensual equipo (Año 3)</t>
  </si>
  <si>
    <t>Total mensual equipo (Año 4)</t>
  </si>
  <si>
    <t>Total mensual equipo (Año 5)</t>
  </si>
  <si>
    <t>Total mensual equipo (Año 6)</t>
  </si>
  <si>
    <t>Total mensual equipo (Año 7)</t>
  </si>
  <si>
    <t>Total mensual equipo (Año 8)</t>
  </si>
  <si>
    <t>Total mensual equipo (Año 9)</t>
  </si>
  <si>
    <t>Total mensual equipo (Año 10)</t>
  </si>
  <si>
    <t>Indicador</t>
  </si>
  <si>
    <t>Valor</t>
  </si>
  <si>
    <t>Retorno total</t>
  </si>
  <si>
    <t>Ganancia neta</t>
  </si>
  <si>
    <t>Tasa anual equivalente</t>
  </si>
  <si>
    <t>Múltiplo de inversión</t>
  </si>
  <si>
    <t>Margen operativo</t>
  </si>
  <si>
    <t>Año</t>
  </si>
  <si>
    <t>Cruces</t>
  </si>
  <si>
    <t>Lugar</t>
  </si>
  <si>
    <t>Multas diarias (Total)</t>
  </si>
  <si>
    <t>Multas totales (mes)</t>
  </si>
  <si>
    <t>Multas totales
(Anuales)</t>
  </si>
  <si>
    <t>Utilidad Total (Anual - Costos)</t>
  </si>
  <si>
    <t>Utilidad Invenor
(Anual)</t>
  </si>
  <si>
    <t>Utilidad Municipalidades (Anual)</t>
  </si>
  <si>
    <t>Venta total
 Año 3</t>
  </si>
  <si>
    <t>Venta total 
Año 4</t>
  </si>
  <si>
    <t>Venta total 
Año 5</t>
  </si>
  <si>
    <t>Venta total 
Año 6</t>
  </si>
  <si>
    <t>Venta total 
Año 7</t>
  </si>
  <si>
    <t>Venta total 
Año 8</t>
  </si>
  <si>
    <t>Venta total 
Año 9</t>
  </si>
  <si>
    <t>Venta total 
Año 10</t>
  </si>
  <si>
    <t>Norte</t>
  </si>
  <si>
    <t>Discos + Cruces</t>
  </si>
  <si>
    <t>Centro (Ciudad)</t>
  </si>
  <si>
    <t>Centro + Sur total</t>
  </si>
  <si>
    <t>Extranjero</t>
  </si>
  <si>
    <t>Municipalidades Norte de Chile</t>
  </si>
  <si>
    <t xml:space="preserve">Sierra Gorda	</t>
  </si>
  <si>
    <t>Municipalidades Centro de Chile</t>
  </si>
  <si>
    <t>Lo Barnechea</t>
  </si>
  <si>
    <t>Colina</t>
  </si>
  <si>
    <t>La Florida</t>
  </si>
  <si>
    <t>Puente Alto</t>
  </si>
  <si>
    <t>Santiago Centro</t>
  </si>
  <si>
    <t>La Reina</t>
  </si>
  <si>
    <t>Viña del Mar</t>
  </si>
  <si>
    <t>Valparaíso</t>
  </si>
  <si>
    <t>Maipú</t>
  </si>
  <si>
    <t>Municipalidades Sur de Chile</t>
  </si>
  <si>
    <t>Curicó</t>
  </si>
  <si>
    <t>Talca</t>
  </si>
  <si>
    <t>Chillán</t>
  </si>
  <si>
    <t>Concepción</t>
  </si>
  <si>
    <t>Temuco</t>
  </si>
  <si>
    <t>Valdivia</t>
  </si>
  <si>
    <t>Puerto Montt</t>
  </si>
  <si>
    <t>Perú</t>
  </si>
  <si>
    <t>Miraflores</t>
  </si>
  <si>
    <t>San Isidro</t>
  </si>
  <si>
    <t>Surco</t>
  </si>
  <si>
    <t>San Borja</t>
  </si>
  <si>
    <t>La Victoria</t>
  </si>
  <si>
    <t>Colombia</t>
  </si>
  <si>
    <t>Chapinero</t>
  </si>
  <si>
    <t>Usaquén</t>
  </si>
  <si>
    <t>Kennedy</t>
  </si>
  <si>
    <t>Suba</t>
  </si>
  <si>
    <t>Engativá</t>
  </si>
  <si>
    <t>México</t>
  </si>
  <si>
    <t>Benito Juárez</t>
  </si>
  <si>
    <t>Migue Hidalgo</t>
  </si>
  <si>
    <t>Cuauhtémoc</t>
  </si>
  <si>
    <t>Iztapalapa</t>
  </si>
  <si>
    <t>Naucalpan</t>
  </si>
  <si>
    <t>Mes</t>
  </si>
  <si>
    <t>Egreso</t>
  </si>
  <si>
    <t>Ingreso</t>
  </si>
  <si>
    <t>Net Cash Flow</t>
  </si>
  <si>
    <t>Flujo Acumulado</t>
  </si>
  <si>
    <t>Pago Inversionista</t>
  </si>
  <si>
    <t>Proyección Operación Inicio</t>
  </si>
  <si>
    <t>Inversión</t>
  </si>
  <si>
    <t>Tipo</t>
  </si>
  <si>
    <t>Infracciones cursadas</t>
  </si>
  <si>
    <t>Modalidad (castigo)</t>
  </si>
  <si>
    <t>Ingreso Neto (aplica modalidad)</t>
  </si>
  <si>
    <t>Costo</t>
  </si>
  <si>
    <t>Egreso Total</t>
  </si>
  <si>
    <t xml:space="preserve">Utilidadad General </t>
  </si>
  <si>
    <t>Mes 1</t>
  </si>
  <si>
    <t>Instalación + Software + Equipo</t>
  </si>
  <si>
    <t>Mes 2</t>
  </si>
  <si>
    <t>Mes 3</t>
  </si>
  <si>
    <t>Mes 4</t>
  </si>
  <si>
    <t>Finalizar desasarrollo</t>
  </si>
  <si>
    <t>Mes 5</t>
  </si>
  <si>
    <t>Mes 6</t>
  </si>
  <si>
    <t>Meses de prueba y facturación</t>
  </si>
  <si>
    <t>Mes 7</t>
  </si>
  <si>
    <t>Mes 8</t>
  </si>
  <si>
    <t>Mes 9</t>
  </si>
  <si>
    <t>Meses claves de gestión</t>
  </si>
  <si>
    <t>Mes 10</t>
  </si>
  <si>
    <t>Mes 11</t>
  </si>
  <si>
    <t>Mes 12</t>
  </si>
  <si>
    <t>Total Inversión</t>
  </si>
  <si>
    <t>Mes 13</t>
  </si>
  <si>
    <t>Perfeccionamiento</t>
  </si>
  <si>
    <t>Mes 14</t>
  </si>
  <si>
    <t>Mes 15</t>
  </si>
  <si>
    <t>Mes 16</t>
  </si>
  <si>
    <t>Mes 17</t>
  </si>
  <si>
    <t>Consolidación + Crecimiento</t>
  </si>
  <si>
    <t>Mes 18</t>
  </si>
  <si>
    <t>Mes 19</t>
  </si>
  <si>
    <t>Mes 20</t>
  </si>
  <si>
    <t>Mes 21</t>
  </si>
  <si>
    <t xml:space="preserve">Crecimiento </t>
  </si>
  <si>
    <t>Mes 22</t>
  </si>
  <si>
    <t>Mes 23</t>
  </si>
  <si>
    <t>Mes 24</t>
  </si>
  <si>
    <t>Sub Totales</t>
  </si>
  <si>
    <t>Proyección del negocios desde el año 3 al 10</t>
  </si>
  <si>
    <t>(26 meses pago full)</t>
  </si>
  <si>
    <t>Año 3</t>
  </si>
  <si>
    <t>Crecimiento Norte</t>
  </si>
  <si>
    <t>Año 4</t>
  </si>
  <si>
    <t>Crecimiento Centro</t>
  </si>
  <si>
    <t>Año 5</t>
  </si>
  <si>
    <t>Año 6</t>
  </si>
  <si>
    <t>Crecimiento Sur y Resto Chile</t>
  </si>
  <si>
    <t>Año 7</t>
  </si>
  <si>
    <t>Año 8</t>
  </si>
  <si>
    <t>Año 9</t>
  </si>
  <si>
    <t>Año 10</t>
  </si>
  <si>
    <t>Total Negocio Primeros 10 años</t>
  </si>
  <si>
    <t>Chile + 3 paises</t>
  </si>
  <si>
    <t>Billones</t>
  </si>
  <si>
    <t>Miles de millones de pesos</t>
  </si>
  <si>
    <t>Item</t>
  </si>
  <si>
    <t>Invenor</t>
  </si>
  <si>
    <t>Municipalidades</t>
  </si>
  <si>
    <t>Cantidad Municipalidades</t>
  </si>
  <si>
    <t>Monto x Municipalidad</t>
  </si>
  <si>
    <t>Margen Periodo  (9-24) x Municipalidad</t>
  </si>
  <si>
    <t>Anual Unitario (Año 3)</t>
  </si>
  <si>
    <t>Anual Unitario (Año 4)</t>
  </si>
  <si>
    <t>Anual Unitario (Año 5)</t>
  </si>
  <si>
    <t>Anual Unitario (Año 6)</t>
  </si>
  <si>
    <t>Anual Unitario (Año 7)</t>
  </si>
  <si>
    <t>Anual Unitario (Año 8)</t>
  </si>
  <si>
    <t>Anual Unitario (Año 9)</t>
  </si>
  <si>
    <t>Anual Unitario (Año 10)</t>
  </si>
  <si>
    <t>Total</t>
  </si>
  <si>
    <t>Participación en Invenor</t>
  </si>
  <si>
    <t>%</t>
  </si>
  <si>
    <t>6-8</t>
  </si>
  <si>
    <t>9-12</t>
  </si>
  <si>
    <t>13-16</t>
  </si>
  <si>
    <t>17-20</t>
  </si>
  <si>
    <t>21-24</t>
  </si>
  <si>
    <t>Total 24 (meses)</t>
  </si>
  <si>
    <t>AMUNOCHI (2)</t>
  </si>
  <si>
    <t>Invenor Detalle</t>
  </si>
  <si>
    <t>Utilidad Periodo x Empresa</t>
  </si>
  <si>
    <t xml:space="preserve">Ferronor </t>
  </si>
  <si>
    <t>Hermanos Pirazzoli</t>
  </si>
  <si>
    <t>Invesan SpA</t>
  </si>
  <si>
    <t>Comuna</t>
  </si>
  <si>
    <t>Ingresos Totales 2024 (M$)</t>
  </si>
  <si>
    <t>Recaudación por Multas 2024 (M$)</t>
  </si>
  <si>
    <t>Aporte Proyecto (anual)</t>
  </si>
  <si>
    <t>% Incremento por Proyecto</t>
  </si>
  <si>
    <t>Veces Aumenta Multas (x)</t>
  </si>
  <si>
    <t>Sierra Gorda</t>
  </si>
  <si>
    <t>Taltal</t>
  </si>
  <si>
    <t>Copiapó</t>
  </si>
  <si>
    <t>Tierra Amarilla</t>
  </si>
  <si>
    <t>Caldera</t>
  </si>
  <si>
    <t>Chañaral</t>
  </si>
  <si>
    <t>Diego de Almagro</t>
  </si>
  <si>
    <t>Coquimbo</t>
  </si>
  <si>
    <t>Iquique</t>
  </si>
  <si>
    <t>La Serena</t>
  </si>
  <si>
    <t>La Calera</t>
  </si>
  <si>
    <t>La Ligua</t>
  </si>
  <si>
    <t>Papudo</t>
  </si>
  <si>
    <t>Zapallar</t>
  </si>
  <si>
    <t>Vallenar</t>
  </si>
  <si>
    <t>Total Primeros 2 años</t>
  </si>
  <si>
    <t>Veces Aumenta Multas</t>
  </si>
  <si>
    <t>OPORTUNIDAD ÚNICA</t>
  </si>
  <si>
    <t>2-6x mejor que alternativas</t>
  </si>
  <si>
    <t>SUPERIOR</t>
  </si>
  <si>
    <t>Comparación mercado</t>
  </si>
  <si>
    <t>OPORTUNIDAD DE CRECIMIENTO</t>
  </si>
  <si>
    <t>Potencial nacional e internacional</t>
  </si>
  <si>
    <t>ALTA</t>
  </si>
  <si>
    <t>Escalabilidad</t>
  </si>
  <si>
    <t>SIN RIESGO DE FLUJOS</t>
  </si>
  <si>
    <t>Pago único en mes 26</t>
  </si>
  <si>
    <t>Liquidez</t>
  </si>
  <si>
    <t>INVERSIÓN SEGURA</t>
  </si>
  <si>
    <t>Mercado estable y regulado</t>
  </si>
  <si>
    <t>BAJO</t>
  </si>
  <si>
    <t>Riesgo</t>
  </si>
  <si>
    <t>ALTAMENTE RECOMENDADO</t>
  </si>
  <si>
    <t>ROI de 49% en 26 meses</t>
  </si>
  <si>
    <t>EXCELENTE</t>
  </si>
  <si>
    <t>Rentabilidad</t>
  </si>
  <si>
    <t>Recomendación</t>
  </si>
  <si>
    <t>Justificación</t>
  </si>
  <si>
    <t>Evaluación</t>
  </si>
  <si>
    <t>Aspecto</t>
  </si>
  <si>
    <t>Recuperación total + ganancia</t>
  </si>
  <si>
    <t>Pago completo al inversionista</t>
  </si>
  <si>
    <t>Mes 26</t>
  </si>
  <si>
    <t>Retorno al inversionista</t>
  </si>
  <si>
    <t>Incremento significativo de ingresos</t>
  </si>
  <si>
    <t>Ampliación a más cruces</t>
  </si>
  <si>
    <t>Expansión fase 2</t>
  </si>
  <si>
    <t>Flujos de caja estables</t>
  </si>
  <si>
    <t>Operación a régimen completo</t>
  </si>
  <si>
    <t>Operación estabilizada</t>
  </si>
  <si>
    <t>Inicio de generación de ingresos</t>
  </si>
  <si>
    <t>Primeras infracciones registradas</t>
  </si>
  <si>
    <t>Inicio de operaciones</t>
  </si>
  <si>
    <t>Inversión inicial ejecutada</t>
  </si>
  <si>
    <t>Instalación de postes y software</t>
  </si>
  <si>
    <t>Mes 1-2</t>
  </si>
  <si>
    <t>Instalación inicial</t>
  </si>
  <si>
    <t>Impacto para el inversionista</t>
  </si>
  <si>
    <t>Descripción</t>
  </si>
  <si>
    <t>Hito</t>
  </si>
  <si>
    <t>Sigue siendo rentable</t>
  </si>
  <si>
    <t>Muy baja probabilidad</t>
  </si>
  <si>
    <t>34%</t>
  </si>
  <si>
    <t>Pesimista (-30% rendimiento)</t>
  </si>
  <si>
    <t>Potencial de mayor ganancia</t>
  </si>
  <si>
    <t>Media probabilidad</t>
  </si>
  <si>
    <t>59%</t>
  </si>
  <si>
    <t>Optimista (+20% rendimiento)</t>
  </si>
  <si>
    <t>Escenario más probable</t>
  </si>
  <si>
    <t>Alta probabilidad</t>
  </si>
  <si>
    <t>49%</t>
  </si>
  <si>
    <t>Base (rendimiento esperado)</t>
  </si>
  <si>
    <t>Aún muy atractivo</t>
  </si>
  <si>
    <t>Baja probabilidad</t>
  </si>
  <si>
    <t>39%</t>
  </si>
  <si>
    <t>Conservador (-20% rendimiento)</t>
  </si>
  <si>
    <t>Impacto</t>
  </si>
  <si>
    <t>Probabilidad</t>
  </si>
  <si>
    <t>ROI resultante</t>
  </si>
  <si>
    <t>Escenario</t>
  </si>
  <si>
    <t>Fácilmente superable</t>
  </si>
  <si>
    <t>Punto de equilibrio</t>
  </si>
  <si>
    <t>139 infracciones/día</t>
  </si>
  <si>
    <t>Breakeven operativo</t>
  </si>
  <si>
    <t>Excelente eficiencia operativa</t>
  </si>
  <si>
    <t>Rentabilidad del proyecto</t>
  </si>
  <si>
    <t>70%</t>
  </si>
  <si>
    <t>Margen alto por unidad</t>
  </si>
  <si>
    <t>Precio unitario de cada multa</t>
  </si>
  <si>
    <t>Valor por infracción</t>
  </si>
  <si>
    <t>Ingresos predecibles</t>
  </si>
  <si>
    <t>Volumen diario de multas</t>
  </si>
  <si>
    <t>160 infracciones</t>
  </si>
  <si>
    <t>Infracciones por día</t>
  </si>
  <si>
    <t>Base para escalamiento</t>
  </si>
  <si>
    <t>Puntos de control de tráfico</t>
  </si>
  <si>
    <t>Cruces monitoreados (inicial)</t>
  </si>
  <si>
    <t>Impacto en rentabilidad</t>
  </si>
  <si>
    <t>Significado</t>
  </si>
  <si>
    <t>Métrica operativa</t>
  </si>
  <si>
    <t>Oportunidad exponencial</t>
  </si>
  <si>
    <t>Expansión regional</t>
  </si>
  <si>
    <t>Año 6+: Internacional</t>
  </si>
  <si>
    <t>Escalamiento masivo</t>
  </si>
  <si>
    <t>Cobertura nacional completa</t>
  </si>
  <si>
    <t>28 municipalidades</t>
  </si>
  <si>
    <t>Año 4-5: Sur de Chile</t>
  </si>
  <si>
    <t>A partir del mes 26</t>
  </si>
  <si>
    <t>Expansión nacional</t>
  </si>
  <si>
    <t>18 municipalidades</t>
  </si>
  <si>
    <t>Año 3: Centro de Chile</t>
  </si>
  <si>
    <t>Primeros 24 meses</t>
  </si>
  <si>
    <t>Validación del modelo</t>
  </si>
  <si>
    <t>15 municipalidades</t>
  </si>
  <si>
    <t>Año 1-2: Norte de Chile</t>
  </si>
  <si>
    <t>Timeline</t>
  </si>
  <si>
    <t>Potencial de ingresos</t>
  </si>
  <si>
    <t>Mercado objetivo</t>
  </si>
  <si>
    <t>Fase de expansión</t>
  </si>
  <si>
    <t>FLUJOS ESTABLES</t>
  </si>
  <si>
    <t>Ingresos predecibles por multas</t>
  </si>
  <si>
    <t>BAJO riesgo</t>
  </si>
  <si>
    <t>Flujo de caja</t>
  </si>
  <si>
    <t>VENTAJA COMPETITIVA</t>
  </si>
  <si>
    <t>MEDIO riesgo</t>
  </si>
  <si>
    <t>Competencia</t>
  </si>
  <si>
    <t>MARCO LEGAL CLARO</t>
  </si>
  <si>
    <t>Regulación</t>
  </si>
  <si>
    <t>TECNOLOGÍA MADURA</t>
  </si>
  <si>
    <t>Postes inteligentes ya probados</t>
  </si>
  <si>
    <t>Tecnología</t>
  </si>
  <si>
    <t>MUY SEGURO</t>
  </si>
  <si>
    <t>Infracciones de tránsito siempre existirán</t>
  </si>
  <si>
    <t>Nivel de seguridad</t>
  </si>
  <si>
    <t>Mitigación</t>
  </si>
  <si>
    <t>Factor de riesgo</t>
  </si>
  <si>
    <t>+10.1% superior</t>
  </si>
  <si>
    <t>20.1% anual</t>
  </si>
  <si>
    <t>10% anual</t>
  </si>
  <si>
    <t>Acciones promedio mercado</t>
  </si>
  <si>
    <t>+16.1% superior</t>
  </si>
  <si>
    <t>4% anual</t>
  </si>
  <si>
    <t>Bonos del gobierno</t>
  </si>
  <si>
    <t>+15.1% superior</t>
  </si>
  <si>
    <t>5% anual</t>
  </si>
  <si>
    <t>Bienes raíces</t>
  </si>
  <si>
    <t>+12.1% superior</t>
  </si>
  <si>
    <t>8% anual</t>
  </si>
  <si>
    <t>Fondo mutual conservador</t>
  </si>
  <si>
    <t>+17.1% superior</t>
  </si>
  <si>
    <t>3% anual</t>
  </si>
  <si>
    <t>Depósito bancario</t>
  </si>
  <si>
    <t>Ventaja</t>
  </si>
  <si>
    <t>Nuestro rendimiento</t>
  </si>
  <si>
    <t>Rendimiento típico</t>
  </si>
  <si>
    <t>Alternativa de inversión</t>
  </si>
  <si>
    <t>Más de 38 millones mensuales</t>
  </si>
  <si>
    <t>Ganancia implícita por mes</t>
  </si>
  <si>
    <t>$ 38,461,538</t>
  </si>
  <si>
    <t>Ganancia mensual promedio</t>
  </si>
  <si>
    <t>Casi 1.5 veces su inversión inicial</t>
  </si>
  <si>
    <t>Cuántas veces recupera su dinero</t>
  </si>
  <si>
    <t>1.49x</t>
  </si>
  <si>
    <t>6.7x mejor que depósito bancario</t>
  </si>
  <si>
    <t>Rentabilidad anualizada</t>
  </si>
  <si>
    <t>20.1%</t>
  </si>
  <si>
    <t>Excelente para cualquier inversión</t>
  </si>
  <si>
    <t>Rentabilidad total de la inversión</t>
  </si>
  <si>
    <t>ROI (Return on Investment)</t>
  </si>
  <si>
    <t>Utilidad real del inversionista</t>
  </si>
  <si>
    <t>$ 1,000,000,000</t>
  </si>
  <si>
    <t>Comparación con el mercado</t>
  </si>
  <si>
    <t>Explicación</t>
  </si>
  <si>
    <t>Incluye capital + ganancia</t>
  </si>
  <si>
    <t>Monto total que recibe el inversionista</t>
  </si>
  <si>
    <t>$ 3,053,200,000</t>
  </si>
  <si>
    <t>Pago único, sin riesgo de flujos</t>
  </si>
  <si>
    <t>Cuándo recibe el pago completo</t>
  </si>
  <si>
    <t>Mes 26 (Año 3)</t>
  </si>
  <si>
    <t>Fecha de retorno</t>
  </si>
  <si>
    <t>Recuperación en poco más de 2 años</t>
  </si>
  <si>
    <t>Duración total hasta recibir retorno</t>
  </si>
  <si>
    <t>26 meses</t>
  </si>
  <si>
    <t>Tiempo de inversión</t>
  </si>
  <si>
    <t>Monto único al inicio</t>
  </si>
  <si>
    <t>Inversión inicial total del inversionista</t>
  </si>
  <si>
    <t>$ 2,053,200,000</t>
  </si>
  <si>
    <t>Capital requerido</t>
  </si>
  <si>
    <t>Beneficio</t>
  </si>
  <si>
    <t>ANÁLISIS DE INVERSIÓN - PROYECTO CRUCES AI</t>
  </si>
  <si>
    <t>RESUMEN EJECUTIVO PARA INVERSIONISTA</t>
  </si>
  <si>
    <t>1) DATOS BÁSICOS DE LA INVERSIÓN</t>
  </si>
  <si>
    <t>2) RENTABILIDAD DE LA INVERSIÓN</t>
  </si>
  <si>
    <t>3) COMPARACIÓN CON OTRAS INVERSIONES</t>
  </si>
  <si>
    <t>4) ANÁLISIS DE RIESGO Y SEGURIDAD</t>
  </si>
  <si>
    <t>5) POTENCIAL DE CRECIMIENTO Y ESCALABILIDAD</t>
  </si>
  <si>
    <t>6) MÉTRICAS OPERATIVAS DEL PROYECTO</t>
  </si>
  <si>
    <t>7) ANÁLISIS DE SENSIBILIDAD</t>
  </si>
  <si>
    <t>8) CRONOGRAMA DE HITOS CLAVE</t>
  </si>
  <si>
    <t>9) CONCLUSIÓN EJECUTIVA</t>
  </si>
  <si>
    <t>Ganancia de $1.000.0000.0000 de pesos (mil millones)</t>
  </si>
  <si>
    <t>Primer actor en el mercado + Acceso Privado</t>
  </si>
  <si>
    <t>Respaldo de municipalidades + Acceso Libre</t>
  </si>
  <si>
    <t>3 países objetivo (Perú-Colombia-México)</t>
  </si>
  <si>
    <t>20 cruces (inicio controlado)</t>
  </si>
  <si>
    <t>$ 100,900 (monto fijado por el estado)</t>
  </si>
  <si>
    <t>Ganancia Inversionista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</si>
</sst>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4" formatCode="_-&quot;$&quot;* #,##0.00_-;\-&quot;$&quot;* #,##0.00_-;_-&quot;$&quot;* &quot;-&quot;??_-;_-@_-"/>
    <numFmt numFmtId="43" formatCode="_-* #,##0.00_-;\-* #,##0.00_-;_-* &quot;-&quot;??_-;_-@_-"/>
    <numFmt numFmtId="164" formatCode="&quot;$&quot;#,##0"/>
    <numFmt numFmtId="165" formatCode="&quot;$&quot;#,##0.00"/>
    <numFmt numFmtId="166" formatCode="_-* #,##0_-;\-* #,##0_-;_-* &quot;-&quot;??_-;_-@_-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 tint="-0.14999847407452621"/>
      <name val="Calibri"/>
      <family val="2"/>
      <scheme val="minor"/>
    </font>
    <font>
      <b/>
      <sz val="11"/>
      <color theme="8" tint="-0.249977111117893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D8E4BC"/>
        <bgColor rgb="FF000000"/>
      </patternFill>
    </fill>
    <fill>
      <patternFill patternType="solid">
        <fgColor theme="8" tint="0.79998168889431442"/>
        <bgColor indexed="64"/>
      </patternFill>
    </fill>
  </fills>
  <borders count="14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/>
      <bottom/>
      <diagonal/>
    </border>
    <border>
      <left style="medium">
        <color theme="1"/>
      </left>
      <right style="thin">
        <color theme="1"/>
      </right>
      <top style="medium">
        <color theme="1"/>
      </top>
      <bottom style="thin">
        <color theme="1"/>
      </bottom>
      <diagonal/>
    </border>
    <border>
      <left style="thin">
        <color theme="1"/>
      </left>
      <right style="medium">
        <color theme="1"/>
      </right>
      <top style="medium">
        <color theme="1"/>
      </top>
      <bottom style="thin">
        <color theme="1"/>
      </bottom>
      <diagonal/>
    </border>
    <border>
      <left style="medium">
        <color theme="1"/>
      </left>
      <right style="thin">
        <color theme="1"/>
      </right>
      <top style="thin">
        <color theme="1"/>
      </top>
      <bottom style="medium">
        <color theme="1"/>
      </bottom>
      <diagonal/>
    </border>
    <border>
      <left style="thin">
        <color theme="1"/>
      </left>
      <right style="medium">
        <color theme="1"/>
      </right>
      <top style="thin">
        <color theme="1"/>
      </top>
      <bottom style="medium">
        <color theme="1"/>
      </bottom>
      <diagonal/>
    </border>
    <border>
      <left/>
      <right/>
      <top style="medium">
        <color theme="1"/>
      </top>
      <bottom/>
      <diagonal/>
    </border>
    <border>
      <left/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/>
      <top/>
      <bottom/>
      <diagonal/>
    </border>
    <border>
      <left/>
      <right style="medium">
        <color theme="1"/>
      </right>
      <top/>
      <bottom/>
      <diagonal/>
    </border>
    <border>
      <left style="medium">
        <color theme="1"/>
      </left>
      <right/>
      <top/>
      <bottom style="medium">
        <color theme="1"/>
      </bottom>
      <diagonal/>
    </border>
    <border>
      <left/>
      <right/>
      <top/>
      <bottom style="medium">
        <color theme="1"/>
      </bottom>
      <diagonal/>
    </border>
    <border>
      <left/>
      <right style="medium">
        <color theme="1"/>
      </right>
      <top/>
      <bottom style="medium">
        <color theme="1"/>
      </bottom>
      <diagonal/>
    </border>
    <border>
      <left style="thin">
        <color theme="0"/>
      </left>
      <right/>
      <top/>
      <bottom/>
      <diagonal/>
    </border>
    <border>
      <left style="thin">
        <color theme="0"/>
      </left>
      <right/>
      <top/>
      <bottom style="medium">
        <color theme="1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medium">
        <color theme="1"/>
      </left>
      <right/>
      <top style="medium">
        <color theme="1"/>
      </top>
      <bottom style="medium">
        <color theme="1"/>
      </bottom>
      <diagonal/>
    </border>
    <border>
      <left style="thin">
        <color indexed="64"/>
      </left>
      <right/>
      <top style="medium">
        <color theme="1"/>
      </top>
      <bottom style="medium">
        <color theme="1"/>
      </bottom>
      <diagonal/>
    </border>
    <border>
      <left/>
      <right/>
      <top style="medium">
        <color theme="1"/>
      </top>
      <bottom style="medium">
        <color theme="1"/>
      </bottom>
      <diagonal/>
    </border>
    <border>
      <left/>
      <right style="medium">
        <color theme="1"/>
      </right>
      <top style="medium">
        <color theme="1"/>
      </top>
      <bottom style="medium">
        <color theme="1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medium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 style="thin">
        <color indexed="64"/>
      </right>
      <top style="medium">
        <color theme="1"/>
      </top>
      <bottom style="medium">
        <color indexed="64"/>
      </bottom>
      <diagonal/>
    </border>
    <border>
      <left style="medium">
        <color theme="1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theme="1"/>
      </left>
      <right style="thin">
        <color indexed="64"/>
      </right>
      <top style="medium">
        <color theme="1"/>
      </top>
      <bottom style="thin">
        <color indexed="64"/>
      </bottom>
      <diagonal/>
    </border>
    <border>
      <left style="thin">
        <color indexed="64"/>
      </left>
      <right style="medium">
        <color theme="1"/>
      </right>
      <top style="medium">
        <color theme="1"/>
      </top>
      <bottom style="thin">
        <color indexed="64"/>
      </bottom>
      <diagonal/>
    </border>
    <border>
      <left style="medium">
        <color theme="1"/>
      </left>
      <right style="thin">
        <color indexed="64"/>
      </right>
      <top style="thin">
        <color indexed="64"/>
      </top>
      <bottom style="medium">
        <color theme="1"/>
      </bottom>
      <diagonal/>
    </border>
    <border>
      <left style="medium">
        <color theme="1"/>
      </left>
      <right style="thin">
        <color indexed="64"/>
      </right>
      <top style="medium">
        <color theme="1"/>
      </top>
      <bottom style="medium">
        <color theme="1"/>
      </bottom>
      <diagonal/>
    </border>
    <border>
      <left style="thin">
        <color indexed="64"/>
      </left>
      <right style="thin">
        <color indexed="64"/>
      </right>
      <top style="medium">
        <color theme="1"/>
      </top>
      <bottom style="medium">
        <color theme="1"/>
      </bottom>
      <diagonal/>
    </border>
    <border>
      <left style="thin">
        <color indexed="64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/>
      <right style="thin">
        <color theme="0"/>
      </right>
      <top style="medium">
        <color theme="1"/>
      </top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/>
      <bottom/>
      <diagonal/>
    </border>
    <border>
      <left style="thin">
        <color theme="0" tint="-0.14999847407452621"/>
      </left>
      <right/>
      <top/>
      <bottom/>
      <diagonal/>
    </border>
    <border>
      <left/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1"/>
      </bottom>
      <diagonal/>
    </border>
    <border>
      <left/>
      <right style="thin">
        <color theme="0" tint="-0.14999847407452621"/>
      </right>
      <top style="thin">
        <color theme="0" tint="-0.14999847407452621"/>
      </top>
      <bottom/>
      <diagonal/>
    </border>
    <border>
      <left style="thin">
        <color theme="1"/>
      </left>
      <right/>
      <top style="medium">
        <color theme="1"/>
      </top>
      <bottom style="medium">
        <color theme="1"/>
      </bottom>
      <diagonal/>
    </border>
    <border>
      <left style="thin">
        <color theme="1"/>
      </left>
      <right/>
      <top/>
      <bottom style="thin">
        <color theme="1"/>
      </bottom>
      <diagonal/>
    </border>
    <border>
      <left style="thin">
        <color indexed="64"/>
      </left>
      <right style="thin">
        <color theme="1"/>
      </right>
      <top style="thin">
        <color theme="1"/>
      </top>
      <bottom style="thin">
        <color indexed="64"/>
      </bottom>
      <diagonal/>
    </border>
    <border>
      <left style="thin">
        <color indexed="64"/>
      </left>
      <right style="thin">
        <color theme="1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theme="1"/>
      </right>
      <top style="thin">
        <color indexed="64"/>
      </top>
      <bottom style="thin">
        <color theme="1"/>
      </bottom>
      <diagonal/>
    </border>
    <border>
      <left/>
      <right style="thin">
        <color theme="0"/>
      </right>
      <top/>
      <bottom/>
      <diagonal/>
    </border>
    <border>
      <left style="medium">
        <color theme="1"/>
      </left>
      <right style="thin">
        <color theme="1"/>
      </right>
      <top style="medium">
        <color theme="1"/>
      </top>
      <bottom style="medium">
        <color theme="1"/>
      </bottom>
      <diagonal/>
    </border>
    <border>
      <left style="thin">
        <color theme="1"/>
      </left>
      <right style="thin">
        <color theme="1"/>
      </right>
      <top style="medium">
        <color theme="1"/>
      </top>
      <bottom style="medium">
        <color theme="1"/>
      </bottom>
      <diagonal/>
    </border>
    <border>
      <left style="thin">
        <color theme="1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/>
      <right style="medium">
        <color theme="0"/>
      </right>
      <top/>
      <bottom/>
      <diagonal/>
    </border>
    <border>
      <left style="medium">
        <color theme="1"/>
      </left>
      <right style="thin">
        <color indexed="64"/>
      </right>
      <top style="thin">
        <color theme="1"/>
      </top>
      <bottom style="thin">
        <color indexed="64"/>
      </bottom>
      <diagonal/>
    </border>
    <border>
      <left style="medium">
        <color theme="1"/>
      </left>
      <right style="thin">
        <color indexed="64"/>
      </right>
      <top style="thin">
        <color indexed="64"/>
      </top>
      <bottom style="thin">
        <color theme="1"/>
      </bottom>
      <diagonal/>
    </border>
    <border>
      <left style="thin">
        <color indexed="64"/>
      </left>
      <right/>
      <top style="medium">
        <color theme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theme="1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theme="1"/>
      </bottom>
      <diagonal/>
    </border>
    <border>
      <left style="thin">
        <color indexed="64"/>
      </left>
      <right style="thin">
        <color indexed="64"/>
      </right>
      <top/>
      <bottom style="medium">
        <color theme="1"/>
      </bottom>
      <diagonal/>
    </border>
    <border>
      <left style="thin">
        <color theme="1"/>
      </left>
      <right style="thin">
        <color theme="1"/>
      </right>
      <top style="medium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medium">
        <color theme="1"/>
      </bottom>
      <diagonal/>
    </border>
    <border>
      <left/>
      <right style="thin">
        <color indexed="64"/>
      </right>
      <top style="medium">
        <color theme="1"/>
      </top>
      <bottom style="thin">
        <color indexed="64"/>
      </bottom>
      <diagonal/>
    </border>
    <border>
      <left style="thin">
        <color theme="0"/>
      </left>
      <right/>
      <top style="medium">
        <color theme="1"/>
      </top>
      <bottom style="medium">
        <color theme="1"/>
      </bottom>
      <diagonal/>
    </border>
    <border>
      <left/>
      <right style="thin">
        <color theme="0"/>
      </right>
      <top style="medium">
        <color theme="1"/>
      </top>
      <bottom style="medium">
        <color theme="1"/>
      </bottom>
      <diagonal/>
    </border>
    <border>
      <left style="thin">
        <color indexed="64"/>
      </left>
      <right style="medium">
        <color theme="1"/>
      </right>
      <top style="medium">
        <color theme="1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theme="1"/>
      </right>
      <top style="medium">
        <color indexed="64"/>
      </top>
      <bottom style="thin">
        <color theme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theme="0"/>
      </right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theme="1"/>
      </left>
      <right/>
      <top style="medium">
        <color indexed="64"/>
      </top>
      <bottom style="medium">
        <color indexed="64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 style="medium">
        <color indexed="64"/>
      </left>
      <right/>
      <top style="medium">
        <color indexed="64"/>
      </top>
      <bottom style="thin">
        <color theme="1"/>
      </bottom>
      <diagonal/>
    </border>
    <border>
      <left style="medium">
        <color indexed="64"/>
      </left>
      <right/>
      <top style="thin">
        <color theme="1"/>
      </top>
      <bottom style="thin">
        <color theme="1"/>
      </bottom>
      <diagonal/>
    </border>
    <border>
      <left style="medium">
        <color indexed="64"/>
      </left>
      <right/>
      <top style="thin">
        <color theme="1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medium">
        <color indexed="64"/>
      </left>
      <right style="thin">
        <color theme="1"/>
      </right>
      <top style="thin">
        <color theme="1"/>
      </top>
      <bottom style="medium">
        <color indexed="64"/>
      </bottom>
      <diagonal/>
    </border>
    <border>
      <left style="thin">
        <color theme="1"/>
      </left>
      <right/>
      <top style="medium">
        <color indexed="64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theme="0" tint="-0.14999847407452621"/>
      </left>
      <right style="thin">
        <color theme="0" tint="-0.14999847407452621"/>
      </right>
      <top/>
      <bottom style="thin">
        <color theme="0" tint="-0.14999847407452621"/>
      </bottom>
      <diagonal/>
    </border>
    <border>
      <left style="medium">
        <color indexed="64"/>
      </left>
      <right style="thin">
        <color theme="1"/>
      </right>
      <top style="medium">
        <color indexed="64"/>
      </top>
      <bottom style="medium">
        <color indexed="64"/>
      </bottom>
      <diagonal/>
    </border>
    <border>
      <left style="thin">
        <color theme="1"/>
      </left>
      <right style="thin">
        <color theme="1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theme="0" tint="-0.14999847407452621"/>
      </right>
      <top/>
      <bottom style="thin">
        <color theme="0" tint="-0.1499984740745262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 style="thin">
        <color indexed="64"/>
      </left>
      <right style="medium">
        <color rgb="FF00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rgb="FF000000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rgb="FF000000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medium">
        <color indexed="64"/>
      </top>
      <bottom/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medium">
        <color theme="0"/>
      </left>
      <right style="medium">
        <color theme="0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43" fontId="4" fillId="0" borderId="0"/>
    <xf numFmtId="44" fontId="4" fillId="0" borderId="0"/>
    <xf numFmtId="9" fontId="4" fillId="0" borderId="0"/>
  </cellStyleXfs>
  <cellXfs count="425">
    <xf numFmtId="0" fontId="0" fillId="0" borderId="0" xfId="0"/>
    <xf numFmtId="164" fontId="0" fillId="0" borderId="0" xfId="0" applyNumberFormat="1"/>
    <xf numFmtId="0" fontId="0" fillId="0" borderId="0" xfId="0" applyAlignment="1">
      <alignment horizontal="center"/>
    </xf>
    <xf numFmtId="0" fontId="1" fillId="0" borderId="0" xfId="0" applyFont="1"/>
    <xf numFmtId="164" fontId="0" fillId="0" borderId="1" xfId="0" applyNumberFormat="1" applyBorder="1" applyAlignment="1">
      <alignment horizontal="center"/>
    </xf>
    <xf numFmtId="164" fontId="0" fillId="2" borderId="1" xfId="0" applyNumberFormat="1" applyFill="1" applyBorder="1" applyAlignment="1">
      <alignment horizontal="center"/>
    </xf>
    <xf numFmtId="0" fontId="0" fillId="0" borderId="1" xfId="0" applyBorder="1"/>
    <xf numFmtId="164" fontId="0" fillId="2" borderId="1" xfId="0" applyNumberFormat="1" applyFill="1" applyBorder="1" applyAlignment="1">
      <alignment horizontal="center" vertical="center"/>
    </xf>
    <xf numFmtId="0" fontId="0" fillId="0" borderId="3" xfId="0" applyBorder="1"/>
    <xf numFmtId="0" fontId="0" fillId="0" borderId="5" xfId="0" applyBorder="1"/>
    <xf numFmtId="164" fontId="0" fillId="2" borderId="9" xfId="0" applyNumberFormat="1" applyFill="1" applyBorder="1" applyAlignment="1">
      <alignment horizontal="center"/>
    </xf>
    <xf numFmtId="164" fontId="0" fillId="2" borderId="10" xfId="0" applyNumberFormat="1" applyFill="1" applyBorder="1" applyAlignment="1">
      <alignment horizontal="center"/>
    </xf>
    <xf numFmtId="0" fontId="1" fillId="3" borderId="15" xfId="0" applyFont="1" applyFill="1" applyBorder="1"/>
    <xf numFmtId="0" fontId="0" fillId="0" borderId="2" xfId="0" applyBorder="1"/>
    <xf numFmtId="0" fontId="1" fillId="3" borderId="19" xfId="0" applyFont="1" applyFill="1" applyBorder="1" applyAlignment="1">
      <alignment horizontal="center"/>
    </xf>
    <xf numFmtId="0" fontId="1" fillId="3" borderId="16" xfId="0" applyFont="1" applyFill="1" applyBorder="1" applyAlignment="1">
      <alignment horizontal="center"/>
    </xf>
    <xf numFmtId="164" fontId="1" fillId="3" borderId="19" xfId="0" applyNumberFormat="1" applyFont="1" applyFill="1" applyBorder="1" applyAlignment="1">
      <alignment horizontal="center"/>
    </xf>
    <xf numFmtId="164" fontId="1" fillId="3" borderId="16" xfId="0" applyNumberFormat="1" applyFont="1" applyFill="1" applyBorder="1" applyAlignment="1">
      <alignment horizontal="center"/>
    </xf>
    <xf numFmtId="0" fontId="1" fillId="3" borderId="15" xfId="0" applyFont="1" applyFill="1" applyBorder="1" applyAlignment="1">
      <alignment horizontal="center"/>
    </xf>
    <xf numFmtId="165" fontId="0" fillId="0" borderId="0" xfId="0" applyNumberFormat="1"/>
    <xf numFmtId="0" fontId="0" fillId="0" borderId="8" xfId="0" applyBorder="1"/>
    <xf numFmtId="0" fontId="1" fillId="0" borderId="4" xfId="0" applyFont="1" applyBorder="1"/>
    <xf numFmtId="1" fontId="1" fillId="3" borderId="19" xfId="0" applyNumberFormat="1" applyFont="1" applyFill="1" applyBorder="1" applyAlignment="1">
      <alignment horizontal="center"/>
    </xf>
    <xf numFmtId="0" fontId="1" fillId="3" borderId="39" xfId="0" applyFont="1" applyFill="1" applyBorder="1"/>
    <xf numFmtId="0" fontId="1" fillId="3" borderId="40" xfId="0" applyFont="1" applyFill="1" applyBorder="1" applyAlignment="1">
      <alignment horizontal="center"/>
    </xf>
    <xf numFmtId="0" fontId="1" fillId="3" borderId="39" xfId="0" applyFont="1" applyFill="1" applyBorder="1" applyAlignment="1">
      <alignment horizontal="center"/>
    </xf>
    <xf numFmtId="0" fontId="0" fillId="0" borderId="36" xfId="0" applyBorder="1"/>
    <xf numFmtId="0" fontId="0" fillId="0" borderId="48" xfId="0" applyBorder="1"/>
    <xf numFmtId="164" fontId="1" fillId="3" borderId="53" xfId="0" applyNumberFormat="1" applyFont="1" applyFill="1" applyBorder="1"/>
    <xf numFmtId="0" fontId="0" fillId="0" borderId="43" xfId="0" applyBorder="1"/>
    <xf numFmtId="0" fontId="0" fillId="0" borderId="56" xfId="0" applyBorder="1"/>
    <xf numFmtId="0" fontId="0" fillId="0" borderId="58" xfId="0" applyBorder="1"/>
    <xf numFmtId="0" fontId="2" fillId="0" borderId="57" xfId="0" applyFont="1" applyBorder="1"/>
    <xf numFmtId="0" fontId="0" fillId="0" borderId="44" xfId="0" applyBorder="1"/>
    <xf numFmtId="0" fontId="0" fillId="3" borderId="41" xfId="0" applyFill="1" applyBorder="1"/>
    <xf numFmtId="0" fontId="0" fillId="0" borderId="59" xfId="0" applyBorder="1"/>
    <xf numFmtId="0" fontId="0" fillId="0" borderId="61" xfId="0" applyBorder="1"/>
    <xf numFmtId="0" fontId="0" fillId="0" borderId="24" xfId="0" applyBorder="1"/>
    <xf numFmtId="0" fontId="0" fillId="0" borderId="63" xfId="0" applyBorder="1"/>
    <xf numFmtId="0" fontId="0" fillId="0" borderId="60" xfId="0" applyBorder="1"/>
    <xf numFmtId="164" fontId="0" fillId="0" borderId="64" xfId="0" applyNumberFormat="1" applyBorder="1"/>
    <xf numFmtId="164" fontId="0" fillId="0" borderId="65" xfId="0" applyNumberFormat="1" applyBorder="1"/>
    <xf numFmtId="164" fontId="0" fillId="0" borderId="66" xfId="0" applyNumberFormat="1" applyBorder="1"/>
    <xf numFmtId="0" fontId="1" fillId="3" borderId="68" xfId="0" applyFont="1" applyFill="1" applyBorder="1"/>
    <xf numFmtId="164" fontId="1" fillId="3" borderId="69" xfId="0" applyNumberFormat="1" applyFont="1" applyFill="1" applyBorder="1"/>
    <xf numFmtId="164" fontId="1" fillId="3" borderId="69" xfId="0" applyNumberFormat="1" applyFont="1" applyFill="1" applyBorder="1" applyAlignment="1">
      <alignment horizontal="center"/>
    </xf>
    <xf numFmtId="164" fontId="1" fillId="3" borderId="70" xfId="0" applyNumberFormat="1" applyFont="1" applyFill="1" applyBorder="1" applyAlignment="1">
      <alignment horizontal="center"/>
    </xf>
    <xf numFmtId="164" fontId="1" fillId="0" borderId="36" xfId="0" applyNumberFormat="1" applyFont="1" applyBorder="1"/>
    <xf numFmtId="164" fontId="1" fillId="0" borderId="43" xfId="0" applyNumberFormat="1" applyFont="1" applyBorder="1"/>
    <xf numFmtId="164" fontId="1" fillId="0" borderId="0" xfId="0" applyNumberFormat="1" applyFont="1"/>
    <xf numFmtId="164" fontId="1" fillId="0" borderId="0" xfId="0" applyNumberFormat="1" applyFont="1" applyAlignment="1">
      <alignment horizontal="center"/>
    </xf>
    <xf numFmtId="0" fontId="1" fillId="0" borderId="31" xfId="0" applyFont="1" applyBorder="1"/>
    <xf numFmtId="0" fontId="0" fillId="0" borderId="32" xfId="0" applyBorder="1"/>
    <xf numFmtId="0" fontId="0" fillId="0" borderId="72" xfId="0" applyBorder="1"/>
    <xf numFmtId="0" fontId="0" fillId="0" borderId="73" xfId="0" applyBorder="1"/>
    <xf numFmtId="164" fontId="0" fillId="2" borderId="75" xfId="0" applyNumberFormat="1" applyFill="1" applyBorder="1" applyAlignment="1">
      <alignment horizontal="center"/>
    </xf>
    <xf numFmtId="164" fontId="0" fillId="2" borderId="75" xfId="0" applyNumberFormat="1" applyFill="1" applyBorder="1" applyAlignment="1">
      <alignment horizontal="center" vertical="center"/>
    </xf>
    <xf numFmtId="164" fontId="0" fillId="2" borderId="50" xfId="0" applyNumberFormat="1" applyFill="1" applyBorder="1" applyAlignment="1">
      <alignment horizontal="center"/>
    </xf>
    <xf numFmtId="164" fontId="0" fillId="2" borderId="77" xfId="0" applyNumberFormat="1" applyFill="1" applyBorder="1" applyAlignment="1">
      <alignment horizontal="center"/>
    </xf>
    <xf numFmtId="164" fontId="0" fillId="2" borderId="77" xfId="0" applyNumberFormat="1" applyFill="1" applyBorder="1" applyAlignment="1">
      <alignment horizontal="center" vertical="center"/>
    </xf>
    <xf numFmtId="164" fontId="0" fillId="2" borderId="23" xfId="0" applyNumberFormat="1" applyFill="1" applyBorder="1" applyAlignment="1">
      <alignment horizontal="center"/>
    </xf>
    <xf numFmtId="164" fontId="0" fillId="2" borderId="23" xfId="0" applyNumberFormat="1" applyFill="1" applyBorder="1" applyAlignment="1">
      <alignment horizontal="center" vertical="center"/>
    </xf>
    <xf numFmtId="164" fontId="0" fillId="2" borderId="79" xfId="0" applyNumberFormat="1" applyFill="1" applyBorder="1" applyAlignment="1">
      <alignment horizontal="center"/>
    </xf>
    <xf numFmtId="164" fontId="0" fillId="2" borderId="79" xfId="0" applyNumberFormat="1" applyFill="1" applyBorder="1" applyAlignment="1">
      <alignment horizontal="center" vertical="center"/>
    </xf>
    <xf numFmtId="164" fontId="0" fillId="2" borderId="26" xfId="0" applyNumberFormat="1" applyFill="1" applyBorder="1" applyAlignment="1">
      <alignment horizontal="center"/>
    </xf>
    <xf numFmtId="164" fontId="0" fillId="2" borderId="80" xfId="0" applyNumberFormat="1" applyFill="1" applyBorder="1" applyAlignment="1">
      <alignment horizontal="center"/>
    </xf>
    <xf numFmtId="164" fontId="0" fillId="2" borderId="80" xfId="0" applyNumberFormat="1" applyFill="1" applyBorder="1" applyAlignment="1">
      <alignment horizontal="center" vertical="center"/>
    </xf>
    <xf numFmtId="0" fontId="0" fillId="4" borderId="25" xfId="0" applyFill="1" applyBorder="1" applyAlignment="1">
      <alignment horizontal="left"/>
    </xf>
    <xf numFmtId="164" fontId="0" fillId="4" borderId="26" xfId="0" applyNumberFormat="1" applyFill="1" applyBorder="1" applyAlignment="1">
      <alignment horizontal="center"/>
    </xf>
    <xf numFmtId="0" fontId="0" fillId="4" borderId="27" xfId="0" applyFill="1" applyBorder="1" applyAlignment="1">
      <alignment horizontal="left"/>
    </xf>
    <xf numFmtId="164" fontId="0" fillId="4" borderId="28" xfId="0" applyNumberFormat="1" applyFill="1" applyBorder="1" applyAlignment="1">
      <alignment horizontal="center"/>
    </xf>
    <xf numFmtId="0" fontId="0" fillId="4" borderId="45" xfId="0" applyFill="1" applyBorder="1" applyAlignment="1">
      <alignment horizontal="left"/>
    </xf>
    <xf numFmtId="164" fontId="0" fillId="4" borderId="46" xfId="0" applyNumberFormat="1" applyFill="1" applyBorder="1" applyAlignment="1">
      <alignment horizontal="center"/>
    </xf>
    <xf numFmtId="164" fontId="1" fillId="4" borderId="54" xfId="0" applyNumberFormat="1" applyFont="1" applyFill="1" applyBorder="1" applyAlignment="1">
      <alignment horizontal="center"/>
    </xf>
    <xf numFmtId="0" fontId="1" fillId="4" borderId="52" xfId="0" applyFont="1" applyFill="1" applyBorder="1" applyAlignment="1">
      <alignment horizontal="left"/>
    </xf>
    <xf numFmtId="0" fontId="1" fillId="3" borderId="52" xfId="0" applyFont="1" applyFill="1" applyBorder="1" applyAlignment="1">
      <alignment horizontal="center"/>
    </xf>
    <xf numFmtId="0" fontId="1" fillId="3" borderId="53" xfId="0" applyFont="1" applyFill="1" applyBorder="1" applyAlignment="1">
      <alignment horizontal="center"/>
    </xf>
    <xf numFmtId="0" fontId="1" fillId="3" borderId="54" xfId="0" applyFont="1" applyFill="1" applyBorder="1" applyAlignment="1">
      <alignment horizontal="center"/>
    </xf>
    <xf numFmtId="0" fontId="1" fillId="3" borderId="41" xfId="0" applyFont="1" applyFill="1" applyBorder="1"/>
    <xf numFmtId="0" fontId="0" fillId="5" borderId="25" xfId="0" applyFill="1" applyBorder="1" applyAlignment="1">
      <alignment horizontal="left"/>
    </xf>
    <xf numFmtId="0" fontId="0" fillId="5" borderId="45" xfId="0" applyFill="1" applyBorder="1" applyAlignment="1">
      <alignment horizontal="left"/>
    </xf>
    <xf numFmtId="0" fontId="0" fillId="5" borderId="27" xfId="0" applyFill="1" applyBorder="1" applyAlignment="1">
      <alignment horizontal="left"/>
    </xf>
    <xf numFmtId="164" fontId="0" fillId="5" borderId="79" xfId="0" applyNumberFormat="1" applyFill="1" applyBorder="1" applyAlignment="1">
      <alignment horizontal="center"/>
    </xf>
    <xf numFmtId="164" fontId="0" fillId="5" borderId="23" xfId="0" applyNumberFormat="1" applyFill="1" applyBorder="1" applyAlignment="1">
      <alignment horizontal="center"/>
    </xf>
    <xf numFmtId="164" fontId="0" fillId="5" borderId="80" xfId="0" applyNumberFormat="1" applyFill="1" applyBorder="1" applyAlignment="1">
      <alignment horizontal="center"/>
    </xf>
    <xf numFmtId="0" fontId="0" fillId="5" borderId="49" xfId="0" applyFill="1" applyBorder="1" applyAlignment="1">
      <alignment horizontal="left"/>
    </xf>
    <xf numFmtId="164" fontId="0" fillId="5" borderId="75" xfId="0" applyNumberFormat="1" applyFill="1" applyBorder="1" applyAlignment="1">
      <alignment horizontal="center"/>
    </xf>
    <xf numFmtId="0" fontId="0" fillId="5" borderId="48" xfId="0" applyFill="1" applyBorder="1" applyAlignment="1">
      <alignment horizontal="left"/>
    </xf>
    <xf numFmtId="164" fontId="0" fillId="5" borderId="1" xfId="0" applyNumberFormat="1" applyFill="1" applyBorder="1" applyAlignment="1">
      <alignment horizontal="center"/>
    </xf>
    <xf numFmtId="0" fontId="0" fillId="5" borderId="51" xfId="0" applyFill="1" applyBorder="1" applyAlignment="1">
      <alignment horizontal="left"/>
    </xf>
    <xf numFmtId="164" fontId="0" fillId="5" borderId="77" xfId="0" applyNumberFormat="1" applyFill="1" applyBorder="1" applyAlignment="1">
      <alignment horizontal="center"/>
    </xf>
    <xf numFmtId="164" fontId="0" fillId="4" borderId="74" xfId="0" applyNumberFormat="1" applyFill="1" applyBorder="1" applyAlignment="1">
      <alignment horizontal="center" vertical="center"/>
    </xf>
    <xf numFmtId="164" fontId="0" fillId="4" borderId="6" xfId="0" applyNumberFormat="1" applyFill="1" applyBorder="1" applyAlignment="1">
      <alignment horizontal="center" vertical="center"/>
    </xf>
    <xf numFmtId="164" fontId="0" fillId="4" borderId="76" xfId="0" applyNumberFormat="1" applyFill="1" applyBorder="1" applyAlignment="1">
      <alignment horizontal="center" vertical="center"/>
    </xf>
    <xf numFmtId="164" fontId="0" fillId="4" borderId="79" xfId="0" applyNumberFormat="1" applyFill="1" applyBorder="1" applyAlignment="1">
      <alignment horizontal="center" vertical="center"/>
    </xf>
    <xf numFmtId="164" fontId="0" fillId="4" borderId="23" xfId="0" applyNumberFormat="1" applyFill="1" applyBorder="1" applyAlignment="1">
      <alignment horizontal="center" vertical="center"/>
    </xf>
    <xf numFmtId="164" fontId="0" fillId="4" borderId="80" xfId="0" applyNumberFormat="1" applyFill="1" applyBorder="1" applyAlignment="1">
      <alignment horizontal="center" vertical="center"/>
    </xf>
    <xf numFmtId="164" fontId="1" fillId="4" borderId="69" xfId="0" applyNumberFormat="1" applyFont="1" applyFill="1" applyBorder="1" applyAlignment="1">
      <alignment horizontal="center"/>
    </xf>
    <xf numFmtId="164" fontId="1" fillId="3" borderId="62" xfId="0" applyNumberFormat="1" applyFont="1" applyFill="1" applyBorder="1" applyAlignment="1">
      <alignment horizontal="center"/>
    </xf>
    <xf numFmtId="9" fontId="1" fillId="0" borderId="1" xfId="0" applyNumberFormat="1" applyFont="1" applyBorder="1" applyAlignment="1">
      <alignment horizontal="center"/>
    </xf>
    <xf numFmtId="164" fontId="0" fillId="0" borderId="0" xfId="0" applyNumberFormat="1" applyAlignment="1">
      <alignment horizontal="center"/>
    </xf>
    <xf numFmtId="0" fontId="1" fillId="3" borderId="85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  <xf numFmtId="164" fontId="0" fillId="0" borderId="1" xfId="0" applyNumberFormat="1" applyBorder="1" applyAlignment="1">
      <alignment horizontal="left"/>
    </xf>
    <xf numFmtId="9" fontId="0" fillId="0" borderId="1" xfId="1" applyNumberFormat="1" applyFont="1" applyBorder="1" applyAlignment="1">
      <alignment horizontal="left"/>
    </xf>
    <xf numFmtId="9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left"/>
    </xf>
    <xf numFmtId="9" fontId="0" fillId="0" borderId="1" xfId="3" applyFont="1" applyBorder="1" applyAlignment="1">
      <alignment horizontal="left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" xfId="0" applyBorder="1" applyAlignment="1">
      <alignment horizontal="center"/>
    </xf>
    <xf numFmtId="0" fontId="1" fillId="3" borderId="15" xfId="0" applyFont="1" applyFill="1" applyBorder="1" applyAlignment="1">
      <alignment horizontal="center" vertical="center" wrapText="1"/>
    </xf>
    <xf numFmtId="0" fontId="1" fillId="3" borderId="19" xfId="0" applyFont="1" applyFill="1" applyBorder="1" applyAlignment="1">
      <alignment horizontal="center" vertical="center" wrapText="1"/>
    </xf>
    <xf numFmtId="0" fontId="1" fillId="3" borderId="20" xfId="0" applyFont="1" applyFill="1" applyBorder="1" applyAlignment="1">
      <alignment horizontal="center" vertical="center" wrapText="1"/>
    </xf>
    <xf numFmtId="0" fontId="1" fillId="3" borderId="47" xfId="0" applyFont="1" applyFill="1" applyBorder="1" applyAlignment="1">
      <alignment horizontal="center" vertical="center" wrapText="1"/>
    </xf>
    <xf numFmtId="0" fontId="1" fillId="3" borderId="84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164" fontId="1" fillId="3" borderId="20" xfId="0" applyNumberFormat="1" applyFont="1" applyFill="1" applyBorder="1" applyAlignment="1">
      <alignment horizontal="center"/>
    </xf>
    <xf numFmtId="164" fontId="1" fillId="3" borderId="88" xfId="0" applyNumberFormat="1" applyFont="1" applyFill="1" applyBorder="1" applyAlignment="1">
      <alignment horizontal="center"/>
    </xf>
    <xf numFmtId="164" fontId="1" fillId="3" borderId="5" xfId="0" applyNumberFormat="1" applyFont="1" applyFill="1" applyBorder="1" applyAlignment="1">
      <alignment horizontal="center"/>
    </xf>
    <xf numFmtId="9" fontId="0" fillId="0" borderId="1" xfId="0" applyNumberFormat="1" applyBorder="1" applyAlignment="1">
      <alignment horizontal="center"/>
    </xf>
    <xf numFmtId="9" fontId="6" fillId="0" borderId="1" xfId="0" applyNumberFormat="1" applyFont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49" fontId="1" fillId="3" borderId="1" xfId="0" applyNumberFormat="1" applyFont="1" applyFill="1" applyBorder="1" applyAlignment="1">
      <alignment horizontal="center"/>
    </xf>
    <xf numFmtId="0" fontId="3" fillId="0" borderId="1" xfId="0" applyFont="1" applyBorder="1"/>
    <xf numFmtId="9" fontId="3" fillId="0" borderId="1" xfId="0" applyNumberFormat="1" applyFont="1" applyBorder="1" applyAlignment="1">
      <alignment horizontal="center"/>
    </xf>
    <xf numFmtId="0" fontId="1" fillId="3" borderId="1" xfId="0" applyFont="1" applyFill="1" applyBorder="1"/>
    <xf numFmtId="9" fontId="1" fillId="3" borderId="1" xfId="0" applyNumberFormat="1" applyFont="1" applyFill="1" applyBorder="1" applyAlignment="1">
      <alignment horizontal="center"/>
    </xf>
    <xf numFmtId="0" fontId="0" fillId="3" borderId="1" xfId="0" applyFill="1" applyBorder="1"/>
    <xf numFmtId="9" fontId="0" fillId="3" borderId="1" xfId="0" applyNumberFormat="1" applyFill="1" applyBorder="1" applyAlignment="1">
      <alignment horizontal="center"/>
    </xf>
    <xf numFmtId="164" fontId="0" fillId="3" borderId="1" xfId="0" applyNumberFormat="1" applyFill="1" applyBorder="1" applyAlignment="1">
      <alignment horizontal="center"/>
    </xf>
    <xf numFmtId="0" fontId="1" fillId="3" borderId="13" xfId="0" applyFont="1" applyFill="1" applyBorder="1" applyAlignment="1">
      <alignment horizontal="center"/>
    </xf>
    <xf numFmtId="0" fontId="1" fillId="3" borderId="97" xfId="0" applyFont="1" applyFill="1" applyBorder="1" applyAlignment="1">
      <alignment horizontal="center"/>
    </xf>
    <xf numFmtId="164" fontId="1" fillId="3" borderId="11" xfId="0" applyNumberFormat="1" applyFont="1" applyFill="1" applyBorder="1" applyAlignment="1">
      <alignment horizontal="center"/>
    </xf>
    <xf numFmtId="164" fontId="1" fillId="3" borderId="14" xfId="0" applyNumberFormat="1" applyFont="1" applyFill="1" applyBorder="1" applyAlignment="1">
      <alignment horizontal="center"/>
    </xf>
    <xf numFmtId="164" fontId="0" fillId="0" borderId="9" xfId="0" applyNumberFormat="1" applyBorder="1" applyAlignment="1">
      <alignment horizontal="center"/>
    </xf>
    <xf numFmtId="9" fontId="6" fillId="0" borderId="9" xfId="0" applyNumberFormat="1" applyFont="1" applyBorder="1" applyAlignment="1">
      <alignment horizontal="center"/>
    </xf>
    <xf numFmtId="0" fontId="0" fillId="0" borderId="88" xfId="0" applyBorder="1" applyAlignment="1">
      <alignment horizontal="center"/>
    </xf>
    <xf numFmtId="0" fontId="0" fillId="0" borderId="86" xfId="0" applyBorder="1" applyAlignment="1">
      <alignment horizontal="center"/>
    </xf>
    <xf numFmtId="164" fontId="0" fillId="0" borderId="10" xfId="0" applyNumberFormat="1" applyBorder="1" applyAlignment="1">
      <alignment horizontal="center"/>
    </xf>
    <xf numFmtId="9" fontId="6" fillId="0" borderId="10" xfId="0" applyNumberFormat="1" applyFont="1" applyBorder="1" applyAlignment="1">
      <alignment horizontal="center"/>
    </xf>
    <xf numFmtId="0" fontId="0" fillId="0" borderId="87" xfId="0" applyBorder="1" applyAlignment="1">
      <alignment horizontal="center"/>
    </xf>
    <xf numFmtId="9" fontId="0" fillId="0" borderId="9" xfId="0" applyNumberFormat="1" applyBorder="1" applyAlignment="1">
      <alignment horizontal="center"/>
    </xf>
    <xf numFmtId="9" fontId="0" fillId="0" borderId="10" xfId="0" applyNumberFormat="1" applyBorder="1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164" fontId="0" fillId="2" borderId="9" xfId="0" applyNumberFormat="1" applyFill="1" applyBorder="1" applyAlignment="1">
      <alignment horizontal="center" vertical="center"/>
    </xf>
    <xf numFmtId="164" fontId="0" fillId="2" borderId="10" xfId="0" applyNumberFormat="1" applyFill="1" applyBorder="1" applyAlignment="1">
      <alignment horizontal="center" vertical="center"/>
    </xf>
    <xf numFmtId="9" fontId="0" fillId="0" borderId="44" xfId="0" applyNumberFormat="1" applyBorder="1"/>
    <xf numFmtId="166" fontId="0" fillId="0" borderId="44" xfId="1" applyNumberFormat="1" applyFont="1" applyBorder="1" applyAlignment="1">
      <alignment horizontal="right"/>
    </xf>
    <xf numFmtId="164" fontId="0" fillId="0" borderId="44" xfId="0" applyNumberFormat="1" applyBorder="1"/>
    <xf numFmtId="164" fontId="1" fillId="0" borderId="44" xfId="0" applyNumberFormat="1" applyFont="1" applyBorder="1"/>
    <xf numFmtId="164" fontId="1" fillId="3" borderId="44" xfId="0" applyNumberFormat="1" applyFont="1" applyFill="1" applyBorder="1"/>
    <xf numFmtId="1" fontId="1" fillId="0" borderId="44" xfId="0" applyNumberFormat="1" applyFont="1" applyBorder="1"/>
    <xf numFmtId="0" fontId="1" fillId="0" borderId="44" xfId="0" applyFont="1" applyBorder="1" applyAlignment="1">
      <alignment horizontal="right"/>
    </xf>
    <xf numFmtId="9" fontId="1" fillId="0" borderId="44" xfId="0" applyNumberFormat="1" applyFont="1" applyBorder="1"/>
    <xf numFmtId="164" fontId="0" fillId="0" borderId="98" xfId="0" applyNumberFormat="1" applyBorder="1"/>
    <xf numFmtId="164" fontId="1" fillId="0" borderId="63" xfId="0" applyNumberFormat="1" applyFont="1" applyBorder="1"/>
    <xf numFmtId="164" fontId="1" fillId="0" borderId="99" xfId="0" applyNumberFormat="1" applyFont="1" applyBorder="1" applyAlignment="1">
      <alignment vertical="center"/>
    </xf>
    <xf numFmtId="164" fontId="1" fillId="0" borderId="100" xfId="0" applyNumberFormat="1" applyFont="1" applyBorder="1" applyAlignment="1">
      <alignment vertical="center"/>
    </xf>
    <xf numFmtId="164" fontId="1" fillId="0" borderId="101" xfId="0" applyNumberFormat="1" applyFont="1" applyBorder="1" applyAlignment="1">
      <alignment vertical="center"/>
    </xf>
    <xf numFmtId="9" fontId="0" fillId="0" borderId="98" xfId="0" applyNumberFormat="1" applyBorder="1"/>
    <xf numFmtId="166" fontId="0" fillId="0" borderId="63" xfId="1" applyNumberFormat="1" applyFont="1" applyBorder="1" applyAlignment="1">
      <alignment horizontal="right"/>
    </xf>
    <xf numFmtId="166" fontId="1" fillId="0" borderId="13" xfId="1" applyNumberFormat="1" applyFont="1" applyBorder="1" applyAlignment="1">
      <alignment horizontal="right" vertical="center"/>
    </xf>
    <xf numFmtId="0" fontId="0" fillId="0" borderId="89" xfId="0" applyBorder="1"/>
    <xf numFmtId="0" fontId="0" fillId="0" borderId="105" xfId="0" applyBorder="1"/>
    <xf numFmtId="0" fontId="0" fillId="0" borderId="100" xfId="0" applyBorder="1"/>
    <xf numFmtId="0" fontId="1" fillId="0" borderId="105" xfId="0" applyFont="1" applyBorder="1"/>
    <xf numFmtId="0" fontId="0" fillId="0" borderId="106" xfId="0" applyBorder="1"/>
    <xf numFmtId="0" fontId="0" fillId="6" borderId="8" xfId="0" applyFill="1" applyBorder="1"/>
    <xf numFmtId="0" fontId="0" fillId="6" borderId="1" xfId="0" applyFill="1" applyBorder="1"/>
    <xf numFmtId="0" fontId="0" fillId="6" borderId="102" xfId="0" applyFill="1" applyBorder="1"/>
    <xf numFmtId="0" fontId="0" fillId="6" borderId="7" xfId="0" applyFill="1" applyBorder="1"/>
    <xf numFmtId="0" fontId="1" fillId="6" borderId="103" xfId="0" applyFont="1" applyFill="1" applyBorder="1" applyAlignment="1">
      <alignment vertical="center"/>
    </xf>
    <xf numFmtId="0" fontId="1" fillId="6" borderId="19" xfId="0" applyFont="1" applyFill="1" applyBorder="1" applyAlignment="1">
      <alignment vertical="center"/>
    </xf>
    <xf numFmtId="0" fontId="0" fillId="6" borderId="104" xfId="0" applyFill="1" applyBorder="1"/>
    <xf numFmtId="0" fontId="0" fillId="6" borderId="90" xfId="0" applyFill="1" applyBorder="1"/>
    <xf numFmtId="164" fontId="1" fillId="6" borderId="94" xfId="0" applyNumberFormat="1" applyFont="1" applyFill="1" applyBorder="1" applyAlignment="1">
      <alignment vertical="center"/>
    </xf>
    <xf numFmtId="164" fontId="1" fillId="6" borderId="9" xfId="0" applyNumberFormat="1" applyFont="1" applyFill="1" applyBorder="1" applyAlignment="1">
      <alignment vertical="center"/>
    </xf>
    <xf numFmtId="164" fontId="1" fillId="6" borderId="8" xfId="0" applyNumberFormat="1" applyFont="1" applyFill="1" applyBorder="1" applyAlignment="1">
      <alignment vertical="center"/>
    </xf>
    <xf numFmtId="164" fontId="1" fillId="6" borderId="1" xfId="0" applyNumberFormat="1" applyFont="1" applyFill="1" applyBorder="1" applyAlignment="1">
      <alignment vertical="center"/>
    </xf>
    <xf numFmtId="164" fontId="1" fillId="6" borderId="95" xfId="0" applyNumberFormat="1" applyFont="1" applyFill="1" applyBorder="1" applyAlignment="1">
      <alignment vertical="center"/>
    </xf>
    <xf numFmtId="164" fontId="1" fillId="6" borderId="10" xfId="0" applyNumberFormat="1" applyFont="1" applyFill="1" applyBorder="1" applyAlignment="1">
      <alignment vertical="center"/>
    </xf>
    <xf numFmtId="0" fontId="0" fillId="6" borderId="90" xfId="0" applyFill="1" applyBorder="1" applyAlignment="1">
      <alignment horizontal="center"/>
    </xf>
    <xf numFmtId="0" fontId="1" fillId="3" borderId="103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vertical="center"/>
    </xf>
    <xf numFmtId="0" fontId="1" fillId="6" borderId="1" xfId="0" applyFont="1" applyFill="1" applyBorder="1"/>
    <xf numFmtId="0" fontId="0" fillId="6" borderId="9" xfId="0" applyFill="1" applyBorder="1"/>
    <xf numFmtId="0" fontId="0" fillId="6" borderId="10" xfId="0" applyFill="1" applyBorder="1"/>
    <xf numFmtId="164" fontId="1" fillId="6" borderId="1" xfId="0" applyNumberFormat="1" applyFont="1" applyFill="1" applyBorder="1"/>
    <xf numFmtId="164" fontId="1" fillId="6" borderId="9" xfId="0" applyNumberFormat="1" applyFont="1" applyFill="1" applyBorder="1"/>
    <xf numFmtId="164" fontId="1" fillId="6" borderId="10" xfId="0" applyNumberFormat="1" applyFont="1" applyFill="1" applyBorder="1"/>
    <xf numFmtId="9" fontId="0" fillId="0" borderId="107" xfId="0" applyNumberFormat="1" applyBorder="1"/>
    <xf numFmtId="0" fontId="1" fillId="0" borderId="13" xfId="0" applyFont="1" applyBorder="1"/>
    <xf numFmtId="9" fontId="1" fillId="0" borderId="108" xfId="0" applyNumberFormat="1" applyFont="1" applyBorder="1" applyAlignment="1">
      <alignment horizontal="right"/>
    </xf>
    <xf numFmtId="0" fontId="0" fillId="6" borderId="94" xfId="0" applyFill="1" applyBorder="1"/>
    <xf numFmtId="0" fontId="0" fillId="6" borderId="104" xfId="0" applyFill="1" applyBorder="1" applyAlignment="1">
      <alignment horizontal="center"/>
    </xf>
    <xf numFmtId="0" fontId="0" fillId="6" borderId="8" xfId="0" applyFill="1" applyBorder="1" applyAlignment="1">
      <alignment vertical="center"/>
    </xf>
    <xf numFmtId="0" fontId="0" fillId="6" borderId="95" xfId="0" applyFill="1" applyBorder="1"/>
    <xf numFmtId="9" fontId="0" fillId="0" borderId="0" xfId="0" applyNumberFormat="1"/>
    <xf numFmtId="166" fontId="1" fillId="0" borderId="0" xfId="1" applyNumberFormat="1" applyFont="1" applyAlignment="1">
      <alignment horizontal="right" vertical="center"/>
    </xf>
    <xf numFmtId="166" fontId="0" fillId="0" borderId="0" xfId="1" applyNumberFormat="1" applyFont="1" applyAlignment="1">
      <alignment horizontal="right"/>
    </xf>
    <xf numFmtId="164" fontId="1" fillId="0" borderId="0" xfId="0" applyNumberFormat="1" applyFont="1" applyAlignment="1">
      <alignment vertical="center"/>
    </xf>
    <xf numFmtId="1" fontId="1" fillId="0" borderId="0" xfId="0" applyNumberFormat="1" applyFont="1"/>
    <xf numFmtId="0" fontId="1" fillId="0" borderId="0" xfId="0" applyFont="1" applyAlignment="1">
      <alignment horizontal="right"/>
    </xf>
    <xf numFmtId="9" fontId="1" fillId="0" borderId="0" xfId="0" applyNumberFormat="1" applyFont="1"/>
    <xf numFmtId="9" fontId="1" fillId="0" borderId="0" xfId="0" applyNumberFormat="1" applyFont="1" applyAlignment="1">
      <alignment horizontal="right"/>
    </xf>
    <xf numFmtId="0" fontId="1" fillId="3" borderId="0" xfId="0" applyFont="1" applyFill="1" applyAlignment="1">
      <alignment horizontal="center"/>
    </xf>
    <xf numFmtId="0" fontId="0" fillId="0" borderId="36" xfId="0" applyBorder="1" applyAlignment="1">
      <alignment horizontal="center"/>
    </xf>
    <xf numFmtId="0" fontId="1" fillId="0" borderId="36" xfId="0" applyFont="1" applyBorder="1" applyAlignment="1">
      <alignment horizontal="center"/>
    </xf>
    <xf numFmtId="164" fontId="1" fillId="3" borderId="53" xfId="0" applyNumberFormat="1" applyFont="1" applyFill="1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33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0" xfId="0" applyAlignment="1">
      <alignment horizontal="left" indent="3"/>
    </xf>
    <xf numFmtId="0" fontId="0" fillId="0" borderId="91" xfId="0" applyBorder="1"/>
    <xf numFmtId="0" fontId="0" fillId="0" borderId="7" xfId="0" applyBorder="1" applyAlignment="1">
      <alignment horizontal="center"/>
    </xf>
    <xf numFmtId="164" fontId="0" fillId="0" borderId="7" xfId="0" applyNumberFormat="1" applyBorder="1" applyAlignment="1">
      <alignment horizontal="center"/>
    </xf>
    <xf numFmtId="0" fontId="0" fillId="0" borderId="114" xfId="0" applyBorder="1"/>
    <xf numFmtId="0" fontId="1" fillId="3" borderId="115" xfId="0" applyFont="1" applyFill="1" applyBorder="1"/>
    <xf numFmtId="164" fontId="1" fillId="3" borderId="116" xfId="0" applyNumberFormat="1" applyFont="1" applyFill="1" applyBorder="1"/>
    <xf numFmtId="164" fontId="1" fillId="3" borderId="116" xfId="0" applyNumberFormat="1" applyFont="1" applyFill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2" xfId="0" applyBorder="1" applyAlignment="1">
      <alignment horizontal="left" indent="3"/>
    </xf>
    <xf numFmtId="0" fontId="0" fillId="0" borderId="3" xfId="0" applyBorder="1" applyAlignment="1">
      <alignment horizontal="left" indent="3"/>
    </xf>
    <xf numFmtId="0" fontId="0" fillId="0" borderId="5" xfId="0" applyBorder="1" applyAlignment="1">
      <alignment horizontal="left" indent="3"/>
    </xf>
    <xf numFmtId="164" fontId="0" fillId="0" borderId="88" xfId="0" applyNumberFormat="1" applyBorder="1" applyAlignment="1">
      <alignment horizontal="center"/>
    </xf>
    <xf numFmtId="164" fontId="0" fillId="0" borderId="86" xfId="0" applyNumberFormat="1" applyBorder="1" applyAlignment="1">
      <alignment horizontal="center"/>
    </xf>
    <xf numFmtId="0" fontId="0" fillId="0" borderId="126" xfId="0" applyBorder="1"/>
    <xf numFmtId="0" fontId="0" fillId="0" borderId="127" xfId="0" applyBorder="1"/>
    <xf numFmtId="9" fontId="0" fillId="0" borderId="7" xfId="0" applyNumberFormat="1" applyBorder="1" applyAlignment="1">
      <alignment horizontal="center"/>
    </xf>
    <xf numFmtId="164" fontId="0" fillId="0" borderId="128" xfId="0" applyNumberFormat="1" applyBorder="1" applyAlignment="1">
      <alignment horizontal="center"/>
    </xf>
    <xf numFmtId="0" fontId="1" fillId="3" borderId="130" xfId="0" applyFont="1" applyFill="1" applyBorder="1" applyAlignment="1">
      <alignment horizontal="center"/>
    </xf>
    <xf numFmtId="164" fontId="1" fillId="3" borderId="85" xfId="0" applyNumberFormat="1" applyFont="1" applyFill="1" applyBorder="1" applyAlignment="1">
      <alignment horizontal="center" vertical="center"/>
    </xf>
    <xf numFmtId="0" fontId="1" fillId="3" borderId="20" xfId="0" applyFont="1" applyFill="1" applyBorder="1" applyAlignment="1">
      <alignment horizontal="center"/>
    </xf>
    <xf numFmtId="164" fontId="1" fillId="4" borderId="9" xfId="0" applyNumberFormat="1" applyFont="1" applyFill="1" applyBorder="1" applyAlignment="1">
      <alignment horizontal="center"/>
    </xf>
    <xf numFmtId="164" fontId="0" fillId="2" borderId="7" xfId="0" applyNumberFormat="1" applyFill="1" applyBorder="1" applyAlignment="1">
      <alignment horizontal="center"/>
    </xf>
    <xf numFmtId="164" fontId="0" fillId="4" borderId="9" xfId="0" applyNumberFormat="1" applyFill="1" applyBorder="1" applyAlignment="1">
      <alignment horizontal="center"/>
    </xf>
    <xf numFmtId="164" fontId="0" fillId="4" borderId="1" xfId="0" applyNumberFormat="1" applyFill="1" applyBorder="1" applyAlignment="1">
      <alignment horizontal="center"/>
    </xf>
    <xf numFmtId="164" fontId="0" fillId="4" borderId="7" xfId="0" applyNumberFormat="1" applyFill="1" applyBorder="1" applyAlignment="1">
      <alignment horizontal="center"/>
    </xf>
    <xf numFmtId="164" fontId="1" fillId="4" borderId="103" xfId="0" applyNumberFormat="1" applyFont="1" applyFill="1" applyBorder="1" applyAlignment="1">
      <alignment horizontal="center" vertical="center"/>
    </xf>
    <xf numFmtId="164" fontId="1" fillId="4" borderId="20" xfId="0" applyNumberFormat="1" applyFont="1" applyFill="1" applyBorder="1" applyAlignment="1">
      <alignment horizontal="center" vertical="center"/>
    </xf>
    <xf numFmtId="164" fontId="1" fillId="4" borderId="19" xfId="0" applyNumberFormat="1" applyFont="1" applyFill="1" applyBorder="1" applyAlignment="1">
      <alignment horizontal="center" vertical="center"/>
    </xf>
    <xf numFmtId="164" fontId="0" fillId="4" borderId="75" xfId="0" applyNumberFormat="1" applyFill="1" applyBorder="1" applyAlignment="1">
      <alignment horizontal="center" vertical="center"/>
    </xf>
    <xf numFmtId="164" fontId="0" fillId="4" borderId="1" xfId="0" applyNumberFormat="1" applyFill="1" applyBorder="1" applyAlignment="1">
      <alignment horizontal="center" vertical="center"/>
    </xf>
    <xf numFmtId="164" fontId="0" fillId="4" borderId="77" xfId="0" applyNumberFormat="1" applyFill="1" applyBorder="1" applyAlignment="1">
      <alignment horizontal="center" vertical="center"/>
    </xf>
    <xf numFmtId="164" fontId="1" fillId="4" borderId="41" xfId="0" applyNumberFormat="1" applyFont="1" applyFill="1" applyBorder="1" applyAlignment="1">
      <alignment horizontal="center"/>
    </xf>
    <xf numFmtId="9" fontId="1" fillId="4" borderId="11" xfId="0" applyNumberFormat="1" applyFont="1" applyFill="1" applyBorder="1" applyAlignment="1">
      <alignment horizontal="center" vertical="center"/>
    </xf>
    <xf numFmtId="0" fontId="0" fillId="4" borderId="109" xfId="0" applyFill="1" applyBorder="1"/>
    <xf numFmtId="0" fontId="0" fillId="3" borderId="13" xfId="0" applyFill="1" applyBorder="1"/>
    <xf numFmtId="0" fontId="0" fillId="3" borderId="14" xfId="0" applyFill="1" applyBorder="1"/>
    <xf numFmtId="0" fontId="1" fillId="3" borderId="13" xfId="0" applyFont="1" applyFill="1" applyBorder="1" applyAlignment="1">
      <alignment vertical="center"/>
    </xf>
    <xf numFmtId="0" fontId="1" fillId="3" borderId="11" xfId="0" applyFont="1" applyFill="1" applyBorder="1" applyAlignment="1">
      <alignment horizontal="center" vertical="center"/>
    </xf>
    <xf numFmtId="164" fontId="1" fillId="4" borderId="85" xfId="0" applyNumberFormat="1" applyFont="1" applyFill="1" applyBorder="1" applyAlignment="1">
      <alignment horizontal="center" vertical="center"/>
    </xf>
    <xf numFmtId="0" fontId="0" fillId="4" borderId="85" xfId="0" applyFill="1" applyBorder="1"/>
    <xf numFmtId="0" fontId="0" fillId="0" borderId="0" xfId="0" applyAlignment="1">
      <alignment horizontal="left" indent="12"/>
    </xf>
    <xf numFmtId="0" fontId="8" fillId="0" borderId="0" xfId="0" applyFont="1" applyAlignment="1">
      <alignment horizontal="left" indent="3"/>
    </xf>
    <xf numFmtId="0" fontId="8" fillId="0" borderId="2" xfId="0" applyFont="1" applyBorder="1" applyAlignment="1">
      <alignment horizontal="left" indent="3"/>
    </xf>
    <xf numFmtId="0" fontId="8" fillId="0" borderId="131" xfId="0" applyFont="1" applyBorder="1" applyAlignment="1">
      <alignment horizontal="left" indent="3"/>
    </xf>
    <xf numFmtId="0" fontId="8" fillId="0" borderId="129" xfId="0" applyFont="1" applyBorder="1" applyAlignment="1">
      <alignment horizontal="left" indent="3"/>
    </xf>
    <xf numFmtId="0" fontId="0" fillId="0" borderId="120" xfId="0" applyBorder="1" applyAlignment="1">
      <alignment horizontal="left" indent="3"/>
    </xf>
    <xf numFmtId="0" fontId="0" fillId="0" borderId="132" xfId="0" applyBorder="1" applyAlignment="1">
      <alignment horizontal="left" indent="3"/>
    </xf>
    <xf numFmtId="0" fontId="0" fillId="0" borderId="94" xfId="0" applyBorder="1" applyAlignment="1">
      <alignment horizontal="center"/>
    </xf>
    <xf numFmtId="0" fontId="0" fillId="0" borderId="95" xfId="0" applyBorder="1" applyAlignment="1">
      <alignment horizontal="center"/>
    </xf>
    <xf numFmtId="0" fontId="0" fillId="0" borderId="94" xfId="0" applyBorder="1" applyAlignment="1">
      <alignment horizontal="left" indent="3"/>
    </xf>
    <xf numFmtId="0" fontId="0" fillId="0" borderId="8" xfId="0" applyBorder="1" applyAlignment="1">
      <alignment horizontal="left" indent="3"/>
    </xf>
    <xf numFmtId="0" fontId="0" fillId="0" borderId="95" xfId="0" applyBorder="1" applyAlignment="1">
      <alignment horizontal="left" indent="3"/>
    </xf>
    <xf numFmtId="0" fontId="0" fillId="0" borderId="17" xfId="0" applyBorder="1" applyAlignment="1">
      <alignment horizontal="left" indent="3"/>
    </xf>
    <xf numFmtId="0" fontId="0" fillId="0" borderId="112" xfId="0" applyBorder="1" applyAlignment="1">
      <alignment horizontal="left" indent="3"/>
    </xf>
    <xf numFmtId="0" fontId="8" fillId="0" borderId="17" xfId="0" applyFont="1" applyBorder="1" applyAlignment="1">
      <alignment horizontal="left" indent="3"/>
    </xf>
    <xf numFmtId="0" fontId="8" fillId="0" borderId="111" xfId="0" applyFont="1" applyBorder="1" applyAlignment="1">
      <alignment horizontal="left" indent="3"/>
    </xf>
    <xf numFmtId="0" fontId="8" fillId="0" borderId="109" xfId="0" applyFont="1" applyBorder="1" applyAlignment="1">
      <alignment horizontal="left" indent="3"/>
    </xf>
    <xf numFmtId="0" fontId="7" fillId="7" borderId="1" xfId="0" applyFont="1" applyFill="1" applyBorder="1"/>
    <xf numFmtId="9" fontId="7" fillId="7" borderId="8" xfId="0" applyNumberFormat="1" applyFont="1" applyFill="1" applyBorder="1" applyAlignment="1">
      <alignment horizontal="center"/>
    </xf>
    <xf numFmtId="0" fontId="7" fillId="7" borderId="8" xfId="0" applyFont="1" applyFill="1" applyBorder="1" applyAlignment="1">
      <alignment horizontal="center"/>
    </xf>
    <xf numFmtId="0" fontId="8" fillId="0" borderId="90" xfId="0" applyFont="1" applyBorder="1"/>
    <xf numFmtId="9" fontId="7" fillId="0" borderId="104" xfId="0" applyNumberFormat="1" applyFont="1" applyBorder="1" applyAlignment="1">
      <alignment horizontal="center"/>
    </xf>
    <xf numFmtId="0" fontId="8" fillId="7" borderId="90" xfId="0" applyFont="1" applyFill="1" applyBorder="1"/>
    <xf numFmtId="9" fontId="8" fillId="7" borderId="104" xfId="0" applyNumberFormat="1" applyFont="1" applyFill="1" applyBorder="1" applyAlignment="1">
      <alignment horizontal="center"/>
    </xf>
    <xf numFmtId="0" fontId="1" fillId="3" borderId="134" xfId="0" applyFont="1" applyFill="1" applyBorder="1" applyAlignment="1">
      <alignment horizontal="left"/>
    </xf>
    <xf numFmtId="164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9" fontId="1" fillId="0" borderId="0" xfId="3" applyFont="1" applyAlignment="1">
      <alignment horizontal="left"/>
    </xf>
    <xf numFmtId="9" fontId="1" fillId="0" borderId="1" xfId="3" applyFont="1" applyBorder="1" applyAlignment="1">
      <alignment horizontal="left"/>
    </xf>
    <xf numFmtId="0" fontId="1" fillId="0" borderId="1" xfId="0" applyFont="1" applyBorder="1"/>
    <xf numFmtId="164" fontId="1" fillId="0" borderId="1" xfId="2" applyNumberFormat="1" applyFont="1" applyBorder="1" applyAlignment="1">
      <alignment horizontal="left"/>
    </xf>
    <xf numFmtId="164" fontId="1" fillId="0" borderId="1" xfId="0" applyNumberFormat="1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19" xfId="0" applyBorder="1" applyAlignment="1">
      <alignment horizontal="left" indent="3"/>
    </xf>
    <xf numFmtId="0" fontId="1" fillId="3" borderId="19" xfId="0" applyFont="1" applyFill="1" applyBorder="1"/>
    <xf numFmtId="0" fontId="1" fillId="3" borderId="16" xfId="0" applyFont="1" applyFill="1" applyBorder="1"/>
    <xf numFmtId="0" fontId="0" fillId="0" borderId="109" xfId="0" applyBorder="1" applyAlignment="1">
      <alignment horizontal="center"/>
    </xf>
    <xf numFmtId="0" fontId="9" fillId="8" borderId="146" xfId="0" applyFont="1" applyFill="1" applyBorder="1" applyAlignment="1">
      <alignment horizontal="left" vertical="center"/>
    </xf>
    <xf numFmtId="0" fontId="9" fillId="8" borderId="117" xfId="0" applyFont="1" applyFill="1" applyBorder="1" applyAlignment="1">
      <alignment horizontal="left" vertical="center"/>
    </xf>
    <xf numFmtId="0" fontId="9" fillId="8" borderId="118" xfId="0" applyFont="1" applyFill="1" applyBorder="1" applyAlignment="1">
      <alignment horizontal="left" vertical="center"/>
    </xf>
    <xf numFmtId="0" fontId="0" fillId="0" borderId="0" xfId="0" applyAlignment="1">
      <alignment horizontal="center"/>
    </xf>
    <xf numFmtId="0" fontId="0" fillId="0" borderId="18" xfId="0" applyBorder="1" applyAlignment="1">
      <alignment horizontal="center"/>
    </xf>
    <xf numFmtId="0" fontId="1" fillId="8" borderId="129" xfId="0" applyFont="1" applyFill="1" applyBorder="1" applyAlignment="1">
      <alignment horizontal="left" vertical="center"/>
    </xf>
    <xf numFmtId="0" fontId="1" fillId="8" borderId="21" xfId="0" applyFont="1" applyFill="1" applyBorder="1" applyAlignment="1">
      <alignment horizontal="left" vertical="center"/>
    </xf>
    <xf numFmtId="0" fontId="1" fillId="8" borderId="122" xfId="0" applyFont="1" applyFill="1" applyBorder="1" applyAlignment="1">
      <alignment horizontal="left" vertical="center"/>
    </xf>
    <xf numFmtId="0" fontId="1" fillId="3" borderId="13" xfId="0" applyFont="1" applyFill="1" applyBorder="1" applyAlignment="1">
      <alignment horizontal="left" vertical="center"/>
    </xf>
    <xf numFmtId="0" fontId="1" fillId="3" borderId="11" xfId="0" applyFont="1" applyFill="1" applyBorder="1" applyAlignment="1">
      <alignment horizontal="left" vertical="center"/>
    </xf>
    <xf numFmtId="0" fontId="1" fillId="3" borderId="14" xfId="0" applyFont="1" applyFill="1" applyBorder="1" applyAlignment="1">
      <alignment horizontal="left" vertical="center"/>
    </xf>
    <xf numFmtId="0" fontId="1" fillId="3" borderId="0" xfId="0" applyFont="1" applyFill="1" applyAlignment="1">
      <alignment horizontal="left" vertical="center"/>
    </xf>
    <xf numFmtId="0" fontId="1" fillId="3" borderId="13" xfId="0" applyFont="1" applyFill="1" applyBorder="1" applyAlignment="1">
      <alignment horizontal="left"/>
    </xf>
    <xf numFmtId="0" fontId="1" fillId="3" borderId="11" xfId="0" applyFont="1" applyFill="1" applyBorder="1" applyAlignment="1">
      <alignment horizontal="left"/>
    </xf>
    <xf numFmtId="0" fontId="1" fillId="3" borderId="14" xfId="0" applyFont="1" applyFill="1" applyBorder="1" applyAlignment="1">
      <alignment horizontal="left"/>
    </xf>
    <xf numFmtId="0" fontId="8" fillId="0" borderId="135" xfId="0" applyFont="1" applyBorder="1" applyAlignment="1">
      <alignment horizontal="center"/>
    </xf>
    <xf numFmtId="0" fontId="0" fillId="0" borderId="124" xfId="0" applyBorder="1"/>
    <xf numFmtId="0" fontId="0" fillId="0" borderId="1" xfId="0" applyBorder="1" applyAlignment="1">
      <alignment horizontal="left"/>
    </xf>
    <xf numFmtId="0" fontId="1" fillId="3" borderId="15" xfId="0" applyFont="1" applyFill="1" applyBorder="1" applyAlignment="1">
      <alignment horizontal="center"/>
    </xf>
    <xf numFmtId="0" fontId="0" fillId="0" borderId="11" xfId="0" applyBorder="1"/>
    <xf numFmtId="0" fontId="0" fillId="0" borderId="103" xfId="0" applyBorder="1"/>
    <xf numFmtId="0" fontId="0" fillId="0" borderId="138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33" xfId="0" applyBorder="1"/>
    <xf numFmtId="164" fontId="1" fillId="0" borderId="16" xfId="0" applyNumberFormat="1" applyFont="1" applyBorder="1" applyAlignment="1">
      <alignment horizontal="center" vertical="center"/>
    </xf>
    <xf numFmtId="0" fontId="0" fillId="0" borderId="22" xfId="0" applyBorder="1"/>
    <xf numFmtId="0" fontId="0" fillId="0" borderId="122" xfId="0" applyBorder="1"/>
    <xf numFmtId="0" fontId="0" fillId="0" borderId="88" xfId="0" applyBorder="1" applyAlignment="1">
      <alignment horizontal="left"/>
    </xf>
    <xf numFmtId="0" fontId="0" fillId="0" borderId="123" xfId="0" applyBorder="1"/>
    <xf numFmtId="164" fontId="1" fillId="0" borderId="19" xfId="0" applyNumberFormat="1" applyFont="1" applyBorder="1" applyAlignment="1">
      <alignment horizontal="center" vertical="center"/>
    </xf>
    <xf numFmtId="0" fontId="0" fillId="0" borderId="12" xfId="0" applyBorder="1"/>
    <xf numFmtId="0" fontId="0" fillId="0" borderId="21" xfId="0" applyBorder="1"/>
    <xf numFmtId="0" fontId="0" fillId="0" borderId="0" xfId="0"/>
    <xf numFmtId="0" fontId="0" fillId="0" borderId="139" xfId="0" applyBorder="1" applyAlignment="1">
      <alignment horizontal="left"/>
    </xf>
    <xf numFmtId="0" fontId="0" fillId="0" borderId="86" xfId="0" applyBorder="1" applyAlignment="1">
      <alignment horizontal="left"/>
    </xf>
    <xf numFmtId="0" fontId="0" fillId="0" borderId="9" xfId="0" applyBorder="1" applyAlignment="1">
      <alignment horizontal="left"/>
    </xf>
    <xf numFmtId="164" fontId="1" fillId="0" borderId="103" xfId="0" applyNumberFormat="1" applyFont="1" applyBorder="1" applyAlignment="1">
      <alignment horizontal="center" vertical="center"/>
    </xf>
    <xf numFmtId="0" fontId="0" fillId="0" borderId="113" xfId="0" applyBorder="1"/>
    <xf numFmtId="0" fontId="0" fillId="0" borderId="121" xfId="0" applyBorder="1"/>
    <xf numFmtId="0" fontId="0" fillId="0" borderId="91" xfId="0" applyBorder="1" applyAlignment="1">
      <alignment horizontal="left"/>
    </xf>
    <xf numFmtId="0" fontId="0" fillId="0" borderId="91" xfId="0" applyBorder="1"/>
    <xf numFmtId="0" fontId="1" fillId="0" borderId="92" xfId="0" applyFont="1" applyBorder="1" applyAlignment="1">
      <alignment horizontal="center"/>
    </xf>
    <xf numFmtId="0" fontId="0" fillId="0" borderId="92" xfId="0" applyBorder="1"/>
    <xf numFmtId="0" fontId="8" fillId="0" borderId="136" xfId="0" applyFont="1" applyBorder="1" applyAlignment="1">
      <alignment horizontal="center"/>
    </xf>
    <xf numFmtId="0" fontId="0" fillId="0" borderId="119" xfId="0" applyBorder="1" applyAlignment="1">
      <alignment horizontal="center"/>
    </xf>
    <xf numFmtId="0" fontId="0" fillId="0" borderId="18" xfId="0" applyBorder="1"/>
    <xf numFmtId="0" fontId="1" fillId="0" borderId="141" xfId="0" applyFont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8" fillId="0" borderId="11" xfId="0" applyFont="1" applyBorder="1" applyAlignment="1">
      <alignment horizontal="center"/>
    </xf>
    <xf numFmtId="0" fontId="7" fillId="7" borderId="85" xfId="0" applyFont="1" applyFill="1" applyBorder="1" applyAlignment="1">
      <alignment horizontal="center"/>
    </xf>
    <xf numFmtId="0" fontId="0" fillId="0" borderId="14" xfId="0" applyBorder="1"/>
    <xf numFmtId="0" fontId="0" fillId="0" borderId="140" xfId="0" applyBorder="1" applyAlignment="1">
      <alignment horizontal="left"/>
    </xf>
    <xf numFmtId="0" fontId="8" fillId="0" borderId="137" xfId="0" applyFont="1" applyBorder="1" applyAlignment="1">
      <alignment horizontal="center"/>
    </xf>
    <xf numFmtId="0" fontId="0" fillId="0" borderId="0" xfId="0" applyAlignment="1">
      <alignment horizontal="left"/>
    </xf>
    <xf numFmtId="0" fontId="0" fillId="0" borderId="120" xfId="0" applyBorder="1" applyAlignment="1">
      <alignment horizontal="center"/>
    </xf>
    <xf numFmtId="0" fontId="0" fillId="0" borderId="17" xfId="0" applyBorder="1"/>
    <xf numFmtId="164" fontId="0" fillId="4" borderId="85" xfId="0" applyNumberFormat="1" applyFill="1" applyBorder="1" applyAlignment="1">
      <alignment horizontal="center"/>
    </xf>
    <xf numFmtId="9" fontId="0" fillId="4" borderId="53" xfId="0" applyNumberFormat="1" applyFill="1" applyBorder="1" applyAlignment="1">
      <alignment horizontal="center" vertical="center"/>
    </xf>
    <xf numFmtId="0" fontId="0" fillId="0" borderId="78" xfId="0" applyBorder="1"/>
    <xf numFmtId="0" fontId="0" fillId="5" borderId="79" xfId="0" applyFill="1" applyBorder="1" applyAlignment="1">
      <alignment horizontal="center" vertical="center"/>
    </xf>
    <xf numFmtId="0" fontId="0" fillId="0" borderId="142" xfId="0" applyBorder="1"/>
    <xf numFmtId="0" fontId="0" fillId="0" borderId="143" xfId="0" applyBorder="1"/>
    <xf numFmtId="164" fontId="0" fillId="0" borderId="36" xfId="0" applyNumberFormat="1" applyBorder="1" applyAlignment="1">
      <alignment horizontal="center" vertical="center"/>
    </xf>
    <xf numFmtId="0" fontId="0" fillId="0" borderId="36" xfId="0" applyBorder="1" applyAlignment="1">
      <alignment horizontal="center"/>
    </xf>
    <xf numFmtId="0" fontId="0" fillId="0" borderId="55" xfId="0" applyBorder="1" applyAlignment="1">
      <alignment horizontal="center"/>
    </xf>
    <xf numFmtId="0" fontId="0" fillId="0" borderId="29" xfId="0" applyBorder="1"/>
    <xf numFmtId="0" fontId="0" fillId="0" borderId="55" xfId="0" applyBorder="1"/>
    <xf numFmtId="0" fontId="0" fillId="0" borderId="67" xfId="0" applyBorder="1" applyAlignment="1">
      <alignment horizontal="center"/>
    </xf>
    <xf numFmtId="0" fontId="0" fillId="0" borderId="67" xfId="0" applyBorder="1"/>
    <xf numFmtId="0" fontId="0" fillId="5" borderId="81" xfId="0" applyFill="1" applyBorder="1" applyAlignment="1">
      <alignment horizontal="center" vertical="center"/>
    </xf>
    <xf numFmtId="0" fontId="0" fillId="0" borderId="104" xfId="0" applyBorder="1"/>
    <xf numFmtId="9" fontId="0" fillId="4" borderId="79" xfId="0" applyNumberFormat="1" applyFill="1" applyBorder="1" applyAlignment="1">
      <alignment horizontal="center" vertical="center"/>
    </xf>
    <xf numFmtId="0" fontId="0" fillId="5" borderId="75" xfId="0" applyFill="1" applyBorder="1" applyAlignment="1">
      <alignment horizontal="center" vertical="center"/>
    </xf>
    <xf numFmtId="0" fontId="0" fillId="0" borderId="90" xfId="0" applyBorder="1"/>
    <xf numFmtId="0" fontId="0" fillId="0" borderId="83" xfId="0" applyBorder="1" applyAlignment="1">
      <alignment horizontal="center"/>
    </xf>
    <xf numFmtId="0" fontId="0" fillId="0" borderId="41" xfId="0" applyBorder="1"/>
    <xf numFmtId="0" fontId="0" fillId="0" borderId="83" xfId="0" applyBorder="1"/>
    <xf numFmtId="0" fontId="0" fillId="5" borderId="53" xfId="0" applyFill="1" applyBorder="1" applyAlignment="1">
      <alignment horizontal="center" vertical="center"/>
    </xf>
    <xf numFmtId="0" fontId="1" fillId="0" borderId="91" xfId="0" applyFont="1" applyBorder="1" applyAlignment="1">
      <alignment horizontal="center" vertical="center"/>
    </xf>
    <xf numFmtId="165" fontId="0" fillId="4" borderId="134" xfId="0" applyNumberFormat="1" applyFill="1" applyBorder="1" applyAlignment="1">
      <alignment horizontal="center" vertical="center"/>
    </xf>
    <xf numFmtId="0" fontId="0" fillId="0" borderId="30" xfId="0" applyBorder="1"/>
    <xf numFmtId="0" fontId="0" fillId="0" borderId="31" xfId="0" applyBorder="1"/>
    <xf numFmtId="0" fontId="0" fillId="0" borderId="32" xfId="0" applyBorder="1"/>
    <xf numFmtId="0" fontId="0" fillId="0" borderId="33" xfId="0" applyBorder="1"/>
    <xf numFmtId="0" fontId="0" fillId="0" borderId="34" xfId="0" applyBorder="1"/>
    <xf numFmtId="0" fontId="0" fillId="0" borderId="35" xfId="0" applyBorder="1"/>
    <xf numFmtId="0" fontId="1" fillId="2" borderId="85" xfId="0" applyFont="1" applyFill="1" applyBorder="1" applyAlignment="1">
      <alignment horizontal="center" vertical="center"/>
    </xf>
    <xf numFmtId="165" fontId="0" fillId="4" borderId="42" xfId="0" applyNumberFormat="1" applyFill="1" applyBorder="1" applyAlignment="1">
      <alignment horizontal="center" vertical="center"/>
    </xf>
    <xf numFmtId="0" fontId="0" fillId="0" borderId="1" xfId="0" applyBorder="1"/>
    <xf numFmtId="0" fontId="0" fillId="0" borderId="144" xfId="0" applyBorder="1" applyAlignment="1">
      <alignment horizontal="center"/>
    </xf>
    <xf numFmtId="0" fontId="0" fillId="0" borderId="71" xfId="0" applyBorder="1"/>
    <xf numFmtId="164" fontId="0" fillId="0" borderId="82" xfId="0" applyNumberFormat="1" applyBorder="1" applyAlignment="1">
      <alignment horizontal="center" vertical="center"/>
    </xf>
    <xf numFmtId="0" fontId="0" fillId="0" borderId="82" xfId="0" applyBorder="1" applyAlignment="1">
      <alignment horizontal="center" vertical="center"/>
    </xf>
    <xf numFmtId="0" fontId="0" fillId="0" borderId="36" xfId="0" applyBorder="1"/>
    <xf numFmtId="0" fontId="0" fillId="0" borderId="37" xfId="0" applyBorder="1"/>
    <xf numFmtId="0" fontId="0" fillId="5" borderId="81" xfId="0" applyFill="1" applyBorder="1" applyAlignment="1">
      <alignment horizontal="center" vertical="center" wrapText="1"/>
    </xf>
    <xf numFmtId="164" fontId="0" fillId="0" borderId="67" xfId="0" applyNumberFormat="1" applyBorder="1" applyAlignment="1">
      <alignment horizontal="center"/>
    </xf>
    <xf numFmtId="0" fontId="0" fillId="0" borderId="0" xfId="0" applyAlignment="1">
      <alignment horizontal="center" vertical="center"/>
    </xf>
    <xf numFmtId="164" fontId="5" fillId="2" borderId="88" xfId="0" applyNumberFormat="1" applyFont="1" applyFill="1" applyBorder="1" applyAlignment="1">
      <alignment horizontal="center" vertical="center"/>
    </xf>
    <xf numFmtId="0" fontId="0" fillId="0" borderId="145" xfId="0" applyBorder="1"/>
    <xf numFmtId="0" fontId="0" fillId="0" borderId="85" xfId="0" applyBorder="1" applyAlignment="1">
      <alignment horizontal="center"/>
    </xf>
    <xf numFmtId="1" fontId="0" fillId="2" borderId="9" xfId="0" applyNumberFormat="1" applyFill="1" applyBorder="1" applyAlignment="1">
      <alignment horizontal="center" vertical="center"/>
    </xf>
    <xf numFmtId="0" fontId="0" fillId="0" borderId="96" xfId="0" applyBorder="1" applyAlignment="1">
      <alignment horizontal="center"/>
    </xf>
    <xf numFmtId="165" fontId="0" fillId="2" borderId="88" xfId="0" applyNumberFormat="1" applyFill="1" applyBorder="1" applyAlignment="1">
      <alignment horizontal="center" vertical="center"/>
    </xf>
    <xf numFmtId="164" fontId="0" fillId="2" borderId="88" xfId="0" applyNumberFormat="1" applyFill="1" applyBorder="1" applyAlignment="1">
      <alignment horizontal="center" vertical="center"/>
    </xf>
    <xf numFmtId="164" fontId="8" fillId="0" borderId="1" xfId="0" applyNumberFormat="1" applyFont="1" applyBorder="1" applyAlignment="1">
      <alignment horizontal="left" indent="1"/>
    </xf>
    <xf numFmtId="0" fontId="0" fillId="0" borderId="112" xfId="0" applyBorder="1"/>
    <xf numFmtId="0" fontId="0" fillId="0" borderId="8" xfId="0" applyBorder="1"/>
    <xf numFmtId="0" fontId="0" fillId="0" borderId="6" xfId="0" applyBorder="1" applyAlignment="1">
      <alignment horizontal="center"/>
    </xf>
    <xf numFmtId="0" fontId="0" fillId="0" borderId="125" xfId="0" applyBorder="1"/>
    <xf numFmtId="0" fontId="0" fillId="0" borderId="93" xfId="0" applyBorder="1"/>
    <xf numFmtId="0" fontId="0" fillId="0" borderId="110" xfId="0" applyBorder="1"/>
    <xf numFmtId="0" fontId="0" fillId="0" borderId="111" xfId="0" applyBorder="1"/>
    <xf numFmtId="0" fontId="8" fillId="0" borderId="6" xfId="0" applyFont="1" applyBorder="1" applyAlignment="1">
      <alignment horizontal="center"/>
    </xf>
    <xf numFmtId="164" fontId="8" fillId="7" borderId="1" xfId="0" applyNumberFormat="1" applyFont="1" applyFill="1" applyBorder="1" applyAlignment="1">
      <alignment horizontal="left" indent="1"/>
    </xf>
    <xf numFmtId="0" fontId="1" fillId="3" borderId="1" xfId="0" applyFont="1" applyFill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7" fillId="7" borderId="1" xfId="0" applyFont="1" applyFill="1" applyBorder="1" applyAlignment="1">
      <alignment horizontal="left" indent="1"/>
    </xf>
    <xf numFmtId="0" fontId="0" fillId="0" borderId="1" xfId="0" applyBorder="1" applyAlignment="1">
      <alignment horizontal="center"/>
    </xf>
    <xf numFmtId="164" fontId="1" fillId="3" borderId="85" xfId="0" applyNumberFormat="1" applyFont="1" applyFill="1" applyBorder="1" applyAlignment="1">
      <alignment horizontal="center"/>
    </xf>
    <xf numFmtId="164" fontId="0" fillId="0" borderId="1" xfId="0" applyNumberFormat="1" applyBorder="1"/>
    <xf numFmtId="0" fontId="1" fillId="2" borderId="120" xfId="0" applyFont="1" applyFill="1" applyBorder="1" applyAlignment="1">
      <alignment horizontal="left"/>
    </xf>
    <xf numFmtId="0" fontId="1" fillId="2" borderId="17" xfId="0" applyFont="1" applyFill="1" applyBorder="1" applyAlignment="1">
      <alignment horizontal="left"/>
    </xf>
    <xf numFmtId="0" fontId="1" fillId="2" borderId="94" xfId="0" applyFont="1" applyFill="1" applyBorder="1" applyAlignment="1">
      <alignment horizontal="left"/>
    </xf>
    <xf numFmtId="164" fontId="1" fillId="2" borderId="88" xfId="0" applyNumberFormat="1" applyFont="1" applyFill="1" applyBorder="1"/>
    <xf numFmtId="0" fontId="1" fillId="2" borderId="119" xfId="0" applyFont="1" applyFill="1" applyBorder="1" applyAlignment="1">
      <alignment horizontal="left"/>
    </xf>
    <xf numFmtId="0" fontId="1" fillId="2" borderId="18" xfId="0" applyFont="1" applyFill="1" applyBorder="1" applyAlignment="1">
      <alignment horizontal="left"/>
    </xf>
    <xf numFmtId="0" fontId="1" fillId="2" borderId="95" xfId="0" applyFont="1" applyFill="1" applyBorder="1" applyAlignment="1">
      <alignment horizontal="left"/>
    </xf>
    <xf numFmtId="164" fontId="1" fillId="2" borderId="87" xfId="0" applyNumberFormat="1" applyFont="1" applyFill="1" applyBorder="1"/>
    <xf numFmtId="164" fontId="1" fillId="0" borderId="1" xfId="0" applyNumberFormat="1" applyFont="1" applyBorder="1"/>
  </cellXfs>
  <cellStyles count="4">
    <cellStyle name="Millares" xfId="1" builtinId="3"/>
    <cellStyle name="Moneda" xfId="2" builtinId="4"/>
    <cellStyle name="Normal" xfId="0" builtinId="0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V158"/>
  <sheetViews>
    <sheetView zoomScale="130" zoomScaleNormal="130" workbookViewId="0">
      <pane xSplit="3" ySplit="3" topLeftCell="AS10" activePane="bottomRight" state="frozen"/>
      <selection pane="topRight" activeCell="D1" sqref="D1"/>
      <selection pane="bottomLeft" activeCell="A4" sqref="A4"/>
      <selection pane="bottomRight" activeCell="AV16" sqref="AV16"/>
    </sheetView>
  </sheetViews>
  <sheetFormatPr baseColWidth="10" defaultColWidth="8.83203125" defaultRowHeight="15" x14ac:dyDescent="0.2"/>
  <cols>
    <col min="1" max="1" width="1.1640625" customWidth="1"/>
    <col min="2" max="2" width="47" customWidth="1"/>
    <col min="3" max="3" width="31.6640625" customWidth="1"/>
    <col min="4" max="4" width="3" customWidth="1"/>
    <col min="5" max="13" width="15.83203125" customWidth="1"/>
  </cols>
  <sheetData>
    <row r="1" spans="1:152" ht="7" customHeight="1" thickBot="1" x14ac:dyDescent="0.25">
      <c r="A1" s="2"/>
      <c r="B1" s="209"/>
      <c r="H1" s="26"/>
    </row>
    <row r="2" spans="1:152" ht="16" customHeight="1" thickBot="1" x14ac:dyDescent="0.25">
      <c r="B2" s="23" t="s">
        <v>0</v>
      </c>
      <c r="C2" s="34"/>
      <c r="D2" s="34"/>
      <c r="E2" s="208" t="s">
        <v>1</v>
      </c>
    </row>
    <row r="3" spans="1:152" s="6" customFormat="1" ht="16" customHeight="1" thickBot="1" x14ac:dyDescent="0.25">
      <c r="B3" s="210"/>
      <c r="EV3" s="20"/>
    </row>
    <row r="4" spans="1:152" x14ac:dyDescent="0.2">
      <c r="B4" s="165" t="s">
        <v>2</v>
      </c>
      <c r="C4" s="193">
        <v>0.7</v>
      </c>
      <c r="D4" s="200"/>
      <c r="E4" s="171"/>
      <c r="F4" s="171"/>
      <c r="G4" s="196"/>
      <c r="H4" s="188"/>
      <c r="I4" s="188"/>
      <c r="J4" s="188"/>
      <c r="K4" s="188"/>
      <c r="L4" s="188"/>
      <c r="M4" s="188"/>
    </row>
    <row r="5" spans="1:152" x14ac:dyDescent="0.2">
      <c r="B5" s="166" t="s">
        <v>3</v>
      </c>
      <c r="C5" s="149">
        <v>0.3</v>
      </c>
      <c r="D5" s="200"/>
      <c r="E5" s="171"/>
      <c r="F5" s="171"/>
      <c r="G5" s="170"/>
      <c r="H5" s="171"/>
      <c r="I5" s="171"/>
      <c r="J5" s="171"/>
      <c r="K5" s="171"/>
      <c r="L5" s="171"/>
      <c r="M5" s="171"/>
    </row>
    <row r="6" spans="1:152" ht="16" customHeight="1" thickBot="1" x14ac:dyDescent="0.25">
      <c r="B6" s="166"/>
      <c r="C6" s="162"/>
      <c r="D6" s="200"/>
      <c r="E6" s="171"/>
      <c r="F6" s="171"/>
      <c r="G6" s="172"/>
      <c r="H6" s="173"/>
      <c r="I6" s="173"/>
      <c r="J6" s="173"/>
      <c r="K6" s="173"/>
      <c r="L6" s="173"/>
      <c r="M6" s="173"/>
    </row>
    <row r="7" spans="1:152" ht="16" customHeight="1" thickBot="1" x14ac:dyDescent="0.25">
      <c r="B7" s="167" t="s">
        <v>4</v>
      </c>
      <c r="C7" s="164">
        <v>8</v>
      </c>
      <c r="D7" s="201"/>
      <c r="E7" s="186">
        <v>8</v>
      </c>
      <c r="F7" s="186">
        <v>8</v>
      </c>
      <c r="G7" s="174">
        <v>8</v>
      </c>
      <c r="H7" s="175">
        <v>12</v>
      </c>
      <c r="I7" s="175">
        <v>12</v>
      </c>
      <c r="J7" s="175">
        <v>12</v>
      </c>
      <c r="K7" s="175">
        <v>12</v>
      </c>
      <c r="L7" s="175">
        <v>12</v>
      </c>
      <c r="M7" s="175">
        <v>12</v>
      </c>
    </row>
    <row r="8" spans="1:152" x14ac:dyDescent="0.2">
      <c r="B8" s="166" t="s">
        <v>5</v>
      </c>
      <c r="C8" s="163">
        <f>C7*C12</f>
        <v>160</v>
      </c>
      <c r="D8" s="202"/>
      <c r="E8" s="171"/>
      <c r="F8" s="171"/>
      <c r="G8" s="197"/>
      <c r="H8" s="184"/>
      <c r="I8" s="177"/>
      <c r="J8" s="177"/>
      <c r="K8" s="177"/>
      <c r="L8" s="177"/>
      <c r="M8" s="177"/>
    </row>
    <row r="9" spans="1:152" x14ac:dyDescent="0.2">
      <c r="B9" s="166" t="s">
        <v>6</v>
      </c>
      <c r="C9" s="150">
        <v>15000</v>
      </c>
      <c r="D9" s="202"/>
      <c r="E9" s="171"/>
      <c r="F9" s="171"/>
      <c r="G9" s="170"/>
      <c r="H9" s="171"/>
      <c r="I9" s="171"/>
      <c r="J9" s="171"/>
      <c r="K9" s="171"/>
      <c r="L9" s="171"/>
      <c r="M9" s="171"/>
    </row>
    <row r="10" spans="1:152" x14ac:dyDescent="0.2">
      <c r="B10" s="166" t="s">
        <v>7</v>
      </c>
      <c r="C10" s="150">
        <v>18250</v>
      </c>
      <c r="D10" s="202"/>
      <c r="E10" s="171"/>
      <c r="F10" s="171"/>
      <c r="G10" s="170"/>
      <c r="H10" s="171"/>
      <c r="I10" s="171"/>
      <c r="J10" s="171"/>
      <c r="K10" s="171"/>
      <c r="L10" s="171"/>
      <c r="M10" s="171"/>
    </row>
    <row r="11" spans="1:152" ht="16" customHeight="1" thickBot="1" x14ac:dyDescent="0.25">
      <c r="B11" s="166" t="s">
        <v>8</v>
      </c>
      <c r="C11" s="157">
        <v>100900</v>
      </c>
      <c r="D11" s="1"/>
      <c r="E11" s="171"/>
      <c r="F11" s="171"/>
      <c r="G11" s="172"/>
      <c r="H11" s="173"/>
      <c r="I11" s="173"/>
      <c r="J11" s="173"/>
      <c r="K11" s="173"/>
      <c r="L11" s="173"/>
      <c r="M11" s="173"/>
    </row>
    <row r="12" spans="1:152" ht="16" customHeight="1" thickBot="1" x14ac:dyDescent="0.25">
      <c r="B12" s="167" t="s">
        <v>9</v>
      </c>
      <c r="C12" s="194">
        <v>20</v>
      </c>
      <c r="D12" s="3"/>
      <c r="E12" s="187">
        <v>30</v>
      </c>
      <c r="F12" s="187">
        <v>70</v>
      </c>
      <c r="G12" s="174">
        <v>150</v>
      </c>
      <c r="H12" s="175">
        <v>300</v>
      </c>
      <c r="I12" s="175">
        <v>500</v>
      </c>
      <c r="J12" s="175">
        <v>750</v>
      </c>
      <c r="K12" s="175">
        <v>1000</v>
      </c>
      <c r="L12" s="175">
        <v>1400</v>
      </c>
      <c r="M12" s="175">
        <v>1800</v>
      </c>
    </row>
    <row r="13" spans="1:152" x14ac:dyDescent="0.2">
      <c r="B13" s="166"/>
      <c r="C13" s="38"/>
      <c r="E13" s="171"/>
      <c r="F13" s="171"/>
      <c r="G13" s="176"/>
      <c r="H13" s="177"/>
      <c r="I13" s="177"/>
      <c r="J13" s="177"/>
      <c r="K13" s="177"/>
      <c r="L13" s="177"/>
      <c r="M13" s="177"/>
    </row>
    <row r="14" spans="1:152" x14ac:dyDescent="0.2">
      <c r="B14" s="166" t="s">
        <v>10</v>
      </c>
      <c r="C14" s="151">
        <v>6000000</v>
      </c>
      <c r="D14" s="1"/>
      <c r="E14" s="171"/>
      <c r="F14" s="171"/>
      <c r="G14" s="170"/>
      <c r="H14" s="171"/>
      <c r="I14" s="171"/>
      <c r="J14" s="171"/>
      <c r="K14" s="171"/>
      <c r="L14" s="171"/>
      <c r="M14" s="171"/>
    </row>
    <row r="15" spans="1:152" x14ac:dyDescent="0.2">
      <c r="B15" s="166" t="s">
        <v>11</v>
      </c>
      <c r="C15" s="33">
        <f>C12</f>
        <v>20</v>
      </c>
      <c r="E15" s="171"/>
      <c r="F15" s="171"/>
      <c r="G15" s="170"/>
      <c r="H15" s="171"/>
      <c r="I15" s="171"/>
      <c r="J15" s="171"/>
      <c r="K15" s="171"/>
      <c r="L15" s="171"/>
      <c r="M15" s="171"/>
    </row>
    <row r="16" spans="1:152" x14ac:dyDescent="0.2">
      <c r="B16" s="166" t="s">
        <v>12</v>
      </c>
      <c r="C16" s="151">
        <f>C14*C15</f>
        <v>120000000</v>
      </c>
      <c r="D16" s="1"/>
      <c r="E16" s="171"/>
      <c r="F16" s="171"/>
      <c r="G16" s="170"/>
      <c r="H16" s="171"/>
      <c r="I16" s="171"/>
      <c r="J16" s="171"/>
      <c r="K16" s="171"/>
      <c r="L16" s="171"/>
      <c r="M16" s="171"/>
    </row>
    <row r="17" spans="2:13" x14ac:dyDescent="0.2">
      <c r="B17" s="166"/>
      <c r="C17" s="151"/>
      <c r="D17" s="1"/>
      <c r="E17" s="171"/>
      <c r="F17" s="171"/>
      <c r="G17" s="170"/>
      <c r="H17" s="171"/>
      <c r="I17" s="171"/>
      <c r="J17" s="171"/>
      <c r="K17" s="171"/>
      <c r="L17" s="171"/>
      <c r="M17" s="171"/>
    </row>
    <row r="18" spans="2:13" x14ac:dyDescent="0.2">
      <c r="B18" s="166" t="s">
        <v>13</v>
      </c>
      <c r="C18" s="151">
        <v>250000000</v>
      </c>
      <c r="D18" s="1"/>
      <c r="E18" s="171"/>
      <c r="F18" s="171"/>
      <c r="G18" s="170"/>
      <c r="H18" s="171"/>
      <c r="I18" s="171"/>
      <c r="J18" s="171"/>
      <c r="K18" s="171"/>
      <c r="L18" s="171"/>
      <c r="M18" s="171"/>
    </row>
    <row r="19" spans="2:13" x14ac:dyDescent="0.2">
      <c r="B19" s="166"/>
      <c r="C19" s="151"/>
      <c r="D19" s="1"/>
      <c r="E19" s="171"/>
      <c r="F19" s="171"/>
      <c r="G19" s="198"/>
      <c r="H19" s="171"/>
      <c r="I19" s="171"/>
      <c r="J19" s="171"/>
      <c r="K19" s="171"/>
      <c r="L19" s="171"/>
      <c r="M19" s="171"/>
    </row>
    <row r="20" spans="2:13" x14ac:dyDescent="0.2">
      <c r="B20" s="166" t="s">
        <v>14</v>
      </c>
      <c r="C20" s="151">
        <f>30000000*3+50000000+27000000*2</f>
        <v>194000000</v>
      </c>
      <c r="D20" s="1"/>
      <c r="E20" s="171"/>
      <c r="F20" s="171"/>
      <c r="G20" s="170"/>
      <c r="H20" s="171"/>
      <c r="I20" s="171"/>
      <c r="J20" s="171"/>
      <c r="K20" s="171"/>
      <c r="L20" s="171"/>
      <c r="M20" s="171"/>
    </row>
    <row r="21" spans="2:13" x14ac:dyDescent="0.2">
      <c r="B21" s="166" t="s">
        <v>15</v>
      </c>
      <c r="C21" s="151">
        <f>C20/12</f>
        <v>16166666.666666666</v>
      </c>
      <c r="D21" s="1"/>
      <c r="E21" s="171"/>
      <c r="F21" s="171"/>
      <c r="G21" s="170"/>
      <c r="H21" s="171"/>
      <c r="I21" s="171"/>
      <c r="J21" s="171"/>
      <c r="K21" s="171"/>
      <c r="L21" s="171"/>
      <c r="M21" s="171"/>
    </row>
    <row r="22" spans="2:13" x14ac:dyDescent="0.2">
      <c r="B22" s="166"/>
      <c r="C22" s="151"/>
      <c r="D22" s="1"/>
      <c r="E22" s="171"/>
      <c r="F22" s="171"/>
      <c r="G22" s="170"/>
      <c r="H22" s="171"/>
      <c r="I22" s="171"/>
      <c r="J22" s="171"/>
      <c r="K22" s="171"/>
      <c r="L22" s="171"/>
      <c r="M22" s="171"/>
    </row>
    <row r="23" spans="2:13" x14ac:dyDescent="0.2">
      <c r="B23" s="166" t="s">
        <v>16</v>
      </c>
      <c r="C23" s="151">
        <v>130000</v>
      </c>
      <c r="D23" s="1"/>
      <c r="E23" s="171"/>
      <c r="F23" s="171"/>
      <c r="G23" s="170"/>
      <c r="H23" s="171"/>
      <c r="I23" s="171"/>
      <c r="J23" s="171"/>
      <c r="K23" s="171"/>
      <c r="L23" s="171"/>
      <c r="M23" s="171"/>
    </row>
    <row r="24" spans="2:13" x14ac:dyDescent="0.2">
      <c r="B24" s="166" t="s">
        <v>17</v>
      </c>
      <c r="C24" s="151">
        <v>30000</v>
      </c>
      <c r="D24" s="1"/>
      <c r="E24" s="171"/>
      <c r="F24" s="171"/>
      <c r="G24" s="170"/>
      <c r="H24" s="171"/>
      <c r="I24" s="171"/>
      <c r="J24" s="171"/>
      <c r="K24" s="171"/>
      <c r="L24" s="171"/>
      <c r="M24" s="171"/>
    </row>
    <row r="25" spans="2:13" x14ac:dyDescent="0.2">
      <c r="B25" s="166" t="s">
        <v>18</v>
      </c>
      <c r="C25" s="151">
        <f>C23*C12+(C24*C12*12)</f>
        <v>9800000</v>
      </c>
      <c r="D25" s="1"/>
      <c r="E25" s="171"/>
      <c r="F25" s="171"/>
      <c r="G25" s="170"/>
      <c r="H25" s="171"/>
      <c r="I25" s="171"/>
      <c r="J25" s="171"/>
      <c r="K25" s="171"/>
      <c r="L25" s="171"/>
      <c r="M25" s="171"/>
    </row>
    <row r="26" spans="2:13" ht="16" customHeight="1" thickBot="1" x14ac:dyDescent="0.25">
      <c r="B26" s="166"/>
      <c r="C26" s="157"/>
      <c r="D26" s="1"/>
      <c r="E26" s="171"/>
      <c r="F26" s="171"/>
      <c r="G26" s="172"/>
      <c r="H26" s="173"/>
      <c r="I26" s="173"/>
      <c r="J26" s="173"/>
      <c r="K26" s="173"/>
      <c r="L26" s="173"/>
      <c r="M26" s="173"/>
    </row>
    <row r="27" spans="2:13" x14ac:dyDescent="0.2">
      <c r="B27" s="167" t="s">
        <v>19</v>
      </c>
      <c r="C27" s="159">
        <f>(C11*C7)*C12</f>
        <v>16144000</v>
      </c>
      <c r="D27" s="203"/>
      <c r="E27" s="181">
        <f>(C11*C7)*E12</f>
        <v>24216000</v>
      </c>
      <c r="F27" s="181">
        <f>(C11*C7)*F12</f>
        <v>56504000</v>
      </c>
      <c r="G27" s="178">
        <f>(C11*C7)*G12</f>
        <v>121080000</v>
      </c>
      <c r="H27" s="179">
        <f>(C11*H7)*H12</f>
        <v>363240000</v>
      </c>
      <c r="I27" s="179">
        <f>(C11*I7)*I12</f>
        <v>605400000</v>
      </c>
      <c r="J27" s="179">
        <f>(C11*J7)*J12</f>
        <v>908100000</v>
      </c>
      <c r="K27" s="191">
        <f>(C11*J7)*K12</f>
        <v>1210800000</v>
      </c>
      <c r="L27" s="191">
        <f>(C11*J7)*L12</f>
        <v>1695120000</v>
      </c>
      <c r="M27" s="191">
        <f>(C11*J7)*M12</f>
        <v>2179440000</v>
      </c>
    </row>
    <row r="28" spans="2:13" x14ac:dyDescent="0.2">
      <c r="B28" s="167" t="s">
        <v>20</v>
      </c>
      <c r="C28" s="160">
        <f>C27*30</f>
        <v>484320000</v>
      </c>
      <c r="D28" s="203"/>
      <c r="E28" s="181">
        <f t="shared" ref="E28:M28" si="0">E27*30</f>
        <v>726480000</v>
      </c>
      <c r="F28" s="181">
        <f t="shared" si="0"/>
        <v>1695120000</v>
      </c>
      <c r="G28" s="180">
        <f t="shared" si="0"/>
        <v>3632400000</v>
      </c>
      <c r="H28" s="181">
        <f t="shared" si="0"/>
        <v>10897200000</v>
      </c>
      <c r="I28" s="181">
        <f t="shared" si="0"/>
        <v>18162000000</v>
      </c>
      <c r="J28" s="181">
        <f t="shared" si="0"/>
        <v>27243000000</v>
      </c>
      <c r="K28" s="190">
        <f t="shared" si="0"/>
        <v>36324000000</v>
      </c>
      <c r="L28" s="190">
        <f t="shared" si="0"/>
        <v>50853600000</v>
      </c>
      <c r="M28" s="190">
        <f t="shared" si="0"/>
        <v>65383200000</v>
      </c>
    </row>
    <row r="29" spans="2:13" ht="16" customHeight="1" thickBot="1" x14ac:dyDescent="0.25">
      <c r="B29" s="167" t="s">
        <v>21</v>
      </c>
      <c r="C29" s="161">
        <f>C28*12</f>
        <v>5811840000</v>
      </c>
      <c r="D29" s="203"/>
      <c r="E29" s="181">
        <f t="shared" ref="E29:M29" si="1">E28*12</f>
        <v>8717760000</v>
      </c>
      <c r="F29" s="181">
        <f t="shared" si="1"/>
        <v>20341440000</v>
      </c>
      <c r="G29" s="182">
        <f t="shared" si="1"/>
        <v>43588800000</v>
      </c>
      <c r="H29" s="183">
        <f t="shared" si="1"/>
        <v>130766400000</v>
      </c>
      <c r="I29" s="183">
        <f t="shared" si="1"/>
        <v>217944000000</v>
      </c>
      <c r="J29" s="183">
        <f t="shared" si="1"/>
        <v>326916000000</v>
      </c>
      <c r="K29" s="192">
        <f t="shared" si="1"/>
        <v>435888000000</v>
      </c>
      <c r="L29" s="192">
        <f t="shared" si="1"/>
        <v>610243200000</v>
      </c>
      <c r="M29" s="192">
        <f t="shared" si="1"/>
        <v>784598400000</v>
      </c>
    </row>
    <row r="30" spans="2:13" x14ac:dyDescent="0.2">
      <c r="B30" s="166"/>
      <c r="C30" s="158"/>
      <c r="D30" s="49"/>
      <c r="E30" s="171"/>
      <c r="F30" s="171"/>
      <c r="G30" s="176"/>
      <c r="H30" s="177"/>
      <c r="I30" s="177"/>
      <c r="J30" s="177"/>
      <c r="K30" s="177"/>
      <c r="L30" s="177"/>
      <c r="M30" s="177"/>
    </row>
    <row r="31" spans="2:13" x14ac:dyDescent="0.2">
      <c r="B31" s="166" t="s">
        <v>22</v>
      </c>
      <c r="C31" s="152">
        <f>C16+C18+C20</f>
        <v>564000000</v>
      </c>
      <c r="D31" s="49"/>
      <c r="E31" s="171"/>
      <c r="F31" s="171"/>
      <c r="G31" s="170"/>
      <c r="H31" s="171"/>
      <c r="I31" s="171"/>
      <c r="J31" s="171"/>
      <c r="K31" s="171"/>
      <c r="L31" s="171"/>
      <c r="M31" s="171"/>
    </row>
    <row r="32" spans="2:13" x14ac:dyDescent="0.2">
      <c r="B32" s="166" t="s">
        <v>23</v>
      </c>
      <c r="C32" s="152">
        <f>C80*12</f>
        <v>1489200000</v>
      </c>
      <c r="D32" s="49"/>
      <c r="E32" s="171"/>
      <c r="F32" s="171"/>
      <c r="G32" s="170"/>
      <c r="H32" s="171"/>
      <c r="I32" s="171"/>
      <c r="J32" s="171"/>
      <c r="K32" s="171"/>
      <c r="L32" s="171"/>
      <c r="M32" s="171"/>
    </row>
    <row r="33" spans="2:13" x14ac:dyDescent="0.2">
      <c r="B33" s="168" t="s">
        <v>24</v>
      </c>
      <c r="C33" s="153">
        <f>C31+C32</f>
        <v>2053200000</v>
      </c>
      <c r="D33" s="49"/>
      <c r="E33" s="171"/>
      <c r="F33" s="171"/>
      <c r="G33" s="170"/>
      <c r="H33" s="171"/>
      <c r="I33" s="171"/>
      <c r="J33" s="171"/>
      <c r="K33" s="171"/>
      <c r="L33" s="171"/>
      <c r="M33" s="171"/>
    </row>
    <row r="34" spans="2:13" x14ac:dyDescent="0.2">
      <c r="B34" s="166"/>
      <c r="C34" s="152"/>
      <c r="D34" s="49"/>
      <c r="E34" s="171"/>
      <c r="F34" s="171"/>
      <c r="G34" s="170"/>
      <c r="H34" s="171"/>
      <c r="I34" s="171"/>
      <c r="J34" s="171"/>
      <c r="K34" s="171"/>
      <c r="L34" s="171"/>
      <c r="M34" s="171"/>
    </row>
    <row r="35" spans="2:13" x14ac:dyDescent="0.2">
      <c r="B35" s="166" t="s">
        <v>25</v>
      </c>
      <c r="C35" s="151">
        <f>C31/2+C80</f>
        <v>406100000</v>
      </c>
      <c r="D35" s="1"/>
      <c r="E35" s="171"/>
      <c r="F35" s="171"/>
      <c r="G35" s="170"/>
      <c r="H35" s="171"/>
      <c r="I35" s="171"/>
      <c r="J35" s="171"/>
      <c r="K35" s="171"/>
      <c r="L35" s="171"/>
      <c r="M35" s="171"/>
    </row>
    <row r="36" spans="2:13" x14ac:dyDescent="0.2">
      <c r="B36" s="166" t="s">
        <v>26</v>
      </c>
      <c r="C36" s="151">
        <f>C35</f>
        <v>406100000</v>
      </c>
      <c r="D36" s="1"/>
      <c r="E36" s="171"/>
      <c r="F36" s="171"/>
      <c r="G36" s="170"/>
      <c r="H36" s="171"/>
      <c r="I36" s="171"/>
      <c r="J36" s="171"/>
      <c r="K36" s="171"/>
      <c r="L36" s="171"/>
      <c r="M36" s="171"/>
    </row>
    <row r="37" spans="2:13" x14ac:dyDescent="0.2">
      <c r="B37" s="166" t="s">
        <v>27</v>
      </c>
      <c r="C37" s="152">
        <f>SUM(C35:C36)</f>
        <v>812200000</v>
      </c>
      <c r="D37" s="49"/>
      <c r="E37" s="171"/>
      <c r="F37" s="171"/>
      <c r="G37" s="170"/>
      <c r="H37" s="171"/>
      <c r="I37" s="171"/>
      <c r="J37" s="171"/>
      <c r="K37" s="171"/>
      <c r="L37" s="171"/>
      <c r="M37" s="171"/>
    </row>
    <row r="38" spans="2:13" x14ac:dyDescent="0.2">
      <c r="B38" s="166"/>
      <c r="C38" s="152"/>
      <c r="D38" s="49"/>
      <c r="E38" s="171"/>
      <c r="F38" s="171"/>
      <c r="G38" s="170"/>
      <c r="H38" s="171"/>
      <c r="I38" s="171"/>
      <c r="J38" s="171"/>
      <c r="K38" s="171"/>
      <c r="L38" s="171"/>
      <c r="M38" s="171"/>
    </row>
    <row r="39" spans="2:13" x14ac:dyDescent="0.2">
      <c r="B39" s="166" t="s">
        <v>28</v>
      </c>
      <c r="C39" s="151">
        <f>C40/10</f>
        <v>124100000</v>
      </c>
      <c r="D39" s="1"/>
      <c r="E39" s="171"/>
      <c r="F39" s="171"/>
      <c r="G39" s="170"/>
      <c r="H39" s="171"/>
      <c r="I39" s="171"/>
      <c r="J39" s="171"/>
      <c r="K39" s="171"/>
      <c r="L39" s="171"/>
      <c r="M39" s="171"/>
    </row>
    <row r="40" spans="2:13" x14ac:dyDescent="0.2">
      <c r="B40" s="166" t="s">
        <v>29</v>
      </c>
      <c r="C40" s="152">
        <f>C32-C80-C80</f>
        <v>1241000000</v>
      </c>
      <c r="D40" s="49"/>
      <c r="E40" s="171"/>
      <c r="F40" s="171"/>
      <c r="G40" s="170"/>
      <c r="H40" s="171"/>
      <c r="I40" s="171"/>
      <c r="J40" s="171"/>
      <c r="K40" s="171"/>
      <c r="L40" s="171"/>
      <c r="M40" s="171"/>
    </row>
    <row r="41" spans="2:13" x14ac:dyDescent="0.2">
      <c r="B41" s="166"/>
      <c r="C41" s="152"/>
      <c r="D41" s="49"/>
      <c r="E41" s="171"/>
      <c r="F41" s="171"/>
      <c r="G41" s="170"/>
      <c r="H41" s="171"/>
      <c r="I41" s="171"/>
      <c r="J41" s="171"/>
      <c r="K41" s="171"/>
      <c r="L41" s="171"/>
      <c r="M41" s="171"/>
    </row>
    <row r="42" spans="2:13" x14ac:dyDescent="0.2">
      <c r="B42" s="166" t="s">
        <v>30</v>
      </c>
      <c r="C42" s="154">
        <v>26</v>
      </c>
      <c r="D42" s="204"/>
      <c r="E42" s="171"/>
      <c r="F42" s="171"/>
      <c r="G42" s="170"/>
      <c r="H42" s="171"/>
      <c r="I42" s="171"/>
      <c r="J42" s="171"/>
      <c r="K42" s="171"/>
      <c r="L42" s="171"/>
      <c r="M42" s="171"/>
    </row>
    <row r="43" spans="2:13" x14ac:dyDescent="0.2">
      <c r="B43" s="166" t="s">
        <v>31</v>
      </c>
      <c r="C43" s="152">
        <v>1000000000</v>
      </c>
      <c r="D43" s="49"/>
      <c r="E43" s="171"/>
      <c r="F43" s="171"/>
      <c r="G43" s="170"/>
      <c r="H43" s="171"/>
      <c r="I43" s="171"/>
      <c r="J43" s="171"/>
      <c r="K43" s="171"/>
      <c r="L43" s="171"/>
      <c r="M43" s="171"/>
    </row>
    <row r="44" spans="2:13" x14ac:dyDescent="0.2">
      <c r="B44" s="166" t="s">
        <v>32</v>
      </c>
      <c r="C44" s="155">
        <v>26</v>
      </c>
      <c r="D44" s="205"/>
      <c r="E44" s="171"/>
      <c r="F44" s="171"/>
      <c r="G44" s="170"/>
      <c r="H44" s="171"/>
      <c r="I44" s="171"/>
      <c r="J44" s="171"/>
      <c r="K44" s="171"/>
      <c r="L44" s="171"/>
      <c r="M44" s="171"/>
    </row>
    <row r="45" spans="2:13" x14ac:dyDescent="0.2">
      <c r="B45" s="168" t="s">
        <v>33</v>
      </c>
      <c r="C45" s="153" t="e">
        <f>Indicadores!#REF!</f>
        <v>#REF!</v>
      </c>
      <c r="D45" s="49"/>
      <c r="E45" s="171"/>
      <c r="F45" s="171"/>
      <c r="G45" s="170"/>
      <c r="H45" s="171"/>
      <c r="I45" s="171"/>
      <c r="J45" s="171"/>
      <c r="K45" s="171"/>
      <c r="L45" s="171"/>
      <c r="M45" s="171"/>
    </row>
    <row r="46" spans="2:13" x14ac:dyDescent="0.2">
      <c r="B46" s="166" t="s">
        <v>34</v>
      </c>
      <c r="C46" s="156">
        <v>0.20097551418372969</v>
      </c>
      <c r="D46" s="206"/>
      <c r="E46" s="171"/>
      <c r="F46" s="171"/>
      <c r="G46" s="170"/>
      <c r="H46" s="171"/>
      <c r="I46" s="171"/>
      <c r="J46" s="171"/>
      <c r="K46" s="171"/>
      <c r="L46" s="171"/>
      <c r="M46" s="171"/>
    </row>
    <row r="47" spans="2:13" x14ac:dyDescent="0.2">
      <c r="B47" s="166" t="s">
        <v>35</v>
      </c>
      <c r="C47" s="156">
        <v>0.48704461328657711</v>
      </c>
      <c r="D47" s="206"/>
      <c r="E47" s="171"/>
      <c r="F47" s="171"/>
      <c r="G47" s="170"/>
      <c r="H47" s="171"/>
      <c r="I47" s="171"/>
      <c r="J47" s="171"/>
      <c r="K47" s="171"/>
      <c r="L47" s="171"/>
      <c r="M47" s="171"/>
    </row>
    <row r="48" spans="2:13" ht="16" customHeight="1" thickBot="1" x14ac:dyDescent="0.25">
      <c r="B48" s="169" t="s">
        <v>36</v>
      </c>
      <c r="C48" s="195">
        <v>0.6956</v>
      </c>
      <c r="D48" s="207"/>
      <c r="E48" s="171"/>
      <c r="F48" s="171"/>
      <c r="G48" s="199"/>
      <c r="H48" s="189"/>
      <c r="I48" s="189"/>
      <c r="J48" s="189"/>
      <c r="K48" s="189"/>
      <c r="L48" s="189"/>
      <c r="M48" s="189"/>
    </row>
    <row r="49" spans="2:10" ht="16" customHeight="1" thickBot="1" x14ac:dyDescent="0.25">
      <c r="B49" s="29"/>
      <c r="C49" s="29"/>
      <c r="D49" s="29"/>
      <c r="E49" s="29"/>
      <c r="F49" s="29"/>
      <c r="G49" s="26"/>
      <c r="H49" s="32"/>
    </row>
    <row r="50" spans="2:10" ht="16" customHeight="1" thickBot="1" x14ac:dyDescent="0.25">
      <c r="B50" s="282" t="s">
        <v>37</v>
      </c>
      <c r="H50" s="36"/>
    </row>
    <row r="51" spans="2:10" x14ac:dyDescent="0.2">
      <c r="B51" s="212"/>
    </row>
    <row r="52" spans="2:10" x14ac:dyDescent="0.2">
      <c r="B52" s="53" t="s">
        <v>38</v>
      </c>
      <c r="C52" s="40">
        <v>3500000</v>
      </c>
      <c r="D52" s="1"/>
      <c r="E52" s="214"/>
    </row>
    <row r="53" spans="2:10" x14ac:dyDescent="0.2">
      <c r="B53" s="27" t="s">
        <v>39</v>
      </c>
      <c r="C53" s="41">
        <v>4000000</v>
      </c>
      <c r="D53" s="1"/>
      <c r="J53" s="1"/>
    </row>
    <row r="54" spans="2:10" x14ac:dyDescent="0.2">
      <c r="B54" s="27" t="s">
        <v>40</v>
      </c>
      <c r="C54" s="41">
        <v>3000000</v>
      </c>
      <c r="D54" s="1"/>
      <c r="J54" s="1"/>
    </row>
    <row r="55" spans="2:10" x14ac:dyDescent="0.2">
      <c r="B55" s="27" t="s">
        <v>41</v>
      </c>
      <c r="C55" s="41">
        <v>12500000</v>
      </c>
      <c r="D55" s="1"/>
      <c r="J55" s="1"/>
    </row>
    <row r="56" spans="2:10" x14ac:dyDescent="0.2">
      <c r="B56" s="27" t="s">
        <v>42</v>
      </c>
      <c r="C56" s="41">
        <v>4800000</v>
      </c>
      <c r="D56" s="1"/>
      <c r="J56" s="1"/>
    </row>
    <row r="57" spans="2:10" x14ac:dyDescent="0.2">
      <c r="B57" s="27" t="s">
        <v>43</v>
      </c>
      <c r="C57" s="41">
        <v>5000000</v>
      </c>
      <c r="D57" s="1"/>
      <c r="J57" s="1"/>
    </row>
    <row r="58" spans="2:10" x14ac:dyDescent="0.2">
      <c r="B58" s="27" t="s">
        <v>44</v>
      </c>
      <c r="C58" s="41">
        <v>2000000</v>
      </c>
      <c r="D58" s="1"/>
      <c r="J58" s="1"/>
    </row>
    <row r="59" spans="2:10" x14ac:dyDescent="0.2">
      <c r="B59" s="27" t="s">
        <v>45</v>
      </c>
      <c r="C59" s="41">
        <v>5000000</v>
      </c>
      <c r="D59" s="1"/>
      <c r="J59" s="1"/>
    </row>
    <row r="60" spans="2:10" x14ac:dyDescent="0.2">
      <c r="B60" s="27" t="s">
        <v>46</v>
      </c>
      <c r="C60" s="41">
        <v>5000000</v>
      </c>
      <c r="D60" s="1"/>
      <c r="J60" s="1"/>
    </row>
    <row r="61" spans="2:10" x14ac:dyDescent="0.2">
      <c r="B61" s="27" t="s">
        <v>47</v>
      </c>
      <c r="C61" s="41">
        <v>4000000</v>
      </c>
      <c r="D61" s="1"/>
      <c r="J61" s="1"/>
    </row>
    <row r="62" spans="2:10" x14ac:dyDescent="0.2">
      <c r="B62" s="27" t="s">
        <v>48</v>
      </c>
      <c r="C62" s="41">
        <v>4500000</v>
      </c>
      <c r="D62" s="1"/>
      <c r="J62" s="1"/>
    </row>
    <row r="63" spans="2:10" x14ac:dyDescent="0.2">
      <c r="B63" s="27" t="s">
        <v>48</v>
      </c>
      <c r="C63" s="41">
        <v>4000000</v>
      </c>
      <c r="D63" s="1"/>
      <c r="J63" s="1"/>
    </row>
    <row r="64" spans="2:10" x14ac:dyDescent="0.2">
      <c r="B64" s="27" t="s">
        <v>49</v>
      </c>
      <c r="C64" s="41">
        <v>2300000</v>
      </c>
      <c r="D64" s="1"/>
      <c r="J64" s="1"/>
    </row>
    <row r="65" spans="2:10" x14ac:dyDescent="0.2">
      <c r="B65" s="27" t="s">
        <v>50</v>
      </c>
      <c r="C65" s="41">
        <v>4000000</v>
      </c>
      <c r="D65" s="1"/>
      <c r="J65" s="1"/>
    </row>
    <row r="66" spans="2:10" x14ac:dyDescent="0.2">
      <c r="B66" s="27" t="s">
        <v>51</v>
      </c>
      <c r="C66" s="41">
        <v>3200000</v>
      </c>
      <c r="D66" s="1"/>
      <c r="J66" s="1"/>
    </row>
    <row r="67" spans="2:10" x14ac:dyDescent="0.2">
      <c r="B67" s="27" t="s">
        <v>51</v>
      </c>
      <c r="C67" s="41">
        <v>3200000</v>
      </c>
      <c r="D67" s="1"/>
      <c r="J67" s="1"/>
    </row>
    <row r="68" spans="2:10" x14ac:dyDescent="0.2">
      <c r="B68" s="27" t="s">
        <v>52</v>
      </c>
      <c r="C68" s="41">
        <v>2800000</v>
      </c>
      <c r="D68" s="1"/>
      <c r="J68" s="1"/>
    </row>
    <row r="69" spans="2:10" x14ac:dyDescent="0.2">
      <c r="B69" s="27" t="s">
        <v>53</v>
      </c>
      <c r="C69" s="41">
        <v>2200000</v>
      </c>
      <c r="D69" s="1"/>
      <c r="J69" s="1"/>
    </row>
    <row r="70" spans="2:10" x14ac:dyDescent="0.2">
      <c r="B70" s="27" t="s">
        <v>54</v>
      </c>
      <c r="C70" s="41">
        <v>1800000</v>
      </c>
      <c r="D70" s="1"/>
      <c r="J70" s="1"/>
    </row>
    <row r="71" spans="2:10" x14ac:dyDescent="0.2">
      <c r="B71" s="27" t="s">
        <v>55</v>
      </c>
      <c r="C71" s="41">
        <v>4800000</v>
      </c>
      <c r="D71" s="1"/>
      <c r="J71" s="1"/>
    </row>
    <row r="72" spans="2:10" x14ac:dyDescent="0.2">
      <c r="B72" s="27" t="s">
        <v>56</v>
      </c>
      <c r="C72" s="41">
        <v>3000000</v>
      </c>
      <c r="D72" s="1"/>
      <c r="J72" s="1"/>
    </row>
    <row r="73" spans="2:10" x14ac:dyDescent="0.2">
      <c r="B73" s="27" t="s">
        <v>57</v>
      </c>
      <c r="C73" s="41">
        <v>6000000</v>
      </c>
      <c r="D73" s="1"/>
      <c r="J73" s="1"/>
    </row>
    <row r="74" spans="2:10" x14ac:dyDescent="0.2">
      <c r="B74" s="27" t="s">
        <v>58</v>
      </c>
      <c r="C74" s="41">
        <v>5000000</v>
      </c>
      <c r="D74" s="1"/>
      <c r="J74" s="1"/>
    </row>
    <row r="75" spans="2:10" x14ac:dyDescent="0.2">
      <c r="B75" s="27" t="s">
        <v>59</v>
      </c>
      <c r="C75" s="41">
        <v>20000000</v>
      </c>
      <c r="D75" s="1"/>
      <c r="J75" s="1"/>
    </row>
    <row r="76" spans="2:10" x14ac:dyDescent="0.2">
      <c r="B76" s="27" t="s">
        <v>60</v>
      </c>
      <c r="C76" s="41"/>
      <c r="D76" s="1"/>
      <c r="J76" s="1"/>
    </row>
    <row r="77" spans="2:10" x14ac:dyDescent="0.2">
      <c r="B77" s="27" t="s">
        <v>61</v>
      </c>
      <c r="C77" s="41">
        <v>4000000</v>
      </c>
      <c r="D77" s="1"/>
      <c r="J77" s="1"/>
    </row>
    <row r="78" spans="2:10" x14ac:dyDescent="0.2">
      <c r="B78" s="54" t="s">
        <v>62</v>
      </c>
      <c r="C78" s="42">
        <v>4500000</v>
      </c>
      <c r="D78" s="1"/>
      <c r="J78" s="1"/>
    </row>
    <row r="79" spans="2:10" ht="16" customHeight="1" thickBot="1" x14ac:dyDescent="0.25">
      <c r="B79" s="213"/>
      <c r="J79" s="1"/>
    </row>
    <row r="80" spans="2:10" ht="16" customHeight="1" thickBot="1" x14ac:dyDescent="0.25">
      <c r="B80" s="23" t="s">
        <v>63</v>
      </c>
      <c r="C80" s="28">
        <f>SUM(C52:C78)</f>
        <v>124100000</v>
      </c>
      <c r="D80" s="28"/>
      <c r="E80" s="211">
        <f>C80*12</f>
        <v>1489200000</v>
      </c>
    </row>
    <row r="81" spans="2:8" ht="16" customHeight="1" thickBot="1" x14ac:dyDescent="0.25">
      <c r="B81" s="212"/>
    </row>
    <row r="82" spans="2:8" ht="16" customHeight="1" thickBot="1" x14ac:dyDescent="0.25">
      <c r="B82" s="43" t="s">
        <v>64</v>
      </c>
      <c r="C82" s="44">
        <f>C80</f>
        <v>124100000</v>
      </c>
      <c r="D82" s="44"/>
      <c r="E82" s="45">
        <f>C82*12</f>
        <v>1489200000</v>
      </c>
    </row>
    <row r="83" spans="2:8" ht="16" customHeight="1" thickBot="1" x14ac:dyDescent="0.25">
      <c r="B83" s="51"/>
      <c r="C83" s="47"/>
      <c r="D83" s="47"/>
      <c r="E83" s="26"/>
      <c r="F83" s="29"/>
    </row>
    <row r="84" spans="2:8" ht="16" customHeight="1" thickBot="1" x14ac:dyDescent="0.25">
      <c r="B84" s="43" t="s">
        <v>65</v>
      </c>
      <c r="C84" s="44">
        <f>C82*1*1.5</f>
        <v>186150000</v>
      </c>
      <c r="D84" s="44"/>
      <c r="E84" s="45">
        <f>C84*12</f>
        <v>2233800000</v>
      </c>
      <c r="H84" s="231"/>
    </row>
    <row r="85" spans="2:8" ht="16" customHeight="1" thickBot="1" x14ac:dyDescent="0.25">
      <c r="B85" s="51"/>
      <c r="C85" s="48"/>
      <c r="D85" s="49"/>
      <c r="F85" s="29"/>
      <c r="G85" s="52"/>
      <c r="H85" s="35"/>
    </row>
    <row r="86" spans="2:8" ht="16" customHeight="1" thickBot="1" x14ac:dyDescent="0.25">
      <c r="B86" s="43" t="s">
        <v>66</v>
      </c>
      <c r="C86" s="44">
        <f>C80+100000000</f>
        <v>224100000</v>
      </c>
      <c r="D86" s="44"/>
      <c r="E86" s="45">
        <f>C86*12</f>
        <v>2689200000</v>
      </c>
      <c r="H86" s="35"/>
    </row>
    <row r="87" spans="2:8" ht="16" customHeight="1" thickBot="1" x14ac:dyDescent="0.25">
      <c r="B87" s="51"/>
      <c r="C87" s="48"/>
      <c r="D87" s="49"/>
      <c r="F87" s="29"/>
      <c r="G87" s="52"/>
      <c r="H87" s="35"/>
    </row>
    <row r="88" spans="2:8" ht="16" customHeight="1" thickBot="1" x14ac:dyDescent="0.25">
      <c r="B88" s="43" t="s">
        <v>67</v>
      </c>
      <c r="C88" s="44">
        <f>C86+100000000</f>
        <v>324100000</v>
      </c>
      <c r="D88" s="44"/>
      <c r="E88" s="45">
        <f>C88*12</f>
        <v>3889200000</v>
      </c>
      <c r="H88" s="30"/>
    </row>
    <row r="89" spans="2:8" ht="16" customHeight="1" thickBot="1" x14ac:dyDescent="0.25">
      <c r="B89" s="3"/>
      <c r="C89" s="49"/>
      <c r="D89" s="49"/>
      <c r="E89" s="50"/>
      <c r="F89" s="50"/>
      <c r="G89" s="50"/>
      <c r="H89" s="30"/>
    </row>
    <row r="90" spans="2:8" ht="16" customHeight="1" thickBot="1" x14ac:dyDescent="0.25">
      <c r="B90" s="43" t="s">
        <v>68</v>
      </c>
      <c r="C90" s="44">
        <f>C88*1*1.3</f>
        <v>421330000</v>
      </c>
      <c r="D90" s="44"/>
      <c r="E90" s="45">
        <f>C90*12</f>
        <v>5055960000</v>
      </c>
      <c r="H90" s="30"/>
    </row>
    <row r="91" spans="2:8" ht="16" customHeight="1" thickBot="1" x14ac:dyDescent="0.25">
      <c r="B91" s="3"/>
      <c r="C91" s="49"/>
      <c r="D91" s="49"/>
      <c r="E91" s="50"/>
      <c r="F91" s="50"/>
      <c r="G91" s="50"/>
      <c r="H91" s="30"/>
    </row>
    <row r="92" spans="2:8" ht="16" customHeight="1" thickBot="1" x14ac:dyDescent="0.25">
      <c r="B92" s="43" t="s">
        <v>69</v>
      </c>
      <c r="C92" s="44">
        <f>C90+100000000</f>
        <v>521330000</v>
      </c>
      <c r="D92" s="44"/>
      <c r="E92" s="45">
        <f>C92*12</f>
        <v>6255960000</v>
      </c>
      <c r="H92" s="30"/>
    </row>
    <row r="93" spans="2:8" ht="16" customHeight="1" thickBot="1" x14ac:dyDescent="0.25">
      <c r="B93" s="3"/>
      <c r="C93" s="49"/>
      <c r="D93" s="49"/>
      <c r="E93" s="50"/>
      <c r="F93" s="50"/>
      <c r="G93" s="50"/>
      <c r="H93" s="30"/>
    </row>
    <row r="94" spans="2:8" ht="16" customHeight="1" thickBot="1" x14ac:dyDescent="0.25">
      <c r="B94" s="43" t="s">
        <v>70</v>
      </c>
      <c r="C94" s="44">
        <f>C92+C84</f>
        <v>707480000</v>
      </c>
      <c r="D94" s="44"/>
      <c r="E94" s="45">
        <f>C94*12</f>
        <v>8489760000</v>
      </c>
      <c r="H94" s="30"/>
    </row>
    <row r="95" spans="2:8" ht="16" customHeight="1" thickBot="1" x14ac:dyDescent="0.25">
      <c r="B95" s="3"/>
      <c r="C95" s="49"/>
      <c r="D95" s="49"/>
      <c r="E95" s="50"/>
      <c r="F95" s="50"/>
      <c r="G95" s="50"/>
      <c r="H95" s="30"/>
    </row>
    <row r="96" spans="2:8" ht="16" customHeight="1" thickBot="1" x14ac:dyDescent="0.25">
      <c r="B96" s="43" t="s">
        <v>71</v>
      </c>
      <c r="C96" s="44">
        <f>C94*1*1.2</f>
        <v>848976000</v>
      </c>
      <c r="D96" s="44"/>
      <c r="E96" s="45">
        <f>C96*12</f>
        <v>10187712000</v>
      </c>
      <c r="H96" s="30"/>
    </row>
    <row r="97" spans="2:8" ht="16" customHeight="1" thickBot="1" x14ac:dyDescent="0.25">
      <c r="B97" s="3"/>
      <c r="C97" s="49"/>
      <c r="D97" s="49"/>
      <c r="E97" s="50"/>
      <c r="F97" s="50"/>
      <c r="G97" s="50"/>
      <c r="H97" s="30"/>
    </row>
    <row r="98" spans="2:8" ht="16" customHeight="1" thickBot="1" x14ac:dyDescent="0.25">
      <c r="B98" s="221" t="s">
        <v>72</v>
      </c>
      <c r="C98" s="222">
        <f>C96+C84</f>
        <v>1035126000</v>
      </c>
      <c r="D98" s="222"/>
      <c r="E98" s="223">
        <f>C98*12</f>
        <v>12421512000</v>
      </c>
      <c r="H98" s="36"/>
    </row>
    <row r="100" spans="2:8" x14ac:dyDescent="0.2">
      <c r="B100" s="3"/>
      <c r="C100" s="49"/>
      <c r="D100" s="49"/>
      <c r="E100" s="50"/>
    </row>
    <row r="102" spans="2:8" x14ac:dyDescent="0.2">
      <c r="B102" s="3"/>
      <c r="C102" s="49"/>
      <c r="D102" s="49"/>
      <c r="E102" s="50"/>
    </row>
    <row r="111" spans="2:8" x14ac:dyDescent="0.2">
      <c r="B111" s="37"/>
      <c r="H111" s="220"/>
    </row>
    <row r="112" spans="2:8" x14ac:dyDescent="0.2">
      <c r="B112" s="37"/>
      <c r="H112" s="30"/>
    </row>
    <row r="113" spans="2:8" x14ac:dyDescent="0.2">
      <c r="B113" s="37"/>
      <c r="H113" s="30"/>
    </row>
    <row r="114" spans="2:8" x14ac:dyDescent="0.2">
      <c r="B114" s="37"/>
      <c r="H114" s="30"/>
    </row>
    <row r="115" spans="2:8" x14ac:dyDescent="0.2">
      <c r="B115" s="37"/>
      <c r="H115" s="30"/>
    </row>
    <row r="116" spans="2:8" x14ac:dyDescent="0.2">
      <c r="B116" s="37"/>
      <c r="H116" s="30"/>
    </row>
    <row r="117" spans="2:8" x14ac:dyDescent="0.2">
      <c r="B117" s="37"/>
      <c r="H117" s="30"/>
    </row>
    <row r="118" spans="2:8" x14ac:dyDescent="0.2">
      <c r="B118" s="37"/>
      <c r="H118" s="30"/>
    </row>
    <row r="119" spans="2:8" x14ac:dyDescent="0.2">
      <c r="B119" s="37"/>
      <c r="H119" s="30"/>
    </row>
    <row r="120" spans="2:8" x14ac:dyDescent="0.2">
      <c r="B120" s="37"/>
      <c r="H120" s="30"/>
    </row>
    <row r="121" spans="2:8" x14ac:dyDescent="0.2">
      <c r="B121" s="37"/>
      <c r="H121" s="30"/>
    </row>
    <row r="122" spans="2:8" x14ac:dyDescent="0.2">
      <c r="B122" s="37"/>
      <c r="H122" s="30"/>
    </row>
    <row r="123" spans="2:8" x14ac:dyDescent="0.2">
      <c r="B123" s="37"/>
      <c r="H123" s="30"/>
    </row>
    <row r="124" spans="2:8" x14ac:dyDescent="0.2">
      <c r="B124" s="37"/>
      <c r="H124" s="30"/>
    </row>
    <row r="125" spans="2:8" x14ac:dyDescent="0.2">
      <c r="B125" s="37"/>
      <c r="H125" s="30"/>
    </row>
    <row r="126" spans="2:8" x14ac:dyDescent="0.2">
      <c r="B126" s="37"/>
      <c r="H126" s="30"/>
    </row>
    <row r="127" spans="2:8" x14ac:dyDescent="0.2">
      <c r="B127" s="38"/>
      <c r="C127" s="39"/>
      <c r="D127" s="39"/>
      <c r="E127" s="39"/>
      <c r="F127" s="39"/>
      <c r="G127" s="39"/>
      <c r="H127" s="30"/>
    </row>
    <row r="128" spans="2:8" x14ac:dyDescent="0.2">
      <c r="H128" s="30"/>
    </row>
    <row r="129" spans="8:8" x14ac:dyDescent="0.2">
      <c r="H129" s="30"/>
    </row>
    <row r="130" spans="8:8" x14ac:dyDescent="0.2">
      <c r="H130" s="30"/>
    </row>
    <row r="131" spans="8:8" x14ac:dyDescent="0.2">
      <c r="H131" s="30"/>
    </row>
    <row r="132" spans="8:8" x14ac:dyDescent="0.2">
      <c r="H132" s="30"/>
    </row>
    <row r="133" spans="8:8" x14ac:dyDescent="0.2">
      <c r="H133" s="30"/>
    </row>
    <row r="134" spans="8:8" x14ac:dyDescent="0.2">
      <c r="H134" s="30"/>
    </row>
    <row r="135" spans="8:8" x14ac:dyDescent="0.2">
      <c r="H135" s="30"/>
    </row>
    <row r="136" spans="8:8" x14ac:dyDescent="0.2">
      <c r="H136" s="30"/>
    </row>
    <row r="137" spans="8:8" x14ac:dyDescent="0.2">
      <c r="H137" s="30"/>
    </row>
    <row r="138" spans="8:8" x14ac:dyDescent="0.2">
      <c r="H138" s="30"/>
    </row>
    <row r="139" spans="8:8" x14ac:dyDescent="0.2">
      <c r="H139" s="30"/>
    </row>
    <row r="140" spans="8:8" x14ac:dyDescent="0.2">
      <c r="H140" s="30"/>
    </row>
    <row r="141" spans="8:8" x14ac:dyDescent="0.2">
      <c r="H141" s="30"/>
    </row>
    <row r="142" spans="8:8" x14ac:dyDescent="0.2">
      <c r="H142" s="30"/>
    </row>
    <row r="143" spans="8:8" x14ac:dyDescent="0.2">
      <c r="H143" s="30"/>
    </row>
    <row r="144" spans="8:8" x14ac:dyDescent="0.2">
      <c r="H144" s="30"/>
    </row>
    <row r="145" spans="8:8" x14ac:dyDescent="0.2">
      <c r="H145" s="30"/>
    </row>
    <row r="146" spans="8:8" x14ac:dyDescent="0.2">
      <c r="H146" s="30"/>
    </row>
    <row r="147" spans="8:8" x14ac:dyDescent="0.2">
      <c r="H147" s="30"/>
    </row>
    <row r="148" spans="8:8" x14ac:dyDescent="0.2">
      <c r="H148" s="30"/>
    </row>
    <row r="149" spans="8:8" x14ac:dyDescent="0.2">
      <c r="H149" s="30"/>
    </row>
    <row r="150" spans="8:8" x14ac:dyDescent="0.2">
      <c r="H150" s="30"/>
    </row>
    <row r="151" spans="8:8" x14ac:dyDescent="0.2">
      <c r="H151" s="31"/>
    </row>
    <row r="152" spans="8:8" x14ac:dyDescent="0.2">
      <c r="H152" s="31"/>
    </row>
    <row r="153" spans="8:8" x14ac:dyDescent="0.2">
      <c r="H153" s="31"/>
    </row>
    <row r="154" spans="8:8" x14ac:dyDescent="0.2">
      <c r="H154" s="31"/>
    </row>
    <row r="155" spans="8:8" x14ac:dyDescent="0.2">
      <c r="H155" s="31"/>
    </row>
    <row r="156" spans="8:8" x14ac:dyDescent="0.2">
      <c r="H156" s="31"/>
    </row>
    <row r="157" spans="8:8" x14ac:dyDescent="0.2">
      <c r="H157" s="31"/>
    </row>
    <row r="158" spans="8:8" x14ac:dyDescent="0.2">
      <c r="H158" s="31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E73"/>
  <sheetViews>
    <sheetView tabSelected="1" zoomScale="150" zoomScaleNormal="150" workbookViewId="0">
      <selection activeCell="C52" sqref="C52"/>
    </sheetView>
  </sheetViews>
  <sheetFormatPr baseColWidth="10" defaultColWidth="8.83203125" defaultRowHeight="15" x14ac:dyDescent="0.2"/>
  <cols>
    <col min="1" max="1" width="0.5" customWidth="1"/>
    <col min="2" max="2" width="50.1640625" customWidth="1"/>
    <col min="3" max="3" width="41" customWidth="1"/>
    <col min="4" max="4" width="37.6640625" style="103" customWidth="1"/>
    <col min="5" max="5" width="45.1640625" customWidth="1"/>
  </cols>
  <sheetData>
    <row r="1" spans="2:5" ht="5" customHeight="1" thickBot="1" x14ac:dyDescent="0.25"/>
    <row r="2" spans="2:5" ht="28" customHeight="1" x14ac:dyDescent="0.2">
      <c r="B2" s="295" t="s">
        <v>429</v>
      </c>
      <c r="C2" s="296"/>
      <c r="D2" s="296"/>
      <c r="E2" s="297"/>
    </row>
    <row r="3" spans="2:5" ht="16" customHeight="1" thickBot="1" x14ac:dyDescent="0.25">
      <c r="B3" s="300" t="s">
        <v>430</v>
      </c>
      <c r="C3" s="301"/>
      <c r="D3" s="301"/>
      <c r="E3" s="302"/>
    </row>
    <row r="4" spans="2:5" ht="16" thickBot="1" x14ac:dyDescent="0.25">
      <c r="B4" s="294"/>
      <c r="C4" s="294"/>
      <c r="D4" s="294"/>
      <c r="E4" s="294"/>
    </row>
    <row r="5" spans="2:5" ht="16" thickBot="1" x14ac:dyDescent="0.25">
      <c r="B5" s="307" t="s">
        <v>431</v>
      </c>
      <c r="C5" s="308"/>
      <c r="D5" s="308"/>
      <c r="E5" s="309"/>
    </row>
    <row r="6" spans="2:5" s="3" customFormat="1" x14ac:dyDescent="0.2">
      <c r="B6" s="3" t="s">
        <v>73</v>
      </c>
      <c r="C6" s="3" t="s">
        <v>74</v>
      </c>
      <c r="D6" s="283" t="s">
        <v>412</v>
      </c>
      <c r="E6" s="3" t="s">
        <v>428</v>
      </c>
    </row>
    <row r="7" spans="2:5" x14ac:dyDescent="0.2">
      <c r="B7" s="6" t="s">
        <v>427</v>
      </c>
      <c r="C7" s="287" t="s">
        <v>426</v>
      </c>
      <c r="D7" s="104" t="s">
        <v>425</v>
      </c>
      <c r="E7" s="6" t="s">
        <v>424</v>
      </c>
    </row>
    <row r="8" spans="2:5" x14ac:dyDescent="0.2">
      <c r="B8" s="6" t="s">
        <v>423</v>
      </c>
      <c r="C8" s="6" t="s">
        <v>422</v>
      </c>
      <c r="D8" s="105" t="s">
        <v>421</v>
      </c>
      <c r="E8" s="6" t="s">
        <v>420</v>
      </c>
    </row>
    <row r="9" spans="2:5" x14ac:dyDescent="0.2">
      <c r="B9" s="6" t="s">
        <v>419</v>
      </c>
      <c r="C9" s="6" t="s">
        <v>418</v>
      </c>
      <c r="D9" s="106" t="s">
        <v>417</v>
      </c>
      <c r="E9" s="6" t="s">
        <v>416</v>
      </c>
    </row>
    <row r="10" spans="2:5" x14ac:dyDescent="0.2">
      <c r="B10" s="6" t="s">
        <v>75</v>
      </c>
      <c r="C10" s="287" t="s">
        <v>415</v>
      </c>
      <c r="D10" s="104" t="s">
        <v>414</v>
      </c>
      <c r="E10" s="6" t="s">
        <v>413</v>
      </c>
    </row>
    <row r="11" spans="2:5" ht="16" thickBot="1" x14ac:dyDescent="0.25">
      <c r="B11" s="299"/>
      <c r="C11" s="299"/>
      <c r="D11" s="299"/>
      <c r="E11" s="299"/>
    </row>
    <row r="12" spans="2:5" ht="16" thickBot="1" x14ac:dyDescent="0.25">
      <c r="B12" s="307" t="s">
        <v>432</v>
      </c>
      <c r="C12" s="308"/>
      <c r="D12" s="308"/>
      <c r="E12" s="309"/>
    </row>
    <row r="13" spans="2:5" s="3" customFormat="1" x14ac:dyDescent="0.2">
      <c r="B13" s="3" t="s">
        <v>73</v>
      </c>
      <c r="C13" s="3" t="s">
        <v>74</v>
      </c>
      <c r="D13" s="284" t="s">
        <v>412</v>
      </c>
      <c r="E13" s="3" t="s">
        <v>411</v>
      </c>
    </row>
    <row r="14" spans="2:5" x14ac:dyDescent="0.2">
      <c r="B14" s="6" t="s">
        <v>76</v>
      </c>
      <c r="C14" s="6" t="s">
        <v>410</v>
      </c>
      <c r="D14" s="107" t="s">
        <v>409</v>
      </c>
      <c r="E14" s="287" t="s">
        <v>440</v>
      </c>
    </row>
    <row r="15" spans="2:5" x14ac:dyDescent="0.2">
      <c r="B15" s="6" t="s">
        <v>408</v>
      </c>
      <c r="C15" s="6" t="s">
        <v>310</v>
      </c>
      <c r="D15" s="108" t="s">
        <v>407</v>
      </c>
      <c r="E15" s="6" t="s">
        <v>406</v>
      </c>
    </row>
    <row r="16" spans="2:5" x14ac:dyDescent="0.2">
      <c r="B16" s="6" t="s">
        <v>77</v>
      </c>
      <c r="C16" s="6" t="s">
        <v>405</v>
      </c>
      <c r="D16" s="108" t="s">
        <v>404</v>
      </c>
      <c r="E16" s="6" t="s">
        <v>403</v>
      </c>
    </row>
    <row r="17" spans="2:5" x14ac:dyDescent="0.2">
      <c r="B17" s="6" t="s">
        <v>78</v>
      </c>
      <c r="C17" s="6" t="s">
        <v>402</v>
      </c>
      <c r="D17" s="107" t="s">
        <v>401</v>
      </c>
      <c r="E17" s="6" t="s">
        <v>400</v>
      </c>
    </row>
    <row r="18" spans="2:5" x14ac:dyDescent="0.2">
      <c r="B18" s="6" t="s">
        <v>399</v>
      </c>
      <c r="C18" s="6" t="s">
        <v>398</v>
      </c>
      <c r="D18" s="108" t="s">
        <v>397</v>
      </c>
      <c r="E18" s="6" t="s">
        <v>396</v>
      </c>
    </row>
    <row r="19" spans="2:5" ht="16" thickBot="1" x14ac:dyDescent="0.25">
      <c r="B19" s="294"/>
      <c r="C19" s="294"/>
      <c r="D19" s="294"/>
      <c r="E19" s="294"/>
    </row>
    <row r="20" spans="2:5" ht="16" thickBot="1" x14ac:dyDescent="0.25">
      <c r="B20" s="303" t="s">
        <v>433</v>
      </c>
      <c r="C20" s="304"/>
      <c r="D20" s="304"/>
      <c r="E20" s="305"/>
    </row>
    <row r="21" spans="2:5" s="3" customFormat="1" x14ac:dyDescent="0.2">
      <c r="B21" s="3" t="s">
        <v>395</v>
      </c>
      <c r="C21" s="3" t="s">
        <v>394</v>
      </c>
      <c r="D21" s="285" t="s">
        <v>393</v>
      </c>
      <c r="E21" s="3" t="s">
        <v>392</v>
      </c>
    </row>
    <row r="22" spans="2:5" x14ac:dyDescent="0.2">
      <c r="B22" s="6" t="s">
        <v>391</v>
      </c>
      <c r="C22" s="6" t="s">
        <v>390</v>
      </c>
      <c r="D22" s="286" t="s">
        <v>377</v>
      </c>
      <c r="E22" s="287" t="s">
        <v>389</v>
      </c>
    </row>
    <row r="23" spans="2:5" x14ac:dyDescent="0.2">
      <c r="B23" s="6" t="s">
        <v>388</v>
      </c>
      <c r="C23" s="6" t="s">
        <v>387</v>
      </c>
      <c r="D23" s="288" t="s">
        <v>377</v>
      </c>
      <c r="E23" s="287" t="s">
        <v>386</v>
      </c>
    </row>
    <row r="24" spans="2:5" x14ac:dyDescent="0.2">
      <c r="B24" s="6" t="s">
        <v>385</v>
      </c>
      <c r="C24" s="6" t="s">
        <v>384</v>
      </c>
      <c r="D24" s="289" t="s">
        <v>377</v>
      </c>
      <c r="E24" s="287" t="s">
        <v>383</v>
      </c>
    </row>
    <row r="25" spans="2:5" x14ac:dyDescent="0.2">
      <c r="B25" s="6" t="s">
        <v>382</v>
      </c>
      <c r="C25" s="6" t="s">
        <v>381</v>
      </c>
      <c r="D25" s="290" t="s">
        <v>377</v>
      </c>
      <c r="E25" s="287" t="s">
        <v>380</v>
      </c>
    </row>
    <row r="26" spans="2:5" ht="16" customHeight="1" x14ac:dyDescent="0.2">
      <c r="B26" s="6" t="s">
        <v>379</v>
      </c>
      <c r="C26" s="6" t="s">
        <v>378</v>
      </c>
      <c r="D26" s="290" t="s">
        <v>377</v>
      </c>
      <c r="E26" s="287" t="s">
        <v>376</v>
      </c>
    </row>
    <row r="27" spans="2:5" ht="16" thickBot="1" x14ac:dyDescent="0.25">
      <c r="B27" s="294"/>
      <c r="C27" s="294"/>
      <c r="D27" s="294"/>
      <c r="E27" s="294"/>
    </row>
    <row r="28" spans="2:5" ht="16" thickBot="1" x14ac:dyDescent="0.25">
      <c r="B28" s="303" t="s">
        <v>434</v>
      </c>
      <c r="C28" s="304"/>
      <c r="D28" s="304"/>
      <c r="E28" s="305"/>
    </row>
    <row r="29" spans="2:5" s="3" customFormat="1" x14ac:dyDescent="0.2">
      <c r="B29" s="3" t="s">
        <v>375</v>
      </c>
      <c r="C29" s="3" t="s">
        <v>278</v>
      </c>
      <c r="D29" s="3" t="s">
        <v>374</v>
      </c>
      <c r="E29" s="3" t="s">
        <v>373</v>
      </c>
    </row>
    <row r="30" spans="2:5" x14ac:dyDescent="0.2">
      <c r="B30" s="6" t="s">
        <v>357</v>
      </c>
      <c r="C30" s="6" t="s">
        <v>361</v>
      </c>
      <c r="D30" s="6" t="s">
        <v>372</v>
      </c>
      <c r="E30" s="6" t="s">
        <v>371</v>
      </c>
    </row>
    <row r="31" spans="2:5" x14ac:dyDescent="0.2">
      <c r="B31" s="6" t="s">
        <v>370</v>
      </c>
      <c r="C31" s="6" t="s">
        <v>361</v>
      </c>
      <c r="D31" s="6" t="s">
        <v>369</v>
      </c>
      <c r="E31" s="6" t="s">
        <v>368</v>
      </c>
    </row>
    <row r="32" spans="2:5" x14ac:dyDescent="0.2">
      <c r="B32" s="6" t="s">
        <v>367</v>
      </c>
      <c r="C32" s="6" t="s">
        <v>361</v>
      </c>
      <c r="D32" s="6" t="s">
        <v>442</v>
      </c>
      <c r="E32" s="6" t="s">
        <v>366</v>
      </c>
    </row>
    <row r="33" spans="2:5" x14ac:dyDescent="0.2">
      <c r="B33" s="6" t="s">
        <v>365</v>
      </c>
      <c r="C33" s="6" t="s">
        <v>364</v>
      </c>
      <c r="D33" s="6" t="s">
        <v>441</v>
      </c>
      <c r="E33" s="6" t="s">
        <v>363</v>
      </c>
    </row>
    <row r="34" spans="2:5" x14ac:dyDescent="0.2">
      <c r="B34" s="6" t="s">
        <v>362</v>
      </c>
      <c r="C34" s="6" t="s">
        <v>361</v>
      </c>
      <c r="D34" s="6" t="s">
        <v>360</v>
      </c>
      <c r="E34" s="6" t="s">
        <v>359</v>
      </c>
    </row>
    <row r="35" spans="2:5" ht="16" thickBot="1" x14ac:dyDescent="0.25">
      <c r="B35" s="298"/>
      <c r="C35" s="298"/>
      <c r="D35" s="298"/>
      <c r="E35" s="298"/>
    </row>
    <row r="36" spans="2:5" ht="16" thickBot="1" x14ac:dyDescent="0.25">
      <c r="B36" s="303" t="s">
        <v>435</v>
      </c>
      <c r="C36" s="304"/>
      <c r="D36" s="304"/>
      <c r="E36" s="305"/>
    </row>
    <row r="37" spans="2:5" s="3" customFormat="1" x14ac:dyDescent="0.2">
      <c r="B37" s="3" t="s">
        <v>358</v>
      </c>
      <c r="C37" s="3" t="s">
        <v>357</v>
      </c>
      <c r="D37" s="3" t="s">
        <v>356</v>
      </c>
      <c r="E37" s="3" t="s">
        <v>355</v>
      </c>
    </row>
    <row r="38" spans="2:5" x14ac:dyDescent="0.2">
      <c r="B38" s="6" t="s">
        <v>354</v>
      </c>
      <c r="C38" s="6" t="s">
        <v>353</v>
      </c>
      <c r="D38" s="6" t="s">
        <v>352</v>
      </c>
      <c r="E38" s="6" t="s">
        <v>351</v>
      </c>
    </row>
    <row r="39" spans="2:5" x14ac:dyDescent="0.2">
      <c r="B39" s="6" t="s">
        <v>350</v>
      </c>
      <c r="C39" s="6" t="s">
        <v>349</v>
      </c>
      <c r="D39" s="6" t="s">
        <v>348</v>
      </c>
      <c r="E39" s="6" t="s">
        <v>347</v>
      </c>
    </row>
    <row r="40" spans="2:5" x14ac:dyDescent="0.2">
      <c r="B40" s="6" t="s">
        <v>346</v>
      </c>
      <c r="C40" s="6" t="s">
        <v>345</v>
      </c>
      <c r="D40" s="6" t="s">
        <v>344</v>
      </c>
      <c r="E40" s="6" t="s">
        <v>343</v>
      </c>
    </row>
    <row r="41" spans="2:5" x14ac:dyDescent="0.2">
      <c r="B41" s="6" t="s">
        <v>342</v>
      </c>
      <c r="C41" s="6" t="s">
        <v>443</v>
      </c>
      <c r="D41" s="6" t="s">
        <v>341</v>
      </c>
      <c r="E41" s="6" t="s">
        <v>340</v>
      </c>
    </row>
    <row r="42" spans="2:5" ht="16" thickBot="1" x14ac:dyDescent="0.25">
      <c r="B42" s="294"/>
      <c r="C42" s="294"/>
      <c r="D42" s="294"/>
      <c r="E42" s="294"/>
    </row>
    <row r="43" spans="2:5" ht="16" thickBot="1" x14ac:dyDescent="0.25">
      <c r="B43" s="303" t="s">
        <v>436</v>
      </c>
      <c r="C43" s="304"/>
      <c r="D43" s="304"/>
      <c r="E43" s="305"/>
    </row>
    <row r="44" spans="2:5" s="3" customFormat="1" x14ac:dyDescent="0.2">
      <c r="B44" s="3" t="s">
        <v>339</v>
      </c>
      <c r="C44" s="3" t="s">
        <v>74</v>
      </c>
      <c r="D44" s="3" t="s">
        <v>338</v>
      </c>
      <c r="E44" s="3" t="s">
        <v>337</v>
      </c>
    </row>
    <row r="45" spans="2:5" x14ac:dyDescent="0.2">
      <c r="B45" s="6" t="s">
        <v>336</v>
      </c>
      <c r="C45" s="6" t="s">
        <v>444</v>
      </c>
      <c r="D45" s="6" t="s">
        <v>335</v>
      </c>
      <c r="E45" s="6" t="s">
        <v>334</v>
      </c>
    </row>
    <row r="46" spans="2:5" x14ac:dyDescent="0.2">
      <c r="B46" s="6" t="s">
        <v>333</v>
      </c>
      <c r="C46" s="6" t="s">
        <v>332</v>
      </c>
      <c r="D46" s="6" t="s">
        <v>331</v>
      </c>
      <c r="E46" s="6" t="s">
        <v>330</v>
      </c>
    </row>
    <row r="47" spans="2:5" x14ac:dyDescent="0.2">
      <c r="B47" s="6" t="s">
        <v>329</v>
      </c>
      <c r="C47" s="6" t="s">
        <v>445</v>
      </c>
      <c r="D47" s="6" t="s">
        <v>328</v>
      </c>
      <c r="E47" s="6" t="s">
        <v>327</v>
      </c>
    </row>
    <row r="48" spans="2:5" x14ac:dyDescent="0.2">
      <c r="B48" s="6" t="s">
        <v>79</v>
      </c>
      <c r="C48" s="6" t="s">
        <v>326</v>
      </c>
      <c r="D48" s="6" t="s">
        <v>325</v>
      </c>
      <c r="E48" s="6" t="s">
        <v>324</v>
      </c>
    </row>
    <row r="49" spans="2:5" x14ac:dyDescent="0.2">
      <c r="B49" s="6" t="s">
        <v>323</v>
      </c>
      <c r="C49" s="6" t="s">
        <v>322</v>
      </c>
      <c r="D49" s="6" t="s">
        <v>321</v>
      </c>
      <c r="E49" s="6" t="s">
        <v>320</v>
      </c>
    </row>
    <row r="50" spans="2:5" x14ac:dyDescent="0.2">
      <c r="B50" s="298"/>
      <c r="C50" s="298"/>
      <c r="D50" s="298"/>
      <c r="E50" s="298"/>
    </row>
    <row r="51" spans="2:5" x14ac:dyDescent="0.2">
      <c r="B51" s="306" t="s">
        <v>437</v>
      </c>
      <c r="C51" s="306"/>
      <c r="D51" s="306"/>
      <c r="E51" s="306"/>
    </row>
    <row r="52" spans="2:5" s="3" customFormat="1" x14ac:dyDescent="0.2">
      <c r="B52" s="3" t="s">
        <v>319</v>
      </c>
      <c r="C52" s="3" t="s">
        <v>318</v>
      </c>
      <c r="D52" s="3" t="s">
        <v>317</v>
      </c>
      <c r="E52" s="3" t="s">
        <v>316</v>
      </c>
    </row>
    <row r="53" spans="2:5" x14ac:dyDescent="0.2">
      <c r="B53" s="6" t="s">
        <v>315</v>
      </c>
      <c r="C53" s="6" t="s">
        <v>314</v>
      </c>
      <c r="D53" s="6" t="s">
        <v>313</v>
      </c>
      <c r="E53" s="6" t="s">
        <v>312</v>
      </c>
    </row>
    <row r="54" spans="2:5" x14ac:dyDescent="0.2">
      <c r="B54" s="6" t="s">
        <v>311</v>
      </c>
      <c r="C54" s="6" t="s">
        <v>310</v>
      </c>
      <c r="D54" s="6" t="s">
        <v>309</v>
      </c>
      <c r="E54" s="6" t="s">
        <v>308</v>
      </c>
    </row>
    <row r="55" spans="2:5" x14ac:dyDescent="0.2">
      <c r="B55" s="6" t="s">
        <v>307</v>
      </c>
      <c r="C55" s="6" t="s">
        <v>306</v>
      </c>
      <c r="D55" s="6" t="s">
        <v>305</v>
      </c>
      <c r="E55" s="6" t="s">
        <v>304</v>
      </c>
    </row>
    <row r="56" spans="2:5" x14ac:dyDescent="0.2">
      <c r="B56" s="6" t="s">
        <v>303</v>
      </c>
      <c r="C56" s="6" t="s">
        <v>302</v>
      </c>
      <c r="D56" s="6" t="s">
        <v>301</v>
      </c>
      <c r="E56" s="6" t="s">
        <v>300</v>
      </c>
    </row>
    <row r="57" spans="2:5" ht="16" thickBot="1" x14ac:dyDescent="0.25">
      <c r="B57" s="294"/>
      <c r="C57" s="294"/>
      <c r="D57" s="294"/>
      <c r="E57" s="294"/>
    </row>
    <row r="58" spans="2:5" ht="16" thickBot="1" x14ac:dyDescent="0.25">
      <c r="B58" s="303" t="s">
        <v>438</v>
      </c>
      <c r="C58" s="304"/>
      <c r="D58" s="304"/>
      <c r="E58" s="305"/>
    </row>
    <row r="59" spans="2:5" s="3" customFormat="1" x14ac:dyDescent="0.2">
      <c r="B59" s="3" t="s">
        <v>299</v>
      </c>
      <c r="C59" s="3" t="s">
        <v>140</v>
      </c>
      <c r="D59" s="3" t="s">
        <v>298</v>
      </c>
      <c r="E59" s="3" t="s">
        <v>297</v>
      </c>
    </row>
    <row r="60" spans="2:5" x14ac:dyDescent="0.2">
      <c r="B60" s="6" t="s">
        <v>296</v>
      </c>
      <c r="C60" s="6" t="s">
        <v>295</v>
      </c>
      <c r="D60" s="6" t="s">
        <v>294</v>
      </c>
      <c r="E60" s="6" t="s">
        <v>293</v>
      </c>
    </row>
    <row r="61" spans="2:5" x14ac:dyDescent="0.2">
      <c r="B61" s="6" t="s">
        <v>292</v>
      </c>
      <c r="C61" s="6" t="s">
        <v>162</v>
      </c>
      <c r="D61" s="6" t="s">
        <v>291</v>
      </c>
      <c r="E61" s="6" t="s">
        <v>290</v>
      </c>
    </row>
    <row r="62" spans="2:5" x14ac:dyDescent="0.2">
      <c r="B62" s="6" t="s">
        <v>289</v>
      </c>
      <c r="C62" s="6" t="s">
        <v>172</v>
      </c>
      <c r="D62" s="6" t="s">
        <v>288</v>
      </c>
      <c r="E62" s="6" t="s">
        <v>287</v>
      </c>
    </row>
    <row r="63" spans="2:5" x14ac:dyDescent="0.2">
      <c r="B63" s="6" t="s">
        <v>286</v>
      </c>
      <c r="C63" s="6" t="s">
        <v>182</v>
      </c>
      <c r="D63" s="6" t="s">
        <v>285</v>
      </c>
      <c r="E63" s="6" t="s">
        <v>284</v>
      </c>
    </row>
    <row r="64" spans="2:5" x14ac:dyDescent="0.2">
      <c r="B64" s="287" t="s">
        <v>283</v>
      </c>
      <c r="C64" s="287" t="s">
        <v>282</v>
      </c>
      <c r="D64" s="287" t="s">
        <v>281</v>
      </c>
      <c r="E64" s="287" t="s">
        <v>280</v>
      </c>
    </row>
    <row r="65" spans="2:5" ht="16" thickBot="1" x14ac:dyDescent="0.25">
      <c r="B65" s="294"/>
      <c r="C65" s="294"/>
      <c r="D65" s="294"/>
      <c r="E65" s="294"/>
    </row>
    <row r="66" spans="2:5" ht="16" thickBot="1" x14ac:dyDescent="0.25">
      <c r="B66" s="303" t="s">
        <v>439</v>
      </c>
      <c r="C66" s="304"/>
      <c r="D66" s="304"/>
      <c r="E66" s="305"/>
    </row>
    <row r="67" spans="2:5" s="3" customFormat="1" x14ac:dyDescent="0.2">
      <c r="B67" s="3" t="s">
        <v>279</v>
      </c>
      <c r="C67" s="3" t="s">
        <v>278</v>
      </c>
      <c r="D67" s="3" t="s">
        <v>277</v>
      </c>
      <c r="E67" s="3" t="s">
        <v>276</v>
      </c>
    </row>
    <row r="68" spans="2:5" x14ac:dyDescent="0.2">
      <c r="B68" s="6" t="s">
        <v>275</v>
      </c>
      <c r="C68" s="6" t="s">
        <v>274</v>
      </c>
      <c r="D68" s="6" t="s">
        <v>273</v>
      </c>
      <c r="E68" s="6" t="s">
        <v>272</v>
      </c>
    </row>
    <row r="69" spans="2:5" x14ac:dyDescent="0.2">
      <c r="B69" s="6" t="s">
        <v>271</v>
      </c>
      <c r="C69" s="6" t="s">
        <v>270</v>
      </c>
      <c r="D69" s="6" t="s">
        <v>269</v>
      </c>
      <c r="E69" s="6" t="s">
        <v>268</v>
      </c>
    </row>
    <row r="70" spans="2:5" x14ac:dyDescent="0.2">
      <c r="B70" s="6" t="s">
        <v>267</v>
      </c>
      <c r="C70" s="6" t="s">
        <v>263</v>
      </c>
      <c r="D70" s="6" t="s">
        <v>266</v>
      </c>
      <c r="E70" s="6" t="s">
        <v>265</v>
      </c>
    </row>
    <row r="71" spans="2:5" x14ac:dyDescent="0.2">
      <c r="B71" s="6" t="s">
        <v>264</v>
      </c>
      <c r="C71" s="6" t="s">
        <v>263</v>
      </c>
      <c r="D71" s="6" t="s">
        <v>262</v>
      </c>
      <c r="E71" s="6" t="s">
        <v>261</v>
      </c>
    </row>
    <row r="72" spans="2:5" x14ac:dyDescent="0.2">
      <c r="B72" s="6" t="s">
        <v>260</v>
      </c>
      <c r="C72" s="6" t="s">
        <v>259</v>
      </c>
      <c r="D72" s="6" t="s">
        <v>258</v>
      </c>
      <c r="E72" s="6" t="s">
        <v>257</v>
      </c>
    </row>
    <row r="73" spans="2:5" x14ac:dyDescent="0.2">
      <c r="B73" s="298"/>
      <c r="C73" s="298"/>
      <c r="D73" s="298"/>
      <c r="E73" s="298"/>
    </row>
  </sheetData>
  <mergeCells count="21">
    <mergeCell ref="B36:E36"/>
    <mergeCell ref="B28:E28"/>
    <mergeCell ref="B20:E20"/>
    <mergeCell ref="B12:E12"/>
    <mergeCell ref="B5:E5"/>
    <mergeCell ref="B27:E27"/>
    <mergeCell ref="B2:E2"/>
    <mergeCell ref="B4:E4"/>
    <mergeCell ref="B73:E73"/>
    <mergeCell ref="B65:E65"/>
    <mergeCell ref="B57:E57"/>
    <mergeCell ref="B50:E50"/>
    <mergeCell ref="B42:E42"/>
    <mergeCell ref="B35:E35"/>
    <mergeCell ref="B11:E11"/>
    <mergeCell ref="B19:E19"/>
    <mergeCell ref="B3:E3"/>
    <mergeCell ref="B66:E66"/>
    <mergeCell ref="B58:E58"/>
    <mergeCell ref="B51:E51"/>
    <mergeCell ref="B43:E43"/>
  </mergeCells>
  <pageMargins left="0.75" right="0.75" top="1" bottom="1" header="0.5" footer="0.5"/>
  <ignoredErrors>
    <ignoredError sqref="C7 C10 C14:C16 C18 C48 C53:C56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86"/>
  <sheetViews>
    <sheetView zoomScale="150" zoomScaleNormal="150" workbookViewId="0">
      <selection activeCell="F78" sqref="F78"/>
    </sheetView>
  </sheetViews>
  <sheetFormatPr baseColWidth="10" defaultColWidth="8.83203125" defaultRowHeight="15" x14ac:dyDescent="0.2"/>
  <cols>
    <col min="1" max="1" width="0.83203125" customWidth="1"/>
    <col min="2" max="2" width="8.5" customWidth="1"/>
    <col min="3" max="3" width="14" customWidth="1"/>
    <col min="4" max="4" width="7.6640625" customWidth="1"/>
    <col min="5" max="5" width="16.1640625" customWidth="1"/>
    <col min="6" max="6" width="18" customWidth="1"/>
    <col min="7" max="8" width="18.5" customWidth="1"/>
    <col min="9" max="10" width="15.33203125" customWidth="1"/>
    <col min="11" max="11" width="15.6640625" customWidth="1"/>
    <col min="12" max="12" width="14.33203125" customWidth="1"/>
    <col min="13" max="13" width="15.33203125" customWidth="1"/>
    <col min="14" max="14" width="15.5" customWidth="1"/>
    <col min="15" max="16" width="16" customWidth="1"/>
    <col min="17" max="17" width="15.6640625" customWidth="1"/>
    <col min="18" max="18" width="15.33203125" customWidth="1"/>
    <col min="19" max="19" width="15.83203125" customWidth="1"/>
  </cols>
  <sheetData>
    <row r="1" spans="1:19" ht="5" customHeight="1" thickBot="1" x14ac:dyDescent="0.25">
      <c r="D1" s="298"/>
      <c r="E1" s="327"/>
      <c r="F1" s="327"/>
      <c r="G1" s="327"/>
      <c r="H1" s="327"/>
      <c r="I1" s="327"/>
      <c r="J1" s="327"/>
      <c r="K1" s="327"/>
      <c r="L1" s="327"/>
      <c r="M1" s="327"/>
    </row>
    <row r="2" spans="1:19" ht="49" customHeight="1" thickBot="1" x14ac:dyDescent="0.25">
      <c r="A2" s="298"/>
      <c r="B2" s="112" t="s">
        <v>80</v>
      </c>
      <c r="C2" s="112" t="s">
        <v>207</v>
      </c>
      <c r="D2" s="112" t="s">
        <v>81</v>
      </c>
      <c r="E2" s="185" t="s">
        <v>82</v>
      </c>
      <c r="F2" s="113" t="s">
        <v>83</v>
      </c>
      <c r="G2" s="113" t="s">
        <v>84</v>
      </c>
      <c r="H2" s="113" t="s">
        <v>85</v>
      </c>
      <c r="I2" s="113" t="s">
        <v>86</v>
      </c>
      <c r="J2" s="114" t="s">
        <v>87</v>
      </c>
      <c r="K2" s="114" t="s">
        <v>88</v>
      </c>
      <c r="L2" s="115" t="s">
        <v>89</v>
      </c>
      <c r="M2" s="116" t="s">
        <v>90</v>
      </c>
      <c r="N2" s="116" t="s">
        <v>91</v>
      </c>
      <c r="O2" s="116" t="s">
        <v>92</v>
      </c>
      <c r="P2" s="116" t="s">
        <v>93</v>
      </c>
      <c r="Q2" s="116" t="s">
        <v>94</v>
      </c>
      <c r="R2" s="116" t="s">
        <v>95</v>
      </c>
      <c r="S2" s="116" t="s">
        <v>96</v>
      </c>
    </row>
    <row r="3" spans="1:19" ht="16" customHeight="1" thickBot="1" x14ac:dyDescent="0.25">
      <c r="A3" s="327"/>
      <c r="B3" s="2"/>
      <c r="C3" s="2"/>
      <c r="D3" s="341"/>
      <c r="E3" s="335"/>
      <c r="F3" s="335"/>
      <c r="G3" s="335"/>
      <c r="H3" s="335"/>
      <c r="I3" s="335"/>
      <c r="J3" s="335"/>
      <c r="K3" s="337"/>
      <c r="L3" s="336"/>
      <c r="M3" s="337"/>
    </row>
    <row r="4" spans="1:19" ht="16" thickBot="1" x14ac:dyDescent="0.25">
      <c r="A4" s="327"/>
      <c r="B4" s="111">
        <v>1</v>
      </c>
      <c r="C4" s="265">
        <v>12</v>
      </c>
      <c r="D4" s="224">
        <f>Resumen!C12</f>
        <v>20</v>
      </c>
      <c r="E4" s="224" t="s">
        <v>97</v>
      </c>
      <c r="F4" s="136">
        <f>Resumen!C27</f>
        <v>16144000</v>
      </c>
      <c r="G4" s="136">
        <f>Resumen!C28</f>
        <v>484320000</v>
      </c>
      <c r="H4" s="136">
        <f>Resumen!C29</f>
        <v>5811840000</v>
      </c>
      <c r="I4" s="136">
        <f>'Flow Detail (24 meses)'!K12+'Flow Detail (24 meses)'!K13+'Flow Detail (24 meses)'!K14+'Flow Detail (24 meses)'!K16+'Flow Detail (24 meses)'!K17+'Flow Detail (24 meses)'!K18+'Flow Detail (24 meses)'!K19</f>
        <v>412751999.99999994</v>
      </c>
      <c r="J4" s="136">
        <f>I4*'Participaciones y Distribución '!C4</f>
        <v>288926399.99999994</v>
      </c>
      <c r="K4" s="136">
        <f>I4*'Participaciones y Distribución '!C5</f>
        <v>123825599.99999997</v>
      </c>
      <c r="L4" s="331">
        <f>H6</f>
        <v>20341440000</v>
      </c>
      <c r="M4" s="324">
        <f>H10</f>
        <v>43588800000</v>
      </c>
      <c r="N4" s="324">
        <f>H11</f>
        <v>130766400000</v>
      </c>
      <c r="O4" s="324">
        <f>H12</f>
        <v>217944000000</v>
      </c>
      <c r="P4" s="324">
        <f>H13</f>
        <v>326916000000</v>
      </c>
      <c r="Q4" s="324">
        <f>H14</f>
        <v>435888000000</v>
      </c>
      <c r="R4" s="324">
        <f>H15</f>
        <v>610243200000</v>
      </c>
      <c r="S4" s="319">
        <f>H16</f>
        <v>784598400000</v>
      </c>
    </row>
    <row r="5" spans="1:19" x14ac:dyDescent="0.2">
      <c r="A5" s="327"/>
      <c r="B5" s="109">
        <v>2</v>
      </c>
      <c r="C5" s="215">
        <v>12</v>
      </c>
      <c r="D5" s="117">
        <f>Resumen!E12</f>
        <v>30</v>
      </c>
      <c r="E5" s="117" t="s">
        <v>97</v>
      </c>
      <c r="F5" s="4">
        <f>Resumen!E27</f>
        <v>24216000</v>
      </c>
      <c r="G5" s="4">
        <f>Resumen!E28</f>
        <v>726480000</v>
      </c>
      <c r="H5" s="4">
        <f>Resumen!E29</f>
        <v>8717760000</v>
      </c>
      <c r="I5" s="4">
        <f>'Flow Detail (24 meses)'!K23+'Flow Detail (24 meses)'!K24+'Flow Detail (24 meses)'!K25+'Flow Detail (24 meses)'!K26+'Flow Detail (24 meses)'!K28+'Flow Detail (24 meses)'!K29+'Flow Detail (24 meses)'!K30+'Flow Detail (24 meses)'!K31+'Flow Detail (24 meses)'!K33+'Flow Detail (24 meses)'!K34+'Flow Detail (24 meses)'!K35+'Flow Detail (24 meses)'!K36</f>
        <v>936480000</v>
      </c>
      <c r="J5" s="4">
        <f>I5*'Participaciones y Distribución '!C4</f>
        <v>655536000</v>
      </c>
      <c r="K5" s="4">
        <f>I5*'Participaciones y Distribución '!C5</f>
        <v>280944000</v>
      </c>
      <c r="L5" s="332"/>
      <c r="M5" s="325"/>
      <c r="N5" s="325"/>
      <c r="O5" s="325"/>
      <c r="P5" s="325"/>
      <c r="Q5" s="325"/>
      <c r="R5" s="325"/>
      <c r="S5" s="320"/>
    </row>
    <row r="6" spans="1:19" x14ac:dyDescent="0.2">
      <c r="A6" s="327"/>
      <c r="B6" s="109">
        <v>3</v>
      </c>
      <c r="C6" s="215">
        <v>15</v>
      </c>
      <c r="D6" s="117">
        <f>Resumen!F12</f>
        <v>70</v>
      </c>
      <c r="E6" s="117" t="s">
        <v>97</v>
      </c>
      <c r="F6" s="4">
        <f>Resumen!F27</f>
        <v>56504000</v>
      </c>
      <c r="G6" s="4">
        <f>Resumen!F28</f>
        <v>1695120000</v>
      </c>
      <c r="H6" s="4">
        <f>Resumen!F29</f>
        <v>20341440000</v>
      </c>
      <c r="I6" s="4">
        <f>'Flow Detail (24 meses)'!K45</f>
        <v>11005208000</v>
      </c>
      <c r="J6" s="4">
        <f>I6*'Participaciones y Distribución '!C4</f>
        <v>7703645599.999999</v>
      </c>
      <c r="K6" s="4">
        <f>I6*'Participaciones y Distribución '!C5</f>
        <v>3301562400</v>
      </c>
      <c r="L6" s="332"/>
      <c r="M6" s="325"/>
      <c r="N6" s="325"/>
      <c r="O6" s="325"/>
      <c r="P6" s="325"/>
      <c r="Q6" s="325"/>
      <c r="R6" s="325"/>
      <c r="S6" s="320"/>
    </row>
    <row r="7" spans="1:19" ht="16" customHeight="1" thickBot="1" x14ac:dyDescent="0.25">
      <c r="A7" s="327"/>
      <c r="B7" s="339"/>
      <c r="C7" s="340"/>
      <c r="D7" s="340"/>
      <c r="E7" s="340"/>
      <c r="F7" s="340"/>
      <c r="G7" s="340"/>
      <c r="H7" s="340"/>
      <c r="I7" s="340"/>
      <c r="J7" s="340"/>
      <c r="K7" s="340"/>
      <c r="L7" s="332"/>
      <c r="M7" s="325"/>
      <c r="N7" s="325"/>
      <c r="O7" s="325"/>
      <c r="P7" s="325"/>
      <c r="Q7" s="325"/>
      <c r="R7" s="325"/>
      <c r="S7" s="320"/>
    </row>
    <row r="8" spans="1:19" ht="16" customHeight="1" thickBot="1" x14ac:dyDescent="0.25">
      <c r="A8" s="327"/>
      <c r="B8" s="342" t="s">
        <v>98</v>
      </c>
      <c r="C8" s="314"/>
      <c r="D8" s="314"/>
      <c r="E8" s="314"/>
      <c r="F8" s="314"/>
      <c r="G8" s="314"/>
      <c r="H8" s="314"/>
      <c r="I8" s="314"/>
      <c r="J8" s="314"/>
      <c r="K8" s="314"/>
      <c r="L8" s="332"/>
      <c r="M8" s="325"/>
      <c r="N8" s="325"/>
      <c r="O8" s="325"/>
      <c r="P8" s="325"/>
      <c r="Q8" s="325"/>
      <c r="R8" s="325"/>
      <c r="S8" s="320"/>
    </row>
    <row r="9" spans="1:19" x14ac:dyDescent="0.2">
      <c r="A9" s="327"/>
      <c r="B9" s="349"/>
      <c r="C9" s="350"/>
      <c r="D9" s="350"/>
      <c r="E9" s="350"/>
      <c r="F9" s="350"/>
      <c r="G9" s="350"/>
      <c r="H9" s="350"/>
      <c r="I9" s="350"/>
      <c r="J9" s="350"/>
      <c r="K9" s="350"/>
      <c r="L9" s="332"/>
      <c r="M9" s="325"/>
      <c r="N9" s="325"/>
      <c r="O9" s="325"/>
      <c r="P9" s="325"/>
      <c r="Q9" s="325"/>
      <c r="R9" s="325"/>
      <c r="S9" s="320"/>
    </row>
    <row r="10" spans="1:19" x14ac:dyDescent="0.2">
      <c r="A10" s="327"/>
      <c r="B10" s="109">
        <v>4</v>
      </c>
      <c r="C10" s="215">
        <v>18</v>
      </c>
      <c r="D10" s="117">
        <f>Resumen!G12</f>
        <v>150</v>
      </c>
      <c r="E10" s="117" t="s">
        <v>99</v>
      </c>
      <c r="F10" s="4">
        <f>Resumen!G27</f>
        <v>121080000</v>
      </c>
      <c r="G10" s="4">
        <f>Resumen!G28</f>
        <v>3632400000</v>
      </c>
      <c r="H10" s="4">
        <f>Resumen!G29</f>
        <v>43588800000</v>
      </c>
      <c r="I10" s="4">
        <f>'Flow Detail (24 meses)'!K46</f>
        <v>27822959999.999996</v>
      </c>
      <c r="J10" s="4">
        <f>I10*'Participaciones y Distribución '!C4</f>
        <v>19476071999.999996</v>
      </c>
      <c r="K10" s="4">
        <f>I10*'Participaciones y Distribución '!C5</f>
        <v>8346887999.9999981</v>
      </c>
      <c r="L10" s="332"/>
      <c r="M10" s="325"/>
      <c r="N10" s="325"/>
      <c r="O10" s="325"/>
      <c r="P10" s="325"/>
      <c r="Q10" s="325"/>
      <c r="R10" s="325"/>
      <c r="S10" s="320"/>
    </row>
    <row r="11" spans="1:19" x14ac:dyDescent="0.2">
      <c r="B11" s="109">
        <v>5</v>
      </c>
      <c r="C11" s="215">
        <v>21</v>
      </c>
      <c r="D11" s="117">
        <f>Resumen!H12</f>
        <v>300</v>
      </c>
      <c r="E11" s="117" t="s">
        <v>99</v>
      </c>
      <c r="F11" s="4">
        <f>Resumen!H27</f>
        <v>363240000</v>
      </c>
      <c r="G11" s="4">
        <f>Resumen!H28</f>
        <v>10897200000</v>
      </c>
      <c r="H11" s="4">
        <f>Resumen!H29</f>
        <v>130766400000</v>
      </c>
      <c r="I11" s="4">
        <f>'Flow Detail (24 meses)'!K47</f>
        <v>87647280000</v>
      </c>
      <c r="J11" s="4">
        <f>I11*'Participaciones y Distribución '!C4</f>
        <v>61353095999.999992</v>
      </c>
      <c r="K11" s="4">
        <f>I11*'Participaciones y Distribución '!C5</f>
        <v>26294184000</v>
      </c>
      <c r="L11" s="332"/>
      <c r="M11" s="325"/>
      <c r="N11" s="325"/>
      <c r="O11" s="325"/>
      <c r="P11" s="325"/>
      <c r="Q11" s="325"/>
      <c r="R11" s="325"/>
      <c r="S11" s="320"/>
    </row>
    <row r="12" spans="1:19" x14ac:dyDescent="0.2">
      <c r="B12" s="109">
        <v>6</v>
      </c>
      <c r="C12" s="215">
        <v>28</v>
      </c>
      <c r="D12" s="117">
        <f>Resumen!I12</f>
        <v>500</v>
      </c>
      <c r="E12" s="117" t="s">
        <v>100</v>
      </c>
      <c r="F12" s="4">
        <f>Resumen!I27</f>
        <v>605400000</v>
      </c>
      <c r="G12" s="4">
        <f>Resumen!I28</f>
        <v>18162000000</v>
      </c>
      <c r="H12" s="4">
        <f>Resumen!I29</f>
        <v>217944000000</v>
      </c>
      <c r="I12" s="4">
        <f t="array" ref="I12:I16">'Flow Detail (24 meses)'!K48:K52</f>
        <v>147504840000</v>
      </c>
      <c r="J12" s="4">
        <f>I12*'Participaciones y Distribución '!C4</f>
        <v>103253388000</v>
      </c>
      <c r="K12" s="4">
        <f>I12*'Participaciones y Distribución '!C5</f>
        <v>44251452000</v>
      </c>
      <c r="L12" s="332"/>
      <c r="M12" s="325"/>
      <c r="N12" s="325"/>
      <c r="O12" s="325"/>
      <c r="P12" s="325"/>
      <c r="Q12" s="325"/>
      <c r="R12" s="325"/>
      <c r="S12" s="320"/>
    </row>
    <row r="13" spans="1:19" x14ac:dyDescent="0.2">
      <c r="B13" s="109">
        <v>7</v>
      </c>
      <c r="C13" s="215">
        <v>35</v>
      </c>
      <c r="D13" s="117">
        <f>Resumen!J12</f>
        <v>750</v>
      </c>
      <c r="E13" s="117" t="s">
        <v>100</v>
      </c>
      <c r="F13" s="4">
        <f>Resumen!J27</f>
        <v>908100000</v>
      </c>
      <c r="G13" s="4">
        <f>Resumen!J28</f>
        <v>27243000000</v>
      </c>
      <c r="H13" s="4">
        <f>Resumen!J29</f>
        <v>326916000000</v>
      </c>
      <c r="I13" s="4">
        <v>222585240000</v>
      </c>
      <c r="J13" s="4">
        <f>I13*'Participaciones y Distribución '!C4</f>
        <v>155809668000</v>
      </c>
      <c r="K13" s="4">
        <f>I13*'Participaciones y Distribución '!C5</f>
        <v>66775572000</v>
      </c>
      <c r="L13" s="332"/>
      <c r="M13" s="325"/>
      <c r="N13" s="325"/>
      <c r="O13" s="325"/>
      <c r="P13" s="325"/>
      <c r="Q13" s="325"/>
      <c r="R13" s="325"/>
      <c r="S13" s="320"/>
    </row>
    <row r="14" spans="1:19" x14ac:dyDescent="0.2">
      <c r="B14" s="109">
        <v>8</v>
      </c>
      <c r="C14" s="215">
        <v>65</v>
      </c>
      <c r="D14" s="117">
        <f>Resumen!K12</f>
        <v>1000</v>
      </c>
      <c r="E14" s="117" t="s">
        <v>101</v>
      </c>
      <c r="F14" s="4">
        <f>Resumen!K27</f>
        <v>1210800000</v>
      </c>
      <c r="G14" s="4">
        <f>Resumen!K28</f>
        <v>36324000000</v>
      </c>
      <c r="H14" s="4">
        <f>Resumen!K29</f>
        <v>435888000000</v>
      </c>
      <c r="I14" s="4">
        <v>253043040000</v>
      </c>
      <c r="J14" s="4">
        <f>I14*'Participaciones y Distribución '!C4</f>
        <v>177130128000</v>
      </c>
      <c r="K14" s="4">
        <f>I14*'Participaciones y Distribución '!C5</f>
        <v>75912912000</v>
      </c>
      <c r="L14" s="332"/>
      <c r="M14" s="325"/>
      <c r="N14" s="325"/>
      <c r="O14" s="325"/>
      <c r="P14" s="325"/>
      <c r="Q14" s="325"/>
      <c r="R14" s="325"/>
      <c r="S14" s="320"/>
    </row>
    <row r="15" spans="1:19" x14ac:dyDescent="0.2">
      <c r="B15" s="109">
        <v>9</v>
      </c>
      <c r="C15" s="215">
        <v>95</v>
      </c>
      <c r="D15" s="117">
        <f>Resumen!L12</f>
        <v>1400</v>
      </c>
      <c r="E15" s="117" t="s">
        <v>101</v>
      </c>
      <c r="F15" s="4">
        <f>Resumen!L27</f>
        <v>1695120000</v>
      </c>
      <c r="G15" s="4">
        <f>Resumen!L28</f>
        <v>50853600000</v>
      </c>
      <c r="H15" s="4">
        <f>Resumen!L29</f>
        <v>610243200000</v>
      </c>
      <c r="I15" s="4">
        <v>355958208000</v>
      </c>
      <c r="J15" s="4">
        <f>I15*'Participaciones y Distribución '!C4</f>
        <v>249170745599.99997</v>
      </c>
      <c r="K15" s="4">
        <f>I15*'Participaciones y Distribución '!C5</f>
        <v>106787462400</v>
      </c>
      <c r="L15" s="332"/>
      <c r="M15" s="325"/>
      <c r="N15" s="325"/>
      <c r="O15" s="325"/>
      <c r="P15" s="325"/>
      <c r="Q15" s="325"/>
      <c r="R15" s="325"/>
      <c r="S15" s="320"/>
    </row>
    <row r="16" spans="1:19" ht="16" customHeight="1" thickBot="1" x14ac:dyDescent="0.25">
      <c r="B16" s="110">
        <v>10</v>
      </c>
      <c r="C16" s="266">
        <v>120</v>
      </c>
      <c r="D16" s="225">
        <f>Resumen!M12</f>
        <v>1800</v>
      </c>
      <c r="E16" s="225" t="s">
        <v>101</v>
      </c>
      <c r="F16" s="140">
        <f>Resumen!M27</f>
        <v>2179440000</v>
      </c>
      <c r="G16" s="140">
        <f>Resumen!M28</f>
        <v>65383200000</v>
      </c>
      <c r="H16" s="140">
        <f>Resumen!M29</f>
        <v>784598400000</v>
      </c>
      <c r="I16" s="140">
        <v>458337528000</v>
      </c>
      <c r="J16" s="140">
        <f>I16*'Participaciones y Distribución '!C4</f>
        <v>320836269600</v>
      </c>
      <c r="K16" s="140">
        <f>I16*'Participaciones y Distribución '!C5</f>
        <v>137501258400</v>
      </c>
      <c r="L16" s="333"/>
      <c r="M16" s="326"/>
      <c r="N16" s="326"/>
      <c r="O16" s="326"/>
      <c r="P16" s="326"/>
      <c r="Q16" s="326"/>
      <c r="R16" s="326"/>
      <c r="S16" s="321"/>
    </row>
    <row r="17" spans="2:19" x14ac:dyDescent="0.2">
      <c r="M17" s="1"/>
    </row>
    <row r="18" spans="2:19" ht="16" customHeight="1" thickBot="1" x14ac:dyDescent="0.25"/>
    <row r="19" spans="2:19" ht="16" customHeight="1" thickBot="1" x14ac:dyDescent="0.25">
      <c r="B19" s="313" t="s">
        <v>102</v>
      </c>
      <c r="C19" s="314"/>
      <c r="D19" s="314"/>
      <c r="E19" s="315"/>
      <c r="J19" s="3"/>
    </row>
    <row r="20" spans="2:19" ht="16" customHeight="1" thickBot="1" x14ac:dyDescent="0.25">
      <c r="B20" s="217"/>
      <c r="C20" s="217"/>
      <c r="D20" s="334"/>
      <c r="E20" s="335"/>
    </row>
    <row r="21" spans="2:19" x14ac:dyDescent="0.2">
      <c r="B21" s="226">
        <v>1</v>
      </c>
      <c r="C21" s="267"/>
      <c r="D21" s="330" t="s">
        <v>103</v>
      </c>
      <c r="E21" s="323"/>
      <c r="J21" s="258"/>
    </row>
    <row r="22" spans="2:19" x14ac:dyDescent="0.2">
      <c r="B22" s="227">
        <v>2</v>
      </c>
      <c r="C22" s="268"/>
      <c r="D22" s="312" t="str">
        <f>'Detalle comunas'!C5</f>
        <v>Taltal</v>
      </c>
      <c r="E22" s="311"/>
      <c r="J22" s="258"/>
    </row>
    <row r="23" spans="2:19" x14ac:dyDescent="0.2">
      <c r="B23" s="227">
        <v>3</v>
      </c>
      <c r="C23" s="268"/>
      <c r="D23" s="312" t="str">
        <f>'Detalle comunas'!C6</f>
        <v>Copiapó</v>
      </c>
      <c r="E23" s="311"/>
      <c r="H23" s="2"/>
      <c r="I23" s="2"/>
      <c r="J23" s="258"/>
    </row>
    <row r="24" spans="2:19" x14ac:dyDescent="0.2">
      <c r="B24" s="227">
        <v>4</v>
      </c>
      <c r="C24" s="268"/>
      <c r="D24" s="312" t="str">
        <f>'Detalle comunas'!C7</f>
        <v>Tierra Amarilla</v>
      </c>
      <c r="E24" s="311"/>
      <c r="G24" s="2"/>
      <c r="H24" s="2"/>
      <c r="I24" s="2"/>
      <c r="J24" s="258"/>
    </row>
    <row r="25" spans="2:19" x14ac:dyDescent="0.2">
      <c r="B25" s="227">
        <v>5</v>
      </c>
      <c r="C25" s="268"/>
      <c r="D25" s="312" t="str">
        <f>'Detalle comunas'!C8</f>
        <v>Caldera</v>
      </c>
      <c r="E25" s="311"/>
      <c r="G25" s="2"/>
      <c r="H25" s="2"/>
      <c r="I25" s="2"/>
      <c r="J25" s="258"/>
    </row>
    <row r="26" spans="2:19" x14ac:dyDescent="0.2">
      <c r="B26" s="227">
        <v>6</v>
      </c>
      <c r="C26" s="268"/>
      <c r="D26" s="312" t="str">
        <f>'Detalle comunas'!C9</f>
        <v>Chañaral</v>
      </c>
      <c r="E26" s="311"/>
      <c r="G26" s="2"/>
      <c r="H26" s="2"/>
      <c r="I26" s="2"/>
      <c r="M26" s="2"/>
      <c r="N26" s="2"/>
      <c r="O26" s="2"/>
      <c r="P26" s="2"/>
      <c r="Q26" s="2"/>
      <c r="R26" s="2"/>
      <c r="S26" s="2"/>
    </row>
    <row r="27" spans="2:19" x14ac:dyDescent="0.2">
      <c r="B27" s="227">
        <v>7</v>
      </c>
      <c r="C27" s="268"/>
      <c r="D27" s="312" t="str">
        <f>'Detalle comunas'!C10</f>
        <v>Diego de Almagro</v>
      </c>
      <c r="E27" s="311"/>
      <c r="L27" s="2"/>
      <c r="M27" s="2"/>
      <c r="N27" s="2"/>
      <c r="O27" s="2"/>
      <c r="P27" s="2"/>
      <c r="Q27" s="2"/>
      <c r="R27" s="2"/>
      <c r="S27" s="2"/>
    </row>
    <row r="28" spans="2:19" x14ac:dyDescent="0.2">
      <c r="B28" s="227">
        <v>8</v>
      </c>
      <c r="C28" s="268"/>
      <c r="D28" s="312" t="str">
        <f>'Detalle comunas'!C11</f>
        <v>Coquimbo</v>
      </c>
      <c r="E28" s="311"/>
      <c r="L28" s="2"/>
      <c r="M28" s="2"/>
      <c r="N28" s="2"/>
      <c r="O28" s="2"/>
      <c r="P28" s="2"/>
      <c r="Q28" s="2"/>
      <c r="R28" s="2"/>
      <c r="S28" s="2"/>
    </row>
    <row r="29" spans="2:19" x14ac:dyDescent="0.2">
      <c r="B29" s="227">
        <v>9</v>
      </c>
      <c r="C29" s="268"/>
      <c r="D29" s="312" t="str">
        <f>'Detalle comunas'!C12</f>
        <v>Iquique</v>
      </c>
      <c r="E29" s="311"/>
      <c r="L29" s="2"/>
      <c r="M29" s="2"/>
      <c r="N29" s="2"/>
      <c r="O29" s="2"/>
      <c r="P29" s="2"/>
      <c r="Q29" s="2"/>
      <c r="R29" s="2"/>
      <c r="S29" s="2"/>
    </row>
    <row r="30" spans="2:19" x14ac:dyDescent="0.2">
      <c r="B30" s="227">
        <v>10</v>
      </c>
      <c r="C30" s="268"/>
      <c r="D30" s="312" t="str">
        <f>'Detalle comunas'!C13</f>
        <v>La Serena</v>
      </c>
      <c r="E30" s="311"/>
    </row>
    <row r="31" spans="2:19" x14ac:dyDescent="0.2">
      <c r="B31" s="227">
        <v>11</v>
      </c>
      <c r="C31" s="268"/>
      <c r="D31" s="312" t="str">
        <f>'Detalle comunas'!C14</f>
        <v>La Calera</v>
      </c>
      <c r="E31" s="311"/>
    </row>
    <row r="32" spans="2:19" x14ac:dyDescent="0.2">
      <c r="B32" s="227">
        <v>12</v>
      </c>
      <c r="C32" s="268"/>
      <c r="D32" s="312" t="str">
        <f>'Detalle comunas'!C15</f>
        <v>La Ligua</v>
      </c>
      <c r="E32" s="311"/>
    </row>
    <row r="33" spans="2:11" x14ac:dyDescent="0.2">
      <c r="B33" s="227">
        <v>13</v>
      </c>
      <c r="C33" s="268"/>
      <c r="D33" s="312" t="str">
        <f>'Detalle comunas'!C16</f>
        <v>Papudo</v>
      </c>
      <c r="E33" s="311"/>
    </row>
    <row r="34" spans="2:11" x14ac:dyDescent="0.2">
      <c r="B34" s="227">
        <v>14</v>
      </c>
      <c r="C34" s="268"/>
      <c r="D34" s="312" t="str">
        <f>'Detalle comunas'!C17</f>
        <v>Zapallar</v>
      </c>
      <c r="E34" s="311"/>
    </row>
    <row r="35" spans="2:11" ht="16" customHeight="1" thickBot="1" x14ac:dyDescent="0.25">
      <c r="B35" s="228">
        <v>15</v>
      </c>
      <c r="C35" s="269"/>
      <c r="D35" s="317" t="str">
        <f>'Detalle comunas'!C18</f>
        <v>Vallenar</v>
      </c>
      <c r="E35" s="318"/>
    </row>
    <row r="36" spans="2:11" x14ac:dyDescent="0.2">
      <c r="F36" s="1"/>
    </row>
    <row r="37" spans="2:11" ht="16" customHeight="1" thickBot="1" x14ac:dyDescent="0.25"/>
    <row r="38" spans="2:11" ht="16" customHeight="1" thickBot="1" x14ac:dyDescent="0.25">
      <c r="B38" s="313" t="s">
        <v>104</v>
      </c>
      <c r="C38" s="314"/>
      <c r="D38" s="314"/>
      <c r="E38" s="315"/>
    </row>
    <row r="39" spans="2:11" ht="16" customHeight="1" thickBot="1" x14ac:dyDescent="0.25">
      <c r="B39" s="217"/>
      <c r="C39" s="217"/>
      <c r="D39" s="334"/>
      <c r="E39" s="335"/>
      <c r="K39" s="1"/>
    </row>
    <row r="40" spans="2:11" x14ac:dyDescent="0.2">
      <c r="B40" s="263">
        <v>1</v>
      </c>
      <c r="C40" s="263"/>
      <c r="D40" s="346" t="s">
        <v>105</v>
      </c>
      <c r="E40" s="323"/>
    </row>
    <row r="41" spans="2:11" x14ac:dyDescent="0.2">
      <c r="B41" s="264">
        <v>2</v>
      </c>
      <c r="C41" s="264"/>
      <c r="D41" s="316" t="s">
        <v>106</v>
      </c>
      <c r="E41" s="311"/>
    </row>
    <row r="42" spans="2:11" x14ac:dyDescent="0.2">
      <c r="B42" s="264">
        <v>3</v>
      </c>
      <c r="C42" s="264"/>
      <c r="D42" s="316" t="s">
        <v>107</v>
      </c>
      <c r="E42" s="311"/>
    </row>
    <row r="43" spans="2:11" x14ac:dyDescent="0.2">
      <c r="B43" s="264">
        <v>4</v>
      </c>
      <c r="C43" s="264"/>
      <c r="D43" s="316" t="s">
        <v>108</v>
      </c>
      <c r="E43" s="311"/>
    </row>
    <row r="44" spans="2:11" x14ac:dyDescent="0.2">
      <c r="B44" s="264">
        <v>5</v>
      </c>
      <c r="C44" s="264"/>
      <c r="D44" s="316" t="s">
        <v>109</v>
      </c>
      <c r="E44" s="311"/>
    </row>
    <row r="45" spans="2:11" x14ac:dyDescent="0.2">
      <c r="B45" s="264">
        <v>6</v>
      </c>
      <c r="C45" s="264"/>
      <c r="D45" s="316" t="s">
        <v>110</v>
      </c>
      <c r="E45" s="311"/>
    </row>
    <row r="46" spans="2:11" x14ac:dyDescent="0.2">
      <c r="B46" s="264">
        <v>7</v>
      </c>
      <c r="C46" s="264"/>
      <c r="D46" s="316" t="s">
        <v>111</v>
      </c>
      <c r="E46" s="311"/>
    </row>
    <row r="47" spans="2:11" x14ac:dyDescent="0.2">
      <c r="B47" s="264">
        <v>8</v>
      </c>
      <c r="C47" s="264"/>
      <c r="D47" s="316" t="s">
        <v>112</v>
      </c>
      <c r="E47" s="311"/>
    </row>
    <row r="48" spans="2:11" ht="16" customHeight="1" thickBot="1" x14ac:dyDescent="0.25">
      <c r="B48" s="291">
        <v>9</v>
      </c>
      <c r="C48" s="291"/>
      <c r="D48" s="328" t="s">
        <v>113</v>
      </c>
      <c r="E48" s="318"/>
    </row>
    <row r="50" spans="2:10" ht="16" customHeight="1" thickBot="1" x14ac:dyDescent="0.25"/>
    <row r="51" spans="2:10" ht="16" customHeight="1" thickBot="1" x14ac:dyDescent="0.25">
      <c r="B51" s="313" t="s">
        <v>114</v>
      </c>
      <c r="C51" s="314"/>
      <c r="D51" s="314"/>
      <c r="E51" s="315"/>
    </row>
    <row r="52" spans="2:10" ht="16" customHeight="1" thickBot="1" x14ac:dyDescent="0.25">
      <c r="B52" s="217"/>
      <c r="C52" s="217"/>
      <c r="D52" s="334"/>
      <c r="E52" s="335"/>
    </row>
    <row r="53" spans="2:10" x14ac:dyDescent="0.2">
      <c r="B53" s="226">
        <v>1</v>
      </c>
      <c r="C53" s="267"/>
      <c r="D53" s="330" t="s">
        <v>115</v>
      </c>
      <c r="E53" s="323"/>
    </row>
    <row r="54" spans="2:10" x14ac:dyDescent="0.2">
      <c r="B54" s="227">
        <v>2</v>
      </c>
      <c r="C54" s="268"/>
      <c r="D54" s="312" t="s">
        <v>116</v>
      </c>
      <c r="E54" s="311"/>
    </row>
    <row r="55" spans="2:10" x14ac:dyDescent="0.2">
      <c r="B55" s="227">
        <v>3</v>
      </c>
      <c r="C55" s="268"/>
      <c r="D55" s="312" t="s">
        <v>117</v>
      </c>
      <c r="E55" s="311"/>
    </row>
    <row r="56" spans="2:10" x14ac:dyDescent="0.2">
      <c r="B56" s="227">
        <v>4</v>
      </c>
      <c r="C56" s="268"/>
      <c r="D56" s="312" t="s">
        <v>118</v>
      </c>
      <c r="E56" s="311"/>
    </row>
    <row r="57" spans="2:10" x14ac:dyDescent="0.2">
      <c r="B57" s="227">
        <v>5</v>
      </c>
      <c r="C57" s="268"/>
      <c r="D57" s="312" t="s">
        <v>119</v>
      </c>
      <c r="E57" s="311"/>
    </row>
    <row r="58" spans="2:10" x14ac:dyDescent="0.2">
      <c r="B58" s="227">
        <v>6</v>
      </c>
      <c r="C58" s="268"/>
      <c r="D58" s="312" t="s">
        <v>120</v>
      </c>
      <c r="E58" s="311"/>
    </row>
    <row r="59" spans="2:10" ht="16" customHeight="1" thickBot="1" x14ac:dyDescent="0.25">
      <c r="B59" s="228">
        <v>7</v>
      </c>
      <c r="C59" s="269"/>
      <c r="D59" s="317" t="s">
        <v>121</v>
      </c>
      <c r="E59" s="318"/>
    </row>
    <row r="60" spans="2:10" x14ac:dyDescent="0.2">
      <c r="B60" s="216"/>
      <c r="C60" s="216"/>
      <c r="D60" s="103"/>
      <c r="E60" s="103"/>
    </row>
    <row r="61" spans="2:10" ht="16" customHeight="1" thickBot="1" x14ac:dyDescent="0.25">
      <c r="B61" s="216"/>
      <c r="C61" s="216"/>
    </row>
    <row r="62" spans="2:10" ht="16" customHeight="1" thickBot="1" x14ac:dyDescent="0.25">
      <c r="B62" s="313" t="s">
        <v>122</v>
      </c>
      <c r="C62" s="314"/>
      <c r="D62" s="314"/>
      <c r="E62" s="315"/>
    </row>
    <row r="63" spans="2:10" ht="16" customHeight="1" thickBot="1" x14ac:dyDescent="0.25">
      <c r="B63" s="216"/>
      <c r="C63" s="216"/>
      <c r="D63" s="348"/>
      <c r="E63" s="327"/>
    </row>
    <row r="64" spans="2:10" x14ac:dyDescent="0.2">
      <c r="B64" s="226">
        <v>1</v>
      </c>
      <c r="C64" s="267"/>
      <c r="D64" s="330" t="s">
        <v>123</v>
      </c>
      <c r="E64" s="323"/>
      <c r="I64" s="2"/>
      <c r="J64" s="2"/>
    </row>
    <row r="65" spans="2:8" x14ac:dyDescent="0.2">
      <c r="B65" s="227">
        <v>2</v>
      </c>
      <c r="C65" s="268"/>
      <c r="D65" s="312" t="s">
        <v>124</v>
      </c>
      <c r="E65" s="311"/>
      <c r="H65" s="2"/>
    </row>
    <row r="66" spans="2:8" x14ac:dyDescent="0.2">
      <c r="B66" s="227">
        <v>3</v>
      </c>
      <c r="C66" s="268"/>
      <c r="D66" s="312" t="s">
        <v>125</v>
      </c>
      <c r="E66" s="311"/>
    </row>
    <row r="67" spans="2:8" x14ac:dyDescent="0.2">
      <c r="B67" s="227">
        <v>4</v>
      </c>
      <c r="C67" s="268"/>
      <c r="D67" s="312" t="s">
        <v>126</v>
      </c>
      <c r="E67" s="311"/>
    </row>
    <row r="68" spans="2:8" ht="16" customHeight="1" thickBot="1" x14ac:dyDescent="0.25">
      <c r="B68" s="228">
        <v>5</v>
      </c>
      <c r="C68" s="269"/>
      <c r="D68" s="317" t="s">
        <v>127</v>
      </c>
      <c r="E68" s="318"/>
    </row>
    <row r="70" spans="2:8" ht="16" customHeight="1" thickBot="1" x14ac:dyDescent="0.25"/>
    <row r="71" spans="2:8" ht="16" customHeight="1" thickBot="1" x14ac:dyDescent="0.25">
      <c r="B71" s="313" t="s">
        <v>128</v>
      </c>
      <c r="C71" s="314"/>
      <c r="D71" s="314"/>
      <c r="E71" s="315"/>
    </row>
    <row r="72" spans="2:8" ht="16" customHeight="1" thickBot="1" x14ac:dyDescent="0.25">
      <c r="B72" s="216"/>
      <c r="C72" s="216"/>
      <c r="D72" s="298"/>
      <c r="E72" s="327"/>
    </row>
    <row r="73" spans="2:8" x14ac:dyDescent="0.2">
      <c r="B73" s="226">
        <v>1</v>
      </c>
      <c r="C73" s="270"/>
      <c r="D73" s="322" t="s">
        <v>129</v>
      </c>
      <c r="E73" s="323"/>
    </row>
    <row r="74" spans="2:8" x14ac:dyDescent="0.2">
      <c r="B74" s="227">
        <v>2</v>
      </c>
      <c r="C74" s="271"/>
      <c r="D74" s="329" t="s">
        <v>130</v>
      </c>
      <c r="E74" s="311"/>
    </row>
    <row r="75" spans="2:8" x14ac:dyDescent="0.2">
      <c r="B75" s="227">
        <v>3</v>
      </c>
      <c r="C75" s="271"/>
      <c r="D75" s="329" t="s">
        <v>131</v>
      </c>
      <c r="E75" s="311"/>
    </row>
    <row r="76" spans="2:8" x14ac:dyDescent="0.2">
      <c r="B76" s="227">
        <v>4</v>
      </c>
      <c r="C76" s="268"/>
      <c r="D76" s="312" t="s">
        <v>132</v>
      </c>
      <c r="E76" s="311"/>
    </row>
    <row r="77" spans="2:8" ht="16" customHeight="1" thickBot="1" x14ac:dyDescent="0.25">
      <c r="B77" s="228">
        <v>5</v>
      </c>
      <c r="C77" s="269"/>
      <c r="D77" s="317" t="s">
        <v>133</v>
      </c>
      <c r="E77" s="318"/>
    </row>
    <row r="79" spans="2:8" ht="16" customHeight="1" thickBot="1" x14ac:dyDescent="0.25"/>
    <row r="80" spans="2:8" ht="16" customHeight="1" thickBot="1" x14ac:dyDescent="0.25">
      <c r="B80" s="344" t="s">
        <v>134</v>
      </c>
      <c r="C80" s="314"/>
      <c r="D80" s="314"/>
      <c r="E80" s="345"/>
    </row>
    <row r="81" spans="2:5" ht="16" customHeight="1" thickBot="1" x14ac:dyDescent="0.25">
      <c r="B81" s="259"/>
      <c r="C81" s="259"/>
      <c r="D81" s="343"/>
      <c r="E81" s="314"/>
    </row>
    <row r="82" spans="2:5" x14ac:dyDescent="0.2">
      <c r="B82" s="260">
        <v>1</v>
      </c>
      <c r="C82" s="272"/>
      <c r="D82" s="347" t="s">
        <v>135</v>
      </c>
      <c r="E82" s="323"/>
    </row>
    <row r="83" spans="2:5" x14ac:dyDescent="0.2">
      <c r="B83" s="261">
        <v>2</v>
      </c>
      <c r="C83" s="273"/>
      <c r="D83" s="310" t="s">
        <v>136</v>
      </c>
      <c r="E83" s="311"/>
    </row>
    <row r="84" spans="2:5" x14ac:dyDescent="0.2">
      <c r="B84" s="261">
        <v>3</v>
      </c>
      <c r="C84" s="273"/>
      <c r="D84" s="310" t="s">
        <v>137</v>
      </c>
      <c r="E84" s="311"/>
    </row>
    <row r="85" spans="2:5" x14ac:dyDescent="0.2">
      <c r="B85" s="261">
        <v>4</v>
      </c>
      <c r="C85" s="273"/>
      <c r="D85" s="310" t="s">
        <v>138</v>
      </c>
      <c r="E85" s="311"/>
    </row>
    <row r="86" spans="2:5" ht="16" customHeight="1" thickBot="1" x14ac:dyDescent="0.25">
      <c r="B86" s="262">
        <v>5</v>
      </c>
      <c r="C86" s="274"/>
      <c r="D86" s="338" t="s">
        <v>139</v>
      </c>
      <c r="E86" s="318"/>
    </row>
  </sheetData>
  <mergeCells count="73">
    <mergeCell ref="A2:A10"/>
    <mergeCell ref="D31:E31"/>
    <mergeCell ref="D65:E65"/>
    <mergeCell ref="D45:E45"/>
    <mergeCell ref="D21:E21"/>
    <mergeCell ref="D30:E30"/>
    <mergeCell ref="D55:E55"/>
    <mergeCell ref="D33:E33"/>
    <mergeCell ref="D42:E42"/>
    <mergeCell ref="D64:E64"/>
    <mergeCell ref="D46:E46"/>
    <mergeCell ref="D22:E22"/>
    <mergeCell ref="B51:E51"/>
    <mergeCell ref="D40:E40"/>
    <mergeCell ref="D20:E20"/>
    <mergeCell ref="D34:E34"/>
    <mergeCell ref="L3:M3"/>
    <mergeCell ref="D77:E77"/>
    <mergeCell ref="O4:O16"/>
    <mergeCell ref="D52:E52"/>
    <mergeCell ref="D86:E86"/>
    <mergeCell ref="D57:E57"/>
    <mergeCell ref="D76:E76"/>
    <mergeCell ref="D27:E27"/>
    <mergeCell ref="B62:E62"/>
    <mergeCell ref="D32:E32"/>
    <mergeCell ref="B7:K7"/>
    <mergeCell ref="D83:E83"/>
    <mergeCell ref="D3:K3"/>
    <mergeCell ref="D74:E74"/>
    <mergeCell ref="M4:M16"/>
    <mergeCell ref="B8:K8"/>
    <mergeCell ref="D1:M1"/>
    <mergeCell ref="D41:E41"/>
    <mergeCell ref="D66:E66"/>
    <mergeCell ref="D48:E48"/>
    <mergeCell ref="D75:E75"/>
    <mergeCell ref="D53:E53"/>
    <mergeCell ref="D47:E47"/>
    <mergeCell ref="L4:L16"/>
    <mergeCell ref="B71:E71"/>
    <mergeCell ref="D72:E72"/>
    <mergeCell ref="D43:E43"/>
    <mergeCell ref="D28:E28"/>
    <mergeCell ref="D56:E56"/>
    <mergeCell ref="D58:E58"/>
    <mergeCell ref="D39:E39"/>
    <mergeCell ref="D25:E25"/>
    <mergeCell ref="S4:S16"/>
    <mergeCell ref="D24:E24"/>
    <mergeCell ref="D73:E73"/>
    <mergeCell ref="D67:E67"/>
    <mergeCell ref="B38:E38"/>
    <mergeCell ref="N4:N16"/>
    <mergeCell ref="D23:E23"/>
    <mergeCell ref="D29:E29"/>
    <mergeCell ref="D68:E68"/>
    <mergeCell ref="P4:P16"/>
    <mergeCell ref="R4:R16"/>
    <mergeCell ref="D63:E63"/>
    <mergeCell ref="B9:K9"/>
    <mergeCell ref="Q4:Q16"/>
    <mergeCell ref="D85:E85"/>
    <mergeCell ref="D54:E54"/>
    <mergeCell ref="B19:E19"/>
    <mergeCell ref="D26:E26"/>
    <mergeCell ref="D44:E44"/>
    <mergeCell ref="D59:E59"/>
    <mergeCell ref="D35:E35"/>
    <mergeCell ref="D81:E81"/>
    <mergeCell ref="D84:E84"/>
    <mergeCell ref="B80:E80"/>
    <mergeCell ref="D82:E82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G34"/>
  <sheetViews>
    <sheetView topLeftCell="A11" zoomScale="140" zoomScaleNormal="140" workbookViewId="0">
      <selection activeCell="L17" sqref="L17"/>
    </sheetView>
  </sheetViews>
  <sheetFormatPr baseColWidth="10" defaultRowHeight="15" x14ac:dyDescent="0.2"/>
  <cols>
    <col min="1" max="1" width="0.5" customWidth="1"/>
    <col min="2" max="2" width="5.6640625" style="2" customWidth="1"/>
    <col min="3" max="3" width="14.5" customWidth="1"/>
    <col min="4" max="4" width="14.83203125" customWidth="1"/>
    <col min="5" max="5" width="17.1640625" customWidth="1"/>
    <col min="6" max="6" width="15.33203125" customWidth="1"/>
    <col min="7" max="7" width="20" customWidth="1"/>
    <col min="8" max="8" width="20.1640625" customWidth="1"/>
  </cols>
  <sheetData>
    <row r="1" spans="2:7" ht="2" customHeight="1" thickBot="1" x14ac:dyDescent="0.25"/>
    <row r="2" spans="2:7" ht="16" thickBot="1" x14ac:dyDescent="0.25">
      <c r="B2" s="18" t="s">
        <v>140</v>
      </c>
      <c r="C2" s="292" t="s">
        <v>141</v>
      </c>
      <c r="D2" s="292" t="s">
        <v>142</v>
      </c>
      <c r="E2" s="292" t="s">
        <v>143</v>
      </c>
      <c r="F2" s="292" t="s">
        <v>144</v>
      </c>
      <c r="G2" s="293" t="s">
        <v>145</v>
      </c>
    </row>
    <row r="3" spans="2:7" ht="16" customHeight="1" x14ac:dyDescent="0.2"/>
    <row r="4" spans="2:7" ht="16" customHeight="1" thickBot="1" x14ac:dyDescent="0.25">
      <c r="B4">
        <v>1</v>
      </c>
      <c r="C4" s="415">
        <v>406100000</v>
      </c>
      <c r="D4" s="415">
        <v>0</v>
      </c>
      <c r="E4" s="415">
        <v>-406100000</v>
      </c>
      <c r="F4" s="415">
        <v>-406100000</v>
      </c>
      <c r="G4" s="415">
        <v>0</v>
      </c>
    </row>
    <row r="5" spans="2:7" x14ac:dyDescent="0.2">
      <c r="B5">
        <v>2</v>
      </c>
      <c r="C5" s="415">
        <v>406100000</v>
      </c>
      <c r="D5" s="415">
        <v>0</v>
      </c>
      <c r="E5" s="415">
        <v>-406100000</v>
      </c>
      <c r="F5" s="415">
        <v>-812200000</v>
      </c>
      <c r="G5" s="415">
        <v>0</v>
      </c>
    </row>
    <row r="6" spans="2:7" x14ac:dyDescent="0.2">
      <c r="B6">
        <v>3</v>
      </c>
      <c r="C6" s="415">
        <v>124100000</v>
      </c>
      <c r="D6" s="415">
        <v>0</v>
      </c>
      <c r="E6" s="415">
        <v>-124100000</v>
      </c>
      <c r="F6" s="415">
        <v>-936300000</v>
      </c>
      <c r="G6" s="415">
        <v>0</v>
      </c>
    </row>
    <row r="7" spans="2:7" x14ac:dyDescent="0.2">
      <c r="B7">
        <v>4</v>
      </c>
      <c r="C7" s="415">
        <v>124100000</v>
      </c>
      <c r="D7" s="415">
        <v>0</v>
      </c>
      <c r="E7" s="415">
        <v>-124100000</v>
      </c>
      <c r="F7" s="415">
        <v>-1060400000</v>
      </c>
      <c r="G7" s="415">
        <v>0</v>
      </c>
    </row>
    <row r="8" spans="2:7" x14ac:dyDescent="0.2">
      <c r="B8">
        <v>5</v>
      </c>
      <c r="C8" s="415">
        <v>124100000</v>
      </c>
      <c r="D8" s="415">
        <v>0</v>
      </c>
      <c r="E8" s="415">
        <v>-124100000</v>
      </c>
      <c r="F8" s="415">
        <v>-1184500000</v>
      </c>
      <c r="G8" s="415">
        <v>0</v>
      </c>
    </row>
    <row r="9" spans="2:7" x14ac:dyDescent="0.2">
      <c r="B9">
        <v>6</v>
      </c>
      <c r="C9" s="415">
        <v>124100000</v>
      </c>
      <c r="D9" s="415">
        <v>48432000</v>
      </c>
      <c r="E9" s="415">
        <v>-75668000</v>
      </c>
      <c r="F9" s="415">
        <v>-1260168000</v>
      </c>
      <c r="G9" s="415">
        <v>0</v>
      </c>
    </row>
    <row r="10" spans="2:7" x14ac:dyDescent="0.2">
      <c r="B10">
        <v>7</v>
      </c>
      <c r="C10" s="415">
        <v>124100000</v>
      </c>
      <c r="D10" s="415">
        <v>48432000</v>
      </c>
      <c r="E10" s="415">
        <v>-75668000</v>
      </c>
      <c r="F10" s="415">
        <v>-1335836000</v>
      </c>
      <c r="G10" s="415">
        <v>0</v>
      </c>
    </row>
    <row r="11" spans="2:7" x14ac:dyDescent="0.2">
      <c r="B11">
        <v>8</v>
      </c>
      <c r="C11" s="415">
        <v>124100000</v>
      </c>
      <c r="D11" s="415">
        <v>48432000</v>
      </c>
      <c r="E11" s="415">
        <v>-75668000</v>
      </c>
      <c r="F11" s="415">
        <v>-1411504000</v>
      </c>
      <c r="G11" s="415">
        <v>0</v>
      </c>
    </row>
    <row r="12" spans="2:7" x14ac:dyDescent="0.2">
      <c r="B12">
        <v>9</v>
      </c>
      <c r="C12" s="415">
        <v>124100000</v>
      </c>
      <c r="D12" s="415">
        <v>96864000</v>
      </c>
      <c r="E12" s="415">
        <v>-57236000</v>
      </c>
      <c r="F12" s="415">
        <v>-1468740000</v>
      </c>
      <c r="G12" s="415">
        <v>30000000</v>
      </c>
    </row>
    <row r="13" spans="2:7" x14ac:dyDescent="0.2">
      <c r="B13">
        <v>10</v>
      </c>
      <c r="C13" s="415">
        <v>124100000</v>
      </c>
      <c r="D13" s="415">
        <v>96864000</v>
      </c>
      <c r="E13" s="415">
        <v>-57236000</v>
      </c>
      <c r="F13" s="415">
        <v>-1525976000</v>
      </c>
      <c r="G13" s="415">
        <v>30000000</v>
      </c>
    </row>
    <row r="14" spans="2:7" x14ac:dyDescent="0.2">
      <c r="B14">
        <v>11</v>
      </c>
      <c r="C14" s="415">
        <v>124100000</v>
      </c>
      <c r="D14" s="415">
        <v>96864000</v>
      </c>
      <c r="E14" s="415">
        <v>-57236000</v>
      </c>
      <c r="F14" s="415">
        <v>-1583212000</v>
      </c>
      <c r="G14" s="415">
        <v>30000000</v>
      </c>
    </row>
    <row r="15" spans="2:7" x14ac:dyDescent="0.2">
      <c r="B15">
        <v>12</v>
      </c>
      <c r="C15" s="415">
        <v>124100000</v>
      </c>
      <c r="D15" s="415">
        <v>96864000</v>
      </c>
      <c r="E15" s="415">
        <v>-57236000</v>
      </c>
      <c r="F15" s="415">
        <v>-1640448000</v>
      </c>
      <c r="G15" s="415">
        <v>30000000</v>
      </c>
    </row>
    <row r="16" spans="2:7" x14ac:dyDescent="0.2">
      <c r="B16">
        <v>13</v>
      </c>
      <c r="C16" s="415">
        <v>124100000</v>
      </c>
      <c r="D16" s="415">
        <v>290592000</v>
      </c>
      <c r="E16" s="415">
        <v>86492000</v>
      </c>
      <c r="F16" s="415">
        <v>-1553956000</v>
      </c>
      <c r="G16" s="415">
        <v>80000000</v>
      </c>
    </row>
    <row r="17" spans="2:7" x14ac:dyDescent="0.2">
      <c r="B17">
        <v>14</v>
      </c>
      <c r="C17" s="415">
        <v>124100000</v>
      </c>
      <c r="D17" s="415">
        <v>290592000</v>
      </c>
      <c r="E17" s="415">
        <v>86492000</v>
      </c>
      <c r="F17" s="415">
        <v>-1467464000</v>
      </c>
      <c r="G17" s="415">
        <v>80000000</v>
      </c>
    </row>
    <row r="18" spans="2:7" x14ac:dyDescent="0.2">
      <c r="B18">
        <v>15</v>
      </c>
      <c r="C18" s="415">
        <v>124100000</v>
      </c>
      <c r="D18" s="415">
        <v>290592000</v>
      </c>
      <c r="E18" s="415">
        <v>86492000</v>
      </c>
      <c r="F18" s="415">
        <v>-1380972000</v>
      </c>
      <c r="G18" s="415">
        <v>80000000</v>
      </c>
    </row>
    <row r="19" spans="2:7" x14ac:dyDescent="0.2">
      <c r="B19">
        <v>16</v>
      </c>
      <c r="C19" s="415">
        <v>124100000</v>
      </c>
      <c r="D19" s="415">
        <v>290592000</v>
      </c>
      <c r="E19" s="415">
        <v>86492000</v>
      </c>
      <c r="F19" s="415">
        <v>-1294480000</v>
      </c>
      <c r="G19" s="415">
        <v>80000000</v>
      </c>
    </row>
    <row r="20" spans="2:7" x14ac:dyDescent="0.2">
      <c r="B20">
        <v>17</v>
      </c>
      <c r="C20" s="415">
        <v>124100000</v>
      </c>
      <c r="D20" s="415">
        <v>290592000</v>
      </c>
      <c r="E20" s="415">
        <v>76492000</v>
      </c>
      <c r="F20" s="415">
        <v>-1217988000</v>
      </c>
      <c r="G20" s="415">
        <v>90000000</v>
      </c>
    </row>
    <row r="21" spans="2:7" x14ac:dyDescent="0.2">
      <c r="B21">
        <v>18</v>
      </c>
      <c r="C21" s="415">
        <v>124100000</v>
      </c>
      <c r="D21" s="415">
        <v>290592000</v>
      </c>
      <c r="E21" s="415">
        <v>76492000</v>
      </c>
      <c r="F21" s="415">
        <v>-1141496000</v>
      </c>
      <c r="G21" s="415">
        <v>90000000</v>
      </c>
    </row>
    <row r="22" spans="2:7" x14ac:dyDescent="0.2">
      <c r="B22">
        <v>19</v>
      </c>
      <c r="C22" s="415">
        <v>124100000</v>
      </c>
      <c r="D22" s="415">
        <v>290592000</v>
      </c>
      <c r="E22" s="415">
        <v>76492000</v>
      </c>
      <c r="F22" s="415">
        <v>-1065004000</v>
      </c>
      <c r="G22" s="415">
        <v>90000000</v>
      </c>
    </row>
    <row r="23" spans="2:7" x14ac:dyDescent="0.2">
      <c r="B23">
        <v>20</v>
      </c>
      <c r="C23" s="415">
        <v>124100000</v>
      </c>
      <c r="D23" s="415">
        <v>290592000</v>
      </c>
      <c r="E23" s="415">
        <v>76492000</v>
      </c>
      <c r="F23" s="415">
        <v>-988512000</v>
      </c>
      <c r="G23" s="415">
        <v>90000000</v>
      </c>
    </row>
    <row r="24" spans="2:7" x14ac:dyDescent="0.2">
      <c r="B24">
        <v>21</v>
      </c>
      <c r="C24" s="415">
        <v>124100000</v>
      </c>
      <c r="D24" s="415">
        <v>508536000</v>
      </c>
      <c r="E24" s="415">
        <v>84436000</v>
      </c>
      <c r="F24" s="415">
        <v>-904076000</v>
      </c>
      <c r="G24" s="415">
        <v>300000000</v>
      </c>
    </row>
    <row r="25" spans="2:7" x14ac:dyDescent="0.2">
      <c r="B25">
        <v>22</v>
      </c>
      <c r="C25" s="415">
        <v>124100000</v>
      </c>
      <c r="D25" s="415">
        <v>508536000</v>
      </c>
      <c r="E25" s="415">
        <v>84436000</v>
      </c>
      <c r="F25" s="415">
        <v>-819640000</v>
      </c>
      <c r="G25" s="415">
        <v>300000000</v>
      </c>
    </row>
    <row r="26" spans="2:7" x14ac:dyDescent="0.2">
      <c r="B26">
        <v>23</v>
      </c>
      <c r="C26" s="415">
        <v>124100000</v>
      </c>
      <c r="D26" s="415">
        <v>508536000</v>
      </c>
      <c r="E26" s="415">
        <v>84436000</v>
      </c>
      <c r="F26" s="415">
        <v>-735204000</v>
      </c>
      <c r="G26" s="415">
        <v>300000000</v>
      </c>
    </row>
    <row r="27" spans="2:7" x14ac:dyDescent="0.2">
      <c r="B27">
        <v>24</v>
      </c>
      <c r="C27" s="415">
        <v>124100000</v>
      </c>
      <c r="D27" s="415">
        <v>508536000</v>
      </c>
      <c r="E27" s="415">
        <v>31236000</v>
      </c>
      <c r="F27" s="415">
        <v>-703968000</v>
      </c>
      <c r="G27" s="415">
        <v>353200000</v>
      </c>
    </row>
    <row r="28" spans="2:7" ht="16" customHeight="1" thickBot="1" x14ac:dyDescent="0.25">
      <c r="B28">
        <v>25</v>
      </c>
      <c r="C28" s="415"/>
      <c r="D28" s="415"/>
      <c r="E28" s="415"/>
      <c r="F28" s="415"/>
      <c r="G28" s="415">
        <v>0</v>
      </c>
    </row>
    <row r="29" spans="2:7" x14ac:dyDescent="0.2">
      <c r="B29">
        <v>26</v>
      </c>
      <c r="C29" s="6"/>
      <c r="D29" s="6"/>
      <c r="E29" s="6"/>
      <c r="F29" s="6"/>
      <c r="G29" s="424">
        <v>1000000000</v>
      </c>
    </row>
    <row r="30" spans="2:7" ht="16" thickBot="1" x14ac:dyDescent="0.25">
      <c r="B30"/>
      <c r="F30" s="19"/>
      <c r="G30" s="1"/>
    </row>
    <row r="31" spans="2:7" x14ac:dyDescent="0.2">
      <c r="B31"/>
      <c r="C31" s="416" t="s">
        <v>219</v>
      </c>
      <c r="D31" s="417"/>
      <c r="E31" s="417"/>
      <c r="F31" s="418"/>
      <c r="G31" s="419">
        <v>3053200000</v>
      </c>
    </row>
    <row r="32" spans="2:7" ht="16" thickBot="1" x14ac:dyDescent="0.25">
      <c r="B32"/>
      <c r="C32" s="420" t="s">
        <v>446</v>
      </c>
      <c r="D32" s="421"/>
      <c r="E32" s="421"/>
      <c r="F32" s="422"/>
      <c r="G32" s="423">
        <f>G29</f>
        <v>1000000000</v>
      </c>
    </row>
    <row r="33" spans="2:2" x14ac:dyDescent="0.2">
      <c r="B33"/>
    </row>
    <row r="34" spans="2:2" x14ac:dyDescent="0.2">
      <c r="B34"/>
    </row>
  </sheetData>
  <mergeCells count="2">
    <mergeCell ref="C31:F31"/>
    <mergeCell ref="C32:F32"/>
  </mergeCells>
  <pageMargins left="0.7" right="0.7" top="0.75" bottom="0.75" header="0.3" footer="0.3"/>
  <pageSetup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62"/>
  <sheetViews>
    <sheetView topLeftCell="A2" zoomScale="130" zoomScaleNormal="130" workbookViewId="0">
      <pane ySplit="2" topLeftCell="A29" activePane="bottomLeft" state="frozen"/>
      <selection activeCell="A2" sqref="A2"/>
      <selection pane="bottomLeft" activeCell="K12" sqref="K12"/>
    </sheetView>
  </sheetViews>
  <sheetFormatPr baseColWidth="10" defaultRowHeight="15" x14ac:dyDescent="0.2"/>
  <cols>
    <col min="1" max="1" width="1" customWidth="1"/>
    <col min="2" max="2" width="25.83203125" customWidth="1"/>
    <col min="3" max="3" width="18.6640625" customWidth="1"/>
    <col min="4" max="4" width="27.1640625" customWidth="1"/>
    <col min="5" max="5" width="22.6640625" customWidth="1"/>
    <col min="6" max="6" width="17.1640625" customWidth="1"/>
    <col min="7" max="7" width="27.6640625" customWidth="1"/>
    <col min="8" max="8" width="16.5" customWidth="1"/>
    <col min="9" max="9" width="18.33203125" customWidth="1"/>
    <col min="10" max="10" width="16.6640625" customWidth="1"/>
    <col min="11" max="11" width="21.5" customWidth="1"/>
    <col min="12" max="12" width="16.33203125" bestFit="1" customWidth="1"/>
  </cols>
  <sheetData>
    <row r="1" spans="1:14" ht="7" customHeight="1" x14ac:dyDescent="0.2"/>
    <row r="2" spans="1:14" ht="7" customHeight="1" thickBot="1" x14ac:dyDescent="0.25">
      <c r="A2" s="362"/>
    </row>
    <row r="3" spans="1:14" ht="16" customHeight="1" thickBot="1" x14ac:dyDescent="0.25">
      <c r="A3" s="363"/>
      <c r="B3" s="75" t="s">
        <v>146</v>
      </c>
      <c r="C3" s="76" t="s">
        <v>147</v>
      </c>
      <c r="D3" s="76" t="s">
        <v>148</v>
      </c>
      <c r="E3" s="76" t="s">
        <v>149</v>
      </c>
      <c r="F3" s="76" t="s">
        <v>150</v>
      </c>
      <c r="G3" s="76" t="s">
        <v>151</v>
      </c>
      <c r="H3" s="76" t="s">
        <v>152</v>
      </c>
      <c r="I3" s="24" t="s">
        <v>145</v>
      </c>
      <c r="J3" s="24" t="s">
        <v>153</v>
      </c>
      <c r="K3" s="77" t="s">
        <v>154</v>
      </c>
      <c r="N3" s="1"/>
    </row>
    <row r="4" spans="1:14" ht="16" customHeight="1" thickBot="1" x14ac:dyDescent="0.25">
      <c r="A4" s="363"/>
      <c r="B4" s="384"/>
      <c r="C4" s="327"/>
      <c r="D4" s="327"/>
      <c r="E4" s="327"/>
      <c r="F4" s="327"/>
      <c r="G4" s="327"/>
      <c r="H4" s="327"/>
      <c r="I4" s="327"/>
      <c r="J4" s="327"/>
      <c r="K4" s="385"/>
      <c r="N4" s="1"/>
    </row>
    <row r="5" spans="1:14" x14ac:dyDescent="0.2">
      <c r="A5" s="363"/>
      <c r="B5" s="67" t="s">
        <v>155</v>
      </c>
      <c r="C5" s="68">
        <f>Resumen!C35</f>
        <v>406100000</v>
      </c>
      <c r="D5" s="374" t="s">
        <v>156</v>
      </c>
      <c r="E5" s="360"/>
      <c r="F5" s="360"/>
      <c r="G5" s="360"/>
      <c r="H5" s="360"/>
      <c r="I5" s="360"/>
      <c r="J5" s="360"/>
      <c r="K5" s="375"/>
    </row>
    <row r="6" spans="1:14" x14ac:dyDescent="0.2">
      <c r="A6" s="363"/>
      <c r="B6" s="71" t="s">
        <v>157</v>
      </c>
      <c r="C6" s="72">
        <f>Resumen!C36</f>
        <v>406100000</v>
      </c>
      <c r="D6" s="376"/>
      <c r="E6" s="327"/>
      <c r="F6" s="327"/>
      <c r="G6" s="327"/>
      <c r="H6" s="327"/>
      <c r="I6" s="327"/>
      <c r="J6" s="327"/>
      <c r="K6" s="377"/>
    </row>
    <row r="7" spans="1:14" ht="16" customHeight="1" thickBot="1" x14ac:dyDescent="0.25">
      <c r="A7" s="363"/>
      <c r="B7" s="69" t="s">
        <v>158</v>
      </c>
      <c r="C7" s="70">
        <f>Resumen!C39</f>
        <v>124100000</v>
      </c>
      <c r="D7" s="378"/>
      <c r="E7" s="379"/>
      <c r="F7" s="379"/>
      <c r="G7" s="379"/>
      <c r="H7" s="379"/>
      <c r="I7" s="379"/>
      <c r="J7" s="379"/>
      <c r="K7" s="380"/>
    </row>
    <row r="8" spans="1:14" ht="16" customHeight="1" thickBot="1" x14ac:dyDescent="0.25">
      <c r="A8" s="363"/>
      <c r="B8" s="362"/>
      <c r="C8" s="363"/>
      <c r="D8" s="357"/>
      <c r="E8" s="327"/>
      <c r="F8" s="327"/>
      <c r="G8" s="327"/>
      <c r="H8" s="327"/>
      <c r="I8" s="327"/>
      <c r="J8" s="327"/>
      <c r="K8" s="327"/>
      <c r="L8" s="26"/>
    </row>
    <row r="9" spans="1:14" x14ac:dyDescent="0.2">
      <c r="A9" s="363"/>
      <c r="B9" s="67" t="s">
        <v>159</v>
      </c>
      <c r="C9" s="68">
        <f>Resumen!C39</f>
        <v>124100000</v>
      </c>
      <c r="D9" s="382" t="s">
        <v>160</v>
      </c>
      <c r="E9" s="360"/>
      <c r="F9" s="360"/>
      <c r="G9" s="360"/>
      <c r="H9" s="360"/>
      <c r="I9" s="360"/>
      <c r="J9" s="360"/>
      <c r="K9" s="375"/>
    </row>
    <row r="10" spans="1:14" ht="16" customHeight="1" thickBot="1" x14ac:dyDescent="0.25">
      <c r="A10" s="363"/>
      <c r="B10" s="69" t="s">
        <v>161</v>
      </c>
      <c r="C10" s="70">
        <f>Resumen!C39</f>
        <v>124100000</v>
      </c>
      <c r="D10" s="379"/>
      <c r="E10" s="379"/>
      <c r="F10" s="379"/>
      <c r="G10" s="379"/>
      <c r="H10" s="379"/>
      <c r="I10" s="379"/>
      <c r="J10" s="379"/>
      <c r="K10" s="380"/>
    </row>
    <row r="11" spans="1:14" s="6" customFormat="1" ht="16" customHeight="1" thickBot="1" x14ac:dyDescent="0.25">
      <c r="A11" s="363"/>
      <c r="B11" s="298"/>
      <c r="C11" s="383"/>
      <c r="D11" s="386"/>
      <c r="E11" s="370"/>
      <c r="F11" s="370"/>
      <c r="G11" s="370"/>
      <c r="H11" s="370"/>
      <c r="I11" s="370"/>
      <c r="J11" s="370"/>
      <c r="K11" s="370"/>
      <c r="L11" s="26"/>
    </row>
    <row r="12" spans="1:14" ht="16" customHeight="1" thickBot="1" x14ac:dyDescent="0.25">
      <c r="A12" s="363"/>
      <c r="B12" s="79" t="s">
        <v>162</v>
      </c>
      <c r="C12" s="68">
        <f>Resumen!C39</f>
        <v>124100000</v>
      </c>
      <c r="D12" s="390" t="s">
        <v>163</v>
      </c>
      <c r="E12" s="55">
        <f>'Escenarios Proyectados (24+)'!G4</f>
        <v>484320000</v>
      </c>
      <c r="F12" s="352">
        <v>0.9</v>
      </c>
      <c r="G12" s="56">
        <f>E12*(1-F12)</f>
        <v>48431999.999999993</v>
      </c>
      <c r="H12" s="246">
        <v>0</v>
      </c>
      <c r="I12" s="91">
        <v>0</v>
      </c>
      <c r="J12" s="91">
        <f>H12+I12</f>
        <v>0</v>
      </c>
      <c r="K12" s="57">
        <f>G12-J12</f>
        <v>48431999.999999993</v>
      </c>
    </row>
    <row r="13" spans="1:14" ht="16" customHeight="1" thickBot="1" x14ac:dyDescent="0.25">
      <c r="A13" s="363"/>
      <c r="B13" s="80" t="s">
        <v>164</v>
      </c>
      <c r="C13" s="72">
        <f>Resumen!C39</f>
        <v>124100000</v>
      </c>
      <c r="D13" s="332"/>
      <c r="E13" s="5">
        <f>E12</f>
        <v>484320000</v>
      </c>
      <c r="F13" s="325"/>
      <c r="G13" s="7">
        <f t="shared" ref="G13:J14" si="0">G12</f>
        <v>48431999.999999993</v>
      </c>
      <c r="H13" s="247">
        <f t="shared" si="0"/>
        <v>0</v>
      </c>
      <c r="I13" s="92">
        <f t="shared" si="0"/>
        <v>0</v>
      </c>
      <c r="J13" s="92">
        <f t="shared" si="0"/>
        <v>0</v>
      </c>
      <c r="K13" s="57">
        <f>G13-J13</f>
        <v>48431999.999999993</v>
      </c>
    </row>
    <row r="14" spans="1:14" ht="16" customHeight="1" thickBot="1" x14ac:dyDescent="0.25">
      <c r="A14" s="363"/>
      <c r="B14" s="81" t="s">
        <v>165</v>
      </c>
      <c r="C14" s="70">
        <f>Resumen!C39</f>
        <v>124100000</v>
      </c>
      <c r="D14" s="365"/>
      <c r="E14" s="58">
        <f>E12</f>
        <v>484320000</v>
      </c>
      <c r="F14" s="353"/>
      <c r="G14" s="59">
        <f t="shared" si="0"/>
        <v>48431999.999999993</v>
      </c>
      <c r="H14" s="248">
        <f t="shared" si="0"/>
        <v>0</v>
      </c>
      <c r="I14" s="93">
        <f t="shared" si="0"/>
        <v>0</v>
      </c>
      <c r="J14" s="93">
        <f t="shared" si="0"/>
        <v>0</v>
      </c>
      <c r="K14" s="57">
        <f>G14-J14</f>
        <v>48431999.999999993</v>
      </c>
    </row>
    <row r="15" spans="1:14" ht="16" customHeight="1" thickBot="1" x14ac:dyDescent="0.25">
      <c r="A15" s="363"/>
      <c r="B15" s="391"/>
      <c r="C15" s="327"/>
      <c r="D15" s="327"/>
      <c r="E15" s="327"/>
      <c r="F15" s="327"/>
      <c r="G15" s="327"/>
      <c r="H15" s="327"/>
      <c r="I15" s="327"/>
      <c r="J15" s="327"/>
      <c r="K15" s="363"/>
    </row>
    <row r="16" spans="1:14" x14ac:dyDescent="0.2">
      <c r="A16" s="363"/>
      <c r="B16" s="79" t="s">
        <v>166</v>
      </c>
      <c r="C16" s="68">
        <f>Resumen!C39</f>
        <v>124100000</v>
      </c>
      <c r="D16" s="364" t="s">
        <v>167</v>
      </c>
      <c r="E16" s="55">
        <f>E12</f>
        <v>484320000</v>
      </c>
      <c r="F16" s="352">
        <v>0.8</v>
      </c>
      <c r="G16" s="56">
        <f>E16*(1-F16)</f>
        <v>96863999.999999985</v>
      </c>
      <c r="H16" s="246">
        <v>0</v>
      </c>
      <c r="I16" s="247">
        <v>30000000</v>
      </c>
      <c r="J16" s="247">
        <f>H16+I16</f>
        <v>30000000</v>
      </c>
      <c r="K16" s="5">
        <f>G16-J16</f>
        <v>66863999.999999985</v>
      </c>
    </row>
    <row r="17" spans="1:12" x14ac:dyDescent="0.2">
      <c r="A17" s="363"/>
      <c r="B17" s="80" t="s">
        <v>168</v>
      </c>
      <c r="C17" s="72">
        <f>Resumen!C39</f>
        <v>124100000</v>
      </c>
      <c r="D17" s="332"/>
      <c r="E17" s="5">
        <f>E12</f>
        <v>484320000</v>
      </c>
      <c r="F17" s="325"/>
      <c r="G17" s="7">
        <f>G16</f>
        <v>96863999.999999985</v>
      </c>
      <c r="H17" s="247">
        <v>0</v>
      </c>
      <c r="I17" s="247">
        <v>30000000</v>
      </c>
      <c r="J17" s="247">
        <f>H17+I17</f>
        <v>30000000</v>
      </c>
      <c r="K17" s="5">
        <f>G17-J17</f>
        <v>66863999.999999985</v>
      </c>
    </row>
    <row r="18" spans="1:12" x14ac:dyDescent="0.2">
      <c r="A18" s="363"/>
      <c r="B18" s="80" t="s">
        <v>169</v>
      </c>
      <c r="C18" s="72">
        <f>Resumen!C39</f>
        <v>124100000</v>
      </c>
      <c r="D18" s="332"/>
      <c r="E18" s="5">
        <f>E12</f>
        <v>484320000</v>
      </c>
      <c r="F18" s="325"/>
      <c r="G18" s="7">
        <f>G17</f>
        <v>96863999.999999985</v>
      </c>
      <c r="H18" s="247">
        <v>0</v>
      </c>
      <c r="I18" s="247">
        <v>30000000</v>
      </c>
      <c r="J18" s="247">
        <f>H18+I18</f>
        <v>30000000</v>
      </c>
      <c r="K18" s="5">
        <f>G18-J18</f>
        <v>66863999.999999985</v>
      </c>
    </row>
    <row r="19" spans="1:12" ht="16" customHeight="1" thickBot="1" x14ac:dyDescent="0.25">
      <c r="A19" s="363"/>
      <c r="B19" s="81" t="s">
        <v>170</v>
      </c>
      <c r="C19" s="70">
        <f>Resumen!C39</f>
        <v>124100000</v>
      </c>
      <c r="D19" s="365"/>
      <c r="E19" s="58">
        <f>E12</f>
        <v>484320000</v>
      </c>
      <c r="F19" s="353"/>
      <c r="G19" s="59">
        <f>G18</f>
        <v>96863999.999999985</v>
      </c>
      <c r="H19" s="248">
        <v>0</v>
      </c>
      <c r="I19" s="247">
        <v>30000000</v>
      </c>
      <c r="J19" s="247">
        <f>H19+I19</f>
        <v>30000000</v>
      </c>
      <c r="K19" s="5">
        <f>G19-J19</f>
        <v>66863999.999999985</v>
      </c>
    </row>
    <row r="20" spans="1:12" ht="16" customHeight="1" thickBot="1" x14ac:dyDescent="0.25">
      <c r="A20" s="363"/>
      <c r="B20" s="358"/>
      <c r="C20" s="327"/>
      <c r="D20" s="387"/>
      <c r="E20" s="360"/>
      <c r="F20" s="360"/>
      <c r="G20" s="360"/>
      <c r="H20" s="360"/>
      <c r="I20" s="360"/>
      <c r="J20" s="360"/>
      <c r="K20" s="360"/>
      <c r="L20" s="31"/>
    </row>
    <row r="21" spans="1:12" ht="16" customHeight="1" thickBot="1" x14ac:dyDescent="0.25">
      <c r="A21" s="363"/>
      <c r="B21" s="74" t="s">
        <v>171</v>
      </c>
      <c r="C21" s="73">
        <f>SUM(C5:C19)</f>
        <v>2053200000</v>
      </c>
      <c r="D21" s="388"/>
      <c r="E21" s="327"/>
      <c r="F21" s="327"/>
      <c r="G21" s="327"/>
      <c r="H21" s="327"/>
      <c r="I21" s="327"/>
      <c r="J21" s="327"/>
      <c r="K21" s="327"/>
      <c r="L21" s="31"/>
    </row>
    <row r="22" spans="1:12" ht="16" customHeight="1" thickBot="1" x14ac:dyDescent="0.25">
      <c r="A22" s="363"/>
      <c r="B22" s="392"/>
      <c r="C22" s="327"/>
      <c r="D22" s="389"/>
      <c r="E22" s="379"/>
      <c r="F22" s="379"/>
      <c r="G22" s="379"/>
      <c r="H22" s="379"/>
      <c r="I22" s="379"/>
      <c r="J22" s="379"/>
      <c r="K22" s="379"/>
      <c r="L22" s="31"/>
    </row>
    <row r="23" spans="1:12" ht="16" customHeight="1" thickBot="1" x14ac:dyDescent="0.25">
      <c r="A23" s="363"/>
      <c r="B23" s="79" t="s">
        <v>172</v>
      </c>
      <c r="C23" s="82"/>
      <c r="D23" s="354" t="s">
        <v>173</v>
      </c>
      <c r="E23" s="62">
        <f>'Escenarios Proyectados (24+)'!G5</f>
        <v>726480000</v>
      </c>
      <c r="F23" s="366">
        <v>0.6</v>
      </c>
      <c r="G23" s="63">
        <f>E23*(1-F23)</f>
        <v>290592000</v>
      </c>
      <c r="H23" s="94">
        <f>Resumen!C82</f>
        <v>124100000</v>
      </c>
      <c r="I23" s="94">
        <v>80000000</v>
      </c>
      <c r="J23" s="94">
        <f>H23+I23</f>
        <v>204100000</v>
      </c>
      <c r="K23" s="64">
        <f>G23-J23</f>
        <v>86492000</v>
      </c>
    </row>
    <row r="24" spans="1:12" ht="16" customHeight="1" thickBot="1" x14ac:dyDescent="0.25">
      <c r="A24" s="363"/>
      <c r="B24" s="80" t="s">
        <v>174</v>
      </c>
      <c r="C24" s="83"/>
      <c r="D24" s="355"/>
      <c r="E24" s="60">
        <f>E23</f>
        <v>726480000</v>
      </c>
      <c r="F24" s="355"/>
      <c r="G24" s="61">
        <f t="shared" ref="G24:I26" si="1">G23</f>
        <v>290592000</v>
      </c>
      <c r="H24" s="95">
        <f t="shared" si="1"/>
        <v>124100000</v>
      </c>
      <c r="I24" s="95">
        <f t="shared" si="1"/>
        <v>80000000</v>
      </c>
      <c r="J24" s="95">
        <f>H24+I24</f>
        <v>204100000</v>
      </c>
      <c r="K24" s="64">
        <f>G24-J24</f>
        <v>86492000</v>
      </c>
    </row>
    <row r="25" spans="1:12" ht="16" customHeight="1" thickBot="1" x14ac:dyDescent="0.25">
      <c r="A25" s="363"/>
      <c r="B25" s="80" t="s">
        <v>175</v>
      </c>
      <c r="C25" s="83"/>
      <c r="D25" s="355"/>
      <c r="E25" s="60">
        <f>E23</f>
        <v>726480000</v>
      </c>
      <c r="F25" s="355"/>
      <c r="G25" s="61">
        <f t="shared" si="1"/>
        <v>290592000</v>
      </c>
      <c r="H25" s="95">
        <f t="shared" si="1"/>
        <v>124100000</v>
      </c>
      <c r="I25" s="95">
        <f t="shared" si="1"/>
        <v>80000000</v>
      </c>
      <c r="J25" s="95">
        <f>H25+I25</f>
        <v>204100000</v>
      </c>
      <c r="K25" s="64">
        <f>G25-J25</f>
        <v>86492000</v>
      </c>
    </row>
    <row r="26" spans="1:12" ht="16" customHeight="1" thickBot="1" x14ac:dyDescent="0.25">
      <c r="A26" s="363"/>
      <c r="B26" s="81" t="s">
        <v>176</v>
      </c>
      <c r="C26" s="84"/>
      <c r="D26" s="356"/>
      <c r="E26" s="65">
        <f>E23</f>
        <v>726480000</v>
      </c>
      <c r="F26" s="356"/>
      <c r="G26" s="66">
        <f t="shared" si="1"/>
        <v>290592000</v>
      </c>
      <c r="H26" s="96">
        <f t="shared" si="1"/>
        <v>124100000</v>
      </c>
      <c r="I26" s="96">
        <f t="shared" si="1"/>
        <v>80000000</v>
      </c>
      <c r="J26" s="96">
        <f>H26+I26</f>
        <v>204100000</v>
      </c>
      <c r="K26" s="64">
        <f>G26-J26</f>
        <v>86492000</v>
      </c>
    </row>
    <row r="27" spans="1:12" ht="16" customHeight="1" thickBot="1" x14ac:dyDescent="0.25">
      <c r="A27" s="363"/>
      <c r="B27" s="369"/>
      <c r="C27" s="370"/>
      <c r="D27" s="370"/>
      <c r="E27" s="370"/>
      <c r="F27" s="370"/>
      <c r="G27" s="370"/>
      <c r="H27" s="370"/>
      <c r="I27" s="370"/>
      <c r="J27" s="370"/>
      <c r="K27" s="371"/>
    </row>
    <row r="28" spans="1:12" ht="16" customHeight="1" thickBot="1" x14ac:dyDescent="0.25">
      <c r="A28" s="363"/>
      <c r="B28" s="85" t="s">
        <v>177</v>
      </c>
      <c r="C28" s="86"/>
      <c r="D28" s="367" t="s">
        <v>178</v>
      </c>
      <c r="E28" s="55">
        <f>'Escenarios Proyectados (24+)'!G5</f>
        <v>726480000</v>
      </c>
      <c r="F28" s="352">
        <v>0.6</v>
      </c>
      <c r="G28" s="56">
        <f>E28*(1-F28)</f>
        <v>290592000</v>
      </c>
      <c r="H28" s="246">
        <f>H23</f>
        <v>124100000</v>
      </c>
      <c r="I28" s="91">
        <v>90000000</v>
      </c>
      <c r="J28" s="91">
        <f>H28+I28</f>
        <v>214100000</v>
      </c>
      <c r="K28" s="57">
        <f>G28-J28</f>
        <v>76492000</v>
      </c>
    </row>
    <row r="29" spans="1:12" ht="16" customHeight="1" thickBot="1" x14ac:dyDescent="0.25">
      <c r="A29" s="363"/>
      <c r="B29" s="87" t="s">
        <v>179</v>
      </c>
      <c r="C29" s="88"/>
      <c r="D29" s="325"/>
      <c r="E29" s="5">
        <f>E28</f>
        <v>726480000</v>
      </c>
      <c r="F29" s="325"/>
      <c r="G29" s="7">
        <f>G28</f>
        <v>290592000</v>
      </c>
      <c r="H29" s="247">
        <f>H28</f>
        <v>124100000</v>
      </c>
      <c r="I29" s="92">
        <f>I28</f>
        <v>90000000</v>
      </c>
      <c r="J29" s="92">
        <f>H29+I29</f>
        <v>214100000</v>
      </c>
      <c r="K29" s="57">
        <f>G29-J29</f>
        <v>76492000</v>
      </c>
    </row>
    <row r="30" spans="1:12" ht="16" customHeight="1" thickBot="1" x14ac:dyDescent="0.25">
      <c r="A30" s="363"/>
      <c r="B30" s="87" t="s">
        <v>180</v>
      </c>
      <c r="C30" s="88"/>
      <c r="D30" s="325"/>
      <c r="E30" s="5">
        <f>E28</f>
        <v>726480000</v>
      </c>
      <c r="F30" s="325"/>
      <c r="G30" s="7">
        <f>G29</f>
        <v>290592000</v>
      </c>
      <c r="H30" s="247">
        <f>H29</f>
        <v>124100000</v>
      </c>
      <c r="I30" s="92">
        <v>90000000</v>
      </c>
      <c r="J30" s="92">
        <f>H30+I30</f>
        <v>214100000</v>
      </c>
      <c r="K30" s="57">
        <f>G30-J30</f>
        <v>76492000</v>
      </c>
    </row>
    <row r="31" spans="1:12" ht="16" customHeight="1" thickBot="1" x14ac:dyDescent="0.25">
      <c r="A31" s="363"/>
      <c r="B31" s="89" t="s">
        <v>181</v>
      </c>
      <c r="C31" s="90"/>
      <c r="D31" s="368"/>
      <c r="E31" s="58">
        <f>E28</f>
        <v>726480000</v>
      </c>
      <c r="F31" s="353"/>
      <c r="G31" s="59">
        <f>G30</f>
        <v>290592000</v>
      </c>
      <c r="H31" s="248">
        <f>H30</f>
        <v>124100000</v>
      </c>
      <c r="I31" s="92">
        <v>90000000</v>
      </c>
      <c r="J31" s="93">
        <f>H31+I31</f>
        <v>214100000</v>
      </c>
      <c r="K31" s="57">
        <f>G31-J31</f>
        <v>76492000</v>
      </c>
    </row>
    <row r="32" spans="1:12" ht="16" customHeight="1" thickBot="1" x14ac:dyDescent="0.25">
      <c r="A32" s="363"/>
      <c r="B32" s="298"/>
      <c r="C32" s="327"/>
      <c r="D32" s="327"/>
      <c r="E32" s="327"/>
      <c r="F32" s="327"/>
      <c r="G32" s="327"/>
      <c r="H32" s="327"/>
      <c r="I32" s="327"/>
      <c r="J32" s="327"/>
      <c r="K32" s="327"/>
      <c r="L32" s="26"/>
    </row>
    <row r="33" spans="1:12" ht="16" customHeight="1" thickBot="1" x14ac:dyDescent="0.25">
      <c r="A33" s="363"/>
      <c r="B33" s="85" t="s">
        <v>182</v>
      </c>
      <c r="C33" s="86"/>
      <c r="D33" s="372" t="s">
        <v>183</v>
      </c>
      <c r="E33" s="55">
        <f>'Escenarios Proyectados (24+)'!G5</f>
        <v>726480000</v>
      </c>
      <c r="F33" s="352">
        <v>0.3</v>
      </c>
      <c r="G33" s="56">
        <f>E33*(1-F33)</f>
        <v>508535999.99999994</v>
      </c>
      <c r="H33" s="246">
        <f>H23</f>
        <v>124100000</v>
      </c>
      <c r="I33" s="91">
        <v>300000000</v>
      </c>
      <c r="J33" s="91">
        <f>H33+I33</f>
        <v>424100000</v>
      </c>
      <c r="K33" s="57">
        <f>G33-J33</f>
        <v>84435999.99999994</v>
      </c>
    </row>
    <row r="34" spans="1:12" ht="16" customHeight="1" thickBot="1" x14ac:dyDescent="0.25">
      <c r="A34" s="363"/>
      <c r="B34" s="87" t="s">
        <v>184</v>
      </c>
      <c r="C34" s="88"/>
      <c r="D34" s="325"/>
      <c r="E34" s="5">
        <f>E33</f>
        <v>726480000</v>
      </c>
      <c r="F34" s="325"/>
      <c r="G34" s="7">
        <f t="shared" ref="G34:H36" si="2">G33</f>
        <v>508535999.99999994</v>
      </c>
      <c r="H34" s="247">
        <f t="shared" si="2"/>
        <v>124100000</v>
      </c>
      <c r="I34" s="91">
        <v>300000000</v>
      </c>
      <c r="J34" s="92">
        <f>H34+I34</f>
        <v>424100000</v>
      </c>
      <c r="K34" s="57">
        <f>G34-J34</f>
        <v>84435999.99999994</v>
      </c>
    </row>
    <row r="35" spans="1:12" ht="16" customHeight="1" thickBot="1" x14ac:dyDescent="0.25">
      <c r="A35" s="363"/>
      <c r="B35" s="87" t="s">
        <v>185</v>
      </c>
      <c r="C35" s="88"/>
      <c r="D35" s="325"/>
      <c r="E35" s="5">
        <f>E33</f>
        <v>726480000</v>
      </c>
      <c r="F35" s="325"/>
      <c r="G35" s="7">
        <f t="shared" si="2"/>
        <v>508535999.99999994</v>
      </c>
      <c r="H35" s="247">
        <f t="shared" si="2"/>
        <v>124100000</v>
      </c>
      <c r="I35" s="91">
        <v>300000000</v>
      </c>
      <c r="J35" s="92">
        <f>H35+I35</f>
        <v>424100000</v>
      </c>
      <c r="K35" s="57">
        <f>G35-J35</f>
        <v>84435999.99999994</v>
      </c>
    </row>
    <row r="36" spans="1:12" ht="16" customHeight="1" thickBot="1" x14ac:dyDescent="0.25">
      <c r="A36" s="363"/>
      <c r="B36" s="89" t="s">
        <v>186</v>
      </c>
      <c r="C36" s="90"/>
      <c r="D36" s="353"/>
      <c r="E36" s="58">
        <f>E33</f>
        <v>726480000</v>
      </c>
      <c r="F36" s="353"/>
      <c r="G36" s="59">
        <f t="shared" si="2"/>
        <v>508535999.99999994</v>
      </c>
      <c r="H36" s="248">
        <f t="shared" si="2"/>
        <v>124100000</v>
      </c>
      <c r="I36" s="91">
        <v>353200000</v>
      </c>
      <c r="J36" s="93">
        <f>H36+I36</f>
        <v>477300000</v>
      </c>
      <c r="K36" s="57">
        <f>G36-J36</f>
        <v>31235999.99999994</v>
      </c>
      <c r="L36" s="1"/>
    </row>
    <row r="37" spans="1:12" ht="16" customHeight="1" thickBot="1" x14ac:dyDescent="0.25">
      <c r="A37" s="363"/>
      <c r="B37" s="359"/>
      <c r="C37" s="360"/>
      <c r="D37" s="360"/>
      <c r="E37" s="360"/>
      <c r="F37" s="360"/>
      <c r="G37" s="360"/>
      <c r="H37" s="360"/>
      <c r="I37" s="360"/>
      <c r="J37" s="360"/>
      <c r="K37" s="361"/>
      <c r="L37" s="19"/>
    </row>
    <row r="38" spans="1:12" s="3" customFormat="1" ht="16" customHeight="1" thickBot="1" x14ac:dyDescent="0.25">
      <c r="A38" s="363"/>
      <c r="B38" s="23" t="s">
        <v>187</v>
      </c>
      <c r="C38" s="78"/>
      <c r="D38" s="78"/>
      <c r="E38" s="98">
        <f>SUM(E12:E37)</f>
        <v>12108000000</v>
      </c>
      <c r="F38" s="249"/>
      <c r="G38" s="45">
        <f>SUM(G12:G36)</f>
        <v>4891632000</v>
      </c>
      <c r="H38" s="97">
        <f>SUM(H12:H36)</f>
        <v>1489200000</v>
      </c>
      <c r="I38" s="97">
        <f>SUM(I12:I36)</f>
        <v>2053200000</v>
      </c>
      <c r="J38" s="97">
        <f>(SUM(J12:J36))</f>
        <v>3542400000</v>
      </c>
      <c r="K38" s="46">
        <f>(SUM(K12:K36))</f>
        <v>1349232000</v>
      </c>
    </row>
    <row r="39" spans="1:12" x14ac:dyDescent="0.2">
      <c r="A39" s="363"/>
    </row>
    <row r="40" spans="1:12" ht="16" customHeight="1" thickBot="1" x14ac:dyDescent="0.25">
      <c r="A40" s="363"/>
    </row>
    <row r="41" spans="1:12" s="145" customFormat="1" ht="22" customHeight="1" thickBot="1" x14ac:dyDescent="0.25">
      <c r="A41" s="363"/>
      <c r="B41" s="381" t="s">
        <v>188</v>
      </c>
      <c r="C41" s="314"/>
      <c r="D41" s="314"/>
      <c r="E41" s="314"/>
      <c r="F41" s="314"/>
      <c r="G41" s="314"/>
      <c r="H41" s="314"/>
      <c r="I41" s="314"/>
      <c r="J41" s="314"/>
      <c r="K41" s="345"/>
    </row>
    <row r="42" spans="1:12" s="145" customFormat="1" ht="13" customHeight="1" thickBot="1" x14ac:dyDescent="0.25">
      <c r="A42" s="363"/>
      <c r="B42" s="373"/>
      <c r="C42" s="335"/>
      <c r="D42" s="335"/>
      <c r="E42" s="335"/>
      <c r="F42" s="335"/>
      <c r="G42" s="335"/>
      <c r="H42" s="335"/>
      <c r="I42" s="335"/>
      <c r="J42" s="335"/>
      <c r="K42" s="335"/>
    </row>
    <row r="43" spans="1:12" ht="16" customHeight="1" thickBot="1" x14ac:dyDescent="0.25">
      <c r="A43" s="363"/>
      <c r="B43" s="18" t="s">
        <v>146</v>
      </c>
      <c r="C43" s="14" t="s">
        <v>147</v>
      </c>
      <c r="D43" s="14" t="s">
        <v>148</v>
      </c>
      <c r="E43" s="14" t="s">
        <v>149</v>
      </c>
      <c r="F43" s="14" t="s">
        <v>150</v>
      </c>
      <c r="G43" s="14" t="s">
        <v>151</v>
      </c>
      <c r="H43" s="14" t="s">
        <v>152</v>
      </c>
      <c r="I43" s="237" t="s">
        <v>145</v>
      </c>
      <c r="J43" s="237" t="s">
        <v>153</v>
      </c>
      <c r="K43" s="15" t="s">
        <v>154</v>
      </c>
    </row>
    <row r="44" spans="1:12" ht="19" customHeight="1" thickBot="1" x14ac:dyDescent="0.25">
      <c r="A44" s="363"/>
      <c r="I44" s="146" t="s">
        <v>189</v>
      </c>
    </row>
    <row r="45" spans="1:12" x14ac:dyDescent="0.2">
      <c r="A45" s="363"/>
      <c r="B45" s="13" t="s">
        <v>190</v>
      </c>
      <c r="C45" s="136">
        <v>0</v>
      </c>
      <c r="D45" s="224" t="s">
        <v>191</v>
      </c>
      <c r="E45" s="10">
        <f>Resumen!F29</f>
        <v>20341440000</v>
      </c>
      <c r="F45" s="143">
        <v>0.3</v>
      </c>
      <c r="G45" s="10">
        <f t="shared" ref="G45:G52" si="3">E45*(1-F45)</f>
        <v>14239008000</v>
      </c>
      <c r="H45" s="240">
        <f>Resumen!E84</f>
        <v>2233800000</v>
      </c>
      <c r="I45" s="238">
        <v>1000000000</v>
      </c>
      <c r="J45" s="240">
        <f t="shared" ref="J45:J52" si="4">H45+I45</f>
        <v>3233800000</v>
      </c>
      <c r="K45" s="229">
        <f t="shared" ref="K45:K52" si="5">G45-J45</f>
        <v>11005208000</v>
      </c>
    </row>
    <row r="46" spans="1:12" x14ac:dyDescent="0.2">
      <c r="B46" s="8" t="s">
        <v>192</v>
      </c>
      <c r="C46" s="4">
        <v>0</v>
      </c>
      <c r="D46" s="117" t="s">
        <v>193</v>
      </c>
      <c r="E46" s="5">
        <f>Resumen!G29</f>
        <v>43588800000</v>
      </c>
      <c r="F46" s="121">
        <v>0.3</v>
      </c>
      <c r="G46" s="5">
        <f t="shared" si="3"/>
        <v>30512159999.999996</v>
      </c>
      <c r="H46" s="241">
        <f>Resumen!E86</f>
        <v>2689200000</v>
      </c>
      <c r="I46" s="241">
        <v>0</v>
      </c>
      <c r="J46" s="241">
        <f t="shared" si="4"/>
        <v>2689200000</v>
      </c>
      <c r="K46" s="230">
        <f t="shared" si="5"/>
        <v>27822959999.999996</v>
      </c>
    </row>
    <row r="47" spans="1:12" x14ac:dyDescent="0.2">
      <c r="B47" s="8" t="s">
        <v>194</v>
      </c>
      <c r="C47" s="4">
        <v>0</v>
      </c>
      <c r="D47" s="117" t="s">
        <v>193</v>
      </c>
      <c r="E47" s="5">
        <f>Resumen!H29</f>
        <v>130766400000</v>
      </c>
      <c r="F47" s="121">
        <v>0.3</v>
      </c>
      <c r="G47" s="5">
        <f t="shared" si="3"/>
        <v>91536480000</v>
      </c>
      <c r="H47" s="241">
        <f>Resumen!E88</f>
        <v>3889200000</v>
      </c>
      <c r="I47" s="241">
        <v>0</v>
      </c>
      <c r="J47" s="241">
        <f t="shared" si="4"/>
        <v>3889200000</v>
      </c>
      <c r="K47" s="230">
        <f t="shared" si="5"/>
        <v>87647280000</v>
      </c>
    </row>
    <row r="48" spans="1:12" x14ac:dyDescent="0.2">
      <c r="B48" s="8" t="s">
        <v>195</v>
      </c>
      <c r="C48" s="4">
        <v>0</v>
      </c>
      <c r="D48" s="117" t="s">
        <v>196</v>
      </c>
      <c r="E48" s="5">
        <f>Resumen!I29</f>
        <v>217944000000</v>
      </c>
      <c r="F48" s="121">
        <v>0.3</v>
      </c>
      <c r="G48" s="5">
        <f t="shared" si="3"/>
        <v>152560800000</v>
      </c>
      <c r="H48" s="241">
        <f>Resumen!E90</f>
        <v>5055960000</v>
      </c>
      <c r="I48" s="241">
        <v>0</v>
      </c>
      <c r="J48" s="241">
        <f t="shared" si="4"/>
        <v>5055960000</v>
      </c>
      <c r="K48" s="230">
        <f t="shared" si="5"/>
        <v>147504840000</v>
      </c>
    </row>
    <row r="49" spans="2:11" x14ac:dyDescent="0.2">
      <c r="B49" s="8" t="s">
        <v>197</v>
      </c>
      <c r="C49" s="4">
        <v>0</v>
      </c>
      <c r="D49" s="117" t="s">
        <v>196</v>
      </c>
      <c r="E49" s="5">
        <f>Resumen!J29</f>
        <v>326916000000</v>
      </c>
      <c r="F49" s="121">
        <v>0.3</v>
      </c>
      <c r="G49" s="5">
        <f t="shared" si="3"/>
        <v>228841200000</v>
      </c>
      <c r="H49" s="241">
        <f>Resumen!E92</f>
        <v>6255960000</v>
      </c>
      <c r="I49" s="241">
        <v>0</v>
      </c>
      <c r="J49" s="241">
        <f t="shared" si="4"/>
        <v>6255960000</v>
      </c>
      <c r="K49" s="230">
        <f t="shared" si="5"/>
        <v>222585240000</v>
      </c>
    </row>
    <row r="50" spans="2:11" x14ac:dyDescent="0.2">
      <c r="B50" s="8" t="s">
        <v>198</v>
      </c>
      <c r="C50" s="4">
        <v>0</v>
      </c>
      <c r="D50" s="117" t="s">
        <v>101</v>
      </c>
      <c r="E50" s="5">
        <f>Resumen!K29</f>
        <v>435888000000</v>
      </c>
      <c r="F50" s="121">
        <v>0.4</v>
      </c>
      <c r="G50" s="5">
        <f t="shared" si="3"/>
        <v>261532800000</v>
      </c>
      <c r="H50" s="241">
        <f>Resumen!E94</f>
        <v>8489760000</v>
      </c>
      <c r="I50" s="241">
        <v>0</v>
      </c>
      <c r="J50" s="241">
        <f t="shared" si="4"/>
        <v>8489760000</v>
      </c>
      <c r="K50" s="230">
        <f t="shared" si="5"/>
        <v>253043040000</v>
      </c>
    </row>
    <row r="51" spans="2:11" x14ac:dyDescent="0.2">
      <c r="B51" s="8" t="s">
        <v>199</v>
      </c>
      <c r="C51" s="4">
        <v>0</v>
      </c>
      <c r="D51" s="117" t="s">
        <v>101</v>
      </c>
      <c r="E51" s="5">
        <f>Resumen!L29</f>
        <v>610243200000</v>
      </c>
      <c r="F51" s="121">
        <v>0.4</v>
      </c>
      <c r="G51" s="5">
        <f t="shared" si="3"/>
        <v>366145920000</v>
      </c>
      <c r="H51" s="241">
        <f>Resumen!E96</f>
        <v>10187712000</v>
      </c>
      <c r="I51" s="241">
        <v>0</v>
      </c>
      <c r="J51" s="241">
        <f t="shared" si="4"/>
        <v>10187712000</v>
      </c>
      <c r="K51" s="230">
        <f t="shared" si="5"/>
        <v>355958208000</v>
      </c>
    </row>
    <row r="52" spans="2:11" ht="16" customHeight="1" thickBot="1" x14ac:dyDescent="0.25">
      <c r="B52" s="232" t="s">
        <v>200</v>
      </c>
      <c r="C52" s="219">
        <v>0</v>
      </c>
      <c r="D52" s="218" t="s">
        <v>101</v>
      </c>
      <c r="E52" s="239">
        <f>Resumen!M29</f>
        <v>784598400000</v>
      </c>
      <c r="F52" s="233">
        <v>0.4</v>
      </c>
      <c r="G52" s="239">
        <f t="shared" si="3"/>
        <v>470759040000</v>
      </c>
      <c r="H52" s="242">
        <f>Resumen!E98</f>
        <v>12421512000</v>
      </c>
      <c r="I52" s="242">
        <v>0</v>
      </c>
      <c r="J52" s="242">
        <f t="shared" si="4"/>
        <v>12421512000</v>
      </c>
      <c r="K52" s="234">
        <f t="shared" si="5"/>
        <v>458337528000</v>
      </c>
    </row>
    <row r="53" spans="2:11" ht="16" customHeight="1" thickBot="1" x14ac:dyDescent="0.25">
      <c r="B53" s="254" t="s">
        <v>201</v>
      </c>
      <c r="C53" s="256">
        <f>I38+I45</f>
        <v>3053200000</v>
      </c>
      <c r="D53" s="255" t="s">
        <v>202</v>
      </c>
      <c r="E53" s="236">
        <f>SUM(E45:E52)</f>
        <v>2570286240000</v>
      </c>
      <c r="F53" s="250">
        <f>AVERAGE(F45:F52)</f>
        <v>0.33749999999999997</v>
      </c>
      <c r="G53" s="236">
        <f>SUM(G45:G52)</f>
        <v>1616127408000</v>
      </c>
      <c r="H53" s="243">
        <f>SUM(H45:H52)</f>
        <v>51223104000</v>
      </c>
      <c r="I53" s="245">
        <f>SUM(I45:I52)</f>
        <v>1000000000</v>
      </c>
      <c r="J53" s="244">
        <f>SUM(J45:J52)</f>
        <v>52223104000</v>
      </c>
      <c r="K53" s="236">
        <f>SUM(K45:K52)</f>
        <v>1563904304000</v>
      </c>
    </row>
    <row r="54" spans="2:11" ht="16" customHeight="1" thickBot="1" x14ac:dyDescent="0.25">
      <c r="B54" s="252"/>
      <c r="C54" s="257"/>
      <c r="D54" s="253"/>
      <c r="E54" s="235" t="s">
        <v>203</v>
      </c>
      <c r="F54" s="251"/>
      <c r="G54" s="235" t="s">
        <v>203</v>
      </c>
      <c r="H54" s="351"/>
      <c r="I54" s="314"/>
      <c r="J54" s="345"/>
      <c r="K54" s="235" t="s">
        <v>204</v>
      </c>
    </row>
    <row r="55" spans="2:11" x14ac:dyDescent="0.2">
      <c r="H55" s="100"/>
      <c r="I55" s="100"/>
      <c r="J55" s="100"/>
      <c r="K55" s="100"/>
    </row>
    <row r="56" spans="2:11" x14ac:dyDescent="0.2">
      <c r="H56" s="100"/>
      <c r="I56" s="100"/>
      <c r="J56" s="100"/>
      <c r="K56" s="100"/>
    </row>
    <row r="57" spans="2:11" x14ac:dyDescent="0.2">
      <c r="H57" s="100"/>
      <c r="I57" s="100"/>
      <c r="J57" s="100"/>
      <c r="K57" s="100"/>
    </row>
    <row r="58" spans="2:11" x14ac:dyDescent="0.2">
      <c r="H58" s="100"/>
      <c r="I58" s="100"/>
      <c r="J58" s="100"/>
      <c r="K58" s="100"/>
    </row>
    <row r="59" spans="2:11" x14ac:dyDescent="0.2">
      <c r="H59" s="100"/>
      <c r="I59" s="100"/>
      <c r="J59" s="100"/>
      <c r="K59" s="100"/>
    </row>
    <row r="60" spans="2:11" x14ac:dyDescent="0.2">
      <c r="H60" s="100"/>
      <c r="I60" s="100"/>
      <c r="J60" s="100"/>
      <c r="K60" s="100"/>
    </row>
    <row r="61" spans="2:11" x14ac:dyDescent="0.2">
      <c r="H61" s="100"/>
      <c r="I61" s="100"/>
      <c r="J61" s="100"/>
      <c r="K61" s="100"/>
    </row>
    <row r="62" spans="2:11" x14ac:dyDescent="0.2">
      <c r="H62" s="100"/>
      <c r="I62" s="100"/>
      <c r="J62" s="100"/>
      <c r="K62" s="100"/>
    </row>
  </sheetData>
  <mergeCells count="28">
    <mergeCell ref="A2:A45"/>
    <mergeCell ref="D16:D19"/>
    <mergeCell ref="F33:F36"/>
    <mergeCell ref="B8:C8"/>
    <mergeCell ref="F23:F26"/>
    <mergeCell ref="D28:D31"/>
    <mergeCell ref="B27:K27"/>
    <mergeCell ref="D33:D36"/>
    <mergeCell ref="B42:K42"/>
    <mergeCell ref="F12:F14"/>
    <mergeCell ref="D5:K7"/>
    <mergeCell ref="B41:K41"/>
    <mergeCell ref="D9:K10"/>
    <mergeCell ref="B32:K32"/>
    <mergeCell ref="B11:C11"/>
    <mergeCell ref="B4:K4"/>
    <mergeCell ref="H54:J54"/>
    <mergeCell ref="F28:F31"/>
    <mergeCell ref="D23:D26"/>
    <mergeCell ref="D8:K8"/>
    <mergeCell ref="B20:C20"/>
    <mergeCell ref="B37:K37"/>
    <mergeCell ref="D11:K11"/>
    <mergeCell ref="D20:K22"/>
    <mergeCell ref="D12:D14"/>
    <mergeCell ref="F16:F19"/>
    <mergeCell ref="B15:K15"/>
    <mergeCell ref="B22:C22"/>
  </mergeCells>
  <pageMargins left="0.7" right="0.7" top="0.75" bottom="0.75" header="0.3" footer="0.3"/>
  <pageSetup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O29"/>
  <sheetViews>
    <sheetView zoomScale="150" zoomScaleNormal="160" workbookViewId="0">
      <pane ySplit="2" topLeftCell="A13" activePane="bottomLeft" state="frozen"/>
      <selection pane="bottomLeft" activeCell="F20" sqref="F20"/>
    </sheetView>
  </sheetViews>
  <sheetFormatPr baseColWidth="10" defaultRowHeight="15" x14ac:dyDescent="0.2"/>
  <cols>
    <col min="1" max="1" width="1" customWidth="1"/>
    <col min="2" max="2" width="8.6640625" customWidth="1"/>
    <col min="3" max="4" width="18.83203125" customWidth="1"/>
    <col min="5" max="5" width="23.6640625" customWidth="1"/>
    <col min="6" max="6" width="20.83203125" style="2" customWidth="1"/>
    <col min="7" max="7" width="32.6640625" customWidth="1"/>
    <col min="8" max="10" width="21.6640625" customWidth="1"/>
    <col min="11" max="13" width="21.83203125" customWidth="1"/>
    <col min="14" max="15" width="21.6640625" customWidth="1"/>
  </cols>
  <sheetData>
    <row r="1" spans="1:15" ht="6" customHeight="1" thickBot="1" x14ac:dyDescent="0.25">
      <c r="B1" s="298"/>
      <c r="C1" s="327"/>
      <c r="D1" s="327"/>
      <c r="E1" s="327"/>
      <c r="F1" s="298"/>
      <c r="G1" s="327"/>
    </row>
    <row r="2" spans="1:15" s="3" customFormat="1" ht="16" customHeight="1" thickBot="1" x14ac:dyDescent="0.25">
      <c r="A2" s="21"/>
      <c r="B2" s="12" t="s">
        <v>205</v>
      </c>
      <c r="C2" s="14" t="s">
        <v>206</v>
      </c>
      <c r="D2" s="14" t="s">
        <v>207</v>
      </c>
      <c r="E2" s="14" t="s">
        <v>208</v>
      </c>
      <c r="F2" s="14" t="s">
        <v>209</v>
      </c>
      <c r="G2" s="15" t="s">
        <v>210</v>
      </c>
      <c r="H2" s="15" t="s">
        <v>211</v>
      </c>
      <c r="I2" s="15" t="s">
        <v>212</v>
      </c>
      <c r="J2" s="15" t="s">
        <v>213</v>
      </c>
      <c r="K2" s="15" t="s">
        <v>214</v>
      </c>
      <c r="L2" s="15" t="s">
        <v>215</v>
      </c>
      <c r="M2" s="15" t="s">
        <v>216</v>
      </c>
      <c r="N2" s="15" t="s">
        <v>217</v>
      </c>
      <c r="O2" s="15" t="s">
        <v>218</v>
      </c>
    </row>
    <row r="3" spans="1:15" ht="16" customHeight="1" thickBot="1" x14ac:dyDescent="0.25">
      <c r="A3" s="21"/>
      <c r="B3" s="395"/>
      <c r="C3" s="314"/>
      <c r="D3" s="314"/>
      <c r="E3" s="314"/>
      <c r="F3" s="314"/>
      <c r="G3" s="314"/>
      <c r="H3" s="345"/>
    </row>
    <row r="4" spans="1:15" ht="16" customHeight="1" thickBot="1" x14ac:dyDescent="0.25">
      <c r="A4" s="3"/>
      <c r="B4" s="13" t="s">
        <v>162</v>
      </c>
      <c r="C4" s="10">
        <f>'Flow Detail (24 meses)'!K12*'Participaciones y Distribución '!C4</f>
        <v>33902399.999999993</v>
      </c>
      <c r="D4" s="10">
        <f t="array" ref="D4:D6">'Flow Detail (24 meses)'!K12:K14*'Participaciones y Distribución '!C5</f>
        <v>14529599.999999998</v>
      </c>
      <c r="E4" s="396">
        <v>12</v>
      </c>
      <c r="F4" s="147">
        <f>D4/E4</f>
        <v>1210799.9999999998</v>
      </c>
      <c r="G4" s="399">
        <f>SUM(F4:F5:F6)</f>
        <v>3632399.9999999991</v>
      </c>
      <c r="H4" s="393">
        <f>'Escenarios Proyectados (24+)'!K6/'Escenarios Proyectados (24+)'!C6</f>
        <v>220104160</v>
      </c>
      <c r="I4" s="393">
        <f>'Escenarios Proyectados (24+)'!K10/'Escenarios Proyectados (24+)'!C10</f>
        <v>463715999.99999988</v>
      </c>
      <c r="J4" s="393">
        <f>'Escenarios Proyectados (24+)'!K11/'Escenarios Proyectados (24+)'!C11</f>
        <v>1252104000</v>
      </c>
      <c r="K4" s="393">
        <f>'Escenarios Proyectados (24+)'!K12/'Escenarios Proyectados (24+)'!C12</f>
        <v>1580409000</v>
      </c>
      <c r="L4" s="393">
        <f>'Escenarios Proyectados (24+)'!K13/'Escenarios Proyectados (24+)'!C13</f>
        <v>1907873485.7142856</v>
      </c>
      <c r="M4" s="393">
        <f>'Escenarios Proyectados (24+)'!K14/'Escenarios Proyectados (24+)'!C14</f>
        <v>1167890953.8461537</v>
      </c>
      <c r="N4" s="393">
        <f>'Escenarios Proyectados (24+)'!K15/'Escenarios Proyectados (24+)'!C15</f>
        <v>1124078551.5789473</v>
      </c>
      <c r="O4" s="393">
        <f>'Escenarios Proyectados (24+)'!K16/'Escenarios Proyectados (24+)'!C16</f>
        <v>1145843820</v>
      </c>
    </row>
    <row r="5" spans="1:15" ht="16" customHeight="1" thickBot="1" x14ac:dyDescent="0.25">
      <c r="A5" s="3"/>
      <c r="B5" s="8" t="s">
        <v>164</v>
      </c>
      <c r="C5" s="10">
        <f>C4</f>
        <v>33902399.999999993</v>
      </c>
      <c r="D5" s="5">
        <v>14529599.999999998</v>
      </c>
      <c r="E5" s="325"/>
      <c r="F5" s="147">
        <f>D5/E4</f>
        <v>1210799.9999999998</v>
      </c>
      <c r="G5" s="320"/>
      <c r="H5" s="320"/>
      <c r="I5" s="320"/>
      <c r="J5" s="320"/>
      <c r="K5" s="320"/>
      <c r="L5" s="320"/>
      <c r="M5" s="320"/>
      <c r="N5" s="320"/>
      <c r="O5" s="320"/>
    </row>
    <row r="6" spans="1:15" ht="16" customHeight="1" thickBot="1" x14ac:dyDescent="0.25">
      <c r="A6" s="3"/>
      <c r="B6" s="9" t="s">
        <v>165</v>
      </c>
      <c r="C6" s="10">
        <f>C5</f>
        <v>33902399.999999993</v>
      </c>
      <c r="D6" s="11">
        <v>14529599.999999998</v>
      </c>
      <c r="E6" s="368"/>
      <c r="F6" s="147">
        <f>D6/E4</f>
        <v>1210799.9999999998</v>
      </c>
      <c r="G6" s="394"/>
      <c r="H6" s="320"/>
      <c r="I6" s="320"/>
      <c r="J6" s="320"/>
      <c r="K6" s="320"/>
      <c r="L6" s="320"/>
      <c r="M6" s="320"/>
      <c r="N6" s="320"/>
      <c r="O6" s="320"/>
    </row>
    <row r="7" spans="1:15" ht="16" customHeight="1" thickBot="1" x14ac:dyDescent="0.25">
      <c r="A7" s="3"/>
      <c r="B7" s="397"/>
      <c r="C7" s="327"/>
      <c r="D7" s="327"/>
      <c r="E7" s="327"/>
      <c r="F7" s="298"/>
      <c r="G7" s="332"/>
      <c r="H7" s="320"/>
      <c r="I7" s="320"/>
      <c r="J7" s="320"/>
      <c r="K7" s="320"/>
      <c r="L7" s="320"/>
      <c r="M7" s="320"/>
      <c r="N7" s="320"/>
      <c r="O7" s="320"/>
    </row>
    <row r="8" spans="1:15" ht="16" customHeight="1" x14ac:dyDescent="0.2">
      <c r="A8" s="3"/>
      <c r="B8" s="13" t="s">
        <v>166</v>
      </c>
      <c r="C8" s="10">
        <f t="array" ref="C8:C11">'Flow Detail (24 meses)'!K16:K19*'Participaciones y Distribución '!C4</f>
        <v>46804799.999999985</v>
      </c>
      <c r="D8" s="10">
        <f t="array" ref="D8:D11">'Flow Detail (24 meses)'!K16:K19*'Participaciones y Distribución '!C5</f>
        <v>20059199.999999996</v>
      </c>
      <c r="E8" s="396">
        <v>12</v>
      </c>
      <c r="F8" s="147">
        <f>D8/E8</f>
        <v>1671599.9999999998</v>
      </c>
      <c r="G8" s="399">
        <f>SUM(F8:F11)</f>
        <v>6686399.9999999991</v>
      </c>
      <c r="H8" s="320"/>
      <c r="I8" s="320"/>
      <c r="J8" s="320"/>
      <c r="K8" s="320"/>
      <c r="L8" s="320"/>
      <c r="M8" s="320"/>
      <c r="N8" s="320"/>
      <c r="O8" s="320"/>
    </row>
    <row r="9" spans="1:15" ht="16" customHeight="1" x14ac:dyDescent="0.2">
      <c r="A9" s="3"/>
      <c r="B9" s="8" t="s">
        <v>168</v>
      </c>
      <c r="C9" s="5">
        <v>46804799.999999985</v>
      </c>
      <c r="D9" s="5">
        <v>20059199.999999996</v>
      </c>
      <c r="E9" s="325"/>
      <c r="F9" s="7">
        <f>D9/E8</f>
        <v>1671599.9999999998</v>
      </c>
      <c r="G9" s="320"/>
      <c r="H9" s="320"/>
      <c r="I9" s="320"/>
      <c r="J9" s="320"/>
      <c r="K9" s="320"/>
      <c r="L9" s="320"/>
      <c r="M9" s="320"/>
      <c r="N9" s="320"/>
      <c r="O9" s="320"/>
    </row>
    <row r="10" spans="1:15" ht="16" customHeight="1" x14ac:dyDescent="0.2">
      <c r="A10" s="3"/>
      <c r="B10" s="8" t="s">
        <v>169</v>
      </c>
      <c r="C10" s="5">
        <v>46804799.999999985</v>
      </c>
      <c r="D10" s="5">
        <v>20059199.999999996</v>
      </c>
      <c r="E10" s="325"/>
      <c r="F10" s="7">
        <f>D10/E8</f>
        <v>1671599.9999999998</v>
      </c>
      <c r="G10" s="320"/>
      <c r="H10" s="320"/>
      <c r="I10" s="320"/>
      <c r="J10" s="320"/>
      <c r="K10" s="320"/>
      <c r="L10" s="320"/>
      <c r="M10" s="320"/>
      <c r="N10" s="320"/>
      <c r="O10" s="320"/>
    </row>
    <row r="11" spans="1:15" ht="16" customHeight="1" thickBot="1" x14ac:dyDescent="0.25">
      <c r="A11" s="3"/>
      <c r="B11" s="9" t="s">
        <v>170</v>
      </c>
      <c r="C11" s="11">
        <v>46804799.999999985</v>
      </c>
      <c r="D11" s="11">
        <v>20059199.999999996</v>
      </c>
      <c r="E11" s="368"/>
      <c r="F11" s="148">
        <f>D11/E8</f>
        <v>1671599.9999999998</v>
      </c>
      <c r="G11" s="394"/>
      <c r="H11" s="320"/>
      <c r="I11" s="320"/>
      <c r="J11" s="320"/>
      <c r="K11" s="320"/>
      <c r="L11" s="320"/>
      <c r="M11" s="320"/>
      <c r="N11" s="320"/>
      <c r="O11" s="320"/>
    </row>
    <row r="12" spans="1:15" ht="16" customHeight="1" thickBot="1" x14ac:dyDescent="0.25">
      <c r="A12" s="3"/>
      <c r="B12" s="397"/>
      <c r="C12" s="327"/>
      <c r="D12" s="327"/>
      <c r="E12" s="327"/>
      <c r="F12" s="298"/>
      <c r="G12" s="332"/>
      <c r="H12" s="320"/>
      <c r="I12" s="320"/>
      <c r="J12" s="320"/>
      <c r="K12" s="320"/>
      <c r="L12" s="320"/>
      <c r="M12" s="320"/>
      <c r="N12" s="320"/>
      <c r="O12" s="320"/>
    </row>
    <row r="13" spans="1:15" ht="16" customHeight="1" x14ac:dyDescent="0.2">
      <c r="A13" s="3"/>
      <c r="B13" s="13" t="s">
        <v>172</v>
      </c>
      <c r="C13" s="10">
        <f t="array" ref="C13:C16">'Flow Detail (24 meses)'!K23:K26*'Participaciones y Distribución '!C4</f>
        <v>60544399.999999993</v>
      </c>
      <c r="D13" s="10">
        <f t="array" ref="D13:D16">'Flow Detail (24 meses)'!K23:K26*'Participaciones y Distribución '!C5</f>
        <v>25947600</v>
      </c>
      <c r="E13" s="396">
        <v>12</v>
      </c>
      <c r="F13" s="147">
        <f>D13/E13</f>
        <v>2162300</v>
      </c>
      <c r="G13" s="398">
        <f>SUM(F13:F14:F16)</f>
        <v>8649200</v>
      </c>
      <c r="H13" s="320"/>
      <c r="I13" s="320"/>
      <c r="J13" s="320"/>
      <c r="K13" s="320"/>
      <c r="L13" s="320"/>
      <c r="M13" s="320"/>
      <c r="N13" s="320"/>
      <c r="O13" s="320"/>
    </row>
    <row r="14" spans="1:15" ht="16" customHeight="1" x14ac:dyDescent="0.2">
      <c r="A14" s="3"/>
      <c r="B14" s="8" t="s">
        <v>174</v>
      </c>
      <c r="C14" s="5">
        <v>60544399.999999993</v>
      </c>
      <c r="D14" s="5">
        <v>25947600</v>
      </c>
      <c r="E14" s="325"/>
      <c r="F14" s="7">
        <f>D14/E13</f>
        <v>2162300</v>
      </c>
      <c r="G14" s="320"/>
      <c r="H14" s="320"/>
      <c r="I14" s="320"/>
      <c r="J14" s="320"/>
      <c r="K14" s="320"/>
      <c r="L14" s="320"/>
      <c r="M14" s="320"/>
      <c r="N14" s="320"/>
      <c r="O14" s="320"/>
    </row>
    <row r="15" spans="1:15" ht="16" customHeight="1" x14ac:dyDescent="0.2">
      <c r="A15" s="3"/>
      <c r="B15" s="8" t="s">
        <v>175</v>
      </c>
      <c r="C15" s="5">
        <v>60544399.999999993</v>
      </c>
      <c r="D15" s="5">
        <v>25947600</v>
      </c>
      <c r="E15" s="325"/>
      <c r="F15" s="7">
        <f>D15/E13</f>
        <v>2162300</v>
      </c>
      <c r="G15" s="320"/>
      <c r="H15" s="320"/>
      <c r="I15" s="320"/>
      <c r="J15" s="320"/>
      <c r="K15" s="320"/>
      <c r="L15" s="320"/>
      <c r="M15" s="320"/>
      <c r="N15" s="320"/>
      <c r="O15" s="320"/>
    </row>
    <row r="16" spans="1:15" ht="16" customHeight="1" thickBot="1" x14ac:dyDescent="0.25">
      <c r="A16" s="3"/>
      <c r="B16" s="9" t="s">
        <v>176</v>
      </c>
      <c r="C16" s="11">
        <v>60544399.999999993</v>
      </c>
      <c r="D16" s="11">
        <v>25947600</v>
      </c>
      <c r="E16" s="368"/>
      <c r="F16" s="148">
        <f>D16/E13</f>
        <v>2162300</v>
      </c>
      <c r="G16" s="394"/>
      <c r="H16" s="320"/>
      <c r="I16" s="320"/>
      <c r="J16" s="320"/>
      <c r="K16" s="320"/>
      <c r="L16" s="320"/>
      <c r="M16" s="320"/>
      <c r="N16" s="320"/>
      <c r="O16" s="320"/>
    </row>
    <row r="17" spans="1:15" ht="16" customHeight="1" thickBot="1" x14ac:dyDescent="0.25">
      <c r="A17" s="3"/>
      <c r="B17" s="397"/>
      <c r="C17" s="327"/>
      <c r="D17" s="327"/>
      <c r="E17" s="327"/>
      <c r="F17" s="298"/>
      <c r="G17" s="332"/>
      <c r="H17" s="320"/>
      <c r="I17" s="320"/>
      <c r="J17" s="320"/>
      <c r="K17" s="320"/>
      <c r="L17" s="320"/>
      <c r="M17" s="320"/>
      <c r="N17" s="320"/>
      <c r="O17" s="320"/>
    </row>
    <row r="18" spans="1:15" ht="16" customHeight="1" x14ac:dyDescent="0.2">
      <c r="A18" s="3"/>
      <c r="B18" s="13" t="s">
        <v>177</v>
      </c>
      <c r="C18" s="10">
        <f t="array" ref="C18:C21">'Flow Detail (24 meses)'!K28:K31*'Participaciones y Distribución '!C4</f>
        <v>53544400</v>
      </c>
      <c r="D18" s="10">
        <f t="array" ref="D18:D21">'Flow Detail (24 meses)'!K28:K31*'Participaciones y Distribución '!C5</f>
        <v>22947600</v>
      </c>
      <c r="E18" s="396">
        <v>12</v>
      </c>
      <c r="F18" s="147">
        <f>D18/E18</f>
        <v>1912300</v>
      </c>
      <c r="G18" s="399">
        <f>SUM(F18:F21)</f>
        <v>7649200</v>
      </c>
      <c r="H18" s="320"/>
      <c r="I18" s="320"/>
      <c r="J18" s="320"/>
      <c r="K18" s="320"/>
      <c r="L18" s="320"/>
      <c r="M18" s="320"/>
      <c r="N18" s="320"/>
      <c r="O18" s="320"/>
    </row>
    <row r="19" spans="1:15" ht="16" customHeight="1" x14ac:dyDescent="0.2">
      <c r="A19" s="3"/>
      <c r="B19" s="8" t="s">
        <v>179</v>
      </c>
      <c r="C19" s="5">
        <v>53544400</v>
      </c>
      <c r="D19" s="5">
        <v>22947600</v>
      </c>
      <c r="E19" s="325"/>
      <c r="F19" s="7">
        <f>D19/E18</f>
        <v>1912300</v>
      </c>
      <c r="G19" s="320"/>
      <c r="H19" s="320"/>
      <c r="I19" s="320"/>
      <c r="J19" s="320"/>
      <c r="K19" s="320"/>
      <c r="L19" s="320"/>
      <c r="M19" s="320"/>
      <c r="N19" s="320"/>
      <c r="O19" s="320"/>
    </row>
    <row r="20" spans="1:15" ht="16" customHeight="1" x14ac:dyDescent="0.2">
      <c r="A20" s="3"/>
      <c r="B20" s="8" t="s">
        <v>180</v>
      </c>
      <c r="C20" s="5">
        <v>53544400</v>
      </c>
      <c r="D20" s="5">
        <v>22947600</v>
      </c>
      <c r="E20" s="325"/>
      <c r="F20" s="7">
        <f>D20/E18</f>
        <v>1912300</v>
      </c>
      <c r="G20" s="320"/>
      <c r="H20" s="320"/>
      <c r="I20" s="320"/>
      <c r="J20" s="320"/>
      <c r="K20" s="320"/>
      <c r="L20" s="320"/>
      <c r="M20" s="320"/>
      <c r="N20" s="320"/>
      <c r="O20" s="320"/>
    </row>
    <row r="21" spans="1:15" ht="16" customHeight="1" thickBot="1" x14ac:dyDescent="0.25">
      <c r="A21" s="3"/>
      <c r="B21" s="9" t="s">
        <v>181</v>
      </c>
      <c r="C21" s="11">
        <v>53544400</v>
      </c>
      <c r="D21" s="11">
        <v>22947600</v>
      </c>
      <c r="E21" s="368"/>
      <c r="F21" s="148">
        <f>D21/E18</f>
        <v>1912300</v>
      </c>
      <c r="G21" s="394"/>
      <c r="H21" s="320"/>
      <c r="I21" s="320"/>
      <c r="J21" s="320"/>
      <c r="K21" s="320"/>
      <c r="L21" s="320"/>
      <c r="M21" s="320"/>
      <c r="N21" s="320"/>
      <c r="O21" s="320"/>
    </row>
    <row r="22" spans="1:15" ht="16" customHeight="1" thickBot="1" x14ac:dyDescent="0.25">
      <c r="A22" s="3"/>
      <c r="B22" s="397"/>
      <c r="C22" s="327"/>
      <c r="D22" s="327"/>
      <c r="E22" s="327"/>
      <c r="F22" s="298"/>
      <c r="G22" s="332"/>
      <c r="H22" s="320"/>
      <c r="I22" s="320"/>
      <c r="J22" s="320"/>
      <c r="K22" s="320"/>
      <c r="L22" s="320"/>
      <c r="M22" s="320"/>
      <c r="N22" s="320"/>
      <c r="O22" s="320"/>
    </row>
    <row r="23" spans="1:15" ht="16" customHeight="1" thickBot="1" x14ac:dyDescent="0.25">
      <c r="A23" s="3"/>
      <c r="B23" s="13" t="s">
        <v>182</v>
      </c>
      <c r="C23" s="10">
        <f>'Flow Detail (24 meses)'!K33*'Participaciones y Distribución '!C4</f>
        <v>59105199.999999955</v>
      </c>
      <c r="D23" s="10">
        <f t="array" ref="D23:D26">'Flow Detail (24 meses)'!K33:K36*'Participaciones y Distribución '!C5</f>
        <v>25330799.999999981</v>
      </c>
      <c r="E23" s="396">
        <v>12</v>
      </c>
      <c r="F23" s="147">
        <f>D23/E23</f>
        <v>2110899.9999999986</v>
      </c>
      <c r="G23" s="399">
        <f>SUM(F23:F26)</f>
        <v>7113599.9999999944</v>
      </c>
      <c r="H23" s="320"/>
      <c r="I23" s="320"/>
      <c r="J23" s="320"/>
      <c r="K23" s="320"/>
      <c r="L23" s="320"/>
      <c r="M23" s="320"/>
      <c r="N23" s="320"/>
      <c r="O23" s="320"/>
    </row>
    <row r="24" spans="1:15" ht="16" customHeight="1" x14ac:dyDescent="0.2">
      <c r="A24" s="3"/>
      <c r="B24" s="8" t="s">
        <v>184</v>
      </c>
      <c r="C24" s="10">
        <f>'Flow Detail (24 meses)'!K33*'Participaciones y Distribución '!C4</f>
        <v>59105199.999999955</v>
      </c>
      <c r="D24" s="5">
        <v>25330799.999999981</v>
      </c>
      <c r="E24" s="325"/>
      <c r="F24" s="7">
        <f>D24/E23</f>
        <v>2110899.9999999986</v>
      </c>
      <c r="G24" s="320"/>
      <c r="H24" s="320"/>
      <c r="I24" s="320"/>
      <c r="J24" s="320"/>
      <c r="K24" s="320"/>
      <c r="L24" s="320"/>
      <c r="M24" s="320"/>
      <c r="N24" s="320"/>
      <c r="O24" s="320"/>
    </row>
    <row r="25" spans="1:15" ht="16" customHeight="1" x14ac:dyDescent="0.2">
      <c r="A25" s="3"/>
      <c r="B25" s="8" t="s">
        <v>185</v>
      </c>
      <c r="C25" s="5">
        <f>'Flow Detail (24 meses)'!K33*'Participaciones y Distribución '!C4</f>
        <v>59105199.999999955</v>
      </c>
      <c r="D25" s="5">
        <v>25330799.999999981</v>
      </c>
      <c r="E25" s="325"/>
      <c r="F25" s="7">
        <f>D25/E23</f>
        <v>2110899.9999999986</v>
      </c>
      <c r="G25" s="320"/>
      <c r="H25" s="320"/>
      <c r="I25" s="320"/>
      <c r="J25" s="320"/>
      <c r="K25" s="320"/>
      <c r="L25" s="320"/>
      <c r="M25" s="320"/>
      <c r="N25" s="320"/>
      <c r="O25" s="320"/>
    </row>
    <row r="26" spans="1:15" ht="16" customHeight="1" thickBot="1" x14ac:dyDescent="0.25">
      <c r="A26" s="3"/>
      <c r="B26" s="9" t="s">
        <v>186</v>
      </c>
      <c r="C26" s="11">
        <f>'Flow Detail (24 meses)'!K36*'Participaciones y Distribución '!C4</f>
        <v>21865199.999999955</v>
      </c>
      <c r="D26" s="11">
        <v>9370799.9999999814</v>
      </c>
      <c r="E26" s="368"/>
      <c r="F26" s="148">
        <f>D26/E23</f>
        <v>780899.99999999849</v>
      </c>
      <c r="G26" s="394"/>
      <c r="H26" s="394"/>
      <c r="I26" s="394"/>
      <c r="J26" s="394"/>
      <c r="K26" s="394"/>
      <c r="L26" s="394"/>
      <c r="M26" s="394"/>
      <c r="N26" s="394"/>
      <c r="O26" s="394"/>
    </row>
    <row r="27" spans="1:15" ht="16" customHeight="1" thickBot="1" x14ac:dyDescent="0.25">
      <c r="A27" s="21"/>
      <c r="B27" s="395"/>
      <c r="C27" s="314"/>
      <c r="D27" s="314"/>
      <c r="E27" s="314"/>
      <c r="F27" s="314"/>
      <c r="G27" s="314"/>
      <c r="H27" s="345"/>
    </row>
    <row r="28" spans="1:15" ht="16" customHeight="1" thickBot="1" x14ac:dyDescent="0.25">
      <c r="B28" s="12" t="s">
        <v>219</v>
      </c>
      <c r="C28" s="16">
        <f>SUM(C4:C26)</f>
        <v>944462400</v>
      </c>
      <c r="D28" s="16">
        <f>SUM(D4:D26)</f>
        <v>404769600</v>
      </c>
      <c r="E28" s="22">
        <v>12</v>
      </c>
      <c r="F28" s="16">
        <f>SUM(F4:F26)</f>
        <v>33730800</v>
      </c>
      <c r="G28" s="118">
        <f>G4+G8+G13+G18+G23</f>
        <v>33730799.999999993</v>
      </c>
      <c r="H28" s="119">
        <f t="shared" ref="H28:O28" si="0">H4</f>
        <v>220104160</v>
      </c>
      <c r="I28" s="119">
        <f t="shared" si="0"/>
        <v>463715999.99999988</v>
      </c>
      <c r="J28" s="119">
        <f t="shared" si="0"/>
        <v>1252104000</v>
      </c>
      <c r="K28" s="119">
        <f t="shared" si="0"/>
        <v>1580409000</v>
      </c>
      <c r="L28" s="119">
        <f t="shared" si="0"/>
        <v>1907873485.7142856</v>
      </c>
      <c r="M28" s="119">
        <f t="shared" si="0"/>
        <v>1167890953.8461537</v>
      </c>
      <c r="N28" s="119">
        <f t="shared" si="0"/>
        <v>1124078551.5789473</v>
      </c>
      <c r="O28" s="119">
        <f t="shared" si="0"/>
        <v>1145843820</v>
      </c>
    </row>
    <row r="29" spans="1:15" ht="16" customHeight="1" thickBot="1" x14ac:dyDescent="0.25">
      <c r="H29" s="120">
        <f>H4*'Escenarios Proyectados (24+)'!C6</f>
        <v>3301562400</v>
      </c>
      <c r="I29" s="120">
        <f>I4*'Escenarios Proyectados (24+)'!C10</f>
        <v>8346887999.9999981</v>
      </c>
      <c r="J29" s="120">
        <f>J4*'Escenarios Proyectados (24+)'!C11</f>
        <v>26294184000</v>
      </c>
      <c r="K29" s="120">
        <f>K4*'Escenarios Proyectados (24+)'!C13</f>
        <v>55314315000</v>
      </c>
      <c r="L29" s="120">
        <f>L4*'Escenarios Proyectados (24+)'!C13</f>
        <v>66775572000</v>
      </c>
      <c r="M29" s="120">
        <f>M4*'Escenarios Proyectados (24+)'!C14</f>
        <v>75912912000</v>
      </c>
      <c r="N29" s="120">
        <f>N4*'Escenarios Proyectados (24+)'!C15</f>
        <v>106787462400</v>
      </c>
      <c r="O29" s="120">
        <f>O4*'Escenarios Proyectados (24+)'!C16</f>
        <v>137501258400</v>
      </c>
    </row>
  </sheetData>
  <mergeCells count="25">
    <mergeCell ref="I4:I26"/>
    <mergeCell ref="B17:G17"/>
    <mergeCell ref="B1:G1"/>
    <mergeCell ref="G8:G11"/>
    <mergeCell ref="G23:G26"/>
    <mergeCell ref="G4:G6"/>
    <mergeCell ref="E18:E21"/>
    <mergeCell ref="E23:E26"/>
    <mergeCell ref="E8:E11"/>
    <mergeCell ref="N4:N26"/>
    <mergeCell ref="B3:H3"/>
    <mergeCell ref="B27:H27"/>
    <mergeCell ref="E4:E6"/>
    <mergeCell ref="O4:O26"/>
    <mergeCell ref="B7:G7"/>
    <mergeCell ref="B22:G22"/>
    <mergeCell ref="J4:J26"/>
    <mergeCell ref="L4:L26"/>
    <mergeCell ref="B12:G12"/>
    <mergeCell ref="M4:M26"/>
    <mergeCell ref="E13:E16"/>
    <mergeCell ref="G13:G16"/>
    <mergeCell ref="G18:G21"/>
    <mergeCell ref="H4:H26"/>
    <mergeCell ref="K4:K26"/>
  </mergeCells>
  <pageMargins left="0.7" right="0.7" top="0.75" bottom="0.75" header="0.3" footer="0.3"/>
  <pageSetup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85"/>
  <sheetViews>
    <sheetView zoomScale="150" zoomScaleNormal="150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K10" sqref="K10"/>
    </sheetView>
  </sheetViews>
  <sheetFormatPr baseColWidth="10" defaultRowHeight="15" x14ac:dyDescent="0.2"/>
  <cols>
    <col min="1" max="1" width="1.1640625" customWidth="1"/>
    <col min="2" max="2" width="33.6640625" customWidth="1"/>
    <col min="3" max="3" width="10" customWidth="1"/>
    <col min="4" max="4" width="15" customWidth="1"/>
    <col min="5" max="5" width="15.6640625" customWidth="1"/>
    <col min="6" max="6" width="13.83203125" customWidth="1"/>
    <col min="7" max="7" width="14.6640625" customWidth="1"/>
    <col min="8" max="8" width="13.83203125" customWidth="1"/>
    <col min="9" max="9" width="15" customWidth="1"/>
  </cols>
  <sheetData>
    <row r="1" spans="1:9" ht="8" customHeight="1" x14ac:dyDescent="0.2">
      <c r="B1" s="298"/>
      <c r="C1" s="327"/>
      <c r="D1" s="327"/>
      <c r="E1" s="327"/>
      <c r="F1" s="327"/>
      <c r="G1" s="327"/>
      <c r="H1" s="327"/>
      <c r="I1" s="327"/>
    </row>
    <row r="2" spans="1:9" x14ac:dyDescent="0.2">
      <c r="A2" s="298"/>
      <c r="B2" s="123" t="s">
        <v>220</v>
      </c>
      <c r="C2" s="123" t="s">
        <v>221</v>
      </c>
      <c r="D2" s="124" t="s">
        <v>222</v>
      </c>
      <c r="E2" s="124" t="s">
        <v>223</v>
      </c>
      <c r="F2" s="124" t="s">
        <v>224</v>
      </c>
      <c r="G2" s="124" t="s">
        <v>225</v>
      </c>
      <c r="H2" s="124" t="s">
        <v>226</v>
      </c>
      <c r="I2" s="124" t="s">
        <v>227</v>
      </c>
    </row>
    <row r="3" spans="1:9" x14ac:dyDescent="0.2">
      <c r="A3" s="327"/>
      <c r="B3" s="413"/>
      <c r="C3" s="402"/>
      <c r="D3" s="403"/>
      <c r="E3" s="404"/>
      <c r="F3" s="404"/>
      <c r="G3" s="404"/>
      <c r="H3" s="404"/>
      <c r="I3" s="404"/>
    </row>
    <row r="4" spans="1:9" x14ac:dyDescent="0.2">
      <c r="A4" s="327"/>
      <c r="B4" s="6" t="s">
        <v>206</v>
      </c>
      <c r="C4" s="121">
        <f>Resumen!C4</f>
        <v>0.7</v>
      </c>
      <c r="D4" s="405"/>
      <c r="E4" s="327"/>
      <c r="F4" s="327"/>
      <c r="G4" s="327"/>
      <c r="H4" s="327"/>
      <c r="I4" s="327"/>
    </row>
    <row r="5" spans="1:9" x14ac:dyDescent="0.2">
      <c r="A5" s="327"/>
      <c r="B5" s="125" t="s">
        <v>228</v>
      </c>
      <c r="C5" s="126">
        <f>Resumen!C5</f>
        <v>0.3</v>
      </c>
      <c r="D5" s="405"/>
      <c r="E5" s="327"/>
      <c r="F5" s="327"/>
      <c r="G5" s="327"/>
      <c r="H5" s="327"/>
      <c r="I5" s="327"/>
    </row>
    <row r="6" spans="1:9" x14ac:dyDescent="0.2">
      <c r="A6" s="327"/>
      <c r="B6" s="413"/>
      <c r="C6" s="402"/>
      <c r="D6" s="406"/>
      <c r="E6" s="407"/>
      <c r="F6" s="407"/>
      <c r="G6" s="407"/>
      <c r="H6" s="407"/>
      <c r="I6" s="407"/>
    </row>
    <row r="7" spans="1:9" x14ac:dyDescent="0.2">
      <c r="A7" s="327"/>
      <c r="B7" s="127" t="s">
        <v>229</v>
      </c>
      <c r="C7" s="128" t="s">
        <v>221</v>
      </c>
      <c r="D7" s="410" t="s">
        <v>230</v>
      </c>
      <c r="E7" s="401"/>
      <c r="F7" s="401"/>
      <c r="G7" s="401"/>
      <c r="H7" s="402"/>
      <c r="I7" s="123"/>
    </row>
    <row r="8" spans="1:9" x14ac:dyDescent="0.2">
      <c r="A8" s="327"/>
      <c r="B8" s="403"/>
      <c r="C8" s="401"/>
      <c r="D8" s="401"/>
      <c r="E8" s="401"/>
      <c r="F8" s="401"/>
      <c r="G8" s="401"/>
      <c r="H8" s="401"/>
      <c r="I8" s="401"/>
    </row>
    <row r="9" spans="1:9" x14ac:dyDescent="0.2">
      <c r="A9" s="327"/>
      <c r="B9" s="6" t="s">
        <v>231</v>
      </c>
      <c r="C9" s="99">
        <v>0.52</v>
      </c>
      <c r="D9" s="4">
        <f>('Detalle de Utilidades Muni (24)'!C4+'Detalle de Utilidades Muni (24)'!C5+'Detalle de Utilidades Muni (24)'!C6)*C9</f>
        <v>52887743.999999985</v>
      </c>
      <c r="E9" s="4">
        <f>('Detalle de Utilidades Muni (24)'!C8+'Detalle de Utilidades Muni (24)'!C9+'Detalle de Utilidades Muni (24)'!C10+'Detalle de Utilidades Muni (24)'!C11)*C9</f>
        <v>97353983.99999997</v>
      </c>
      <c r="F9" s="4">
        <f>('Detalle de Utilidades Muni (24)'!C13+'Detalle de Utilidades Muni (24)'!C14+'Detalle de Utilidades Muni (24)'!C15+'Detalle de Utilidades Muni (24)'!C16)*C9</f>
        <v>125932351.99999999</v>
      </c>
      <c r="G9" s="4">
        <f>('Detalle de Utilidades Muni (24)'!C18+'Detalle de Utilidades Muni (24)'!C19+'Detalle de Utilidades Muni (24)'!C20+'Detalle de Utilidades Muni (24)'!C21)*C9</f>
        <v>111372352</v>
      </c>
      <c r="H9" s="4">
        <f>('Detalle de Utilidades Muni (24)'!C23+'Detalle de Utilidades Muni (24)'!C24+'Detalle de Utilidades Muni (24)'!C25+'Detalle de Utilidades Muni (24)'!C26)*C9</f>
        <v>103574015.99999991</v>
      </c>
      <c r="I9" s="4">
        <f>SUM(D9:H9)</f>
        <v>491120447.99999988</v>
      </c>
    </row>
    <row r="10" spans="1:9" x14ac:dyDescent="0.2">
      <c r="A10" s="327"/>
      <c r="B10" s="6" t="s">
        <v>232</v>
      </c>
      <c r="C10" s="99">
        <v>0.26</v>
      </c>
      <c r="D10" s="4">
        <f>('Detalle de Utilidades Muni (24)'!C4+'Detalle de Utilidades Muni (24)'!C5+'Detalle de Utilidades Muni (24)'!C6)*C10</f>
        <v>26443871.999999993</v>
      </c>
      <c r="E10" s="4">
        <f>('Detalle de Utilidades Muni (24)'!C8+'Detalle de Utilidades Muni (24)'!C9+'Detalle de Utilidades Muni (24)'!C10+'Detalle de Utilidades Muni (24)'!C11)*C10</f>
        <v>48676991.999999985</v>
      </c>
      <c r="F10" s="4">
        <f>('Detalle de Utilidades Muni (24)'!C13+'Detalle de Utilidades Muni (24)'!C14+'Detalle de Utilidades Muni (24)'!C15+'Detalle de Utilidades Muni (24)'!C16)*C10</f>
        <v>62966175.999999993</v>
      </c>
      <c r="G10" s="4">
        <f>('Detalle de Utilidades Muni (24)'!C18+'Detalle de Utilidades Muni (24)'!C19+'Detalle de Utilidades Muni (24)'!C20+'Detalle de Utilidades Muni (24)'!C21)*C10</f>
        <v>55686176</v>
      </c>
      <c r="H10" s="4">
        <f>('Detalle de Utilidades Muni (24)'!C23+'Detalle de Utilidades Muni (24)'!C24+'Detalle de Utilidades Muni (24)'!C25+'Detalle de Utilidades Muni (24)'!C26)*C10</f>
        <v>51787007.999999955</v>
      </c>
      <c r="I10" s="4">
        <f>SUM(D10:H10)</f>
        <v>245560223.99999994</v>
      </c>
    </row>
    <row r="11" spans="1:9" x14ac:dyDescent="0.2">
      <c r="A11" s="327"/>
      <c r="B11" s="6" t="s">
        <v>233</v>
      </c>
      <c r="C11" s="99">
        <v>0.22</v>
      </c>
      <c r="D11" s="4">
        <f>('Detalle de Utilidades Muni (24)'!C4+'Detalle de Utilidades Muni (24)'!C5+'Detalle de Utilidades Muni (24)'!C6)*C11</f>
        <v>22375583.999999993</v>
      </c>
      <c r="E11" s="4">
        <f>('Detalle de Utilidades Muni (24)'!C8+'Detalle de Utilidades Muni (24)'!C9+'Detalle de Utilidades Muni (24)'!C10+'Detalle de Utilidades Muni (24)'!C11)*C11</f>
        <v>41188223.999999985</v>
      </c>
      <c r="F11" s="4">
        <f>('Detalle de Utilidades Muni (24)'!C13+'Detalle de Utilidades Muni (24)'!C14+'Detalle de Utilidades Muni (24)'!C15+'Detalle de Utilidades Muni (24)'!C16)*C11</f>
        <v>53279071.999999993</v>
      </c>
      <c r="G11" s="4">
        <f>('Detalle de Utilidades Muni (24)'!C18+'Detalle de Utilidades Muni (24)'!C19+'Detalle de Utilidades Muni (24)'!C20+'Detalle de Utilidades Muni (24)'!C21)*C11</f>
        <v>47119072</v>
      </c>
      <c r="H11" s="4">
        <f>('Detalle de Utilidades Muni (24)'!C23+'Detalle de Utilidades Muni (24)'!C24+'Detalle de Utilidades Muni (24)'!C25+'Detalle de Utilidades Muni (24)'!C26)*C11</f>
        <v>43819775.999999963</v>
      </c>
      <c r="I11" s="4">
        <f>SUM(D11:H11)</f>
        <v>207781727.99999994</v>
      </c>
    </row>
    <row r="12" spans="1:9" x14ac:dyDescent="0.2">
      <c r="A12" s="327"/>
      <c r="B12" s="413"/>
      <c r="C12" s="401"/>
      <c r="D12" s="401"/>
      <c r="E12" s="401"/>
      <c r="F12" s="401"/>
      <c r="G12" s="401"/>
      <c r="H12" s="401"/>
      <c r="I12" s="402"/>
    </row>
    <row r="13" spans="1:9" x14ac:dyDescent="0.2">
      <c r="A13" s="327"/>
      <c r="B13" s="129"/>
      <c r="C13" s="130">
        <f t="shared" ref="C13:I13" si="0">SUM(C9:C11)</f>
        <v>1</v>
      </c>
      <c r="D13" s="131">
        <f t="shared" si="0"/>
        <v>101707199.99999997</v>
      </c>
      <c r="E13" s="131">
        <f t="shared" si="0"/>
        <v>187219199.99999994</v>
      </c>
      <c r="F13" s="131">
        <f t="shared" si="0"/>
        <v>242177599.99999997</v>
      </c>
      <c r="G13" s="131">
        <f t="shared" si="0"/>
        <v>214177600</v>
      </c>
      <c r="H13" s="131">
        <f t="shared" si="0"/>
        <v>199180799.99999985</v>
      </c>
      <c r="I13" s="131">
        <f t="shared" si="0"/>
        <v>944462399.99999976</v>
      </c>
    </row>
    <row r="14" spans="1:9" x14ac:dyDescent="0.2">
      <c r="A14" s="327"/>
      <c r="B14" s="6"/>
      <c r="C14" s="6"/>
      <c r="D14" s="6"/>
      <c r="E14" s="6"/>
      <c r="F14" s="6"/>
      <c r="G14" s="6"/>
      <c r="H14" s="6"/>
      <c r="I14" s="6"/>
    </row>
    <row r="15" spans="1:9" x14ac:dyDescent="0.2">
      <c r="A15" s="327"/>
    </row>
    <row r="16" spans="1:9" x14ac:dyDescent="0.2">
      <c r="A16" s="327"/>
      <c r="B16" s="127" t="s">
        <v>229</v>
      </c>
      <c r="C16" s="128" t="s">
        <v>221</v>
      </c>
      <c r="D16" s="410" t="s">
        <v>190</v>
      </c>
      <c r="E16" s="401"/>
      <c r="F16" s="401"/>
      <c r="G16" s="401"/>
      <c r="H16" s="402"/>
      <c r="I16" s="123"/>
    </row>
    <row r="17" spans="1:9" x14ac:dyDescent="0.2">
      <c r="A17" s="327"/>
      <c r="B17" s="403"/>
      <c r="C17" s="401"/>
      <c r="D17" s="401"/>
      <c r="E17" s="401"/>
      <c r="F17" s="401"/>
      <c r="G17" s="401"/>
      <c r="H17" s="401"/>
      <c r="I17" s="401"/>
    </row>
    <row r="18" spans="1:9" x14ac:dyDescent="0.2">
      <c r="A18" s="327"/>
      <c r="B18" s="6" t="s">
        <v>231</v>
      </c>
      <c r="C18" s="99">
        <v>0.52</v>
      </c>
      <c r="D18" s="4">
        <f>('Detalle de Utilidades Muni (24)'!C13+'Detalle de Utilidades Muni (24)'!C14+'Detalle de Utilidades Muni (24)'!C15)*C18</f>
        <v>94449263.999999985</v>
      </c>
      <c r="E18" s="4">
        <f>('Detalle de Utilidades Muni (24)'!C17+'Detalle de Utilidades Muni (24)'!C18+'Detalle de Utilidades Muni (24)'!C19+'Detalle de Utilidades Muni (24)'!C20)*C18</f>
        <v>83529264</v>
      </c>
      <c r="F18" s="4">
        <f>('Detalle de Utilidades Muni (24)'!C22+'Detalle de Utilidades Muni (24)'!C23+'Detalle de Utilidades Muni (24)'!C24+'Detalle de Utilidades Muni (24)'!C25)*C18</f>
        <v>92204111.99999994</v>
      </c>
      <c r="G18" s="4">
        <f>('Detalle de Utilidades Muni (24)'!C27+'Detalle de Utilidades Muni (24)'!C28+'Detalle de Utilidades Muni (24)'!C29+'Detalle de Utilidades Muni (24)'!C30)*C18</f>
        <v>491120448</v>
      </c>
      <c r="H18" s="4">
        <f>('Detalle de Utilidades Muni (24)'!C32+'Detalle de Utilidades Muni (24)'!C33+'Detalle de Utilidades Muni (24)'!C34+'Detalle de Utilidades Muni (24)'!C35)*C18</f>
        <v>0</v>
      </c>
      <c r="I18" s="4">
        <f>SUM(D18:H18)</f>
        <v>761303088</v>
      </c>
    </row>
    <row r="19" spans="1:9" x14ac:dyDescent="0.2">
      <c r="A19" s="327"/>
      <c r="B19" s="6" t="s">
        <v>232</v>
      </c>
      <c r="C19" s="99">
        <v>0.26</v>
      </c>
      <c r="D19" s="4">
        <f>('Detalle de Utilidades Muni (24)'!C13+'Detalle de Utilidades Muni (24)'!C14+'Detalle de Utilidades Muni (24)'!C15)*C19</f>
        <v>47224631.999999993</v>
      </c>
      <c r="E19" s="4">
        <f>('Detalle de Utilidades Muni (24)'!C17+'Detalle de Utilidades Muni (24)'!C18+'Detalle de Utilidades Muni (24)'!C19+'Detalle de Utilidades Muni (24)'!C20)*C19</f>
        <v>41764632</v>
      </c>
      <c r="F19" s="4">
        <f>('Detalle de Utilidades Muni (24)'!C22+'Detalle de Utilidades Muni (24)'!C23+'Detalle de Utilidades Muni (24)'!C24+'Detalle de Utilidades Muni (24)'!C25)*C19</f>
        <v>46102055.99999997</v>
      </c>
      <c r="G19" s="4">
        <f>('Detalle de Utilidades Muni (24)'!C27+'Detalle de Utilidades Muni (24)'!C28+'Detalle de Utilidades Muni (24)'!C29+'Detalle de Utilidades Muni (24)'!C30)*C19</f>
        <v>245560224</v>
      </c>
      <c r="H19" s="4">
        <f>('Detalle de Utilidades Muni (24)'!C32+'Detalle de Utilidades Muni (24)'!C33+'Detalle de Utilidades Muni (24)'!C34+'Detalle de Utilidades Muni (24)'!C35)*C19</f>
        <v>0</v>
      </c>
      <c r="I19" s="4">
        <f>SUM(D19:H19)</f>
        <v>380651544</v>
      </c>
    </row>
    <row r="20" spans="1:9" x14ac:dyDescent="0.2">
      <c r="A20" s="327"/>
      <c r="B20" s="6" t="s">
        <v>233</v>
      </c>
      <c r="C20" s="99">
        <v>0.22</v>
      </c>
      <c r="D20" s="4">
        <f>('Detalle de Utilidades Muni (24)'!C13+'Detalle de Utilidades Muni (24)'!C14+'Detalle de Utilidades Muni (24)'!C15)*C20</f>
        <v>39959303.999999993</v>
      </c>
      <c r="E20" s="4">
        <f>('Detalle de Utilidades Muni (24)'!C17+'Detalle de Utilidades Muni (24)'!C18+'Detalle de Utilidades Muni (24)'!C19+'Detalle de Utilidades Muni (24)'!C20)*C20</f>
        <v>35339304</v>
      </c>
      <c r="F20" s="4">
        <f>('Detalle de Utilidades Muni (24)'!C22+'Detalle de Utilidades Muni (24)'!C23+'Detalle de Utilidades Muni (24)'!C24+'Detalle de Utilidades Muni (24)'!C25)*C20</f>
        <v>39009431.999999978</v>
      </c>
      <c r="G20" s="4">
        <f>('Detalle de Utilidades Muni (24)'!C27+'Detalle de Utilidades Muni (24)'!C28+'Detalle de Utilidades Muni (24)'!C29+'Detalle de Utilidades Muni (24)'!C30)*C20</f>
        <v>207781728</v>
      </c>
      <c r="H20" s="4">
        <f>('Detalle de Utilidades Muni (24)'!C32+'Detalle de Utilidades Muni (24)'!C33+'Detalle de Utilidades Muni (24)'!C34+'Detalle de Utilidades Muni (24)'!C35)*C20</f>
        <v>0</v>
      </c>
      <c r="I20" s="4">
        <f>SUM(D20:H20)</f>
        <v>322089768</v>
      </c>
    </row>
    <row r="21" spans="1:9" x14ac:dyDescent="0.2">
      <c r="A21" s="327"/>
      <c r="B21" s="413"/>
      <c r="C21" s="401"/>
      <c r="D21" s="401"/>
      <c r="E21" s="401"/>
      <c r="F21" s="401"/>
      <c r="G21" s="401"/>
      <c r="H21" s="401"/>
      <c r="I21" s="402"/>
    </row>
    <row r="22" spans="1:9" x14ac:dyDescent="0.2">
      <c r="A22" s="327"/>
      <c r="B22" s="129"/>
      <c r="C22" s="130">
        <f t="shared" ref="C22:I22" si="1">SUM(C18:C20)</f>
        <v>1</v>
      </c>
      <c r="D22" s="131">
        <f t="shared" si="1"/>
        <v>181633199.99999997</v>
      </c>
      <c r="E22" s="131">
        <f t="shared" si="1"/>
        <v>160633200</v>
      </c>
      <c r="F22" s="131">
        <f t="shared" si="1"/>
        <v>177315599.99999988</v>
      </c>
      <c r="G22" s="131">
        <f t="shared" si="1"/>
        <v>944462400</v>
      </c>
      <c r="H22" s="131">
        <f t="shared" si="1"/>
        <v>0</v>
      </c>
      <c r="I22" s="131">
        <f t="shared" si="1"/>
        <v>1464044400</v>
      </c>
    </row>
    <row r="23" spans="1:9" x14ac:dyDescent="0.2">
      <c r="A23" s="327"/>
    </row>
    <row r="24" spans="1:9" x14ac:dyDescent="0.2">
      <c r="A24" s="327"/>
    </row>
    <row r="25" spans="1:9" x14ac:dyDescent="0.2">
      <c r="B25" s="275" t="s">
        <v>229</v>
      </c>
      <c r="C25" s="276" t="s">
        <v>221</v>
      </c>
      <c r="D25" s="412" t="s">
        <v>192</v>
      </c>
      <c r="E25" s="401"/>
      <c r="F25" s="401"/>
      <c r="G25" s="401"/>
      <c r="H25" s="401"/>
      <c r="I25" s="402"/>
    </row>
    <row r="26" spans="1:9" x14ac:dyDescent="0.2">
      <c r="B26" s="408"/>
      <c r="C26" s="401"/>
      <c r="D26" s="401"/>
      <c r="E26" s="401"/>
      <c r="F26" s="401"/>
      <c r="G26" s="401"/>
      <c r="H26" s="401"/>
      <c r="I26" s="401"/>
    </row>
    <row r="27" spans="1:9" x14ac:dyDescent="0.2">
      <c r="B27" s="278" t="s">
        <v>231</v>
      </c>
      <c r="C27" s="279">
        <v>0.33300000000000002</v>
      </c>
      <c r="D27" s="400">
        <f>'Escenarios Proyectados (24+)'!J10*C27</f>
        <v>6485531975.999999</v>
      </c>
      <c r="E27" s="401"/>
      <c r="F27" s="401"/>
      <c r="G27" s="401"/>
      <c r="H27" s="401"/>
      <c r="I27" s="402"/>
    </row>
    <row r="28" spans="1:9" x14ac:dyDescent="0.2">
      <c r="B28" s="278" t="s">
        <v>232</v>
      </c>
      <c r="C28" s="279">
        <v>0.33300000000000002</v>
      </c>
      <c r="D28" s="400">
        <f>'Escenarios Proyectados (24+)'!J10*'Participaciones y Distribución '!C28</f>
        <v>6485531975.999999</v>
      </c>
      <c r="E28" s="401"/>
      <c r="F28" s="401"/>
      <c r="G28" s="401"/>
      <c r="H28" s="401"/>
      <c r="I28" s="402"/>
    </row>
    <row r="29" spans="1:9" x14ac:dyDescent="0.2">
      <c r="B29" s="278" t="s">
        <v>233</v>
      </c>
      <c r="C29" s="279">
        <v>0.33300000000000002</v>
      </c>
      <c r="D29" s="400">
        <f>'Escenarios Proyectados (24+)'!J10*C29</f>
        <v>6485531975.999999</v>
      </c>
      <c r="E29" s="401"/>
      <c r="F29" s="401"/>
      <c r="G29" s="401"/>
      <c r="H29" s="401"/>
      <c r="I29" s="402"/>
    </row>
    <row r="30" spans="1:9" x14ac:dyDescent="0.2">
      <c r="B30" s="411"/>
      <c r="C30" s="401"/>
      <c r="D30" s="401"/>
      <c r="E30" s="401"/>
      <c r="F30" s="401"/>
      <c r="G30" s="401"/>
      <c r="H30" s="401"/>
      <c r="I30" s="402"/>
    </row>
    <row r="31" spans="1:9" x14ac:dyDescent="0.2">
      <c r="B31" s="280"/>
      <c r="C31" s="281">
        <f>SUM(C27:C29)</f>
        <v>0.99900000000000011</v>
      </c>
      <c r="D31" s="409">
        <f>SUM(D27:D29)</f>
        <v>19456595927.999996</v>
      </c>
      <c r="E31" s="401"/>
      <c r="F31" s="401"/>
      <c r="G31" s="401"/>
      <c r="H31" s="401"/>
      <c r="I31" s="402"/>
    </row>
    <row r="34" spans="2:9" x14ac:dyDescent="0.2">
      <c r="B34" s="275" t="s">
        <v>229</v>
      </c>
      <c r="C34" s="276" t="s">
        <v>221</v>
      </c>
      <c r="D34" s="412" t="s">
        <v>194</v>
      </c>
      <c r="E34" s="401"/>
      <c r="F34" s="401"/>
      <c r="G34" s="401"/>
      <c r="H34" s="402"/>
      <c r="I34" s="277"/>
    </row>
    <row r="35" spans="2:9" x14ac:dyDescent="0.2">
      <c r="B35" s="408"/>
      <c r="C35" s="401"/>
      <c r="D35" s="401"/>
      <c r="E35" s="401"/>
      <c r="F35" s="401"/>
      <c r="G35" s="401"/>
      <c r="H35" s="401"/>
      <c r="I35" s="401"/>
    </row>
    <row r="36" spans="2:9" x14ac:dyDescent="0.2">
      <c r="B36" s="278" t="s">
        <v>231</v>
      </c>
      <c r="C36" s="279">
        <v>0.33300000000000002</v>
      </c>
      <c r="D36" s="400">
        <f>'Escenarios Proyectados (24+)'!J11*C36</f>
        <v>20430580968</v>
      </c>
      <c r="E36" s="401"/>
      <c r="F36" s="401"/>
      <c r="G36" s="401"/>
      <c r="H36" s="401"/>
      <c r="I36" s="402"/>
    </row>
    <row r="37" spans="2:9" x14ac:dyDescent="0.2">
      <c r="B37" s="278" t="s">
        <v>232</v>
      </c>
      <c r="C37" s="279">
        <v>0.33300000000000002</v>
      </c>
      <c r="D37" s="400">
        <f>'Escenarios Proyectados (24+)'!J11*'Participaciones y Distribución '!C37</f>
        <v>20430580968</v>
      </c>
      <c r="E37" s="401"/>
      <c r="F37" s="401"/>
      <c r="G37" s="401"/>
      <c r="H37" s="401"/>
      <c r="I37" s="402"/>
    </row>
    <row r="38" spans="2:9" x14ac:dyDescent="0.2">
      <c r="B38" s="278" t="s">
        <v>233</v>
      </c>
      <c r="C38" s="279">
        <v>0.33300000000000002</v>
      </c>
      <c r="D38" s="400">
        <f>'Escenarios Proyectados (24+)'!J11*'Participaciones y Distribución '!C38</f>
        <v>20430580968</v>
      </c>
      <c r="E38" s="401"/>
      <c r="F38" s="401"/>
      <c r="G38" s="401"/>
      <c r="H38" s="401"/>
      <c r="I38" s="402"/>
    </row>
    <row r="39" spans="2:9" x14ac:dyDescent="0.2">
      <c r="B39" s="411"/>
      <c r="C39" s="401"/>
      <c r="D39" s="401"/>
      <c r="E39" s="401"/>
      <c r="F39" s="401"/>
      <c r="G39" s="401"/>
      <c r="H39" s="401"/>
      <c r="I39" s="402"/>
    </row>
    <row r="40" spans="2:9" x14ac:dyDescent="0.2">
      <c r="B40" s="280"/>
      <c r="C40" s="281">
        <f>SUM(C36:C38)</f>
        <v>0.99900000000000011</v>
      </c>
      <c r="D40" s="409">
        <f>SUM(D36:D38)</f>
        <v>61291742904</v>
      </c>
      <c r="E40" s="401"/>
      <c r="F40" s="401"/>
      <c r="G40" s="401"/>
      <c r="H40" s="401"/>
      <c r="I40" s="402"/>
    </row>
    <row r="43" spans="2:9" x14ac:dyDescent="0.2">
      <c r="B43" s="275" t="s">
        <v>229</v>
      </c>
      <c r="C43" s="276" t="s">
        <v>221</v>
      </c>
      <c r="D43" s="412" t="s">
        <v>195</v>
      </c>
      <c r="E43" s="401"/>
      <c r="F43" s="401"/>
      <c r="G43" s="401"/>
      <c r="H43" s="402"/>
      <c r="I43" s="277"/>
    </row>
    <row r="44" spans="2:9" x14ac:dyDescent="0.2">
      <c r="B44" s="408"/>
      <c r="C44" s="401"/>
      <c r="D44" s="401"/>
      <c r="E44" s="401"/>
      <c r="F44" s="401"/>
      <c r="G44" s="401"/>
      <c r="H44" s="401"/>
      <c r="I44" s="401"/>
    </row>
    <row r="45" spans="2:9" x14ac:dyDescent="0.2">
      <c r="B45" s="278" t="s">
        <v>231</v>
      </c>
      <c r="C45" s="279">
        <v>0.33300000000000002</v>
      </c>
      <c r="D45" s="400">
        <f>'Escenarios Proyectados (24+)'!J12*'Participaciones y Distribución '!C45</f>
        <v>34383378204</v>
      </c>
      <c r="E45" s="401"/>
      <c r="F45" s="401"/>
      <c r="G45" s="401"/>
      <c r="H45" s="401"/>
      <c r="I45" s="402"/>
    </row>
    <row r="46" spans="2:9" x14ac:dyDescent="0.2">
      <c r="B46" s="278" t="s">
        <v>232</v>
      </c>
      <c r="C46" s="279">
        <v>0.33300000000000002</v>
      </c>
      <c r="D46" s="400">
        <f>'Escenarios Proyectados (24+)'!J12*'Participaciones y Distribución '!C46</f>
        <v>34383378204</v>
      </c>
      <c r="E46" s="401"/>
      <c r="F46" s="401"/>
      <c r="G46" s="401"/>
      <c r="H46" s="401"/>
      <c r="I46" s="402"/>
    </row>
    <row r="47" spans="2:9" x14ac:dyDescent="0.2">
      <c r="B47" s="278" t="s">
        <v>233</v>
      </c>
      <c r="C47" s="279">
        <v>0.33300000000000002</v>
      </c>
      <c r="D47" s="400">
        <f>'Escenarios Proyectados (24+)'!J12*'Participaciones y Distribución '!C47</f>
        <v>34383378204</v>
      </c>
      <c r="E47" s="401"/>
      <c r="F47" s="401"/>
      <c r="G47" s="401"/>
      <c r="H47" s="401"/>
      <c r="I47" s="402"/>
    </row>
    <row r="48" spans="2:9" x14ac:dyDescent="0.2">
      <c r="B48" s="411"/>
      <c r="C48" s="401"/>
      <c r="D48" s="401"/>
      <c r="E48" s="401"/>
      <c r="F48" s="401"/>
      <c r="G48" s="401"/>
      <c r="H48" s="401"/>
      <c r="I48" s="402"/>
    </row>
    <row r="49" spans="2:9" x14ac:dyDescent="0.2">
      <c r="B49" s="280"/>
      <c r="C49" s="281">
        <f>SUM(C45:C47)</f>
        <v>0.99900000000000011</v>
      </c>
      <c r="D49" s="409">
        <f>SUM(D45:D47)</f>
        <v>103150134612</v>
      </c>
      <c r="E49" s="401"/>
      <c r="F49" s="401"/>
      <c r="G49" s="401"/>
      <c r="H49" s="401"/>
      <c r="I49" s="402"/>
    </row>
    <row r="52" spans="2:9" x14ac:dyDescent="0.2">
      <c r="B52" s="275" t="s">
        <v>229</v>
      </c>
      <c r="C52" s="276" t="s">
        <v>221</v>
      </c>
      <c r="D52" s="412" t="s">
        <v>197</v>
      </c>
      <c r="E52" s="401"/>
      <c r="F52" s="401"/>
      <c r="G52" s="401"/>
      <c r="H52" s="402"/>
      <c r="I52" s="277"/>
    </row>
    <row r="53" spans="2:9" x14ac:dyDescent="0.2">
      <c r="B53" s="408"/>
      <c r="C53" s="401"/>
      <c r="D53" s="401"/>
      <c r="E53" s="401"/>
      <c r="F53" s="401"/>
      <c r="G53" s="401"/>
      <c r="H53" s="401"/>
      <c r="I53" s="401"/>
    </row>
    <row r="54" spans="2:9" x14ac:dyDescent="0.2">
      <c r="B54" s="278" t="s">
        <v>231</v>
      </c>
      <c r="C54" s="279">
        <v>0.33300000000000002</v>
      </c>
      <c r="D54" s="400">
        <f>'Escenarios Proyectados (24+)'!J13*'Participaciones y Distribución '!C54</f>
        <v>51884619444</v>
      </c>
      <c r="E54" s="401"/>
      <c r="F54" s="401"/>
      <c r="G54" s="401"/>
      <c r="H54" s="401"/>
      <c r="I54" s="402"/>
    </row>
    <row r="55" spans="2:9" x14ac:dyDescent="0.2">
      <c r="B55" s="278" t="s">
        <v>232</v>
      </c>
      <c r="C55" s="279">
        <v>0.33300000000000002</v>
      </c>
      <c r="D55" s="400">
        <f>'Escenarios Proyectados (24+)'!J13*'Participaciones y Distribución '!C55</f>
        <v>51884619444</v>
      </c>
      <c r="E55" s="401"/>
      <c r="F55" s="401"/>
      <c r="G55" s="401"/>
      <c r="H55" s="401"/>
      <c r="I55" s="402"/>
    </row>
    <row r="56" spans="2:9" x14ac:dyDescent="0.2">
      <c r="B56" s="278" t="s">
        <v>233</v>
      </c>
      <c r="C56" s="279">
        <v>0.33300000000000002</v>
      </c>
      <c r="D56" s="400">
        <f>'Escenarios Proyectados (24+)'!J13*'Participaciones y Distribución '!C56</f>
        <v>51884619444</v>
      </c>
      <c r="E56" s="401"/>
      <c r="F56" s="401"/>
      <c r="G56" s="401"/>
      <c r="H56" s="401"/>
      <c r="I56" s="402"/>
    </row>
    <row r="57" spans="2:9" x14ac:dyDescent="0.2">
      <c r="B57" s="411"/>
      <c r="C57" s="401"/>
      <c r="D57" s="401"/>
      <c r="E57" s="401"/>
      <c r="F57" s="401"/>
      <c r="G57" s="401"/>
      <c r="H57" s="401"/>
      <c r="I57" s="402"/>
    </row>
    <row r="58" spans="2:9" x14ac:dyDescent="0.2">
      <c r="B58" s="280"/>
      <c r="C58" s="281">
        <f>SUM(C54:C56)</f>
        <v>0.99900000000000011</v>
      </c>
      <c r="D58" s="409">
        <f>SUM(D54:D56)</f>
        <v>155653858332</v>
      </c>
      <c r="E58" s="401"/>
      <c r="F58" s="401"/>
      <c r="G58" s="401"/>
      <c r="H58" s="401"/>
      <c r="I58" s="402"/>
    </row>
    <row r="61" spans="2:9" x14ac:dyDescent="0.2">
      <c r="B61" s="275" t="s">
        <v>229</v>
      </c>
      <c r="C61" s="276" t="s">
        <v>221</v>
      </c>
      <c r="D61" s="412" t="s">
        <v>198</v>
      </c>
      <c r="E61" s="401"/>
      <c r="F61" s="401"/>
      <c r="G61" s="401"/>
      <c r="H61" s="402"/>
      <c r="I61" s="277"/>
    </row>
    <row r="62" spans="2:9" x14ac:dyDescent="0.2">
      <c r="B62" s="408"/>
      <c r="C62" s="401"/>
      <c r="D62" s="401"/>
      <c r="E62" s="401"/>
      <c r="F62" s="401"/>
      <c r="G62" s="401"/>
      <c r="H62" s="401"/>
      <c r="I62" s="401"/>
    </row>
    <row r="63" spans="2:9" x14ac:dyDescent="0.2">
      <c r="B63" s="278" t="s">
        <v>231</v>
      </c>
      <c r="C63" s="279">
        <v>0.33300000000000002</v>
      </c>
      <c r="D63" s="400">
        <f>'Escenarios Proyectados (24+)'!J14*'Participaciones y Distribución '!C63</f>
        <v>58984332624</v>
      </c>
      <c r="E63" s="401"/>
      <c r="F63" s="401"/>
      <c r="G63" s="401"/>
      <c r="H63" s="401"/>
      <c r="I63" s="402"/>
    </row>
    <row r="64" spans="2:9" x14ac:dyDescent="0.2">
      <c r="B64" s="278" t="s">
        <v>232</v>
      </c>
      <c r="C64" s="279">
        <v>0.33300000000000002</v>
      </c>
      <c r="D64" s="400">
        <f>'Escenarios Proyectados (24+)'!J14*'Participaciones y Distribución '!C64</f>
        <v>58984332624</v>
      </c>
      <c r="E64" s="401"/>
      <c r="F64" s="401"/>
      <c r="G64" s="401"/>
      <c r="H64" s="401"/>
      <c r="I64" s="402"/>
    </row>
    <row r="65" spans="2:9" x14ac:dyDescent="0.2">
      <c r="B65" s="278" t="s">
        <v>233</v>
      </c>
      <c r="C65" s="279">
        <v>0.33300000000000002</v>
      </c>
      <c r="D65" s="400">
        <f>'Escenarios Proyectados (24+)'!J14*'Participaciones y Distribución '!C65</f>
        <v>58984332624</v>
      </c>
      <c r="E65" s="401"/>
      <c r="F65" s="401"/>
      <c r="G65" s="401"/>
      <c r="H65" s="401"/>
      <c r="I65" s="402"/>
    </row>
    <row r="66" spans="2:9" x14ac:dyDescent="0.2">
      <c r="B66" s="411"/>
      <c r="C66" s="401"/>
      <c r="D66" s="401"/>
      <c r="E66" s="401"/>
      <c r="F66" s="401"/>
      <c r="G66" s="401"/>
      <c r="H66" s="401"/>
      <c r="I66" s="402"/>
    </row>
    <row r="67" spans="2:9" x14ac:dyDescent="0.2">
      <c r="B67" s="280"/>
      <c r="C67" s="281">
        <f>SUM(C63:C65)</f>
        <v>0.99900000000000011</v>
      </c>
      <c r="D67" s="409">
        <f>SUM(D63:D65)</f>
        <v>176952997872</v>
      </c>
      <c r="E67" s="401"/>
      <c r="F67" s="401"/>
      <c r="G67" s="401"/>
      <c r="H67" s="401"/>
      <c r="I67" s="402"/>
    </row>
    <row r="70" spans="2:9" x14ac:dyDescent="0.2">
      <c r="B70" s="275" t="s">
        <v>229</v>
      </c>
      <c r="C70" s="276" t="s">
        <v>221</v>
      </c>
      <c r="D70" s="412" t="s">
        <v>199</v>
      </c>
      <c r="E70" s="401"/>
      <c r="F70" s="401"/>
      <c r="G70" s="401"/>
      <c r="H70" s="402"/>
      <c r="I70" s="277"/>
    </row>
    <row r="71" spans="2:9" x14ac:dyDescent="0.2">
      <c r="B71" s="408"/>
      <c r="C71" s="401"/>
      <c r="D71" s="401"/>
      <c r="E71" s="401"/>
      <c r="F71" s="401"/>
      <c r="G71" s="401"/>
      <c r="H71" s="401"/>
      <c r="I71" s="401"/>
    </row>
    <row r="72" spans="2:9" x14ac:dyDescent="0.2">
      <c r="B72" s="278" t="s">
        <v>231</v>
      </c>
      <c r="C72" s="279">
        <v>0.33300000000000002</v>
      </c>
      <c r="D72" s="400">
        <f>'Escenarios Proyectados (24+)'!J15*'Participaciones y Distribución '!C72</f>
        <v>82973858284.799988</v>
      </c>
      <c r="E72" s="401"/>
      <c r="F72" s="401"/>
      <c r="G72" s="401"/>
      <c r="H72" s="401"/>
      <c r="I72" s="402"/>
    </row>
    <row r="73" spans="2:9" x14ac:dyDescent="0.2">
      <c r="B73" s="278" t="s">
        <v>232</v>
      </c>
      <c r="C73" s="279">
        <v>0.33300000000000002</v>
      </c>
      <c r="D73" s="400">
        <f>'Escenarios Proyectados (24+)'!J15*'Participaciones y Distribución '!C73</f>
        <v>82973858284.799988</v>
      </c>
      <c r="E73" s="401"/>
      <c r="F73" s="401"/>
      <c r="G73" s="401"/>
      <c r="H73" s="401"/>
      <c r="I73" s="402"/>
    </row>
    <row r="74" spans="2:9" x14ac:dyDescent="0.2">
      <c r="B74" s="278" t="s">
        <v>233</v>
      </c>
      <c r="C74" s="279">
        <v>0.33300000000000002</v>
      </c>
      <c r="D74" s="400">
        <f>'Escenarios Proyectados (24+)'!J15*'Participaciones y Distribución '!C74</f>
        <v>82973858284.799988</v>
      </c>
      <c r="E74" s="401"/>
      <c r="F74" s="401"/>
      <c r="G74" s="401"/>
      <c r="H74" s="401"/>
      <c r="I74" s="402"/>
    </row>
    <row r="75" spans="2:9" x14ac:dyDescent="0.2">
      <c r="B75" s="411"/>
      <c r="C75" s="401"/>
      <c r="D75" s="401"/>
      <c r="E75" s="401"/>
      <c r="F75" s="401"/>
      <c r="G75" s="401"/>
      <c r="H75" s="401"/>
      <c r="I75" s="402"/>
    </row>
    <row r="76" spans="2:9" x14ac:dyDescent="0.2">
      <c r="B76" s="280"/>
      <c r="C76" s="281">
        <f>SUM(C72:C74)</f>
        <v>0.99900000000000011</v>
      </c>
      <c r="D76" s="409">
        <f>SUM(D72:D74)</f>
        <v>248921574854.39996</v>
      </c>
      <c r="E76" s="401"/>
      <c r="F76" s="401"/>
      <c r="G76" s="401"/>
      <c r="H76" s="401"/>
      <c r="I76" s="402"/>
    </row>
    <row r="79" spans="2:9" x14ac:dyDescent="0.2">
      <c r="B79" s="275" t="s">
        <v>229</v>
      </c>
      <c r="C79" s="276" t="s">
        <v>221</v>
      </c>
      <c r="D79" s="412" t="s">
        <v>200</v>
      </c>
      <c r="E79" s="401"/>
      <c r="F79" s="401"/>
      <c r="G79" s="401"/>
      <c r="H79" s="402"/>
      <c r="I79" s="277"/>
    </row>
    <row r="80" spans="2:9" x14ac:dyDescent="0.2">
      <c r="B80" s="408"/>
      <c r="C80" s="401"/>
      <c r="D80" s="401"/>
      <c r="E80" s="401"/>
      <c r="F80" s="401"/>
      <c r="G80" s="401"/>
      <c r="H80" s="401"/>
      <c r="I80" s="401"/>
    </row>
    <row r="81" spans="2:9" x14ac:dyDescent="0.2">
      <c r="B81" s="278" t="s">
        <v>231</v>
      </c>
      <c r="C81" s="279">
        <v>0.33300000000000002</v>
      </c>
      <c r="D81" s="400">
        <f>'Escenarios Proyectados (24+)'!J16*'Participaciones y Distribución '!C81</f>
        <v>106838477776.8</v>
      </c>
      <c r="E81" s="401"/>
      <c r="F81" s="401"/>
      <c r="G81" s="401"/>
      <c r="H81" s="401"/>
      <c r="I81" s="402"/>
    </row>
    <row r="82" spans="2:9" x14ac:dyDescent="0.2">
      <c r="B82" s="278" t="s">
        <v>232</v>
      </c>
      <c r="C82" s="279">
        <v>0.33300000000000002</v>
      </c>
      <c r="D82" s="400">
        <f>'Escenarios Proyectados (24+)'!J16*'Participaciones y Distribución '!C82</f>
        <v>106838477776.8</v>
      </c>
      <c r="E82" s="401"/>
      <c r="F82" s="401"/>
      <c r="G82" s="401"/>
      <c r="H82" s="401"/>
      <c r="I82" s="402"/>
    </row>
    <row r="83" spans="2:9" x14ac:dyDescent="0.2">
      <c r="B83" s="278" t="s">
        <v>233</v>
      </c>
      <c r="C83" s="279">
        <v>0.33300000000000002</v>
      </c>
      <c r="D83" s="400">
        <f>'Escenarios Proyectados (24+)'!J16*'Participaciones y Distribución '!C83</f>
        <v>106838477776.8</v>
      </c>
      <c r="E83" s="401"/>
      <c r="F83" s="401"/>
      <c r="G83" s="401"/>
      <c r="H83" s="401"/>
      <c r="I83" s="402"/>
    </row>
    <row r="84" spans="2:9" x14ac:dyDescent="0.2">
      <c r="B84" s="411"/>
      <c r="C84" s="401"/>
      <c r="D84" s="401"/>
      <c r="E84" s="401"/>
      <c r="F84" s="401"/>
      <c r="G84" s="401"/>
      <c r="H84" s="401"/>
      <c r="I84" s="402"/>
    </row>
    <row r="85" spans="2:9" x14ac:dyDescent="0.2">
      <c r="B85" s="280"/>
      <c r="C85" s="281">
        <f>SUM(C81:C83)</f>
        <v>0.99900000000000011</v>
      </c>
      <c r="D85" s="409">
        <f>SUM(D81:D83)</f>
        <v>320515433330.40002</v>
      </c>
      <c r="E85" s="401"/>
      <c r="F85" s="401"/>
      <c r="G85" s="401"/>
      <c r="H85" s="401"/>
      <c r="I85" s="402"/>
    </row>
  </sheetData>
  <mergeCells count="60">
    <mergeCell ref="B75:I75"/>
    <mergeCell ref="D34:H34"/>
    <mergeCell ref="D56:I56"/>
    <mergeCell ref="D58:I58"/>
    <mergeCell ref="D49:I49"/>
    <mergeCell ref="D27:I27"/>
    <mergeCell ref="B62:I62"/>
    <mergeCell ref="D74:I74"/>
    <mergeCell ref="B57:I57"/>
    <mergeCell ref="D70:H70"/>
    <mergeCell ref="D76:I76"/>
    <mergeCell ref="B3:C3"/>
    <mergeCell ref="B66:I66"/>
    <mergeCell ref="B71:I71"/>
    <mergeCell ref="D72:I72"/>
    <mergeCell ref="D47:I47"/>
    <mergeCell ref="B12:I12"/>
    <mergeCell ref="D52:H52"/>
    <mergeCell ref="B21:I21"/>
    <mergeCell ref="B48:I48"/>
    <mergeCell ref="D28:I28"/>
    <mergeCell ref="B39:I39"/>
    <mergeCell ref="D37:I37"/>
    <mergeCell ref="B1:I1"/>
    <mergeCell ref="D25:I25"/>
    <mergeCell ref="D64:I64"/>
    <mergeCell ref="D82:I82"/>
    <mergeCell ref="B8:I8"/>
    <mergeCell ref="B17:I17"/>
    <mergeCell ref="D73:I73"/>
    <mergeCell ref="D55:I55"/>
    <mergeCell ref="B53:I53"/>
    <mergeCell ref="B44:I44"/>
    <mergeCell ref="D38:I38"/>
    <mergeCell ref="D7:H7"/>
    <mergeCell ref="D43:H43"/>
    <mergeCell ref="D29:I29"/>
    <mergeCell ref="B6:C6"/>
    <mergeCell ref="D61:H61"/>
    <mergeCell ref="D85:I85"/>
    <mergeCell ref="D67:I67"/>
    <mergeCell ref="D54:I54"/>
    <mergeCell ref="D16:H16"/>
    <mergeCell ref="B84:I84"/>
    <mergeCell ref="D63:I63"/>
    <mergeCell ref="B30:I30"/>
    <mergeCell ref="D81:I81"/>
    <mergeCell ref="D79:H79"/>
    <mergeCell ref="D46:I46"/>
    <mergeCell ref="D40:I40"/>
    <mergeCell ref="D31:I31"/>
    <mergeCell ref="D65:I65"/>
    <mergeCell ref="D45:I45"/>
    <mergeCell ref="B80:I80"/>
    <mergeCell ref="D83:I83"/>
    <mergeCell ref="A2:A24"/>
    <mergeCell ref="D36:I36"/>
    <mergeCell ref="D3:I6"/>
    <mergeCell ref="B35:I35"/>
    <mergeCell ref="B26:I26"/>
  </mergeCells>
  <pageMargins left="0.7" right="0.7" top="0.75" bottom="0.75" header="0.3" footer="0.3"/>
  <pageSetup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65"/>
  <sheetViews>
    <sheetView topLeftCell="A27" zoomScale="150" zoomScaleNormal="150" workbookViewId="0">
      <pane xSplit="3" topLeftCell="D1" activePane="topRight" state="frozen"/>
      <selection pane="topRight" activeCell="D64" sqref="D64"/>
    </sheetView>
  </sheetViews>
  <sheetFormatPr baseColWidth="10" defaultRowHeight="15" x14ac:dyDescent="0.2"/>
  <cols>
    <col min="1" max="1" width="0.6640625" style="298" customWidth="1"/>
    <col min="2" max="2" width="3.5" style="2" customWidth="1"/>
    <col min="3" max="3" width="18.83203125" customWidth="1"/>
    <col min="4" max="4" width="24.5" customWidth="1"/>
    <col min="5" max="5" width="31.33203125" customWidth="1"/>
    <col min="6" max="6" width="24.1640625" customWidth="1"/>
    <col min="7" max="7" width="27" customWidth="1"/>
    <col min="8" max="8" width="25.83203125" customWidth="1"/>
    <col min="9" max="9" width="31.33203125" customWidth="1"/>
  </cols>
  <sheetData>
    <row r="1" spans="2:8" ht="5" customHeight="1" thickBot="1" x14ac:dyDescent="0.25"/>
    <row r="2" spans="2:8" ht="16" customHeight="1" thickBot="1" x14ac:dyDescent="0.25">
      <c r="C2" s="25" t="s">
        <v>234</v>
      </c>
      <c r="D2" s="25" t="s">
        <v>235</v>
      </c>
      <c r="E2" s="25" t="s">
        <v>236</v>
      </c>
      <c r="F2" s="25" t="s">
        <v>237</v>
      </c>
      <c r="G2" s="25" t="s">
        <v>238</v>
      </c>
      <c r="H2" s="101" t="s">
        <v>239</v>
      </c>
    </row>
    <row r="3" spans="2:8" ht="16" customHeight="1" thickBot="1" x14ac:dyDescent="0.25"/>
    <row r="4" spans="2:8" x14ac:dyDescent="0.2">
      <c r="B4" s="2">
        <v>1</v>
      </c>
      <c r="C4" s="13" t="s">
        <v>240</v>
      </c>
      <c r="D4" s="136">
        <v>17420151000</v>
      </c>
      <c r="E4" s="136">
        <v>518156000</v>
      </c>
      <c r="F4" s="136">
        <v>250000000</v>
      </c>
      <c r="G4" s="143">
        <v>0.48</v>
      </c>
      <c r="H4" s="138">
        <v>0.5</v>
      </c>
    </row>
    <row r="5" spans="2:8" x14ac:dyDescent="0.2">
      <c r="B5" s="2">
        <v>2</v>
      </c>
      <c r="C5" s="8" t="s">
        <v>241</v>
      </c>
      <c r="D5" s="4">
        <v>10704736000</v>
      </c>
      <c r="E5" s="4">
        <v>99185000</v>
      </c>
      <c r="F5" s="4">
        <v>250000000</v>
      </c>
      <c r="G5" s="121">
        <v>2.52</v>
      </c>
      <c r="H5" s="139">
        <v>2.5</v>
      </c>
    </row>
    <row r="6" spans="2:8" x14ac:dyDescent="0.2">
      <c r="B6" s="2">
        <v>3</v>
      </c>
      <c r="C6" s="8" t="s">
        <v>242</v>
      </c>
      <c r="D6" s="4">
        <v>55376613000</v>
      </c>
      <c r="E6" s="4">
        <v>794565000</v>
      </c>
      <c r="F6" s="4">
        <v>250000000</v>
      </c>
      <c r="G6" s="121">
        <v>0.31</v>
      </c>
      <c r="H6" s="139">
        <v>0.3</v>
      </c>
    </row>
    <row r="7" spans="2:8" x14ac:dyDescent="0.2">
      <c r="B7" s="2">
        <v>4</v>
      </c>
      <c r="C7" s="8" t="s">
        <v>243</v>
      </c>
      <c r="D7" s="4">
        <v>13139549000</v>
      </c>
      <c r="E7" s="4">
        <v>97834000</v>
      </c>
      <c r="F7" s="4">
        <v>250000000</v>
      </c>
      <c r="G7" s="121">
        <v>2.56</v>
      </c>
      <c r="H7" s="139">
        <v>2.6</v>
      </c>
    </row>
    <row r="8" spans="2:8" x14ac:dyDescent="0.2">
      <c r="B8" s="2">
        <v>5</v>
      </c>
      <c r="C8" s="8" t="s">
        <v>244</v>
      </c>
      <c r="D8" s="4">
        <v>16392141000</v>
      </c>
      <c r="E8" s="4">
        <v>408180000</v>
      </c>
      <c r="F8" s="4">
        <v>250000000</v>
      </c>
      <c r="G8" s="121">
        <v>0.61</v>
      </c>
      <c r="H8" s="139">
        <v>0.6</v>
      </c>
    </row>
    <row r="9" spans="2:8" x14ac:dyDescent="0.2">
      <c r="B9" s="2">
        <v>6</v>
      </c>
      <c r="C9" s="8" t="s">
        <v>245</v>
      </c>
      <c r="D9" s="4">
        <v>7723061000</v>
      </c>
      <c r="E9" s="4">
        <v>166295000</v>
      </c>
      <c r="F9" s="4">
        <v>250000000</v>
      </c>
      <c r="G9" s="121">
        <v>1.5</v>
      </c>
      <c r="H9" s="139">
        <v>1.5</v>
      </c>
    </row>
    <row r="10" spans="2:8" x14ac:dyDescent="0.2">
      <c r="B10" s="2">
        <v>7</v>
      </c>
      <c r="C10" s="8" t="s">
        <v>246</v>
      </c>
      <c r="D10" s="4">
        <v>11216035000</v>
      </c>
      <c r="E10" s="4">
        <v>296722000</v>
      </c>
      <c r="F10" s="4">
        <v>250000000</v>
      </c>
      <c r="G10" s="121">
        <v>0.84</v>
      </c>
      <c r="H10" s="139">
        <v>0.8</v>
      </c>
    </row>
    <row r="11" spans="2:8" x14ac:dyDescent="0.2">
      <c r="B11" s="2">
        <v>8</v>
      </c>
      <c r="C11" s="8" t="s">
        <v>247</v>
      </c>
      <c r="D11" s="4">
        <v>90283274000</v>
      </c>
      <c r="E11" s="4">
        <v>2281154000</v>
      </c>
      <c r="F11" s="4">
        <v>250000000</v>
      </c>
      <c r="G11" s="121">
        <v>0.11</v>
      </c>
      <c r="H11" s="139">
        <v>0.1</v>
      </c>
    </row>
    <row r="12" spans="2:8" x14ac:dyDescent="0.2">
      <c r="B12" s="2">
        <v>9</v>
      </c>
      <c r="C12" s="8" t="s">
        <v>248</v>
      </c>
      <c r="D12" s="4">
        <v>104723522000</v>
      </c>
      <c r="E12" s="4">
        <v>3165279000</v>
      </c>
      <c r="F12" s="4">
        <v>250000000</v>
      </c>
      <c r="G12" s="121">
        <v>0.08</v>
      </c>
      <c r="H12" s="139">
        <v>0.1</v>
      </c>
    </row>
    <row r="13" spans="2:8" x14ac:dyDescent="0.2">
      <c r="B13" s="2">
        <v>10</v>
      </c>
      <c r="C13" s="8" t="s">
        <v>249</v>
      </c>
      <c r="D13" s="4">
        <v>108770618000</v>
      </c>
      <c r="E13" s="4">
        <v>1770788000</v>
      </c>
      <c r="F13" s="4">
        <v>250000000</v>
      </c>
      <c r="G13" s="121">
        <v>0.14000000000000001</v>
      </c>
      <c r="H13" s="139">
        <v>0.1</v>
      </c>
    </row>
    <row r="14" spans="2:8" x14ac:dyDescent="0.2">
      <c r="B14" s="2">
        <v>11</v>
      </c>
      <c r="C14" s="8" t="s">
        <v>250</v>
      </c>
      <c r="D14" s="4">
        <v>15906216000</v>
      </c>
      <c r="E14" s="4">
        <v>333379000</v>
      </c>
      <c r="F14" s="4">
        <v>250000000</v>
      </c>
      <c r="G14" s="121">
        <v>0.75</v>
      </c>
      <c r="H14" s="139">
        <v>0.7</v>
      </c>
    </row>
    <row r="15" spans="2:8" x14ac:dyDescent="0.2">
      <c r="B15" s="2">
        <v>12</v>
      </c>
      <c r="C15" s="8" t="s">
        <v>251</v>
      </c>
      <c r="D15" s="4">
        <v>14647985000</v>
      </c>
      <c r="E15" s="4">
        <v>484787000</v>
      </c>
      <c r="F15" s="4">
        <v>250000000</v>
      </c>
      <c r="G15" s="121">
        <v>0.52</v>
      </c>
      <c r="H15" s="139">
        <v>0.5</v>
      </c>
    </row>
    <row r="16" spans="2:8" x14ac:dyDescent="0.2">
      <c r="B16" s="2">
        <v>13</v>
      </c>
      <c r="C16" s="8" t="s">
        <v>252</v>
      </c>
      <c r="D16" s="4">
        <v>8214694000</v>
      </c>
      <c r="E16" s="4">
        <v>256760000</v>
      </c>
      <c r="F16" s="4">
        <v>250000000</v>
      </c>
      <c r="G16" s="121">
        <v>0.97</v>
      </c>
      <c r="H16" s="139">
        <v>1</v>
      </c>
    </row>
    <row r="17" spans="2:8" x14ac:dyDescent="0.2">
      <c r="B17" s="2">
        <v>14</v>
      </c>
      <c r="C17" s="8" t="s">
        <v>253</v>
      </c>
      <c r="D17" s="4">
        <v>28715032000</v>
      </c>
      <c r="E17" s="4">
        <v>550910000</v>
      </c>
      <c r="F17" s="4">
        <v>250000000</v>
      </c>
      <c r="G17" s="121">
        <v>0.45</v>
      </c>
      <c r="H17" s="139">
        <v>0.5</v>
      </c>
    </row>
    <row r="18" spans="2:8" ht="16" customHeight="1" thickBot="1" x14ac:dyDescent="0.25">
      <c r="B18" s="2">
        <v>15</v>
      </c>
      <c r="C18" s="9" t="s">
        <v>254</v>
      </c>
      <c r="D18" s="140">
        <v>18551887000</v>
      </c>
      <c r="E18" s="140">
        <v>537596000</v>
      </c>
      <c r="F18" s="140">
        <v>250000000</v>
      </c>
      <c r="G18" s="144">
        <v>0.46</v>
      </c>
      <c r="H18" s="142">
        <v>0.5</v>
      </c>
    </row>
    <row r="19" spans="2:8" ht="16" customHeight="1" thickBot="1" x14ac:dyDescent="0.25">
      <c r="D19" s="100"/>
      <c r="E19" s="100"/>
      <c r="F19" s="2"/>
      <c r="G19" s="2"/>
      <c r="H19" s="2"/>
    </row>
    <row r="20" spans="2:8" ht="16" customHeight="1" thickBot="1" x14ac:dyDescent="0.25">
      <c r="C20" s="18" t="s">
        <v>255</v>
      </c>
      <c r="D20" s="16">
        <f>SUM(D4:D19)</f>
        <v>521785514000</v>
      </c>
      <c r="E20" s="16">
        <f>SUM(E4:E19)</f>
        <v>11761590000</v>
      </c>
      <c r="F20" s="17">
        <f>SUM(F4:F19)</f>
        <v>3750000000</v>
      </c>
      <c r="G20" s="414"/>
      <c r="H20" s="345"/>
    </row>
    <row r="21" spans="2:8" ht="16" customHeight="1" thickBot="1" x14ac:dyDescent="0.25">
      <c r="G21" s="1"/>
    </row>
    <row r="22" spans="2:8" ht="16" customHeight="1" thickBot="1" x14ac:dyDescent="0.25">
      <c r="C22" s="25" t="s">
        <v>234</v>
      </c>
      <c r="D22" s="25" t="s">
        <v>235</v>
      </c>
      <c r="E22" s="25" t="s">
        <v>236</v>
      </c>
      <c r="F22" s="25" t="s">
        <v>237</v>
      </c>
      <c r="G22" s="25" t="s">
        <v>238</v>
      </c>
      <c r="H22" s="101" t="s">
        <v>256</v>
      </c>
    </row>
    <row r="23" spans="2:8" ht="16" customHeight="1" thickBot="1" x14ac:dyDescent="0.25">
      <c r="C23" s="102"/>
      <c r="D23" s="102"/>
      <c r="E23" s="102"/>
      <c r="F23" s="102"/>
      <c r="G23" s="102"/>
      <c r="H23" s="102"/>
    </row>
    <row r="24" spans="2:8" x14ac:dyDescent="0.2">
      <c r="B24" s="2">
        <v>1</v>
      </c>
      <c r="C24" s="13" t="s">
        <v>240</v>
      </c>
      <c r="D24" s="136">
        <v>17420151000</v>
      </c>
      <c r="E24" s="136">
        <v>518156000</v>
      </c>
      <c r="F24" s="136">
        <v>350000000</v>
      </c>
      <c r="G24" s="143">
        <v>0.68</v>
      </c>
      <c r="H24" s="138">
        <v>0.7</v>
      </c>
    </row>
    <row r="25" spans="2:8" x14ac:dyDescent="0.2">
      <c r="B25" s="2">
        <v>2</v>
      </c>
      <c r="C25" s="8" t="s">
        <v>241</v>
      </c>
      <c r="D25" s="4">
        <v>10704736000</v>
      </c>
      <c r="E25" s="4">
        <v>99185000</v>
      </c>
      <c r="F25" s="4">
        <v>350000000</v>
      </c>
      <c r="G25" s="121">
        <v>3.53</v>
      </c>
      <c r="H25" s="139">
        <v>3.5</v>
      </c>
    </row>
    <row r="26" spans="2:8" x14ac:dyDescent="0.2">
      <c r="B26" s="2">
        <v>3</v>
      </c>
      <c r="C26" s="8" t="s">
        <v>242</v>
      </c>
      <c r="D26" s="4">
        <v>55376163000</v>
      </c>
      <c r="E26" s="4">
        <v>794565000</v>
      </c>
      <c r="F26" s="4">
        <v>350000000</v>
      </c>
      <c r="G26" s="121">
        <v>0.44</v>
      </c>
      <c r="H26" s="139">
        <v>0.4</v>
      </c>
    </row>
    <row r="27" spans="2:8" x14ac:dyDescent="0.2">
      <c r="B27" s="2">
        <v>4</v>
      </c>
      <c r="C27" s="8" t="s">
        <v>243</v>
      </c>
      <c r="D27" s="4">
        <v>13139549000</v>
      </c>
      <c r="E27" s="4">
        <v>97834000</v>
      </c>
      <c r="F27" s="4">
        <v>350000000</v>
      </c>
      <c r="G27" s="121">
        <v>3.58</v>
      </c>
      <c r="H27" s="139">
        <v>3.6</v>
      </c>
    </row>
    <row r="28" spans="2:8" x14ac:dyDescent="0.2">
      <c r="B28" s="2">
        <v>5</v>
      </c>
      <c r="C28" s="8" t="s">
        <v>244</v>
      </c>
      <c r="D28" s="4">
        <v>16932141000</v>
      </c>
      <c r="E28" s="4">
        <v>408180000</v>
      </c>
      <c r="F28" s="4">
        <v>350000000</v>
      </c>
      <c r="G28" s="121">
        <v>0.86</v>
      </c>
      <c r="H28" s="139">
        <v>0.9</v>
      </c>
    </row>
    <row r="29" spans="2:8" x14ac:dyDescent="0.2">
      <c r="B29" s="2">
        <v>6</v>
      </c>
      <c r="C29" s="8" t="s">
        <v>245</v>
      </c>
      <c r="D29" s="4">
        <v>17723061000</v>
      </c>
      <c r="E29" s="4">
        <v>166295000</v>
      </c>
      <c r="F29" s="4">
        <v>350000000</v>
      </c>
      <c r="G29" s="121">
        <v>2.11</v>
      </c>
      <c r="H29" s="139">
        <v>2.1</v>
      </c>
    </row>
    <row r="30" spans="2:8" x14ac:dyDescent="0.2">
      <c r="B30" s="2">
        <v>7</v>
      </c>
      <c r="C30" s="8" t="s">
        <v>246</v>
      </c>
      <c r="D30" s="4">
        <v>11216035000</v>
      </c>
      <c r="E30" s="4">
        <v>296722000</v>
      </c>
      <c r="F30" s="4">
        <v>350000000</v>
      </c>
      <c r="G30" s="121">
        <v>1.18</v>
      </c>
      <c r="H30" s="139">
        <v>1.2</v>
      </c>
    </row>
    <row r="31" spans="2:8" x14ac:dyDescent="0.2">
      <c r="B31" s="2">
        <v>8</v>
      </c>
      <c r="C31" s="8" t="s">
        <v>247</v>
      </c>
      <c r="D31" s="4">
        <v>90283274000</v>
      </c>
      <c r="E31" s="4">
        <v>2281154000</v>
      </c>
      <c r="F31" s="4">
        <v>350000000</v>
      </c>
      <c r="G31" s="121">
        <v>0.15</v>
      </c>
      <c r="H31" s="139">
        <v>0.2</v>
      </c>
    </row>
    <row r="32" spans="2:8" x14ac:dyDescent="0.2">
      <c r="B32" s="2">
        <v>9</v>
      </c>
      <c r="C32" s="8" t="s">
        <v>248</v>
      </c>
      <c r="D32" s="4">
        <v>100472352000</v>
      </c>
      <c r="E32" s="4">
        <v>3165279000</v>
      </c>
      <c r="F32" s="4">
        <v>350000000</v>
      </c>
      <c r="G32" s="121">
        <v>0.11</v>
      </c>
      <c r="H32" s="139">
        <v>0.1</v>
      </c>
    </row>
    <row r="33" spans="2:8" x14ac:dyDescent="0.2">
      <c r="B33" s="2">
        <v>10</v>
      </c>
      <c r="C33" s="8" t="s">
        <v>249</v>
      </c>
      <c r="D33" s="4">
        <v>108770618000</v>
      </c>
      <c r="E33" s="4">
        <v>1770788000</v>
      </c>
      <c r="F33" s="4">
        <v>350000000</v>
      </c>
      <c r="G33" s="121">
        <v>0.2</v>
      </c>
      <c r="H33" s="139">
        <v>0.2</v>
      </c>
    </row>
    <row r="34" spans="2:8" x14ac:dyDescent="0.2">
      <c r="B34" s="2">
        <v>11</v>
      </c>
      <c r="C34" s="8" t="s">
        <v>250</v>
      </c>
      <c r="D34" s="4">
        <v>15906216000</v>
      </c>
      <c r="E34" s="4">
        <v>333379000</v>
      </c>
      <c r="F34" s="4">
        <v>350000000</v>
      </c>
      <c r="G34" s="121">
        <v>1.05</v>
      </c>
      <c r="H34" s="139">
        <v>1.1000000000000001</v>
      </c>
    </row>
    <row r="35" spans="2:8" x14ac:dyDescent="0.2">
      <c r="B35" s="2">
        <v>12</v>
      </c>
      <c r="C35" s="8" t="s">
        <v>251</v>
      </c>
      <c r="D35" s="4">
        <v>14647985000</v>
      </c>
      <c r="E35" s="4">
        <v>484787000</v>
      </c>
      <c r="F35" s="4">
        <v>350000000</v>
      </c>
      <c r="G35" s="121">
        <v>0.72</v>
      </c>
      <c r="H35" s="139">
        <v>0.7</v>
      </c>
    </row>
    <row r="36" spans="2:8" x14ac:dyDescent="0.2">
      <c r="B36" s="2">
        <v>13</v>
      </c>
      <c r="C36" s="8" t="s">
        <v>252</v>
      </c>
      <c r="D36" s="4">
        <v>8241694000</v>
      </c>
      <c r="E36" s="4">
        <v>256760000</v>
      </c>
      <c r="F36" s="4">
        <v>350000000</v>
      </c>
      <c r="G36" s="121">
        <v>1.36</v>
      </c>
      <c r="H36" s="139">
        <v>1.4</v>
      </c>
    </row>
    <row r="37" spans="2:8" x14ac:dyDescent="0.2">
      <c r="B37" s="2">
        <v>14</v>
      </c>
      <c r="C37" s="8" t="s">
        <v>253</v>
      </c>
      <c r="D37" s="4">
        <v>2871532000</v>
      </c>
      <c r="E37" s="4">
        <v>550910000</v>
      </c>
      <c r="F37" s="4">
        <v>350000000</v>
      </c>
      <c r="G37" s="121">
        <v>0.64</v>
      </c>
      <c r="H37" s="139">
        <v>0.6</v>
      </c>
    </row>
    <row r="38" spans="2:8" ht="16" customHeight="1" thickBot="1" x14ac:dyDescent="0.25">
      <c r="B38" s="2">
        <v>15</v>
      </c>
      <c r="C38" s="9" t="s">
        <v>254</v>
      </c>
      <c r="D38" s="140">
        <v>18551887000</v>
      </c>
      <c r="E38" s="140">
        <v>537596000</v>
      </c>
      <c r="F38" s="140">
        <v>350000000</v>
      </c>
      <c r="G38" s="144">
        <v>0.65</v>
      </c>
      <c r="H38" s="142">
        <v>0.7</v>
      </c>
    </row>
    <row r="39" spans="2:8" ht="16" customHeight="1" thickBot="1" x14ac:dyDescent="0.25">
      <c r="G39" s="2"/>
      <c r="H39" s="2"/>
    </row>
    <row r="40" spans="2:8" ht="16" customHeight="1" thickBot="1" x14ac:dyDescent="0.25">
      <c r="C40" s="18" t="s">
        <v>190</v>
      </c>
      <c r="D40" s="16">
        <f>SUM(D24:D39)</f>
        <v>502257394000</v>
      </c>
      <c r="E40" s="16">
        <f>SUM(E24:E39)</f>
        <v>11761590000</v>
      </c>
      <c r="F40" s="17">
        <f>SUM(F24:F39)</f>
        <v>5250000000</v>
      </c>
      <c r="G40" s="414"/>
      <c r="H40" s="345"/>
    </row>
    <row r="41" spans="2:8" ht="16" customHeight="1" thickBot="1" x14ac:dyDescent="0.25"/>
    <row r="42" spans="2:8" ht="16" customHeight="1" thickBot="1" x14ac:dyDescent="0.25">
      <c r="C42" s="132" t="s">
        <v>234</v>
      </c>
      <c r="D42" s="133" t="s">
        <v>235</v>
      </c>
      <c r="E42" s="133" t="s">
        <v>236</v>
      </c>
      <c r="F42" s="133" t="s">
        <v>237</v>
      </c>
      <c r="G42" s="133" t="s">
        <v>238</v>
      </c>
      <c r="H42" s="101" t="s">
        <v>256</v>
      </c>
    </row>
    <row r="43" spans="2:8" ht="16" customHeight="1" thickBot="1" x14ac:dyDescent="0.25">
      <c r="C43" s="102"/>
      <c r="D43" s="102"/>
      <c r="E43" s="102"/>
      <c r="F43" s="102"/>
      <c r="G43" s="102"/>
      <c r="H43" s="102"/>
    </row>
    <row r="44" spans="2:8" x14ac:dyDescent="0.2">
      <c r="B44" s="2">
        <v>1</v>
      </c>
      <c r="C44" s="13" t="s">
        <v>240</v>
      </c>
      <c r="D44" s="136">
        <v>17420151000</v>
      </c>
      <c r="E44" s="136">
        <v>518156000</v>
      </c>
      <c r="F44" s="136">
        <v>500000000</v>
      </c>
      <c r="G44" s="137">
        <v>0.96</v>
      </c>
      <c r="H44" s="138">
        <v>1</v>
      </c>
    </row>
    <row r="45" spans="2:8" x14ac:dyDescent="0.2">
      <c r="B45" s="2">
        <v>2</v>
      </c>
      <c r="C45" s="8" t="s">
        <v>241</v>
      </c>
      <c r="D45" s="4">
        <v>10704736000</v>
      </c>
      <c r="E45" s="4">
        <v>99185000</v>
      </c>
      <c r="F45" s="4">
        <v>500000000</v>
      </c>
      <c r="G45" s="122">
        <v>5.04</v>
      </c>
      <c r="H45" s="139">
        <v>5</v>
      </c>
    </row>
    <row r="46" spans="2:8" x14ac:dyDescent="0.2">
      <c r="B46" s="2">
        <v>3</v>
      </c>
      <c r="C46" s="8" t="s">
        <v>242</v>
      </c>
      <c r="D46" s="4">
        <v>55376163000</v>
      </c>
      <c r="E46" s="4">
        <v>794565000</v>
      </c>
      <c r="F46" s="4">
        <v>500000000</v>
      </c>
      <c r="G46" s="121">
        <v>0.63</v>
      </c>
      <c r="H46" s="139">
        <v>0.6</v>
      </c>
    </row>
    <row r="47" spans="2:8" x14ac:dyDescent="0.2">
      <c r="B47" s="2">
        <v>4</v>
      </c>
      <c r="C47" s="8" t="s">
        <v>243</v>
      </c>
      <c r="D47" s="4">
        <v>13139549000</v>
      </c>
      <c r="E47" s="4">
        <v>97834000</v>
      </c>
      <c r="F47" s="4">
        <v>500000000</v>
      </c>
      <c r="G47" s="122">
        <v>5.1100000000000003</v>
      </c>
      <c r="H47" s="139">
        <v>5.0999999999999996</v>
      </c>
    </row>
    <row r="48" spans="2:8" x14ac:dyDescent="0.2">
      <c r="B48" s="2">
        <v>5</v>
      </c>
      <c r="C48" s="8" t="s">
        <v>244</v>
      </c>
      <c r="D48" s="4">
        <v>16932141000</v>
      </c>
      <c r="E48" s="4">
        <v>408180000</v>
      </c>
      <c r="F48" s="4">
        <v>500000000</v>
      </c>
      <c r="G48" s="122">
        <v>1.22</v>
      </c>
      <c r="H48" s="139">
        <v>1.2</v>
      </c>
    </row>
    <row r="49" spans="2:8" x14ac:dyDescent="0.2">
      <c r="B49" s="2">
        <v>6</v>
      </c>
      <c r="C49" s="8" t="s">
        <v>245</v>
      </c>
      <c r="D49" s="4">
        <v>17723061000</v>
      </c>
      <c r="E49" s="4">
        <v>166295000</v>
      </c>
      <c r="F49" s="4">
        <v>500000000</v>
      </c>
      <c r="G49" s="122">
        <v>3.01</v>
      </c>
      <c r="H49" s="139">
        <v>3</v>
      </c>
    </row>
    <row r="50" spans="2:8" x14ac:dyDescent="0.2">
      <c r="B50" s="2">
        <v>7</v>
      </c>
      <c r="C50" s="8" t="s">
        <v>246</v>
      </c>
      <c r="D50" s="4">
        <v>11216035000</v>
      </c>
      <c r="E50" s="4">
        <v>296722000</v>
      </c>
      <c r="F50" s="4">
        <v>500000000</v>
      </c>
      <c r="G50" s="122">
        <v>1.69</v>
      </c>
      <c r="H50" s="139">
        <v>1.7</v>
      </c>
    </row>
    <row r="51" spans="2:8" x14ac:dyDescent="0.2">
      <c r="B51" s="2">
        <v>8</v>
      </c>
      <c r="C51" s="8" t="s">
        <v>247</v>
      </c>
      <c r="D51" s="4">
        <v>90283274000</v>
      </c>
      <c r="E51" s="4">
        <v>2281154000</v>
      </c>
      <c r="F51" s="4">
        <v>500000000</v>
      </c>
      <c r="G51" s="121">
        <v>0.22</v>
      </c>
      <c r="H51" s="139">
        <v>0.2</v>
      </c>
    </row>
    <row r="52" spans="2:8" x14ac:dyDescent="0.2">
      <c r="B52" s="2">
        <v>9</v>
      </c>
      <c r="C52" s="8" t="s">
        <v>248</v>
      </c>
      <c r="D52" s="4">
        <v>100472352000</v>
      </c>
      <c r="E52" s="4">
        <v>3165279000</v>
      </c>
      <c r="F52" s="4">
        <v>500000000</v>
      </c>
      <c r="G52" s="121">
        <v>0.16</v>
      </c>
      <c r="H52" s="139">
        <v>0.2</v>
      </c>
    </row>
    <row r="53" spans="2:8" x14ac:dyDescent="0.2">
      <c r="B53" s="2">
        <v>10</v>
      </c>
      <c r="C53" s="8" t="s">
        <v>249</v>
      </c>
      <c r="D53" s="4">
        <v>108770618000</v>
      </c>
      <c r="E53" s="4">
        <v>1770788000</v>
      </c>
      <c r="F53" s="4">
        <v>500000000</v>
      </c>
      <c r="G53" s="121">
        <v>0.28000000000000003</v>
      </c>
      <c r="H53" s="139">
        <v>0.3</v>
      </c>
    </row>
    <row r="54" spans="2:8" x14ac:dyDescent="0.2">
      <c r="B54" s="2">
        <v>11</v>
      </c>
      <c r="C54" s="8" t="s">
        <v>250</v>
      </c>
      <c r="D54" s="4">
        <v>15906216000</v>
      </c>
      <c r="E54" s="4">
        <v>333379000</v>
      </c>
      <c r="F54" s="4">
        <v>500000000</v>
      </c>
      <c r="G54" s="122">
        <v>1.5</v>
      </c>
      <c r="H54" s="139">
        <v>1.5</v>
      </c>
    </row>
    <row r="55" spans="2:8" x14ac:dyDescent="0.2">
      <c r="B55" s="2">
        <v>12</v>
      </c>
      <c r="C55" s="8" t="s">
        <v>251</v>
      </c>
      <c r="D55" s="4">
        <v>14647985000</v>
      </c>
      <c r="E55" s="4">
        <v>484787000</v>
      </c>
      <c r="F55" s="4">
        <v>500000000</v>
      </c>
      <c r="G55" s="122">
        <v>1.03</v>
      </c>
      <c r="H55" s="139">
        <v>1</v>
      </c>
    </row>
    <row r="56" spans="2:8" x14ac:dyDescent="0.2">
      <c r="B56" s="2">
        <v>13</v>
      </c>
      <c r="C56" s="8" t="s">
        <v>252</v>
      </c>
      <c r="D56" s="4">
        <v>8241694000</v>
      </c>
      <c r="E56" s="4">
        <v>256760000</v>
      </c>
      <c r="F56" s="4">
        <v>500000000</v>
      </c>
      <c r="G56" s="122">
        <v>1.95</v>
      </c>
      <c r="H56" s="139">
        <v>2</v>
      </c>
    </row>
    <row r="57" spans="2:8" x14ac:dyDescent="0.2">
      <c r="B57" s="2">
        <v>14</v>
      </c>
      <c r="C57" s="8" t="s">
        <v>253</v>
      </c>
      <c r="D57" s="4">
        <v>2871532000</v>
      </c>
      <c r="E57" s="4">
        <v>550910000</v>
      </c>
      <c r="F57" s="4">
        <v>500000000</v>
      </c>
      <c r="G57" s="122">
        <v>0.91</v>
      </c>
      <c r="H57" s="139">
        <v>0.9</v>
      </c>
    </row>
    <row r="58" spans="2:8" ht="16" customHeight="1" thickBot="1" x14ac:dyDescent="0.25">
      <c r="B58" s="2">
        <v>15</v>
      </c>
      <c r="C58" s="9" t="s">
        <v>254</v>
      </c>
      <c r="D58" s="140">
        <v>18551887000</v>
      </c>
      <c r="E58" s="140">
        <v>537596000</v>
      </c>
      <c r="F58" s="140">
        <v>500000000</v>
      </c>
      <c r="G58" s="141">
        <v>0.93</v>
      </c>
      <c r="H58" s="142">
        <v>0.9</v>
      </c>
    </row>
    <row r="59" spans="2:8" ht="16" customHeight="1" thickBot="1" x14ac:dyDescent="0.25">
      <c r="D59" s="100"/>
      <c r="E59" s="100"/>
      <c r="F59" s="100"/>
      <c r="G59" s="2"/>
      <c r="H59" s="2"/>
    </row>
    <row r="60" spans="2:8" ht="16" customHeight="1" thickBot="1" x14ac:dyDescent="0.25">
      <c r="C60" s="132" t="s">
        <v>192</v>
      </c>
      <c r="D60" s="134">
        <f>SUM(D44:D59)</f>
        <v>502257394000</v>
      </c>
      <c r="E60" s="134">
        <f>SUM(E44:E59)</f>
        <v>11761590000</v>
      </c>
      <c r="F60" s="135">
        <f>SUM(F44:F59)</f>
        <v>7500000000</v>
      </c>
      <c r="G60" s="414"/>
      <c r="H60" s="345"/>
    </row>
    <row r="61" spans="2:8" x14ac:dyDescent="0.2">
      <c r="D61" s="2"/>
      <c r="E61" s="2"/>
      <c r="F61" s="2"/>
      <c r="G61" s="2"/>
      <c r="H61" s="2"/>
    </row>
    <row r="62" spans="2:8" x14ac:dyDescent="0.2">
      <c r="D62" s="2"/>
      <c r="E62" s="2"/>
      <c r="F62" s="2"/>
      <c r="G62" s="2"/>
      <c r="H62" s="2"/>
    </row>
    <row r="63" spans="2:8" x14ac:dyDescent="0.2">
      <c r="D63" s="2"/>
      <c r="E63" s="2"/>
      <c r="F63" s="2"/>
      <c r="G63" s="2"/>
      <c r="H63" s="2"/>
    </row>
    <row r="64" spans="2:8" x14ac:dyDescent="0.2">
      <c r="D64" s="2"/>
      <c r="E64" s="2"/>
      <c r="F64" s="2"/>
      <c r="G64" s="2"/>
      <c r="H64" s="2"/>
    </row>
    <row r="65" spans="4:8" x14ac:dyDescent="0.2">
      <c r="D65" s="2"/>
      <c r="E65" s="2"/>
      <c r="F65" s="2"/>
      <c r="G65" s="2"/>
      <c r="H65" s="2"/>
    </row>
  </sheetData>
  <mergeCells count="4">
    <mergeCell ref="G40:H40"/>
    <mergeCell ref="G20:H20"/>
    <mergeCell ref="A1:A1048576"/>
    <mergeCell ref="G60:H60"/>
  </mergeCell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Resumen</vt:lpstr>
      <vt:lpstr>Indicadores</vt:lpstr>
      <vt:lpstr>Escenarios Proyectados (24+)</vt:lpstr>
      <vt:lpstr>Cashflow</vt:lpstr>
      <vt:lpstr>Flow Detail (24 meses)</vt:lpstr>
      <vt:lpstr>Detalle de Utilidades Muni (24)</vt:lpstr>
      <vt:lpstr>Participaciones y Distribución </vt:lpstr>
      <vt:lpstr>Detalle comunas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rodrigo palacios</cp:lastModifiedBy>
  <dcterms:created xsi:type="dcterms:W3CDTF">2025-05-12T18:47:07Z</dcterms:created>
  <dcterms:modified xsi:type="dcterms:W3CDTF">2025-07-18T22:42:27Z</dcterms:modified>
</cp:coreProperties>
</file>