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455" yWindow="-15" windowWidth="13500" windowHeight="10920" tabRatio="580" activeTab="2"/>
  </bookViews>
  <sheets>
    <sheet name="Ayuda" sheetId="10" r:id="rId1"/>
    <sheet name="Mensaje" sheetId="7" r:id="rId2"/>
    <sheet name="SECC1" sheetId="2" r:id="rId3"/>
    <sheet name="SECC3" sheetId="3" r:id="rId4"/>
    <sheet name="SECC4" sheetId="5" r:id="rId5"/>
    <sheet name="Extremos" sheetId="9" r:id="rId6"/>
    <sheet name="Quintil-Heliofanía-Corrección" sheetId="8" r:id="rId7"/>
    <sheet name="Auxiliar" sheetId="1" r:id="rId8"/>
  </sheets>
  <calcPr calcId="144525"/>
</workbook>
</file>

<file path=xl/calcChain.xml><?xml version="1.0" encoding="utf-8"?>
<calcChain xmlns="http://schemas.openxmlformats.org/spreadsheetml/2006/main">
  <c r="Z42" i="2" l="1"/>
  <c r="X19" i="2"/>
  <c r="D3" i="5"/>
  <c r="C35" i="5"/>
  <c r="C46" i="1" s="1"/>
  <c r="D35" i="5" s="1"/>
  <c r="E22" i="7" s="1"/>
  <c r="Z19" i="2"/>
  <c r="C35" i="8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N5" i="1"/>
  <c r="N6" i="1"/>
  <c r="N7" i="1"/>
  <c r="N8" i="1"/>
  <c r="N9" i="1"/>
  <c r="N10" i="1"/>
  <c r="N11" i="1"/>
  <c r="N12" i="1"/>
  <c r="N13" i="1"/>
  <c r="M5" i="1"/>
  <c r="M6" i="1"/>
  <c r="M7" i="1"/>
  <c r="M8" i="1"/>
  <c r="M9" i="1"/>
  <c r="M10" i="1"/>
  <c r="M11" i="1"/>
  <c r="M12" i="1"/>
  <c r="M13" i="1"/>
  <c r="L5" i="1"/>
  <c r="L6" i="1"/>
  <c r="L7" i="1"/>
  <c r="L8" i="1"/>
  <c r="L9" i="1"/>
  <c r="L10" i="1"/>
  <c r="L11" i="1"/>
  <c r="L12" i="1"/>
  <c r="L13" i="1"/>
  <c r="K5" i="1"/>
  <c r="K6" i="1"/>
  <c r="K7" i="1"/>
  <c r="K8" i="1"/>
  <c r="K9" i="1"/>
  <c r="K10" i="1"/>
  <c r="K11" i="1"/>
  <c r="K12" i="1"/>
  <c r="K13" i="1"/>
  <c r="J5" i="1"/>
  <c r="J6" i="1"/>
  <c r="J7" i="1"/>
  <c r="J8" i="1"/>
  <c r="J9" i="1"/>
  <c r="J10" i="1"/>
  <c r="J11" i="1"/>
  <c r="J12" i="1"/>
  <c r="J13" i="1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D33" i="1"/>
  <c r="F82" i="1" s="1"/>
  <c r="I54" i="1" s="1"/>
  <c r="D32" i="1"/>
  <c r="F81" i="1" s="1"/>
  <c r="I55" i="1" s="1"/>
  <c r="D31" i="1"/>
  <c r="F80" i="1" s="1"/>
  <c r="I56" i="1" s="1"/>
  <c r="D30" i="1"/>
  <c r="F79" i="1" s="1"/>
  <c r="I57" i="1" s="1"/>
  <c r="D29" i="1"/>
  <c r="F78" i="1" s="1"/>
  <c r="I58" i="1" s="1"/>
  <c r="D28" i="1"/>
  <c r="F77" i="1" s="1"/>
  <c r="I59" i="1" s="1"/>
  <c r="D27" i="1"/>
  <c r="F76" i="1" s="1"/>
  <c r="I60" i="1" s="1"/>
  <c r="D26" i="1"/>
  <c r="F75" i="1" s="1"/>
  <c r="I61" i="1" s="1"/>
  <c r="D25" i="1"/>
  <c r="F74" i="1" s="1"/>
  <c r="I62" i="1" s="1"/>
  <c r="D24" i="1"/>
  <c r="F73" i="1" s="1"/>
  <c r="I63" i="1" s="1"/>
  <c r="D4" i="1"/>
  <c r="F53" i="1" s="1"/>
  <c r="D5" i="1"/>
  <c r="F54" i="1" s="1"/>
  <c r="I82" i="1" s="1"/>
  <c r="D6" i="1"/>
  <c r="F55" i="1" s="1"/>
  <c r="I81" i="1" s="1"/>
  <c r="D7" i="1"/>
  <c r="F56" i="1" s="1"/>
  <c r="I80" i="1" s="1"/>
  <c r="D8" i="1"/>
  <c r="F57" i="1" s="1"/>
  <c r="I79" i="1" s="1"/>
  <c r="D9" i="1"/>
  <c r="F58" i="1" s="1"/>
  <c r="I78" i="1" s="1"/>
  <c r="D10" i="1"/>
  <c r="F59" i="1" s="1"/>
  <c r="I77" i="1" s="1"/>
  <c r="D11" i="1"/>
  <c r="F60" i="1" s="1"/>
  <c r="I76" i="1" s="1"/>
  <c r="D12" i="1"/>
  <c r="F61" i="1" s="1"/>
  <c r="I75" i="1" s="1"/>
  <c r="D13" i="1"/>
  <c r="F62" i="1" s="1"/>
  <c r="I74" i="1" s="1"/>
  <c r="D14" i="1"/>
  <c r="F63" i="1" s="1"/>
  <c r="I73" i="1" s="1"/>
  <c r="D15" i="1"/>
  <c r="F64" i="1" s="1"/>
  <c r="I72" i="1" s="1"/>
  <c r="D16" i="1"/>
  <c r="F65" i="1" s="1"/>
  <c r="I71" i="1" s="1"/>
  <c r="D17" i="1"/>
  <c r="F66" i="1" s="1"/>
  <c r="I70" i="1" s="1"/>
  <c r="D18" i="1"/>
  <c r="F67" i="1" s="1"/>
  <c r="I69" i="1" s="1"/>
  <c r="D19" i="1"/>
  <c r="F68" i="1" s="1"/>
  <c r="I68" i="1" s="1"/>
  <c r="D20" i="1"/>
  <c r="F69" i="1" s="1"/>
  <c r="I67" i="1" s="1"/>
  <c r="D21" i="1"/>
  <c r="F70" i="1" s="1"/>
  <c r="I66" i="1" s="1"/>
  <c r="D22" i="1"/>
  <c r="F71" i="1" s="1"/>
  <c r="I65" i="1" s="1"/>
  <c r="D23" i="1"/>
  <c r="F72" i="1" s="1"/>
  <c r="I64" i="1" s="1"/>
  <c r="D7" i="7"/>
  <c r="W35" i="9"/>
  <c r="G32" i="9" s="1"/>
  <c r="U35" i="9"/>
  <c r="G24" i="9" s="1"/>
  <c r="F24" i="9" s="1"/>
  <c r="T35" i="9"/>
  <c r="G23" i="9" s="1"/>
  <c r="F23" i="9" s="1"/>
  <c r="S35" i="9"/>
  <c r="R35" i="9"/>
  <c r="G17" i="9" s="1"/>
  <c r="F17" i="9" s="1"/>
  <c r="Q35" i="9"/>
  <c r="G15" i="9" s="1"/>
  <c r="F15" i="9" s="1"/>
  <c r="P35" i="9"/>
  <c r="G14" i="9" s="1"/>
  <c r="F14" i="9" s="1"/>
  <c r="O35" i="9"/>
  <c r="N35" i="9"/>
  <c r="G20" i="9" s="1"/>
  <c r="F20" i="9" s="1"/>
  <c r="M35" i="9"/>
  <c r="L35" i="9"/>
  <c r="G8" i="9" s="1"/>
  <c r="F8" i="9" s="1"/>
  <c r="B30" i="7"/>
  <c r="L19" i="2"/>
  <c r="K19" i="2"/>
  <c r="L30" i="2"/>
  <c r="C47" i="1"/>
  <c r="X40" i="3"/>
  <c r="W40" i="3"/>
  <c r="V40" i="3"/>
  <c r="X39" i="3"/>
  <c r="W39" i="3"/>
  <c r="V39" i="3"/>
  <c r="X38" i="3"/>
  <c r="W38" i="3"/>
  <c r="V38" i="3"/>
  <c r="X37" i="3"/>
  <c r="W37" i="3"/>
  <c r="V37" i="3"/>
  <c r="X36" i="3"/>
  <c r="W36" i="3"/>
  <c r="V36" i="3"/>
  <c r="X35" i="3"/>
  <c r="W35" i="3"/>
  <c r="V35" i="3"/>
  <c r="X34" i="3"/>
  <c r="W34" i="3"/>
  <c r="V34" i="3"/>
  <c r="X33" i="3"/>
  <c r="W33" i="3"/>
  <c r="V33" i="3"/>
  <c r="X32" i="3"/>
  <c r="W32" i="3"/>
  <c r="V32" i="3"/>
  <c r="X31" i="3"/>
  <c r="W31" i="3"/>
  <c r="V31" i="3"/>
  <c r="X30" i="3"/>
  <c r="W30" i="3"/>
  <c r="V30" i="3"/>
  <c r="X29" i="3"/>
  <c r="W29" i="3"/>
  <c r="V29" i="3"/>
  <c r="X28" i="3"/>
  <c r="W28" i="3"/>
  <c r="V28" i="3"/>
  <c r="X27" i="3"/>
  <c r="W27" i="3"/>
  <c r="V27" i="3"/>
  <c r="X26" i="3"/>
  <c r="W26" i="3"/>
  <c r="V26" i="3"/>
  <c r="X25" i="3"/>
  <c r="W25" i="3"/>
  <c r="V25" i="3"/>
  <c r="X24" i="3"/>
  <c r="W24" i="3"/>
  <c r="V24" i="3"/>
  <c r="X23" i="3"/>
  <c r="W23" i="3"/>
  <c r="V23" i="3"/>
  <c r="X22" i="3"/>
  <c r="W22" i="3"/>
  <c r="V22" i="3"/>
  <c r="X21" i="3"/>
  <c r="W21" i="3"/>
  <c r="V21" i="3"/>
  <c r="X20" i="3"/>
  <c r="W20" i="3"/>
  <c r="V20" i="3"/>
  <c r="X19" i="3"/>
  <c r="W19" i="3"/>
  <c r="V19" i="3"/>
  <c r="X18" i="3"/>
  <c r="W18" i="3"/>
  <c r="V18" i="3"/>
  <c r="X17" i="3"/>
  <c r="W17" i="3"/>
  <c r="V17" i="3"/>
  <c r="X16" i="3"/>
  <c r="W16" i="3"/>
  <c r="V16" i="3"/>
  <c r="X15" i="3"/>
  <c r="W15" i="3"/>
  <c r="V15" i="3"/>
  <c r="X14" i="3"/>
  <c r="W14" i="3"/>
  <c r="V14" i="3"/>
  <c r="X13" i="3"/>
  <c r="W13" i="3"/>
  <c r="V13" i="3"/>
  <c r="X12" i="3"/>
  <c r="W12" i="3"/>
  <c r="V12" i="3"/>
  <c r="X11" i="3"/>
  <c r="W11" i="3"/>
  <c r="V11" i="3"/>
  <c r="X10" i="3"/>
  <c r="W10" i="3"/>
  <c r="V10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R34" i="3"/>
  <c r="Q34" i="3"/>
  <c r="P34" i="3"/>
  <c r="O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R41" i="3" s="1"/>
  <c r="H18" i="7" s="1"/>
  <c r="Q10" i="3"/>
  <c r="Q41" i="3" s="1"/>
  <c r="G18" i="7" s="1"/>
  <c r="P10" i="3"/>
  <c r="O10" i="3"/>
  <c r="H31" i="9"/>
  <c r="G21" i="9"/>
  <c r="F21" i="9" s="1"/>
  <c r="G18" i="9"/>
  <c r="F18" i="9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34" i="1"/>
  <c r="C25" i="5" s="1"/>
  <c r="S20" i="7" s="1"/>
  <c r="G9" i="9"/>
  <c r="F9" i="9" s="1"/>
  <c r="G3" i="9"/>
  <c r="F3" i="9"/>
  <c r="E3" i="9"/>
  <c r="G42" i="5"/>
  <c r="H22" i="7"/>
  <c r="C22" i="7"/>
  <c r="O9" i="2"/>
  <c r="B4" i="1" s="1"/>
  <c r="O10" i="2"/>
  <c r="B5" i="1" s="1"/>
  <c r="O11" i="2"/>
  <c r="B6" i="1" s="1"/>
  <c r="O12" i="2"/>
  <c r="B7" i="1" s="1"/>
  <c r="O13" i="2"/>
  <c r="B8" i="1" s="1"/>
  <c r="O14" i="2"/>
  <c r="B9" i="1" s="1"/>
  <c r="O15" i="2"/>
  <c r="B10" i="1" s="1"/>
  <c r="O16" i="2"/>
  <c r="B11" i="1" s="1"/>
  <c r="O17" i="2"/>
  <c r="B12" i="1" s="1"/>
  <c r="O18" i="2"/>
  <c r="B13" i="1" s="1"/>
  <c r="O20" i="2"/>
  <c r="B14" i="1" s="1"/>
  <c r="O21" i="2"/>
  <c r="B15" i="1" s="1"/>
  <c r="O22" i="2"/>
  <c r="B16" i="1" s="1"/>
  <c r="O23" i="2"/>
  <c r="B17" i="1" s="1"/>
  <c r="O24" i="2"/>
  <c r="B18" i="1" s="1"/>
  <c r="O25" i="2"/>
  <c r="B19" i="1" s="1"/>
  <c r="O26" i="2"/>
  <c r="B20" i="1" s="1"/>
  <c r="O27" i="2"/>
  <c r="B21" i="1" s="1"/>
  <c r="O28" i="2"/>
  <c r="B22" i="1" s="1"/>
  <c r="O29" i="2"/>
  <c r="B23" i="1" s="1"/>
  <c r="O31" i="2"/>
  <c r="B24" i="1" s="1"/>
  <c r="O32" i="2"/>
  <c r="B25" i="1" s="1"/>
  <c r="O33" i="2"/>
  <c r="B26" i="1" s="1"/>
  <c r="O34" i="2"/>
  <c r="B27" i="1" s="1"/>
  <c r="O35" i="2"/>
  <c r="B28" i="1" s="1"/>
  <c r="O36" i="2"/>
  <c r="B29" i="1" s="1"/>
  <c r="O37" i="2"/>
  <c r="B30" i="1" s="1"/>
  <c r="O38" i="2"/>
  <c r="B31" i="1" s="1"/>
  <c r="O39" i="2"/>
  <c r="B32" i="1" s="1"/>
  <c r="O40" i="2"/>
  <c r="B33" i="1" s="1"/>
  <c r="O41" i="2"/>
  <c r="B3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19" i="2"/>
  <c r="H42" i="5"/>
  <c r="G13" i="3"/>
  <c r="S19" i="2"/>
  <c r="G10" i="3"/>
  <c r="G11" i="3"/>
  <c r="G12" i="3"/>
  <c r="G14" i="3"/>
  <c r="G15" i="3"/>
  <c r="G16" i="3"/>
  <c r="G17" i="3"/>
  <c r="G18" i="3"/>
  <c r="G19" i="3"/>
  <c r="S30" i="2"/>
  <c r="I20" i="3"/>
  <c r="I21" i="3"/>
  <c r="I22" i="3"/>
  <c r="I23" i="3"/>
  <c r="I24" i="3"/>
  <c r="I25" i="3"/>
  <c r="I26" i="3"/>
  <c r="I27" i="3"/>
  <c r="I28" i="3"/>
  <c r="I29" i="3"/>
  <c r="I10" i="3"/>
  <c r="I11" i="3"/>
  <c r="I12" i="3"/>
  <c r="I13" i="3"/>
  <c r="I14" i="3"/>
  <c r="I15" i="3"/>
  <c r="I16" i="3"/>
  <c r="I17" i="3"/>
  <c r="I18" i="3"/>
  <c r="I19" i="3"/>
  <c r="I30" i="3"/>
  <c r="I31" i="3"/>
  <c r="I32" i="3"/>
  <c r="I33" i="3"/>
  <c r="I34" i="3"/>
  <c r="I35" i="3"/>
  <c r="I36" i="3"/>
  <c r="I37" i="3"/>
  <c r="I38" i="3"/>
  <c r="I39" i="3"/>
  <c r="I40" i="3"/>
  <c r="J20" i="3"/>
  <c r="J21" i="3"/>
  <c r="J22" i="3"/>
  <c r="J23" i="3"/>
  <c r="J24" i="3"/>
  <c r="J25" i="3"/>
  <c r="J26" i="3"/>
  <c r="J27" i="3"/>
  <c r="J28" i="3"/>
  <c r="J29" i="3"/>
  <c r="J10" i="3"/>
  <c r="J11" i="3"/>
  <c r="J12" i="3"/>
  <c r="J13" i="3"/>
  <c r="J14" i="3"/>
  <c r="J15" i="3"/>
  <c r="J16" i="3"/>
  <c r="J17" i="3"/>
  <c r="J18" i="3"/>
  <c r="J19" i="3"/>
  <c r="J30" i="3"/>
  <c r="J31" i="3"/>
  <c r="J32" i="3"/>
  <c r="J33" i="3"/>
  <c r="J34" i="3"/>
  <c r="J35" i="3"/>
  <c r="J36" i="3"/>
  <c r="J37" i="3"/>
  <c r="J38" i="3"/>
  <c r="J39" i="3"/>
  <c r="J40" i="3"/>
  <c r="K20" i="3"/>
  <c r="K21" i="3"/>
  <c r="K22" i="3"/>
  <c r="K23" i="3"/>
  <c r="K24" i="3"/>
  <c r="K25" i="3"/>
  <c r="K26" i="3"/>
  <c r="K27" i="3"/>
  <c r="K28" i="3"/>
  <c r="K29" i="3"/>
  <c r="K10" i="3"/>
  <c r="K11" i="3"/>
  <c r="K12" i="3"/>
  <c r="K13" i="3"/>
  <c r="K14" i="3"/>
  <c r="K15" i="3"/>
  <c r="K16" i="3"/>
  <c r="K17" i="3"/>
  <c r="K18" i="3"/>
  <c r="K19" i="3"/>
  <c r="K30" i="3"/>
  <c r="K31" i="3"/>
  <c r="K32" i="3"/>
  <c r="K33" i="3"/>
  <c r="K34" i="3"/>
  <c r="K35" i="3"/>
  <c r="K36" i="3"/>
  <c r="K37" i="3"/>
  <c r="K38" i="3"/>
  <c r="K39" i="3"/>
  <c r="K40" i="3"/>
  <c r="L20" i="3"/>
  <c r="L21" i="3"/>
  <c r="L22" i="3"/>
  <c r="L23" i="3"/>
  <c r="L24" i="3"/>
  <c r="L25" i="3"/>
  <c r="L26" i="3"/>
  <c r="L27" i="3"/>
  <c r="L28" i="3"/>
  <c r="L29" i="3"/>
  <c r="L10" i="3"/>
  <c r="L11" i="3"/>
  <c r="L12" i="3"/>
  <c r="L13" i="3"/>
  <c r="L14" i="3"/>
  <c r="L15" i="3"/>
  <c r="L16" i="3"/>
  <c r="L17" i="3"/>
  <c r="L18" i="3"/>
  <c r="L19" i="3"/>
  <c r="L30" i="3"/>
  <c r="L31" i="3"/>
  <c r="L32" i="3"/>
  <c r="L33" i="3"/>
  <c r="L34" i="3"/>
  <c r="L35" i="3"/>
  <c r="L36" i="3"/>
  <c r="L37" i="3"/>
  <c r="L38" i="3"/>
  <c r="L39" i="3"/>
  <c r="L40" i="3"/>
  <c r="M20" i="3"/>
  <c r="M21" i="3"/>
  <c r="M22" i="3"/>
  <c r="M23" i="3"/>
  <c r="M24" i="3"/>
  <c r="M25" i="3"/>
  <c r="M26" i="3"/>
  <c r="M27" i="3"/>
  <c r="M28" i="3"/>
  <c r="M29" i="3"/>
  <c r="M10" i="3"/>
  <c r="M11" i="3"/>
  <c r="M12" i="3"/>
  <c r="M13" i="3"/>
  <c r="M14" i="3"/>
  <c r="M15" i="3"/>
  <c r="M16" i="3"/>
  <c r="M17" i="3"/>
  <c r="M18" i="3"/>
  <c r="M19" i="3"/>
  <c r="M30" i="3"/>
  <c r="M31" i="3"/>
  <c r="M32" i="3"/>
  <c r="M33" i="3"/>
  <c r="M34" i="3"/>
  <c r="M35" i="3"/>
  <c r="M36" i="3"/>
  <c r="M37" i="3"/>
  <c r="M38" i="3"/>
  <c r="M39" i="3"/>
  <c r="M40" i="3"/>
  <c r="N20" i="3"/>
  <c r="N21" i="3"/>
  <c r="N22" i="3"/>
  <c r="N23" i="3"/>
  <c r="N24" i="3"/>
  <c r="N25" i="3"/>
  <c r="N26" i="3"/>
  <c r="N27" i="3"/>
  <c r="N28" i="3"/>
  <c r="N29" i="3"/>
  <c r="N10" i="3"/>
  <c r="N11" i="3"/>
  <c r="N12" i="3"/>
  <c r="N13" i="3"/>
  <c r="N14" i="3"/>
  <c r="N15" i="3"/>
  <c r="N16" i="3"/>
  <c r="N17" i="3"/>
  <c r="N18" i="3"/>
  <c r="N19" i="3"/>
  <c r="N30" i="3"/>
  <c r="N31" i="3"/>
  <c r="N32" i="3"/>
  <c r="N33" i="3"/>
  <c r="N34" i="3"/>
  <c r="N35" i="3"/>
  <c r="N36" i="3"/>
  <c r="N37" i="3"/>
  <c r="N38" i="3"/>
  <c r="N39" i="3"/>
  <c r="N40" i="3"/>
  <c r="O41" i="3"/>
  <c r="C18" i="7" s="1"/>
  <c r="T41" i="3"/>
  <c r="L18" i="7" s="1"/>
  <c r="U41" i="3"/>
  <c r="M18" i="7" s="1"/>
  <c r="S41" i="3"/>
  <c r="K18" i="7" s="1"/>
  <c r="W41" i="3"/>
  <c r="Q18" i="7" s="1"/>
  <c r="G19" i="2"/>
  <c r="H19" i="2"/>
  <c r="I19" i="2"/>
  <c r="J19" i="2"/>
  <c r="G30" i="2"/>
  <c r="H30" i="2"/>
  <c r="I30" i="2"/>
  <c r="J30" i="2"/>
  <c r="M19" i="2"/>
  <c r="N19" i="2"/>
  <c r="K30" i="2"/>
  <c r="M30" i="2"/>
  <c r="N30" i="2"/>
  <c r="R19" i="2"/>
  <c r="R30" i="2"/>
  <c r="T19" i="2"/>
  <c r="U19" i="2"/>
  <c r="V19" i="2"/>
  <c r="W19" i="2"/>
  <c r="T30" i="2"/>
  <c r="U30" i="2"/>
  <c r="V30" i="2"/>
  <c r="W30" i="2"/>
  <c r="X30" i="2"/>
  <c r="X42" i="2"/>
  <c r="Z30" i="2"/>
  <c r="Z43" i="2" s="1"/>
  <c r="Z45" i="2" s="1"/>
  <c r="I14" i="7" s="1"/>
  <c r="D14" i="7"/>
  <c r="H10" i="3"/>
  <c r="H11" i="3"/>
  <c r="H12" i="3"/>
  <c r="H13" i="3"/>
  <c r="H14" i="3"/>
  <c r="H15" i="3"/>
  <c r="H16" i="3"/>
  <c r="H17" i="3"/>
  <c r="H18" i="3"/>
  <c r="H19" i="3"/>
  <c r="F30" i="3"/>
  <c r="F31" i="3"/>
  <c r="F32" i="3"/>
  <c r="F33" i="3"/>
  <c r="F34" i="3"/>
  <c r="F35" i="3"/>
  <c r="F36" i="3"/>
  <c r="F37" i="3"/>
  <c r="F38" i="3"/>
  <c r="F39" i="3"/>
  <c r="F25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6" i="3"/>
  <c r="F27" i="3"/>
  <c r="F28" i="3"/>
  <c r="F29" i="3"/>
  <c r="F40" i="3"/>
  <c r="E30" i="3"/>
  <c r="E31" i="3"/>
  <c r="E32" i="3"/>
  <c r="E33" i="3"/>
  <c r="E34" i="3"/>
  <c r="E35" i="3"/>
  <c r="E36" i="3"/>
  <c r="E37" i="3"/>
  <c r="E38" i="3"/>
  <c r="E39" i="3"/>
  <c r="E25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8" i="3"/>
  <c r="E29" i="3"/>
  <c r="E40" i="3"/>
  <c r="D30" i="3"/>
  <c r="D31" i="3"/>
  <c r="D32" i="3"/>
  <c r="D33" i="3"/>
  <c r="D34" i="3"/>
  <c r="D35" i="3"/>
  <c r="D36" i="3"/>
  <c r="D37" i="3"/>
  <c r="D38" i="3"/>
  <c r="D39" i="3"/>
  <c r="D25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D28" i="3"/>
  <c r="D29" i="3"/>
  <c r="D40" i="3"/>
  <c r="C30" i="3"/>
  <c r="C31" i="3"/>
  <c r="C32" i="3"/>
  <c r="C33" i="3"/>
  <c r="C34" i="3"/>
  <c r="C35" i="3"/>
  <c r="C36" i="3"/>
  <c r="C37" i="3"/>
  <c r="C38" i="3"/>
  <c r="C39" i="3"/>
  <c r="C25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C28" i="3"/>
  <c r="C29" i="3"/>
  <c r="C40" i="3"/>
  <c r="C7" i="7"/>
  <c r="B34" i="7" s="1"/>
  <c r="G5" i="5"/>
  <c r="D5" i="5"/>
  <c r="V1" i="3"/>
  <c r="C1" i="3"/>
  <c r="K42" i="2"/>
  <c r="K43" i="2" s="1"/>
  <c r="L42" i="2"/>
  <c r="M42" i="2"/>
  <c r="N42" i="2"/>
  <c r="E19" i="2"/>
  <c r="C19" i="2"/>
  <c r="F19" i="2"/>
  <c r="C30" i="2"/>
  <c r="D30" i="2"/>
  <c r="E30" i="2"/>
  <c r="F30" i="2"/>
  <c r="D42" i="2"/>
  <c r="C42" i="2"/>
  <c r="I22" i="7"/>
  <c r="I4" i="1"/>
  <c r="J4" i="1"/>
  <c r="K4" i="1"/>
  <c r="L4" i="1"/>
  <c r="M4" i="1"/>
  <c r="N4" i="1"/>
  <c r="I5" i="1"/>
  <c r="I6" i="1"/>
  <c r="J14" i="1"/>
  <c r="K14" i="1"/>
  <c r="K24" i="1"/>
  <c r="K25" i="1"/>
  <c r="K26" i="1"/>
  <c r="K27" i="1"/>
  <c r="K28" i="1"/>
  <c r="K29" i="1"/>
  <c r="K30" i="1"/>
  <c r="K31" i="1"/>
  <c r="K32" i="1"/>
  <c r="K33" i="1"/>
  <c r="K34" i="1"/>
  <c r="J24" i="1"/>
  <c r="L24" i="1"/>
  <c r="M24" i="1"/>
  <c r="N24" i="1"/>
  <c r="J25" i="1"/>
  <c r="L25" i="1"/>
  <c r="M25" i="1"/>
  <c r="N25" i="1"/>
  <c r="J26" i="1"/>
  <c r="L26" i="1"/>
  <c r="M26" i="1"/>
  <c r="N26" i="1"/>
  <c r="J27" i="1"/>
  <c r="L27" i="1"/>
  <c r="M27" i="1"/>
  <c r="N27" i="1"/>
  <c r="J28" i="1"/>
  <c r="L28" i="1"/>
  <c r="M28" i="1"/>
  <c r="N28" i="1"/>
  <c r="J29" i="1"/>
  <c r="L29" i="1"/>
  <c r="M29" i="1"/>
  <c r="N29" i="1"/>
  <c r="J30" i="1"/>
  <c r="L30" i="1"/>
  <c r="M30" i="1"/>
  <c r="N30" i="1"/>
  <c r="J31" i="1"/>
  <c r="L31" i="1"/>
  <c r="M31" i="1"/>
  <c r="N31" i="1"/>
  <c r="J32" i="1"/>
  <c r="L32" i="1"/>
  <c r="M32" i="1"/>
  <c r="M33" i="1"/>
  <c r="M34" i="1"/>
  <c r="N32" i="1"/>
  <c r="J33" i="1"/>
  <c r="L33" i="1"/>
  <c r="N33" i="1"/>
  <c r="N35" i="1" s="1"/>
  <c r="J34" i="1"/>
  <c r="L34" i="1"/>
  <c r="N34" i="1"/>
  <c r="E42" i="2"/>
  <c r="F42" i="2"/>
  <c r="F43" i="2" s="1"/>
  <c r="G42" i="2"/>
  <c r="G43" i="2" s="1"/>
  <c r="H42" i="2"/>
  <c r="I42" i="2"/>
  <c r="I43" i="2" s="1"/>
  <c r="J42" i="2"/>
  <c r="R42" i="2"/>
  <c r="R43" i="2" s="1"/>
  <c r="S42" i="2"/>
  <c r="S43" i="2" s="1"/>
  <c r="T42" i="2"/>
  <c r="T43" i="2" s="1"/>
  <c r="U42" i="2"/>
  <c r="U43" i="2" s="1"/>
  <c r="V42" i="2"/>
  <c r="V43" i="2" s="1"/>
  <c r="W42" i="2"/>
  <c r="W43" i="2" s="1"/>
  <c r="F83" i="1"/>
  <c r="I53" i="1" s="1"/>
  <c r="J53" i="1" s="1"/>
  <c r="J54" i="1" s="1"/>
  <c r="I41" i="3"/>
  <c r="Y45" i="2" s="1"/>
  <c r="E14" i="7" s="1"/>
  <c r="G41" i="3"/>
  <c r="K16" i="7" s="1"/>
  <c r="V41" i="3" l="1"/>
  <c r="P18" i="7" s="1"/>
  <c r="J55" i="1"/>
  <c r="X43" i="2"/>
  <c r="C14" i="7" s="1"/>
  <c r="D43" i="2"/>
  <c r="N43" i="2"/>
  <c r="M43" i="2"/>
  <c r="C30" i="5"/>
  <c r="G26" i="9" s="1"/>
  <c r="J43" i="2"/>
  <c r="U45" i="2"/>
  <c r="U47" i="2" s="1"/>
  <c r="H45" i="2"/>
  <c r="H47" i="2" s="1"/>
  <c r="L45" i="2"/>
  <c r="J12" i="7" s="1"/>
  <c r="P41" i="3"/>
  <c r="D18" i="7" s="1"/>
  <c r="H41" i="3"/>
  <c r="R45" i="2"/>
  <c r="O12" i="7" s="1"/>
  <c r="K41" i="3"/>
  <c r="S16" i="7" s="1"/>
  <c r="P41" i="2"/>
  <c r="Q41" i="2" s="1"/>
  <c r="P40" i="2"/>
  <c r="Q40" i="2" s="1"/>
  <c r="L35" i="1"/>
  <c r="N41" i="3"/>
  <c r="X16" i="7" s="1"/>
  <c r="J41" i="3"/>
  <c r="P16" i="7" s="1"/>
  <c r="H43" i="2"/>
  <c r="C20" i="5"/>
  <c r="N20" i="7" s="1"/>
  <c r="L41" i="3"/>
  <c r="T16" i="7" s="1"/>
  <c r="X41" i="3"/>
  <c r="R18" i="7" s="1"/>
  <c r="E41" i="3"/>
  <c r="G16" i="7" s="1"/>
  <c r="M35" i="1"/>
  <c r="J35" i="1"/>
  <c r="M41" i="3"/>
  <c r="W16" i="7" s="1"/>
  <c r="O16" i="7"/>
  <c r="S45" i="2"/>
  <c r="P12" i="7" s="1"/>
  <c r="C41" i="3"/>
  <c r="C16" i="7" s="1"/>
  <c r="L43" i="2"/>
  <c r="K44" i="2" s="1"/>
  <c r="E43" i="2"/>
  <c r="C43" i="2"/>
  <c r="D41" i="3"/>
  <c r="D16" i="7" s="1"/>
  <c r="F41" i="3"/>
  <c r="H16" i="7" s="1"/>
  <c r="L16" i="7"/>
  <c r="M20" i="7"/>
  <c r="R47" i="2"/>
  <c r="H14" i="7"/>
  <c r="K46" i="2"/>
  <c r="D45" i="2"/>
  <c r="D47" i="2" s="1"/>
  <c r="D22" i="7"/>
  <c r="U44" i="2"/>
  <c r="I7" i="1"/>
  <c r="C44" i="1"/>
  <c r="D25" i="5" s="1"/>
  <c r="G12" i="9"/>
  <c r="R20" i="7"/>
  <c r="J56" i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K35" i="1"/>
  <c r="E32" i="9"/>
  <c r="F32" i="9"/>
  <c r="I83" i="1"/>
  <c r="G53" i="1"/>
  <c r="C15" i="5"/>
  <c r="C10" i="5"/>
  <c r="G44" i="2" l="1"/>
  <c r="P11" i="2"/>
  <c r="Q11" i="2" s="1"/>
  <c r="P39" i="2"/>
  <c r="Q39" i="2" s="1"/>
  <c r="P37" i="2"/>
  <c r="Q37" i="2" s="1"/>
  <c r="P38" i="2"/>
  <c r="Q38" i="2" s="1"/>
  <c r="P35" i="2"/>
  <c r="Q35" i="2" s="1"/>
  <c r="P36" i="2"/>
  <c r="Q36" i="2" s="1"/>
  <c r="P33" i="2"/>
  <c r="Q33" i="2" s="1"/>
  <c r="P34" i="2"/>
  <c r="Q34" i="2" s="1"/>
  <c r="P31" i="2"/>
  <c r="Q31" i="2" s="1"/>
  <c r="P32" i="2"/>
  <c r="Q32" i="2" s="1"/>
  <c r="L47" i="2"/>
  <c r="P28" i="2"/>
  <c r="Q28" i="2" s="1"/>
  <c r="P29" i="2"/>
  <c r="Q29" i="2" s="1"/>
  <c r="P10" i="2"/>
  <c r="Q10" i="2" s="1"/>
  <c r="P9" i="2"/>
  <c r="Q9" i="2" s="1"/>
  <c r="W20" i="7"/>
  <c r="C45" i="1"/>
  <c r="D30" i="5" s="1"/>
  <c r="F26" i="9" s="1"/>
  <c r="P13" i="2"/>
  <c r="Q13" i="2" s="1"/>
  <c r="P12" i="2"/>
  <c r="Q12" i="2" s="1"/>
  <c r="P16" i="2"/>
  <c r="Q16" i="2" s="1"/>
  <c r="P22" i="2"/>
  <c r="Q22" i="2" s="1"/>
  <c r="P26" i="2"/>
  <c r="Q26" i="2" s="1"/>
  <c r="P27" i="2"/>
  <c r="Q27" i="2" s="1"/>
  <c r="I12" i="7"/>
  <c r="P21" i="2"/>
  <c r="Q21" i="2" s="1"/>
  <c r="P14" i="2"/>
  <c r="Q14" i="2" s="1"/>
  <c r="P15" i="2"/>
  <c r="Q15" i="2" s="1"/>
  <c r="P18" i="2"/>
  <c r="Q18" i="2" s="1"/>
  <c r="P17" i="2"/>
  <c r="Q17" i="2" s="1"/>
  <c r="P20" i="2"/>
  <c r="Q20" i="2" s="1"/>
  <c r="P23" i="2"/>
  <c r="Q23" i="2" s="1"/>
  <c r="P24" i="2"/>
  <c r="Q24" i="2" s="1"/>
  <c r="P25" i="2"/>
  <c r="Q25" i="2" s="1"/>
  <c r="N12" i="7"/>
  <c r="T12" i="7"/>
  <c r="F12" i="7"/>
  <c r="S47" i="2"/>
  <c r="Q12" i="7"/>
  <c r="T26" i="7"/>
  <c r="B36" i="7" s="1"/>
  <c r="J83" i="1"/>
  <c r="G11" i="9"/>
  <c r="C43" i="1"/>
  <c r="D20" i="5" s="1"/>
  <c r="O20" i="7" s="1"/>
  <c r="C44" i="2"/>
  <c r="C12" i="7"/>
  <c r="T20" i="7"/>
  <c r="F12" i="9"/>
  <c r="C68" i="1"/>
  <c r="C69" i="1" s="1"/>
  <c r="G29" i="9" s="1"/>
  <c r="C67" i="1"/>
  <c r="F29" i="9" s="1"/>
  <c r="G54" i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I20" i="7"/>
  <c r="H20" i="7"/>
  <c r="C42" i="1"/>
  <c r="D15" i="5" s="1"/>
  <c r="J20" i="7" s="1"/>
  <c r="C41" i="1"/>
  <c r="D10" i="5" s="1"/>
  <c r="E20" i="7" s="1"/>
  <c r="D20" i="7"/>
  <c r="C20" i="7"/>
  <c r="Q43" i="2" l="1"/>
  <c r="Q42" i="2"/>
  <c r="X20" i="7"/>
  <c r="T24" i="7" s="1"/>
  <c r="B37" i="7" s="1"/>
  <c r="F11" i="9"/>
  <c r="B67" i="1"/>
  <c r="Q44" i="2"/>
  <c r="Q45" i="2" s="1"/>
  <c r="K12" i="7" s="1"/>
  <c r="T25" i="7" s="1"/>
  <c r="B35" i="7" s="1"/>
  <c r="B68" i="1"/>
  <c r="G28" i="9" s="1"/>
  <c r="F28" i="9"/>
</calcChain>
</file>

<file path=xl/comments1.xml><?xml version="1.0" encoding="utf-8"?>
<comments xmlns="http://schemas.openxmlformats.org/spreadsheetml/2006/main">
  <authors>
    <author>Clima2</author>
  </authors>
  <commentList>
    <comment ref="P14" authorId="0">
      <text>
        <r>
          <rPr>
            <b/>
            <sz val="12"/>
            <color indexed="81"/>
            <rFont val="Tahoma"/>
            <family val="2"/>
          </rPr>
          <t>Los grupos 8 y 9 de la sección 1
 se deben completar manualmente</t>
        </r>
      </text>
    </comment>
  </commentList>
</comments>
</file>

<file path=xl/comments2.xml><?xml version="1.0" encoding="utf-8"?>
<comments xmlns="http://schemas.openxmlformats.org/spreadsheetml/2006/main">
  <authors>
    <author>Clima2</author>
    <author>Smn</author>
    <author>clima1</author>
  </authors>
  <commentList>
    <comment ref="O2" authorId="0">
      <text>
        <r>
          <rPr>
            <b/>
            <sz val="10"/>
            <color indexed="81"/>
            <rFont val="Tahoma"/>
            <family val="2"/>
          </rPr>
          <t>Complete, en la celda correspondiente, el Número de Estación, Mes (debe ser en número) y Año.</t>
        </r>
      </text>
    </comment>
    <comment ref="Z3" authorId="0">
      <text>
        <r>
          <rPr>
            <b/>
            <u/>
            <sz val="10"/>
            <color indexed="10"/>
            <rFont val="Tahoma"/>
            <family val="2"/>
          </rPr>
          <t>IMPORTANTE</t>
        </r>
        <r>
          <rPr>
            <b/>
            <sz val="10"/>
            <color indexed="81"/>
            <rFont val="Tahoma"/>
            <family val="2"/>
          </rPr>
          <t xml:space="preserve">
Cuando no se realizó la observación, o no se dispone del dato, la celda correpondiente debe dejarse en blanco. 
No debe ingresarse ningun código de dato faltante, solo debe dejarse la celda vacia.</t>
        </r>
      </text>
    </comment>
    <comment ref="Z44" authorId="1">
      <text>
        <r>
          <rPr>
            <b/>
            <u/>
            <sz val="8"/>
            <color indexed="10"/>
            <rFont val="Tahoma"/>
            <family val="2"/>
          </rPr>
          <t>IMPORTANTE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INGRESAR EL VALOR DE LA HELIOFANIA NORMAL MENSUAL EN LA CELDA Z44, SI NO TIENE VALOR NORMAL DEJAR LA CELDA Z44 EN BLANCO.</t>
        </r>
      </text>
    </comment>
    <comment ref="O49" authorId="2">
      <text>
        <r>
          <rPr>
            <b/>
            <sz val="10"/>
            <color indexed="81"/>
            <rFont val="Tahoma"/>
            <family val="2"/>
          </rPr>
          <t>Ingresar la corrección a 24 hs si no se realiza la medición de las 6 UTC. La misma se encuentra en la hoja quintil-heliofanía y corrección</t>
        </r>
      </text>
    </comment>
    <comment ref="J54" authorId="0">
      <text>
        <r>
          <rPr>
            <b/>
            <sz val="10"/>
            <color indexed="81"/>
            <rFont val="Tahoma"/>
            <family val="2"/>
          </rPr>
          <t>Ingresar los valores de referencia acordes a la estación meteorológica. Estos sirven para detectar datos erroneos que pueden ser  ingresados en la planilla.</t>
        </r>
      </text>
    </comment>
  </commentList>
</comments>
</file>

<file path=xl/comments3.xml><?xml version="1.0" encoding="utf-8"?>
<comments xmlns="http://schemas.openxmlformats.org/spreadsheetml/2006/main">
  <authors>
    <author>Clima2</author>
  </authors>
  <commentList>
    <comment ref="S5" authorId="0">
      <text>
        <r>
          <rPr>
            <b/>
            <sz val="10"/>
            <color indexed="81"/>
            <rFont val="Tahoma"/>
            <family val="2"/>
          </rPr>
          <t xml:space="preserve">En el caso de  </t>
        </r>
        <r>
          <rPr>
            <b/>
            <u/>
            <sz val="10"/>
            <color indexed="10"/>
            <rFont val="Tahoma"/>
            <family val="2"/>
          </rPr>
          <t>"VELOCIDAD DEL VIENTO"</t>
        </r>
        <r>
          <rPr>
            <b/>
            <sz val="10"/>
            <color indexed="81"/>
            <rFont val="Tahoma"/>
            <family val="2"/>
          </rPr>
          <t>:  conciderar el máximo valor correspondiente a mediciones horarias de la velocidad del viento (columna 22 de la Libreta Meteorológica). Ingrese un 1 en el casillero correspondiente por cada caso registrado.  Recuerde que para todas las frecuencias de días, cada categoria incluye a las categorias menores.</t>
        </r>
      </text>
    </comment>
  </commentList>
</comments>
</file>

<file path=xl/comments4.xml><?xml version="1.0" encoding="utf-8"?>
<comments xmlns="http://schemas.openxmlformats.org/spreadsheetml/2006/main">
  <authors>
    <author>Smn</author>
    <author>Clima2</author>
  </authors>
  <commentList>
    <comment ref="G7" authorId="0">
      <text>
        <r>
          <rPr>
            <b/>
            <u/>
            <sz val="8"/>
            <color indexed="10"/>
            <rFont val="Tahoma"/>
            <family val="2"/>
          </rPr>
          <t>IMPORTANTE:</t>
        </r>
        <r>
          <rPr>
            <b/>
            <sz val="8"/>
            <color indexed="10"/>
            <rFont val="Tahoma"/>
            <family val="2"/>
          </rPr>
          <t xml:space="preserve"> 
INGRESAR  LAS FRECUENCIAS MANUALMENTE</t>
        </r>
        <r>
          <rPr>
            <b/>
            <sz val="8"/>
            <color indexed="81"/>
            <rFont val="Tahoma"/>
            <family val="2"/>
          </rPr>
          <t xml:space="preserve">
Ingrese un 1 en el casillero correspondiente por cada caso registrado.</t>
        </r>
      </text>
    </comment>
    <comment ref="B35" authorId="1">
      <text>
        <r>
          <rPr>
            <b/>
            <u/>
            <sz val="10"/>
            <color indexed="10"/>
            <rFont val="Tahoma"/>
            <family val="2"/>
          </rPr>
          <t>Código instrumental viento:</t>
        </r>
        <r>
          <rPr>
            <b/>
            <sz val="10"/>
            <color indexed="10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0: Velocidad del viento estimada, en m/s.
1: Velocidad del viento obtenida con un anemómetro, en m/s.
3: Velocidad del viento estimada, en nudos.
4: Velocidad del viento obtenida con un anemómetro, en nudos.</t>
        </r>
      </text>
    </comment>
  </commentList>
</comments>
</file>

<file path=xl/comments5.xml><?xml version="1.0" encoding="utf-8"?>
<comments xmlns="http://schemas.openxmlformats.org/spreadsheetml/2006/main">
  <authors>
    <author>Clima2</author>
  </authors>
  <commentList>
    <comment ref="X2" authorId="0">
      <text>
        <r>
          <rPr>
            <b/>
            <u/>
            <sz val="10"/>
            <color indexed="10"/>
            <rFont val="Tahoma"/>
            <family val="2"/>
          </rPr>
          <t>·Visibilidad:</t>
        </r>
        <r>
          <rPr>
            <b/>
            <sz val="10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 xml:space="preserve">Ingrese un 1 en el casillero correspondiente por cada caso registrado.
Según la tabla de visibilidad del código SYNOP:
90: Visibilidad inferior a 50 metros,
91: Visibilidad igual a 50 metros,
00: Visibilidad inferior a 100 metros,
01-09: Visibilidad inferior a 1000 metros, donde 01 indica visibilidad igual a 100 metros, 02 igual a 200 metros, 03 igual a 300 metros, 04 igual a 400 metros, 05 igual a 500 metros, 06 igual a 600 metros, 07 igual a 700 metros, 08 igual a 800 metros, 09 igual a 900 metros. 
92: Visibilidad igual a 200 metros,
93: Visibilidad igual a 500 metros.
</t>
        </r>
        <r>
          <rPr>
            <b/>
            <u/>
            <sz val="10"/>
            <color indexed="10"/>
            <rFont val="Tahoma"/>
            <family val="2"/>
          </rPr>
          <t>·Espesor de nieve: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Ingrese el espesor de la nieve en centimetros.</t>
        </r>
      </text>
    </comment>
  </commentList>
</comments>
</file>

<file path=xl/comments6.xml><?xml version="1.0" encoding="utf-8"?>
<comments xmlns="http://schemas.openxmlformats.org/spreadsheetml/2006/main">
  <authors>
    <author>Clima2</author>
  </authors>
  <commentList>
    <comment ref="K2" authorId="0">
      <text>
        <r>
          <rPr>
            <b/>
            <sz val="10"/>
            <color indexed="81"/>
            <rFont val="Tahoma"/>
            <family val="2"/>
          </rPr>
          <t>Completar con los datos correspondientes a la estación meteorológica</t>
        </r>
      </text>
    </comment>
    <comment ref="B17" authorId="0">
      <text>
        <r>
          <rPr>
            <b/>
            <sz val="10"/>
            <color indexed="81"/>
            <rFont val="Tahoma"/>
            <family val="2"/>
          </rPr>
          <t>Completar con los datos correspondientes a la estación meteorológica</t>
        </r>
      </text>
    </comment>
    <comment ref="B25" authorId="0">
      <text>
        <r>
          <rPr>
            <b/>
            <sz val="10"/>
            <color indexed="81"/>
            <rFont val="Tahoma"/>
            <family val="2"/>
          </rPr>
          <t>Completar con los datos correspondientes a la estación meteorológica</t>
        </r>
      </text>
    </comment>
  </commentList>
</comments>
</file>

<file path=xl/sharedStrings.xml><?xml version="1.0" encoding="utf-8"?>
<sst xmlns="http://schemas.openxmlformats.org/spreadsheetml/2006/main" count="368" uniqueCount="287">
  <si>
    <t>MES:</t>
  </si>
  <si>
    <t>DIAS</t>
  </si>
  <si>
    <t>PRESION A NIVEL DE LA ESTACION</t>
  </si>
  <si>
    <t>PRESION A NIVEL DEL MAR O</t>
  </si>
  <si>
    <t xml:space="preserve"> TEMPERATURA</t>
  </si>
  <si>
    <t>TEMPERATURAS</t>
  </si>
  <si>
    <t>TENSION DEL VAPOR</t>
  </si>
  <si>
    <t>PRECIPI-</t>
  </si>
  <si>
    <t>INSOLA-</t>
  </si>
  <si>
    <t>ALTURA  GEOPOTENCIAL</t>
  </si>
  <si>
    <t>EXTREMAS</t>
  </si>
  <si>
    <t>TACION</t>
  </si>
  <si>
    <t>CION</t>
  </si>
  <si>
    <t xml:space="preserve">          (hPa) </t>
  </si>
  <si>
    <t xml:space="preserve">                  (hPa)  ó  (mgp)</t>
  </si>
  <si>
    <t xml:space="preserve">         TEMPERATURA MEDIA (ºC)</t>
  </si>
  <si>
    <t xml:space="preserve">      DESVIACION TIPICA (ºC)</t>
  </si>
  <si>
    <t xml:space="preserve">           (ºC)</t>
  </si>
  <si>
    <t>(hPa)</t>
  </si>
  <si>
    <t>(mm)</t>
  </si>
  <si>
    <t>(hs)</t>
  </si>
  <si>
    <t>T. diaria</t>
  </si>
  <si>
    <t>D - M</t>
  </si>
  <si>
    <t>TEMP</t>
  </si>
  <si>
    <t>MAXIMA</t>
  </si>
  <si>
    <t>MINIMA</t>
  </si>
  <si>
    <t>SUMA</t>
  </si>
  <si>
    <t>xxxxx</t>
  </si>
  <si>
    <t>TOTAL</t>
  </si>
  <si>
    <t>ST</t>
  </si>
  <si>
    <t>4snTxTXTXsnTnTnTn</t>
  </si>
  <si>
    <t xml:space="preserve">rd=        </t>
  </si>
  <si>
    <t>PROM</t>
  </si>
  <si>
    <t>1PoPoPoPo=</t>
  </si>
  <si>
    <t>2PPPP=</t>
  </si>
  <si>
    <t>ststst=</t>
  </si>
  <si>
    <t>5eee=</t>
  </si>
  <si>
    <t xml:space="preserve">nrnr=  </t>
  </si>
  <si>
    <t>T. med. Diaria</t>
  </si>
  <si>
    <t>T. max.</t>
  </si>
  <si>
    <t>T. min.</t>
  </si>
  <si>
    <t>Lluvia</t>
  </si>
  <si>
    <t>R&gt;=5</t>
  </si>
  <si>
    <t>R&gt;=10</t>
  </si>
  <si>
    <t>R&gt;=50</t>
  </si>
  <si>
    <t>R&gt;=100</t>
  </si>
  <si>
    <t>R&gt;=150</t>
  </si>
  <si>
    <t>Precipitac.&gt;=1mm dias 01 al 10=</t>
  </si>
  <si>
    <t>Precipitac.&gt;=1mm dias 11 al 20=</t>
  </si>
  <si>
    <t>Precipitac.&gt;=1mm dias 21 al 31=</t>
  </si>
  <si>
    <t>DATOS AUXILIARES</t>
  </si>
  <si>
    <t>DIA</t>
  </si>
  <si>
    <t>DIAS EN EL MES CON Tx</t>
  </si>
  <si>
    <t xml:space="preserve">DIAS EN EL </t>
  </si>
  <si>
    <t>DIAS EN EL</t>
  </si>
  <si>
    <t>DIAS EN EL MES CON PRECIPITACION</t>
  </si>
  <si>
    <t xml:space="preserve">  DIAS EN EL MES CON ESPESOR DE NIEVE</t>
  </si>
  <si>
    <t xml:space="preserve"> DIAS EN EL MES CON VELOCIDAD DEL VIENTO</t>
  </si>
  <si>
    <t xml:space="preserve"> MES CON</t>
  </si>
  <si>
    <t>0 T25T25T30T30</t>
  </si>
  <si>
    <t>1T35T35T40T40</t>
  </si>
  <si>
    <t>2Tn0Tn0Tx0Tx0</t>
  </si>
  <si>
    <t>3R01R01R05R05</t>
  </si>
  <si>
    <t xml:space="preserve"> 4R10R10R50R50</t>
  </si>
  <si>
    <t>5R100R100R150R150</t>
  </si>
  <si>
    <t>6s00s00s01s01</t>
  </si>
  <si>
    <t xml:space="preserve"> 7s10s10s50s50</t>
  </si>
  <si>
    <t xml:space="preserve"> 8f10f10f20f20f30f30</t>
  </si>
  <si>
    <t xml:space="preserve"> 9V1V1V2V2V3V3</t>
  </si>
  <si>
    <t xml:space="preserve">  Tn  &lt; 0ºC</t>
  </si>
  <si>
    <t xml:space="preserve">  Tx  &lt; 0ºC</t>
  </si>
  <si>
    <t>o 20 Kts</t>
  </si>
  <si>
    <t>o 40 Kts</t>
  </si>
  <si>
    <t>o 60 Kts</t>
  </si>
  <si>
    <t>&gt;= 1 mm</t>
  </si>
  <si>
    <t xml:space="preserve">  0 snTxdTxdTxd</t>
  </si>
  <si>
    <t>yxyx</t>
  </si>
  <si>
    <t>6 DtsDtsDgrDgr</t>
  </si>
  <si>
    <t>Temperatura diaria media mas alta (°C)</t>
  </si>
  <si>
    <t>día de ocurrencia</t>
  </si>
  <si>
    <t>Dias en el mes con tormentas</t>
  </si>
  <si>
    <t>Dias en el mes con granizo</t>
  </si>
  <si>
    <t xml:space="preserve">  1 snTndTndTnd</t>
  </si>
  <si>
    <t>ynyn</t>
  </si>
  <si>
    <t>Temperatura diaria media mas baja (°C)</t>
  </si>
  <si>
    <t xml:space="preserve">  2 snTaxTaxTax</t>
  </si>
  <si>
    <t xml:space="preserve"> yaxyax</t>
  </si>
  <si>
    <t>Temperatura máxima absoluta (°C)</t>
  </si>
  <si>
    <t xml:space="preserve">  3 snTanTanTan</t>
  </si>
  <si>
    <t>yanyan</t>
  </si>
  <si>
    <t>Temperatura mínima absoluta (°C)</t>
  </si>
  <si>
    <t xml:space="preserve">  4 RxRxRxRx</t>
  </si>
  <si>
    <t xml:space="preserve">         yryr</t>
  </si>
  <si>
    <t xml:space="preserve"> Máxima precipitacion diaria (mm)</t>
  </si>
  <si>
    <t>5  iw</t>
  </si>
  <si>
    <t>fxfxfx</t>
  </si>
  <si>
    <t>yfxyfx</t>
  </si>
  <si>
    <t>código</t>
  </si>
  <si>
    <t>Viento Maximo</t>
  </si>
  <si>
    <t>7  iy</t>
  </si>
  <si>
    <t>GxGx</t>
  </si>
  <si>
    <t>GnGn</t>
  </si>
  <si>
    <t>tipo de lectura</t>
  </si>
  <si>
    <t>Hora de lectura temperatura maxima</t>
  </si>
  <si>
    <t>Hora de lectura temperatura minima</t>
  </si>
  <si>
    <t>00 UTC</t>
  </si>
  <si>
    <t>12 UTC</t>
  </si>
  <si>
    <t>FIRMA DEL OBSERVADOR</t>
  </si>
  <si>
    <t>AÑO :</t>
  </si>
  <si>
    <t>( Este grupo es obligatorio enviarlo)</t>
  </si>
  <si>
    <r>
      <t>Σ</t>
    </r>
    <r>
      <rPr>
        <b/>
        <sz val="8"/>
        <rFont val="Arial"/>
        <family val="2"/>
      </rPr>
      <t>(D-N)</t>
    </r>
    <r>
      <rPr>
        <b/>
        <sz val="8"/>
        <rFont val="Arial"/>
        <family val="2"/>
      </rPr>
      <t>²</t>
    </r>
    <r>
      <rPr>
        <b/>
        <sz val="8"/>
        <rFont val="Arial"/>
        <family val="2"/>
      </rPr>
      <t>=</t>
    </r>
  </si>
  <si>
    <r>
      <t>√Σ</t>
    </r>
    <r>
      <rPr>
        <sz val="8"/>
        <rFont val="Arial"/>
        <family val="2"/>
      </rPr>
      <t>(D-N)</t>
    </r>
    <r>
      <rPr>
        <sz val="8"/>
        <rFont val="Arial"/>
        <family val="2"/>
      </rPr>
      <t>²</t>
    </r>
    <r>
      <rPr>
        <sz val="8"/>
        <rFont val="Arial"/>
        <family val="2"/>
      </rPr>
      <t>/N-1=</t>
    </r>
  </si>
  <si>
    <t>DIAS EN EL MES CON VISIBILIDAD</t>
  </si>
  <si>
    <t>Control de los promedios</t>
  </si>
  <si>
    <t xml:space="preserve">ESTACION: </t>
  </si>
  <si>
    <t xml:space="preserve"> </t>
  </si>
  <si>
    <t xml:space="preserve"> MES: </t>
  </si>
  <si>
    <t>AÑO:</t>
  </si>
  <si>
    <r>
      <t>ESTACION:</t>
    </r>
    <r>
      <rPr>
        <b/>
        <sz val="12"/>
        <rFont val="Arial"/>
        <family val="2"/>
      </rPr>
      <t xml:space="preserve"> </t>
    </r>
  </si>
  <si>
    <t>Mínimo Valor de Referencia</t>
  </si>
  <si>
    <t>Máximo Valor de Referencia</t>
  </si>
  <si>
    <t>TEMPERATURA MEDIA (ºC)</t>
  </si>
  <si>
    <t>TEMPERATURAS MAXIMAS</t>
  </si>
  <si>
    <t>TEMPERATURAS MINIMAS</t>
  </si>
  <si>
    <t>PRECIPITACIÓN</t>
  </si>
  <si>
    <t>INSOLACIÓN</t>
  </si>
  <si>
    <r>
      <t>Ejemplo:</t>
    </r>
    <r>
      <rPr>
        <b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si un día se produce una máxima de 41°C </t>
    </r>
  </si>
  <si>
    <r>
      <t>NOTA:</t>
    </r>
    <r>
      <rPr>
        <sz val="9"/>
        <color indexed="10"/>
        <rFont val="Arial"/>
        <family val="2"/>
      </rPr>
      <t xml:space="preserve">   En la sección 111 es obligatorio incluir el grupo 8 y 9 siempre, aunque sean solamente ceros para informar. Debe completarse manualmente.</t>
    </r>
  </si>
  <si>
    <t>Valores de referencia de los valores ingresados</t>
  </si>
  <si>
    <t xml:space="preserve">  AÑO:   </t>
  </si>
  <si>
    <t>Corrección a 24hs</t>
  </si>
  <si>
    <t>1er quintil</t>
  </si>
  <si>
    <t>2do quintil</t>
  </si>
  <si>
    <t>3er quintil</t>
  </si>
  <si>
    <t>4to quintil</t>
  </si>
  <si>
    <t>5to quintil</t>
  </si>
  <si>
    <t>Mes</t>
  </si>
  <si>
    <t>LI</t>
  </si>
  <si>
    <t>LS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</si>
  <si>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</si>
  <si>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</si>
  <si>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</si>
  <si>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</si>
  <si>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</si>
  <si>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</si>
  <si>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</si>
  <si>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</si>
  <si>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</si>
  <si>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</si>
  <si>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</si>
  <si>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</si>
  <si>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NORMALES DE HELIOFANIA EFECTIVA MENSUAL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</si>
  <si>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</si>
  <si>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</si>
  <si>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</si>
  <si>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</si>
  <si>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</si>
  <si>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</si>
  <si>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</si>
  <si>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</si>
  <si>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</si>
  <si>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</si>
  <si>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</si>
  <si>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</si>
  <si>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</si>
  <si>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Presión</t>
  </si>
  <si>
    <t>Viento Máx</t>
  </si>
  <si>
    <t>Visibilidad</t>
  </si>
  <si>
    <t>Máx</t>
  </si>
  <si>
    <t>Mín</t>
  </si>
  <si>
    <t>HR Máx</t>
  </si>
  <si>
    <t>HR Mín</t>
  </si>
  <si>
    <t>TH Máx</t>
  </si>
  <si>
    <t>TH Mín</t>
  </si>
  <si>
    <t>TV Máx</t>
  </si>
  <si>
    <t>TV Mín</t>
  </si>
  <si>
    <t>PR Máx</t>
  </si>
  <si>
    <t>PR Mín</t>
  </si>
  <si>
    <t>Dir.</t>
  </si>
  <si>
    <t>Intensidad</t>
  </si>
  <si>
    <t>Elementos</t>
  </si>
  <si>
    <t>VALOR</t>
  </si>
  <si>
    <t>Presión atmosférica a</t>
  </si>
  <si>
    <t>mmHg</t>
  </si>
  <si>
    <t>nivel de la estación</t>
  </si>
  <si>
    <t>Temperatura del aire</t>
  </si>
  <si>
    <t>ºC</t>
  </si>
  <si>
    <t>Temperatura del</t>
  </si>
  <si>
    <t>bulbo húmedo</t>
  </si>
  <si>
    <t>Tensión del vapor</t>
  </si>
  <si>
    <t>hPa</t>
  </si>
  <si>
    <t>Humedad relativa</t>
  </si>
  <si>
    <t>%</t>
  </si>
  <si>
    <t>Temperatura del rocío</t>
  </si>
  <si>
    <t>Máxima precipitación diaria</t>
  </si>
  <si>
    <t>mm</t>
  </si>
  <si>
    <t>Primera helada</t>
  </si>
  <si>
    <t>Ultima helada</t>
  </si>
  <si>
    <t>Viento</t>
  </si>
  <si>
    <t>DATOS  EXTREMOS</t>
  </si>
  <si>
    <t>&gt;= 25 ºC</t>
  </si>
  <si>
    <t>&gt;= 30 ºC</t>
  </si>
  <si>
    <t>&gt;= 35 ºC</t>
  </si>
  <si>
    <t>&gt;= 40 ºC</t>
  </si>
  <si>
    <t>&gt;= 5 mm</t>
  </si>
  <si>
    <t>&gt;= 10 mm</t>
  </si>
  <si>
    <t>&gt;= 50 mm</t>
  </si>
  <si>
    <t>&gt;= 100 mm</t>
  </si>
  <si>
    <t>&gt;= 150 mm</t>
  </si>
  <si>
    <t>&gt;= 1 cm</t>
  </si>
  <si>
    <t>&gt;= 10 cm</t>
  </si>
  <si>
    <t>&gt;= 50 cm</t>
  </si>
  <si>
    <t>&gt;= 10 m/seg</t>
  </si>
  <si>
    <t>&gt;= 20 m/seg</t>
  </si>
  <si>
    <t>&gt;= 30 m/seg</t>
  </si>
  <si>
    <t>Así  también ocurre con los demas parámetros de esta sección.</t>
  </si>
  <si>
    <t>, se pondrán unos en los casilleros de &gt;=25, &gt;=30 &gt;=35 y &gt;=40</t>
  </si>
  <si>
    <r>
      <t>NOTA:</t>
    </r>
    <r>
      <rPr>
        <sz val="10"/>
        <color indexed="10"/>
        <rFont val="Arial"/>
        <family val="2"/>
      </rPr>
      <t xml:space="preserve">  Recordar que para todas las frecuencias de días, cada categoría incluye a las categorías menores.</t>
    </r>
  </si>
  <si>
    <t>Cantidad de extremos</t>
  </si>
  <si>
    <t>TDiariaMedia+alta</t>
  </si>
  <si>
    <t>TDiariaMedia+baja</t>
  </si>
  <si>
    <t>TMaxAbs</t>
  </si>
  <si>
    <t>TMinAbs</t>
  </si>
  <si>
    <t>PPDiaria+alta</t>
  </si>
  <si>
    <t>CLIMAT</t>
  </si>
  <si>
    <t>06</t>
  </si>
  <si>
    <t>12</t>
  </si>
  <si>
    <t>18</t>
  </si>
  <si>
    <t>Faltantes posibles</t>
  </si>
  <si>
    <t>MENSAJE EN TEXTO PARA TRANSMITIR</t>
  </si>
  <si>
    <t>3snTTT (X)=</t>
  </si>
  <si>
    <t>DATOS EXTREMOS:</t>
  </si>
  <si>
    <t>Espesor de nieve (cm)</t>
  </si>
  <si>
    <t>Viento Máximo</t>
  </si>
  <si>
    <t>MENSAJE CLIMAT</t>
  </si>
  <si>
    <t xml:space="preserve"> &lt; 50 m</t>
  </si>
  <si>
    <t>&lt; 100 m</t>
  </si>
  <si>
    <t>&lt; 1000 m</t>
  </si>
  <si>
    <t>&gt; 0 cm</t>
  </si>
  <si>
    <t>00</t>
  </si>
  <si>
    <t>SECC1 :</t>
  </si>
  <si>
    <t>CORRECCIÓN A 24 HORAS</t>
  </si>
  <si>
    <t>(D-N)²</t>
  </si>
  <si>
    <t>DIR</t>
  </si>
  <si>
    <t>INTENSIDAD</t>
  </si>
  <si>
    <r>
      <t xml:space="preserve">1º) </t>
    </r>
    <r>
      <rPr>
        <sz val="10"/>
        <rFont val="Arial"/>
        <family val="2"/>
      </rPr>
      <t>Ingresar el número de la estación, el mes y el año.</t>
    </r>
  </si>
  <si>
    <r>
      <t>2º)</t>
    </r>
    <r>
      <rPr>
        <sz val="10"/>
        <rFont val="Arial"/>
        <family val="2"/>
      </rPr>
      <t xml:space="preserve"> Si, debido al Plan de Labor de la estación meteorológica, ésta no hiciese observaciones a la hora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06 UTC</t>
    </r>
    <r>
      <rPr>
        <sz val="10"/>
        <rFont val="Arial"/>
        <family val="2"/>
      </rPr>
      <t xml:space="preserve">, debe aplicar al promedio de la temperatura la </t>
    </r>
    <r>
      <rPr>
        <b/>
        <sz val="10"/>
        <color indexed="10"/>
        <rFont val="Arial"/>
        <family val="2"/>
      </rPr>
      <t>corrección a 24 hs</t>
    </r>
    <r>
      <rPr>
        <sz val="10"/>
        <rFont val="Arial"/>
        <family val="2"/>
      </rPr>
      <t xml:space="preserve"> suministrada por el Departamento Climatología. En el caso que corresponda realizar la corrección, esta debe ingresarse en la celda </t>
    </r>
    <r>
      <rPr>
        <b/>
        <sz val="10"/>
        <color indexed="10"/>
        <rFont val="Arial"/>
        <family val="2"/>
      </rPr>
      <t>O49</t>
    </r>
    <r>
      <rPr>
        <sz val="10"/>
        <rFont val="Arial"/>
        <family val="2"/>
      </rPr>
      <t xml:space="preserve">. Si la corrección no fuese necesaria, la celda </t>
    </r>
    <r>
      <rPr>
        <b/>
        <sz val="10"/>
        <color indexed="10"/>
        <rFont val="Arial"/>
        <family val="2"/>
      </rPr>
      <t>O49</t>
    </r>
    <r>
      <rPr>
        <sz val="10"/>
        <rFont val="Arial"/>
        <family val="2"/>
      </rPr>
      <t xml:space="preserve">, debe dejarse en </t>
    </r>
    <r>
      <rPr>
        <b/>
        <sz val="10"/>
        <color indexed="10"/>
        <rFont val="Arial"/>
        <family val="2"/>
      </rPr>
      <t>blanco</t>
    </r>
    <r>
      <rPr>
        <sz val="10"/>
        <rFont val="Arial"/>
        <family val="2"/>
      </rPr>
      <t>.</t>
    </r>
  </si>
  <si>
    <r>
      <t>4º)</t>
    </r>
    <r>
      <rPr>
        <sz val="10"/>
        <rFont val="Arial"/>
        <family val="2"/>
      </rPr>
      <t xml:space="preserve"> En cuanto a la insolación (heliofanía efectiva), si la estación posee normales de este parámetro, debe ingresarse el valor normal del mes correspondiente en la </t>
    </r>
    <r>
      <rPr>
        <sz val="10"/>
        <color indexed="10"/>
        <rFont val="Arial"/>
        <family val="2"/>
      </rPr>
      <t xml:space="preserve">celda </t>
    </r>
    <r>
      <rPr>
        <b/>
        <sz val="10"/>
        <color indexed="10"/>
        <rFont val="Arial"/>
        <family val="2"/>
      </rPr>
      <t>Z44</t>
    </r>
  </si>
  <si>
    <t>SECC3 :</t>
  </si>
  <si>
    <t>SECC4 :</t>
  </si>
  <si>
    <r>
      <t xml:space="preserve">3º) El </t>
    </r>
    <r>
      <rPr>
        <b/>
        <sz val="10"/>
        <color indexed="10"/>
        <rFont val="Arial"/>
        <family val="2"/>
      </rPr>
      <t>grupo 6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debe completarse manualmente, habrá que ingresar un</t>
    </r>
    <r>
      <rPr>
        <b/>
        <sz val="10"/>
        <color indexed="10"/>
        <rFont val="Arial"/>
        <family val="2"/>
      </rPr>
      <t xml:space="preserve"> 1</t>
    </r>
    <r>
      <rPr>
        <sz val="10"/>
        <rFont val="Arial"/>
        <family val="2"/>
      </rPr>
      <t xml:space="preserve"> en el día de la ocurrencia de tormentas y/o granizo en las columnas G y H, respectivamente.</t>
    </r>
  </si>
  <si>
    <t>Hoja Extremos</t>
  </si>
  <si>
    <r>
      <t>1º)</t>
    </r>
    <r>
      <rPr>
        <sz val="10"/>
        <rFont val="Arial"/>
        <family val="2"/>
      </rPr>
      <t xml:space="preserve"> Se deben completar los datos a partir de la celda</t>
    </r>
    <r>
      <rPr>
        <b/>
        <sz val="10"/>
        <color indexed="10"/>
        <rFont val="Arial"/>
        <family val="2"/>
      </rPr>
      <t xml:space="preserve"> L4</t>
    </r>
    <r>
      <rPr>
        <sz val="10"/>
        <rFont val="Arial"/>
        <family val="2"/>
      </rPr>
      <t xml:space="preserve">. </t>
    </r>
  </si>
  <si>
    <r>
      <t>2º)</t>
    </r>
    <r>
      <rPr>
        <sz val="10"/>
        <rFont val="Arial"/>
        <family val="2"/>
      </rPr>
      <t xml:space="preserve"> En el caso del</t>
    </r>
    <r>
      <rPr>
        <b/>
        <sz val="10"/>
        <color indexed="10"/>
        <rFont val="Arial"/>
        <family val="2"/>
      </rPr>
      <t xml:space="preserve"> Viento Máximo</t>
    </r>
    <r>
      <rPr>
        <sz val="10"/>
        <rFont val="Arial"/>
        <family val="2"/>
      </rPr>
      <t xml:space="preserve"> (columnas Vy W) debe ingresarse la dirección e intensidad del mismo (si fuese posible debe incluirse el valor de la intensidad sin redondearlo, con el decimal correspondiente).</t>
    </r>
  </si>
  <si>
    <t>Mensaje CLIMAT</t>
  </si>
  <si>
    <r>
      <t>1º)</t>
    </r>
    <r>
      <rPr>
        <sz val="10"/>
        <rFont val="Arial"/>
        <family val="2"/>
      </rPr>
      <t xml:space="preserve"> En este caso solamente se deben completarse manualmente los </t>
    </r>
    <r>
      <rPr>
        <b/>
        <sz val="10"/>
        <color indexed="10"/>
        <rFont val="Arial"/>
        <family val="2"/>
      </rPr>
      <t xml:space="preserve">grupos 8 y 9 </t>
    </r>
    <r>
      <rPr>
        <sz val="10"/>
        <rFont val="Arial"/>
        <family val="2"/>
      </rPr>
      <t xml:space="preserve">de la </t>
    </r>
    <r>
      <rPr>
        <b/>
        <sz val="10"/>
        <color indexed="10"/>
        <rFont val="Arial"/>
        <family val="2"/>
      </rPr>
      <t>Sección 111</t>
    </r>
    <r>
      <rPr>
        <sz val="10"/>
        <rFont val="Arial"/>
        <family val="2"/>
      </rPr>
      <t>.</t>
    </r>
  </si>
  <si>
    <r>
      <t xml:space="preserve">3º) </t>
    </r>
    <r>
      <rPr>
        <sz val="10"/>
        <rFont val="Arial"/>
        <family val="2"/>
      </rPr>
      <t xml:space="preserve">El grupo 9 se debe completar de la siguiente manera: </t>
    </r>
    <r>
      <rPr>
        <b/>
        <sz val="10"/>
        <color indexed="10"/>
        <rFont val="Arial"/>
        <family val="2"/>
      </rPr>
      <t>9 meme mRmR mSmS</t>
    </r>
    <r>
      <rPr>
        <sz val="10"/>
        <rFont val="Arial"/>
        <family val="2"/>
      </rPr>
      <t xml:space="preserve">
</t>
    </r>
    <r>
      <rPr>
        <b/>
        <sz val="10"/>
        <color indexed="10"/>
        <rFont val="Arial"/>
        <family val="2"/>
      </rPr>
      <t xml:space="preserve"> meme</t>
    </r>
    <r>
      <rPr>
        <sz val="10"/>
        <rFont val="Arial"/>
        <family val="2"/>
      </rPr>
      <t xml:space="preserve">  número de días del mes en los que faltan registros de tensión del vapor (entre 00 y 31, según corresponda)
 </t>
    </r>
    <r>
      <rPr>
        <b/>
        <sz val="10"/>
        <color indexed="10"/>
        <rFont val="Arial"/>
        <family val="2"/>
      </rPr>
      <t xml:space="preserve">mRmR  </t>
    </r>
    <r>
      <rPr>
        <sz val="10"/>
        <rFont val="Arial"/>
        <family val="2"/>
      </rPr>
      <t xml:space="preserve">número de días del mes en los que faltan registros de precipitación (entre 00 y 31, según corresponda)
 </t>
    </r>
    <r>
      <rPr>
        <b/>
        <sz val="10"/>
        <color indexed="10"/>
        <rFont val="Arial"/>
        <family val="2"/>
      </rPr>
      <t>mSmS</t>
    </r>
    <r>
      <rPr>
        <sz val="10"/>
        <rFont val="Arial"/>
        <family val="2"/>
      </rPr>
      <t xml:space="preserve">  número de días del mes en los que faltan registros de duración de la insolación (entre 00 y 31, según corresponda)
</t>
    </r>
  </si>
  <si>
    <t>Hoja Auxiliar</t>
  </si>
  <si>
    <t>Hoja Quintil-Heliofanía-Corrección</t>
  </si>
  <si>
    <t>Octubre de 2010 ~ Departamento Climatología</t>
  </si>
  <si>
    <r>
      <t xml:space="preserve">2º) </t>
    </r>
    <r>
      <rPr>
        <sz val="10"/>
        <rFont val="Arial"/>
        <family val="2"/>
      </rPr>
      <t xml:space="preserve">El </t>
    </r>
    <r>
      <rPr>
        <b/>
        <sz val="10"/>
        <color indexed="10"/>
        <rFont val="Arial"/>
        <family val="2"/>
      </rPr>
      <t xml:space="preserve">grupo 8 </t>
    </r>
    <r>
      <rPr>
        <sz val="10"/>
        <rFont val="Arial"/>
        <family val="2"/>
      </rPr>
      <t xml:space="preserve">debe completarse de la siguiente forma:  </t>
    </r>
    <r>
      <rPr>
        <b/>
        <sz val="10"/>
        <color indexed="10"/>
        <rFont val="Arial"/>
        <family val="2"/>
      </rPr>
      <t>8 mpmp mTmT mTX mTn</t>
    </r>
    <r>
      <rPr>
        <sz val="10"/>
        <rFont val="Arial"/>
        <family val="2"/>
      </rPr>
      <t xml:space="preserve">
</t>
    </r>
    <r>
      <rPr>
        <b/>
        <sz val="10"/>
        <color indexed="10"/>
        <rFont val="Arial"/>
        <family val="2"/>
      </rPr>
      <t xml:space="preserve"> mpmp:  </t>
    </r>
    <r>
      <rPr>
        <sz val="10"/>
        <rFont val="Arial"/>
        <family val="2"/>
      </rPr>
      <t xml:space="preserve">número de días del mes en los que faltan registros de presión (entre </t>
    </r>
    <r>
      <rPr>
        <b/>
        <sz val="10"/>
        <color indexed="10"/>
        <rFont val="Arial"/>
        <family val="2"/>
      </rPr>
      <t>00 y 31</t>
    </r>
    <r>
      <rPr>
        <sz val="10"/>
        <rFont val="Arial"/>
        <family val="2"/>
      </rPr>
      <t xml:space="preserve">, según corresponda)
 </t>
    </r>
    <r>
      <rPr>
        <b/>
        <sz val="10"/>
        <color indexed="10"/>
        <rFont val="Arial"/>
        <family val="2"/>
      </rPr>
      <t xml:space="preserve">mTmT:  </t>
    </r>
    <r>
      <rPr>
        <sz val="10"/>
        <rFont val="Arial"/>
        <family val="2"/>
      </rPr>
      <t xml:space="preserve">número de días del mes en los que faltan registros de temperatura de aire (entre </t>
    </r>
    <r>
      <rPr>
        <b/>
        <sz val="10"/>
        <color indexed="10"/>
        <rFont val="Arial"/>
        <family val="2"/>
      </rPr>
      <t>00 y 31</t>
    </r>
    <r>
      <rPr>
        <sz val="10"/>
        <rFont val="Arial"/>
        <family val="2"/>
      </rPr>
      <t xml:space="preserve">, según corresponda)
 </t>
    </r>
    <r>
      <rPr>
        <b/>
        <sz val="10"/>
        <color indexed="10"/>
        <rFont val="Arial"/>
        <family val="2"/>
      </rPr>
      <t>mTX: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es el número de días en los que falta el registro de la temperatura máxima diaria (entre</t>
    </r>
    <r>
      <rPr>
        <b/>
        <sz val="10"/>
        <color indexed="10"/>
        <rFont val="Arial"/>
        <family val="2"/>
      </rPr>
      <t xml:space="preserve"> 0 y 9 ó / </t>
    </r>
    <r>
      <rPr>
        <sz val="10"/>
        <rFont val="Arial"/>
        <family val="2"/>
      </rPr>
      <t xml:space="preserve">si faltan los datos de diez (10) o más días, según corresponda) 
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mTn:</t>
    </r>
    <r>
      <rPr>
        <sz val="10"/>
        <rFont val="Arial"/>
        <family val="2"/>
      </rPr>
      <t xml:space="preserve"> es el número de días en los que falta el registro de la temperatura mínima diaria (entre </t>
    </r>
    <r>
      <rPr>
        <b/>
        <sz val="10"/>
        <color indexed="10"/>
        <rFont val="Arial"/>
        <family val="2"/>
      </rPr>
      <t xml:space="preserve">0 y 9 ó / </t>
    </r>
    <r>
      <rPr>
        <sz val="10"/>
        <rFont val="Arial"/>
        <family val="2"/>
      </rPr>
      <t xml:space="preserve">si faltan los datos de diez (10) o más días, según corresponda) </t>
    </r>
  </si>
  <si>
    <t>Transmisión del mensaje y la planilla CLIMAT</t>
  </si>
  <si>
    <r>
      <t>1º)</t>
    </r>
    <r>
      <rPr>
        <sz val="10"/>
        <rFont val="Arial"/>
        <family val="2"/>
      </rPr>
      <t xml:space="preserve"> En esta hoja deben ingresarse los valores de los </t>
    </r>
    <r>
      <rPr>
        <b/>
        <sz val="10"/>
        <color indexed="10"/>
        <rFont val="Arial"/>
        <family val="2"/>
      </rPr>
      <t>Quintiles</t>
    </r>
    <r>
      <rPr>
        <sz val="10"/>
        <rFont val="Arial"/>
        <family val="2"/>
      </rPr>
      <t>, la</t>
    </r>
    <r>
      <rPr>
        <b/>
        <sz val="10"/>
        <color indexed="10"/>
        <rFont val="Arial"/>
        <family val="2"/>
      </rPr>
      <t xml:space="preserve"> Heliofanía Efectiva mensual</t>
    </r>
    <r>
      <rPr>
        <sz val="10"/>
        <rFont val="Arial"/>
        <family val="2"/>
      </rPr>
      <t xml:space="preserve"> y la </t>
    </r>
    <r>
      <rPr>
        <b/>
        <sz val="10"/>
        <color indexed="10"/>
        <rFont val="Arial"/>
        <family val="2"/>
      </rPr>
      <t>Corrección de la temperatura media a 24 horas</t>
    </r>
    <r>
      <rPr>
        <sz val="10"/>
        <rFont val="Arial"/>
        <family val="2"/>
      </rPr>
      <t>.</t>
    </r>
  </si>
  <si>
    <r>
      <t xml:space="preserve">El </t>
    </r>
    <r>
      <rPr>
        <b/>
        <sz val="12"/>
        <color indexed="10"/>
        <rFont val="Arial"/>
        <family val="2"/>
      </rPr>
      <t>mensaje CLIMAT</t>
    </r>
    <r>
      <rPr>
        <sz val="12"/>
        <rFont val="Arial"/>
        <family val="2"/>
      </rPr>
      <t xml:space="preserve"> (tomarlo de las </t>
    </r>
    <r>
      <rPr>
        <b/>
        <sz val="12"/>
        <color indexed="10"/>
        <rFont val="Arial"/>
        <family val="2"/>
      </rPr>
      <t>filas 34 a 37</t>
    </r>
    <r>
      <rPr>
        <sz val="12"/>
        <rFont val="Arial"/>
        <family val="2"/>
      </rPr>
      <t xml:space="preserve">) debe transmitirse a la dirección </t>
    </r>
    <r>
      <rPr>
        <b/>
        <sz val="12"/>
        <color indexed="10"/>
        <rFont val="Arial"/>
        <family val="2"/>
      </rPr>
      <t>AFTN: SABM YTYX</t>
    </r>
    <r>
      <rPr>
        <sz val="12"/>
        <rFont val="Arial"/>
        <family val="2"/>
      </rPr>
      <t xml:space="preserve">. Si esto no fuese posible, puede enviarse a </t>
    </r>
    <r>
      <rPr>
        <b/>
        <sz val="12"/>
        <color indexed="10"/>
        <rFont val="Arial"/>
        <family val="2"/>
      </rPr>
      <t>crtba@smn.gov.ar</t>
    </r>
    <r>
      <rPr>
        <sz val="12"/>
        <rFont val="Arial"/>
        <family val="2"/>
      </rPr>
      <t xml:space="preserve">. Además de estas dos opciones, si fuese posible, debe enviarse por e-mail a </t>
    </r>
    <r>
      <rPr>
        <b/>
        <sz val="12"/>
        <color indexed="10"/>
        <rFont val="Arial"/>
        <family val="2"/>
      </rPr>
      <t>clima@smn.gov.ar</t>
    </r>
    <r>
      <rPr>
        <sz val="12"/>
        <rFont val="Arial"/>
        <family val="2"/>
      </rPr>
      <t xml:space="preserve"> en forma de texto en el correo electrónico y </t>
    </r>
    <r>
      <rPr>
        <b/>
        <sz val="12"/>
        <color indexed="10"/>
        <rFont val="Arial"/>
        <family val="2"/>
      </rPr>
      <t>adjuntar esta planilla CLIMAT al correo electrónico.</t>
    </r>
  </si>
  <si>
    <r>
      <t>Por cualquier tipo de consultas comunicarse con el</t>
    </r>
    <r>
      <rPr>
        <b/>
        <sz val="10"/>
        <rFont val="Arial"/>
        <family val="2"/>
      </rPr>
      <t xml:space="preserve"> Departamento Climatología</t>
    </r>
    <r>
      <rPr>
        <sz val="10"/>
        <rFont val="Arial"/>
        <family val="2"/>
      </rPr>
      <t xml:space="preserve"> al teléfono:                                                                         </t>
    </r>
    <r>
      <rPr>
        <b/>
        <sz val="10"/>
        <rFont val="Arial"/>
        <family val="2"/>
      </rPr>
      <t>(54 11) 5167-6767</t>
    </r>
    <r>
      <rPr>
        <sz val="10"/>
        <rFont val="Arial"/>
        <family val="2"/>
      </rPr>
      <t xml:space="preserve"> internos (</t>
    </r>
    <r>
      <rPr>
        <b/>
        <sz val="10"/>
        <rFont val="Arial"/>
        <family val="2"/>
      </rPr>
      <t>RTI</t>
    </r>
    <r>
      <rPr>
        <sz val="10"/>
        <rFont val="Arial"/>
        <family val="2"/>
      </rPr>
      <t>):</t>
    </r>
    <r>
      <rPr>
        <b/>
        <sz val="10"/>
        <rFont val="Arial"/>
        <family val="2"/>
      </rPr>
      <t xml:space="preserve"> 18273, 18259 y 18223</t>
    </r>
    <r>
      <rPr>
        <sz val="10"/>
        <rFont val="Arial"/>
        <family val="2"/>
      </rPr>
      <t xml:space="preserve"> o al e-mail: </t>
    </r>
    <r>
      <rPr>
        <b/>
        <sz val="10"/>
        <rFont val="Arial"/>
        <family val="2"/>
      </rPr>
      <t xml:space="preserve">clima@smn.gov.ar </t>
    </r>
  </si>
  <si>
    <r>
      <t>3º)</t>
    </r>
    <r>
      <rPr>
        <sz val="10"/>
        <rFont val="Arial"/>
        <family val="2"/>
      </rPr>
      <t xml:space="preserve"> Con respecto a la precipitación, si la estación posee tabla de quintiles, debe proceder de la siguiente forma:
 La tabla de quintiles tiene indicados, en su parte superior, los quintiles del 1 al 5 donde cada columna está separada a su vez en rangos, indicándose para cada quintil el límite inferior (LI) y el límite superior (LS). Cuando termina el mes, el Observador debe buscar la columna (según el rango) y la fila (según el mes) de la tabla que le corresponde para el total mensual de precipitación calculado en la celda </t>
    </r>
    <r>
      <rPr>
        <b/>
        <sz val="10"/>
        <color indexed="10"/>
        <rFont val="Arial"/>
        <family val="2"/>
      </rPr>
      <t>X43</t>
    </r>
    <r>
      <rPr>
        <sz val="10"/>
        <rFont val="Arial"/>
        <family val="2"/>
      </rPr>
      <t>. En el caso que el valor sea más pequeño que el límite inferior del quintil 1, se anotará quintil 0 (cero); en el caso que el valor sea más grande que el límite superior del quintil 5, se anotará quintil 6 (seis).</t>
    </r>
    <r>
      <rPr>
        <sz val="10"/>
        <color indexed="10"/>
        <rFont val="Arial"/>
        <family val="2"/>
      </rPr>
      <t xml:space="preserve"> Este valor obtenido de la tabla se anotará en la celda </t>
    </r>
    <r>
      <rPr>
        <b/>
        <sz val="10"/>
        <color indexed="10"/>
        <rFont val="Arial"/>
        <family val="2"/>
      </rPr>
      <t>Y44.</t>
    </r>
  </si>
  <si>
    <t>Comentarios para completar la planilla, y codificar y transmitir el mensaje CLIMAT</t>
  </si>
  <si>
    <t>Cálculos p/1º y última helada</t>
  </si>
  <si>
    <t>1º HELADA</t>
  </si>
  <si>
    <t>ULTIMA HELADA</t>
  </si>
  <si>
    <r>
      <t>5º)</t>
    </r>
    <r>
      <rPr>
        <sz val="10"/>
        <rFont val="Arial"/>
        <family val="2"/>
      </rPr>
      <t xml:space="preserve"> A partir de la celda </t>
    </r>
    <r>
      <rPr>
        <b/>
        <sz val="10"/>
        <color indexed="10"/>
        <rFont val="Arial"/>
        <family val="2"/>
      </rPr>
      <t>D54</t>
    </r>
    <r>
      <rPr>
        <sz val="10"/>
        <rFont val="Arial"/>
        <family val="2"/>
      </rPr>
      <t>, se encuentran los valores de referencia que se utilizan para detectar datos erróneos que pueden ser ingresados en la planilla. Estos datos pueden ajustarse con valores acordes a la estación meteorológica.</t>
    </r>
  </si>
  <si>
    <r>
      <t>1º)</t>
    </r>
    <r>
      <rPr>
        <sz val="10"/>
        <rFont val="Arial"/>
        <family val="2"/>
      </rPr>
      <t xml:space="preserve"> Esta sección se completan automáticamente las frecuencias de días con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temperatura máxima diaria</t>
    </r>
    <r>
      <rPr>
        <sz val="10"/>
        <color indexed="10"/>
        <rFont val="Arial"/>
        <family val="2"/>
      </rPr>
      <t>,</t>
    </r>
    <r>
      <rPr>
        <b/>
        <sz val="10"/>
        <color indexed="10"/>
        <rFont val="Arial"/>
        <family val="2"/>
      </rPr>
      <t xml:space="preserve"> temperatura mínima diaria</t>
    </r>
    <r>
      <rPr>
        <sz val="10"/>
        <color indexed="10"/>
        <rFont val="Arial"/>
        <family val="2"/>
      </rPr>
      <t xml:space="preserve"> y </t>
    </r>
    <r>
      <rPr>
        <b/>
        <sz val="10"/>
        <color indexed="10"/>
        <rFont val="Arial"/>
        <family val="2"/>
      </rPr>
      <t>precipitaciones diarias</t>
    </r>
    <r>
      <rPr>
        <sz val="10"/>
        <rFont val="Arial"/>
        <family val="2"/>
      </rPr>
      <t xml:space="preserve"> a partir de los datos ingresados en la </t>
    </r>
    <r>
      <rPr>
        <b/>
        <sz val="10"/>
        <color indexed="10"/>
        <rFont val="Arial"/>
        <family val="2"/>
      </rPr>
      <t>SECC1</t>
    </r>
    <r>
      <rPr>
        <sz val="10"/>
        <rFont val="Arial"/>
        <family val="2"/>
      </rPr>
      <t>.</t>
    </r>
  </si>
  <si>
    <r>
      <t>2º)</t>
    </r>
    <r>
      <rPr>
        <sz val="10"/>
        <rFont val="Arial"/>
        <family val="2"/>
      </rPr>
      <t xml:space="preserve"> Las frecuencias de días con </t>
    </r>
    <r>
      <rPr>
        <b/>
        <sz val="10"/>
        <color indexed="10"/>
        <rFont val="Arial"/>
        <family val="2"/>
      </rPr>
      <t>Espesor de nieve</t>
    </r>
    <r>
      <rPr>
        <sz val="10"/>
        <rFont val="Arial"/>
        <family val="2"/>
      </rPr>
      <t xml:space="preserve"> y </t>
    </r>
    <r>
      <rPr>
        <b/>
        <sz val="10"/>
        <color indexed="10"/>
        <rFont val="Arial"/>
        <family val="2"/>
      </rPr>
      <t>Visibilidad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se completan automáticamente a partir de los datos completados en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Hoja Extremos</t>
    </r>
    <r>
      <rPr>
        <sz val="10"/>
        <rFont val="Arial"/>
        <family val="2"/>
      </rPr>
      <t xml:space="preserve"> (ver comentarios sobre la </t>
    </r>
    <r>
      <rPr>
        <b/>
        <sz val="10"/>
        <color indexed="10"/>
        <rFont val="Arial"/>
        <family val="2"/>
      </rPr>
      <t>Hoja Extremos</t>
    </r>
    <r>
      <rPr>
        <sz val="10"/>
        <rFont val="Arial"/>
        <family val="2"/>
      </rPr>
      <t>)</t>
    </r>
  </si>
  <si>
    <r>
      <t xml:space="preserve">1º) </t>
    </r>
    <r>
      <rPr>
        <sz val="10"/>
        <rFont val="Arial"/>
        <family val="2"/>
      </rPr>
      <t>Aquí se completan automáticamente los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grupos 0, 1, 2, 3 y 4</t>
    </r>
    <r>
      <rPr>
        <sz val="10"/>
        <color indexed="10"/>
        <rFont val="Arial"/>
        <family val="2"/>
      </rPr>
      <t xml:space="preserve">. </t>
    </r>
  </si>
  <si>
    <r>
      <t xml:space="preserve">2º) </t>
    </r>
    <r>
      <rPr>
        <sz val="10"/>
        <rFont val="Arial"/>
        <family val="2"/>
      </rPr>
      <t xml:space="preserve">Para el </t>
    </r>
    <r>
      <rPr>
        <b/>
        <sz val="10"/>
        <color indexed="10"/>
        <rFont val="Arial"/>
        <family val="2"/>
      </rPr>
      <t>grupo 5</t>
    </r>
    <r>
      <rPr>
        <sz val="10"/>
        <rFont val="Arial"/>
        <family val="2"/>
      </rPr>
      <t>, solo se debe ingresar el código del instrumental de medición de la velocidad del viento en la celda</t>
    </r>
    <r>
      <rPr>
        <b/>
        <sz val="10"/>
        <color indexed="10"/>
        <rFont val="Arial"/>
        <family val="2"/>
      </rPr>
      <t xml:space="preserve"> B35</t>
    </r>
    <r>
      <rPr>
        <sz val="10"/>
        <rFont val="Arial"/>
        <family val="2"/>
      </rPr>
      <t xml:space="preserve">. Código instrumental viento:
</t>
    </r>
    <r>
      <rPr>
        <b/>
        <sz val="10"/>
        <color indexed="10"/>
        <rFont val="Arial"/>
        <family val="2"/>
      </rPr>
      <t>0</t>
    </r>
    <r>
      <rPr>
        <sz val="10"/>
        <rFont val="Arial"/>
        <family val="2"/>
      </rPr>
      <t xml:space="preserve">: Velocidad del viento estimada, en m/s.
</t>
    </r>
    <r>
      <rPr>
        <b/>
        <sz val="10"/>
        <color indexed="10"/>
        <rFont val="Arial"/>
        <family val="2"/>
      </rPr>
      <t>1</t>
    </r>
    <r>
      <rPr>
        <sz val="10"/>
        <rFont val="Arial"/>
        <family val="2"/>
      </rPr>
      <t xml:space="preserve">: Velocidad del viento obtenida con un anemómetro, en m/s.
</t>
    </r>
    <r>
      <rPr>
        <b/>
        <sz val="10"/>
        <color indexed="10"/>
        <rFont val="Arial"/>
        <family val="2"/>
      </rPr>
      <t>3</t>
    </r>
    <r>
      <rPr>
        <sz val="10"/>
        <rFont val="Arial"/>
        <family val="2"/>
      </rPr>
      <t xml:space="preserve">: Velocidad del viento estimada, en nudos.
</t>
    </r>
    <r>
      <rPr>
        <b/>
        <sz val="10"/>
        <color indexed="10"/>
        <rFont val="Arial"/>
        <family val="2"/>
      </rPr>
      <t>4</t>
    </r>
    <r>
      <rPr>
        <sz val="10"/>
        <rFont val="Arial"/>
        <family val="2"/>
      </rPr>
      <t>: Velocidad del viento obtenida con un anemómetro, en nudos.</t>
    </r>
  </si>
  <si>
    <r>
      <t xml:space="preserve">4º) </t>
    </r>
    <r>
      <rPr>
        <sz val="10"/>
        <rFont val="Arial"/>
        <family val="2"/>
      </rPr>
      <t xml:space="preserve">Para el </t>
    </r>
    <r>
      <rPr>
        <b/>
        <sz val="10"/>
        <color indexed="10"/>
        <rFont val="Arial"/>
        <family val="2"/>
      </rPr>
      <t xml:space="preserve">Espesor de nieve </t>
    </r>
    <r>
      <rPr>
        <sz val="10"/>
        <rFont val="Arial"/>
        <family val="2"/>
      </rPr>
      <t>(columna AA) debe ingresarse el espesor de la nieve en centímetros.</t>
    </r>
  </si>
  <si>
    <r>
      <t>4º)</t>
    </r>
    <r>
      <rPr>
        <sz val="10"/>
        <rFont val="Arial"/>
        <family val="2"/>
      </rPr>
      <t xml:space="preserve"> Para transmitir el mensaje debe tomarselo a partir de la </t>
    </r>
    <r>
      <rPr>
        <b/>
        <sz val="10"/>
        <color indexed="10"/>
        <rFont val="Arial"/>
        <family val="2"/>
      </rPr>
      <t>filas 34 a 37</t>
    </r>
    <r>
      <rPr>
        <sz val="10"/>
        <rFont val="Arial"/>
        <family val="2"/>
      </rPr>
      <t>.</t>
    </r>
  </si>
  <si>
    <r>
      <t>1º)</t>
    </r>
    <r>
      <rPr>
        <sz val="10"/>
        <rFont val="Arial"/>
        <family val="2"/>
      </rPr>
      <t xml:space="preserve"> Esta hoja contiene las fórmulas que permiten que se confeccione el mensaje climat por lo tanto </t>
    </r>
    <r>
      <rPr>
        <b/>
        <sz val="10"/>
        <color indexed="10"/>
        <rFont val="Arial"/>
        <family val="2"/>
      </rPr>
      <t>no debe eliminarse.</t>
    </r>
  </si>
  <si>
    <r>
      <t>3º)</t>
    </r>
    <r>
      <rPr>
        <sz val="10"/>
        <rFont val="Arial"/>
        <family val="2"/>
      </rPr>
      <t xml:space="preserve"> En el caso de la frecuencia de días en el mes con </t>
    </r>
    <r>
      <rPr>
        <b/>
        <sz val="10"/>
        <color indexed="10"/>
        <rFont val="Arial"/>
        <family val="2"/>
      </rPr>
      <t>"VELOCIDAD DEL VIENTO"</t>
    </r>
    <r>
      <rPr>
        <sz val="10"/>
        <rFont val="Arial"/>
        <family val="2"/>
      </rPr>
      <t xml:space="preserve">: estas frecuencias deben </t>
    </r>
    <r>
      <rPr>
        <b/>
        <sz val="10"/>
        <color indexed="10"/>
        <rFont val="Arial"/>
        <family val="2"/>
      </rPr>
      <t>completarse manualmente</t>
    </r>
    <r>
      <rPr>
        <sz val="10"/>
        <rFont val="Arial"/>
        <family val="2"/>
      </rPr>
      <t xml:space="preserve">. Se debe conciderar el </t>
    </r>
    <r>
      <rPr>
        <b/>
        <sz val="10"/>
        <color indexed="10"/>
        <rFont val="Arial"/>
        <family val="2"/>
      </rPr>
      <t>máximo valor correspondiente a mediciones horarias de la velocidad del viento (columna 22 de la Libreta Meteorológica)</t>
    </r>
    <r>
      <rPr>
        <sz val="10"/>
        <rFont val="Arial"/>
        <family val="2"/>
      </rPr>
      <t>. Ingrese un</t>
    </r>
    <r>
      <rPr>
        <b/>
        <sz val="10"/>
        <color indexed="10"/>
        <rFont val="Arial"/>
        <family val="2"/>
      </rPr>
      <t xml:space="preserve"> 1 </t>
    </r>
    <r>
      <rPr>
        <sz val="10"/>
        <rFont val="Arial"/>
        <family val="2"/>
      </rPr>
      <t xml:space="preserve">en el casillero correspondiente por cada caso registrado. Recuerde que para todas las frecuencias de días, cada categoría incluye a las categorías menores. </t>
    </r>
    <r>
      <rPr>
        <b/>
        <sz val="10"/>
        <rFont val="Arial"/>
        <family val="2"/>
      </rPr>
      <t>Por ejemplo:</t>
    </r>
    <r>
      <rPr>
        <sz val="10"/>
        <rFont val="Arial"/>
        <family val="2"/>
      </rPr>
      <t xml:space="preserve"> si un día se registra que la velocidad del viento en una observación horaria superó los 60  kt, se ingresarán unos (1) en los casilleros de &gt;=20kt, &gt;=40 kt y &gt;=60. Así también ocurre con los demás parámetros de esta sección.</t>
    </r>
  </si>
  <si>
    <r>
      <t xml:space="preserve">1º) El </t>
    </r>
    <r>
      <rPr>
        <b/>
        <sz val="10"/>
        <color indexed="10"/>
        <rFont val="Arial"/>
        <family val="2"/>
      </rPr>
      <t>mensaje CLIMAT</t>
    </r>
    <r>
      <rPr>
        <sz val="10"/>
        <rFont val="Arial"/>
        <family val="2"/>
      </rPr>
      <t xml:space="preserve"> (tomarlo de la </t>
    </r>
    <r>
      <rPr>
        <b/>
        <sz val="10"/>
        <color indexed="10"/>
        <rFont val="Arial"/>
        <family val="2"/>
      </rPr>
      <t>Hoja Mensaje</t>
    </r>
    <r>
      <rPr>
        <sz val="10"/>
        <rFont val="Arial"/>
        <family val="2"/>
      </rPr>
      <t xml:space="preserve"> en las </t>
    </r>
    <r>
      <rPr>
        <b/>
        <sz val="10"/>
        <color indexed="10"/>
        <rFont val="Arial"/>
        <family val="2"/>
      </rPr>
      <t>filas 34 a 37</t>
    </r>
    <r>
      <rPr>
        <sz val="10"/>
        <rFont val="Arial"/>
        <family val="2"/>
      </rPr>
      <t xml:space="preserve">) debe transmitirse a la dirección </t>
    </r>
    <r>
      <rPr>
        <b/>
        <sz val="10"/>
        <color indexed="10"/>
        <rFont val="Arial"/>
        <family val="2"/>
      </rPr>
      <t>AFTN: SABM YTYX</t>
    </r>
    <r>
      <rPr>
        <sz val="10"/>
        <rFont val="Arial"/>
        <family val="2"/>
      </rPr>
      <t xml:space="preserve">. Si esto no fuese posible, puede enviarse a </t>
    </r>
    <r>
      <rPr>
        <b/>
        <sz val="10"/>
        <color indexed="10"/>
        <rFont val="Arial"/>
        <family val="2"/>
      </rPr>
      <t>crtba@smn.gov.ar</t>
    </r>
    <r>
      <rPr>
        <sz val="10"/>
        <rFont val="Arial"/>
        <family val="2"/>
      </rPr>
      <t xml:space="preserve">. Además de estas dos opciones, si fuese posible, debe enviarse por e-mail a </t>
    </r>
    <r>
      <rPr>
        <b/>
        <sz val="10"/>
        <color indexed="10"/>
        <rFont val="Arial"/>
        <family val="2"/>
      </rPr>
      <t xml:space="preserve">clima@smn.gov.ar </t>
    </r>
    <r>
      <rPr>
        <sz val="10"/>
        <rFont val="Arial"/>
        <family val="2"/>
      </rPr>
      <t xml:space="preserve">con copia a </t>
    </r>
    <r>
      <rPr>
        <b/>
        <sz val="10"/>
        <color indexed="10"/>
        <rFont val="Arial"/>
        <family val="2"/>
      </rPr>
      <t>bdatos@smn.gov.ar</t>
    </r>
    <r>
      <rPr>
        <sz val="10"/>
        <rFont val="Arial"/>
        <family val="2"/>
      </rPr>
      <t xml:space="preserve"> en forma de texto en el correo electrónico y </t>
    </r>
    <r>
      <rPr>
        <b/>
        <sz val="10"/>
        <color indexed="10"/>
        <rFont val="Arial"/>
        <family val="2"/>
      </rPr>
      <t>adjuntar esta planilla CLIMAT al correo electrónico.</t>
    </r>
  </si>
  <si>
    <r>
      <t xml:space="preserve">3º) </t>
    </r>
    <r>
      <rPr>
        <sz val="10"/>
        <rFont val="Arial"/>
        <family val="2"/>
      </rPr>
      <t xml:space="preserve">En cuanto a la </t>
    </r>
    <r>
      <rPr>
        <b/>
        <sz val="10"/>
        <color indexed="10"/>
        <rFont val="Arial"/>
        <family val="2"/>
      </rPr>
      <t>Visibilidad</t>
    </r>
    <r>
      <rPr>
        <sz val="10"/>
        <rFont val="Arial"/>
        <family val="2"/>
      </rPr>
      <t xml:space="preserve"> (columnas X, Y y Z), ingrese un </t>
    </r>
    <r>
      <rPr>
        <b/>
        <sz val="10"/>
        <color indexed="10"/>
        <rFont val="Arial"/>
        <family val="2"/>
      </rPr>
      <t>1</t>
    </r>
    <r>
      <rPr>
        <sz val="10"/>
        <rFont val="Arial"/>
        <family val="2"/>
      </rPr>
      <t xml:space="preserve"> en el casillero y columna correspondiente por cada caso registrado, en las columnas estan indicados los códigos de visibilidad del SYNOP que corresponden a cada caso:
</t>
    </r>
    <r>
      <rPr>
        <b/>
        <sz val="10"/>
        <color indexed="10"/>
        <rFont val="Arial"/>
        <family val="2"/>
      </rPr>
      <t>90</t>
    </r>
    <r>
      <rPr>
        <sz val="10"/>
        <rFont val="Arial"/>
        <family val="2"/>
      </rPr>
      <t xml:space="preserve">: Visibilidad inferior a 50 metros,
</t>
    </r>
    <r>
      <rPr>
        <b/>
        <sz val="10"/>
        <color indexed="10"/>
        <rFont val="Arial"/>
        <family val="2"/>
      </rPr>
      <t>91</t>
    </r>
    <r>
      <rPr>
        <sz val="10"/>
        <rFont val="Arial"/>
        <family val="2"/>
      </rPr>
      <t xml:space="preserve">: Visibilidad igual a 50 metros,
</t>
    </r>
    <r>
      <rPr>
        <b/>
        <sz val="10"/>
        <color indexed="10"/>
        <rFont val="Arial"/>
        <family val="2"/>
      </rPr>
      <t>00</t>
    </r>
    <r>
      <rPr>
        <sz val="10"/>
        <rFont val="Arial"/>
        <family val="2"/>
      </rPr>
      <t xml:space="preserve">: Visibilidad inferior a 100 metros,
</t>
    </r>
    <r>
      <rPr>
        <b/>
        <sz val="10"/>
        <color indexed="10"/>
        <rFont val="Arial"/>
        <family val="2"/>
      </rPr>
      <t>01</t>
    </r>
    <r>
      <rPr>
        <sz val="10"/>
        <rFont val="Arial"/>
        <family val="2"/>
      </rPr>
      <t>-</t>
    </r>
    <r>
      <rPr>
        <b/>
        <sz val="10"/>
        <color indexed="10"/>
        <rFont val="Arial"/>
        <family val="2"/>
      </rPr>
      <t>09</t>
    </r>
    <r>
      <rPr>
        <sz val="10"/>
        <rFont val="Arial"/>
        <family val="2"/>
      </rPr>
      <t xml:space="preserve">: Visibilidad inferior a 1000 metros, donde </t>
    </r>
    <r>
      <rPr>
        <b/>
        <sz val="10"/>
        <color indexed="10"/>
        <rFont val="Arial"/>
        <family val="2"/>
      </rPr>
      <t>01</t>
    </r>
    <r>
      <rPr>
        <sz val="10"/>
        <rFont val="Arial"/>
        <family val="2"/>
      </rPr>
      <t xml:space="preserve"> indica visibilidad igual a 100 metros, </t>
    </r>
    <r>
      <rPr>
        <b/>
        <sz val="10"/>
        <color indexed="10"/>
        <rFont val="Arial"/>
        <family val="2"/>
      </rPr>
      <t xml:space="preserve">02 </t>
    </r>
    <r>
      <rPr>
        <sz val="10"/>
        <rFont val="Arial"/>
        <family val="2"/>
      </rPr>
      <t xml:space="preserve">igual a 200 metros, </t>
    </r>
    <r>
      <rPr>
        <b/>
        <sz val="10"/>
        <color indexed="10"/>
        <rFont val="Arial"/>
        <family val="2"/>
      </rPr>
      <t>03</t>
    </r>
    <r>
      <rPr>
        <sz val="10"/>
        <rFont val="Arial"/>
        <family val="2"/>
      </rPr>
      <t xml:space="preserve"> igual a 300 metros, </t>
    </r>
    <r>
      <rPr>
        <b/>
        <sz val="10"/>
        <color indexed="10"/>
        <rFont val="Arial"/>
        <family val="2"/>
      </rPr>
      <t xml:space="preserve">04 </t>
    </r>
    <r>
      <rPr>
        <sz val="10"/>
        <rFont val="Arial"/>
        <family val="2"/>
      </rPr>
      <t xml:space="preserve">igual a 400 metros, </t>
    </r>
    <r>
      <rPr>
        <b/>
        <sz val="10"/>
        <color indexed="10"/>
        <rFont val="Arial"/>
        <family val="2"/>
      </rPr>
      <t xml:space="preserve">05 </t>
    </r>
    <r>
      <rPr>
        <sz val="10"/>
        <rFont val="Arial"/>
        <family val="2"/>
      </rPr>
      <t xml:space="preserve">igual a 500 metros, </t>
    </r>
    <r>
      <rPr>
        <b/>
        <sz val="10"/>
        <color indexed="10"/>
        <rFont val="Arial"/>
        <family val="2"/>
      </rPr>
      <t xml:space="preserve">06 </t>
    </r>
    <r>
      <rPr>
        <sz val="10"/>
        <rFont val="Arial"/>
        <family val="2"/>
      </rPr>
      <t xml:space="preserve">igual a 600 metros, </t>
    </r>
    <r>
      <rPr>
        <b/>
        <sz val="10"/>
        <color indexed="10"/>
        <rFont val="Arial"/>
        <family val="2"/>
      </rPr>
      <t xml:space="preserve">07 </t>
    </r>
    <r>
      <rPr>
        <sz val="10"/>
        <rFont val="Arial"/>
        <family val="2"/>
      </rPr>
      <t xml:space="preserve">igual a 700 metros, </t>
    </r>
    <r>
      <rPr>
        <b/>
        <sz val="10"/>
        <color indexed="10"/>
        <rFont val="Arial"/>
        <family val="2"/>
      </rPr>
      <t xml:space="preserve">08 </t>
    </r>
    <r>
      <rPr>
        <sz val="10"/>
        <rFont val="Arial"/>
        <family val="2"/>
      </rPr>
      <t xml:space="preserve">igual a 800 metros, </t>
    </r>
    <r>
      <rPr>
        <b/>
        <sz val="10"/>
        <color indexed="10"/>
        <rFont val="Arial"/>
        <family val="2"/>
      </rPr>
      <t>09</t>
    </r>
    <r>
      <rPr>
        <sz val="10"/>
        <rFont val="Arial"/>
        <family val="2"/>
      </rPr>
      <t xml:space="preserve"> igual a 900 metros. 
</t>
    </r>
    <r>
      <rPr>
        <b/>
        <sz val="10"/>
        <color indexed="10"/>
        <rFont val="Arial"/>
        <family val="2"/>
      </rPr>
      <t>92</t>
    </r>
    <r>
      <rPr>
        <sz val="10"/>
        <rFont val="Arial"/>
        <family val="2"/>
      </rPr>
      <t xml:space="preserve">: Visibilidad igual a 200 metros,
</t>
    </r>
    <r>
      <rPr>
        <b/>
        <sz val="10"/>
        <color indexed="10"/>
        <rFont val="Arial"/>
        <family val="2"/>
      </rPr>
      <t>93</t>
    </r>
    <r>
      <rPr>
        <sz val="10"/>
        <rFont val="Arial"/>
        <family val="2"/>
      </rPr>
      <t>: Visibilidad igual a 500 metros.</t>
    </r>
  </si>
  <si>
    <t>&lt;50 metros (código de visibilidad del synop: 90)</t>
  </si>
  <si>
    <t>&lt;100 metros (código visibilidad synop:  91 ó 00)</t>
  </si>
  <si>
    <t>&lt;1000 metros    (cód. visibilidad synop: 01 al 09 ó 92 ó 93)</t>
  </si>
  <si>
    <t>Esta hoja contiene las fórmulas que permiten que se confeccione el mensaje climat por lo tanto no debe eliminarse ni debe completarse manualmente.</t>
  </si>
  <si>
    <r>
      <t>6º)</t>
    </r>
    <r>
      <rPr>
        <sz val="10"/>
        <rFont val="Arial"/>
        <family val="2"/>
      </rPr>
      <t xml:space="preserve"> Cuando no se realizó la observación, o no se dispone del dato, la celda correpondiente debe dejarse en </t>
    </r>
    <r>
      <rPr>
        <b/>
        <sz val="10"/>
        <rFont val="Arial"/>
        <family val="2"/>
      </rPr>
      <t>blanco.</t>
    </r>
    <r>
      <rPr>
        <sz val="10"/>
        <rFont val="Arial"/>
        <family val="2"/>
      </rPr>
      <t xml:space="preserve"> No debe ingresarse ningun código de dato faltante, solo debe dejarse la </t>
    </r>
    <r>
      <rPr>
        <b/>
        <sz val="10"/>
        <rFont val="Arial"/>
        <family val="2"/>
      </rPr>
      <t>celda vacia</t>
    </r>
    <r>
      <rPr>
        <sz val="10"/>
        <rFont val="Arial"/>
        <family val="2"/>
      </rPr>
      <t>.</t>
    </r>
  </si>
  <si>
    <r>
      <t>Antes de comenzar a completar la planilla, debe guardarse como:</t>
    </r>
    <r>
      <rPr>
        <b/>
        <i/>
        <sz val="12"/>
        <color indexed="10"/>
        <rFont val="Arial"/>
        <family val="2"/>
      </rPr>
      <t xml:space="preserve">          Planilla_Climat-número de estación-mes-año.xls</t>
    </r>
    <r>
      <rPr>
        <b/>
        <sz val="12"/>
        <color indexed="10"/>
        <rFont val="Arial"/>
        <family val="2"/>
      </rPr>
      <t>, reemplazando el número de estación, mes y año por los correspondientes. Además se debe antener el formato en "XLS".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</si>
</sst>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\ _P_t_s_-;\-* #,##0\ _P_t_s_-;_-* &quot;-&quot;\ _P_t_s_-;_-@_-"/>
    <numFmt numFmtId="165" formatCode="0.0"/>
    <numFmt numFmtId="166" formatCode="0##"/>
    <numFmt numFmtId="167" formatCode="0#"/>
    <numFmt numFmtId="168" formatCode="0000"/>
    <numFmt numFmtId="169" formatCode="00"/>
    <numFmt numFmtId="170" formatCode="000"/>
    <numFmt numFmtId="171" formatCode="00.0"/>
    <numFmt numFmtId="172" formatCode="00000\ 00000"/>
  </numFmts>
  <fonts count="61" x14ac:knownFonts="1">
    <font>
      <sz val="8"/>
      <name val="Arial"/>
    </font>
    <font>
      <sz val="8"/>
      <name val="Arial"/>
    </font>
    <font>
      <sz val="10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sz val="8"/>
      <color indexed="10"/>
      <name val="Tahoma"/>
      <family val="2"/>
    </font>
    <font>
      <b/>
      <sz val="10"/>
      <color indexed="81"/>
      <name val="Tahoma"/>
      <family val="2"/>
    </font>
    <font>
      <b/>
      <i/>
      <sz val="8"/>
      <name val="Arial"/>
      <family val="2"/>
    </font>
    <font>
      <b/>
      <u/>
      <sz val="8"/>
      <color indexed="10"/>
      <name val="Tahoma"/>
      <family val="2"/>
    </font>
    <font>
      <b/>
      <u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b/>
      <i/>
      <sz val="8"/>
      <name val="Arial"/>
      <family val="2"/>
    </font>
    <font>
      <b/>
      <sz val="10"/>
      <color indexed="10"/>
      <name val="Tahoma"/>
      <family val="2"/>
    </font>
    <font>
      <b/>
      <u/>
      <sz val="10"/>
      <color indexed="10"/>
      <name val="Tahoma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8"/>
      <color indexed="9"/>
      <name val="Arial"/>
      <family val="2"/>
    </font>
    <font>
      <sz val="14"/>
      <color indexed="9"/>
      <name val="Arial"/>
      <family val="2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b/>
      <sz val="12"/>
      <color indexed="81"/>
      <name val="Tahoma"/>
      <family val="2"/>
    </font>
    <font>
      <b/>
      <sz val="12"/>
      <color indexed="10"/>
      <name val="Arial"/>
      <family val="2"/>
    </font>
    <font>
      <b/>
      <i/>
      <sz val="12"/>
      <color indexed="10"/>
      <name val="Arial"/>
      <family val="2"/>
    </font>
    <font>
      <b/>
      <sz val="10"/>
      <color indexed="10"/>
      <name val="Arial"/>
      <family val="2"/>
    </font>
    <font>
      <sz val="20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3"/>
      <color indexed="9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798">
    <xf numFmtId="0" fontId="0" fillId="0" borderId="0" xfId="0"/>
    <xf numFmtId="0" fontId="3" fillId="0" borderId="0" xfId="0" applyFont="1"/>
    <xf numFmtId="0" fontId="5" fillId="0" borderId="1" xfId="0" applyFont="1" applyBorder="1"/>
    <xf numFmtId="165" fontId="0" fillId="0" borderId="0" xfId="0" applyNumberFormat="1"/>
    <xf numFmtId="0" fontId="1" fillId="0" borderId="0" xfId="2" applyFont="1" applyProtection="1"/>
    <xf numFmtId="0" fontId="8" fillId="0" borderId="0" xfId="2" applyFont="1" applyProtection="1"/>
    <xf numFmtId="0" fontId="8" fillId="0" borderId="2" xfId="2" applyFont="1" applyBorder="1" applyProtection="1"/>
    <xf numFmtId="0" fontId="8" fillId="0" borderId="3" xfId="2" applyFont="1" applyBorder="1" applyProtection="1"/>
    <xf numFmtId="0" fontId="8" fillId="0" borderId="3" xfId="2" quotePrefix="1" applyFont="1" applyBorder="1" applyAlignment="1" applyProtection="1">
      <alignment horizontal="left"/>
    </xf>
    <xf numFmtId="0" fontId="8" fillId="0" borderId="3" xfId="2" applyFont="1" applyBorder="1" applyAlignment="1" applyProtection="1">
      <alignment horizontal="left"/>
    </xf>
    <xf numFmtId="0" fontId="8" fillId="0" borderId="4" xfId="2" applyFont="1" applyBorder="1" applyProtection="1"/>
    <xf numFmtId="0" fontId="8" fillId="0" borderId="0" xfId="0" applyFont="1"/>
    <xf numFmtId="0" fontId="7" fillId="0" borderId="5" xfId="2" applyFont="1" applyBorder="1" applyAlignment="1" applyProtection="1">
      <alignment horizontal="center"/>
    </xf>
    <xf numFmtId="0" fontId="7" fillId="0" borderId="6" xfId="2" applyFont="1" applyBorder="1" applyAlignment="1" applyProtection="1">
      <alignment horizontal="center"/>
    </xf>
    <xf numFmtId="0" fontId="7" fillId="0" borderId="7" xfId="2" applyFont="1" applyBorder="1" applyAlignment="1" applyProtection="1">
      <alignment horizontal="center"/>
    </xf>
    <xf numFmtId="0" fontId="7" fillId="0" borderId="8" xfId="2" applyFont="1" applyBorder="1" applyAlignment="1" applyProtection="1">
      <alignment horizontal="center"/>
    </xf>
    <xf numFmtId="0" fontId="7" fillId="0" borderId="9" xfId="2" applyFont="1" applyBorder="1" applyAlignment="1" applyProtection="1">
      <alignment horizontal="center"/>
    </xf>
    <xf numFmtId="0" fontId="7" fillId="0" borderId="2" xfId="2" applyFont="1" applyBorder="1" applyAlignment="1" applyProtection="1">
      <alignment horizontal="center"/>
    </xf>
    <xf numFmtId="0" fontId="7" fillId="0" borderId="10" xfId="2" applyFont="1" applyBorder="1" applyAlignment="1" applyProtection="1">
      <alignment horizontal="center"/>
    </xf>
    <xf numFmtId="0" fontId="5" fillId="0" borderId="11" xfId="0" applyFont="1" applyBorder="1"/>
    <xf numFmtId="0" fontId="3" fillId="0" borderId="1" xfId="0" applyFont="1" applyBorder="1"/>
    <xf numFmtId="165" fontId="0" fillId="0" borderId="1" xfId="0" applyNumberFormat="1" applyBorder="1"/>
    <xf numFmtId="0" fontId="0" fillId="0" borderId="12" xfId="0" applyBorder="1"/>
    <xf numFmtId="0" fontId="0" fillId="0" borderId="1" xfId="0" applyBorder="1"/>
    <xf numFmtId="169" fontId="0" fillId="0" borderId="1" xfId="0" applyNumberFormat="1" applyBorder="1"/>
    <xf numFmtId="169" fontId="0" fillId="0" borderId="0" xfId="0" applyNumberFormat="1"/>
    <xf numFmtId="165" fontId="0" fillId="0" borderId="13" xfId="0" applyNumberFormat="1" applyBorder="1"/>
    <xf numFmtId="0" fontId="3" fillId="0" borderId="10" xfId="0" applyFont="1" applyBorder="1"/>
    <xf numFmtId="165" fontId="0" fillId="0" borderId="14" xfId="0" applyNumberFormat="1" applyBorder="1"/>
    <xf numFmtId="1" fontId="3" fillId="0" borderId="2" xfId="0" applyNumberFormat="1" applyFont="1" applyBorder="1"/>
    <xf numFmtId="1" fontId="3" fillId="0" borderId="3" xfId="0" applyNumberFormat="1" applyFont="1" applyBorder="1"/>
    <xf numFmtId="1" fontId="3" fillId="0" borderId="4" xfId="0" applyNumberFormat="1" applyFont="1" applyBorder="1"/>
    <xf numFmtId="1" fontId="3" fillId="0" borderId="10" xfId="0" applyNumberFormat="1" applyFont="1" applyBorder="1"/>
    <xf numFmtId="0" fontId="1" fillId="0" borderId="0" xfId="0" applyFont="1" applyProtection="1"/>
    <xf numFmtId="0" fontId="8" fillId="0" borderId="0" xfId="0" applyFont="1" applyProtection="1"/>
    <xf numFmtId="0" fontId="8" fillId="0" borderId="15" xfId="0" quotePrefix="1" applyFont="1" applyBorder="1" applyAlignment="1" applyProtection="1">
      <alignment horizontal="left"/>
    </xf>
    <xf numFmtId="0" fontId="8" fillId="0" borderId="15" xfId="0" applyFont="1" applyBorder="1" applyProtection="1"/>
    <xf numFmtId="0" fontId="8" fillId="0" borderId="16" xfId="0" applyFont="1" applyBorder="1" applyProtection="1"/>
    <xf numFmtId="0" fontId="8" fillId="0" borderId="17" xfId="0" applyFont="1" applyBorder="1" applyProtection="1"/>
    <xf numFmtId="0" fontId="8" fillId="0" borderId="18" xfId="0" applyFont="1" applyBorder="1" applyProtection="1"/>
    <xf numFmtId="0" fontId="8" fillId="0" borderId="19" xfId="0" applyFont="1" applyBorder="1" applyProtection="1"/>
    <xf numFmtId="0" fontId="8" fillId="0" borderId="20" xfId="0" applyFont="1" applyBorder="1" applyProtection="1"/>
    <xf numFmtId="0" fontId="11" fillId="0" borderId="0" xfId="0" applyFont="1" applyProtection="1"/>
    <xf numFmtId="0" fontId="9" fillId="0" borderId="21" xfId="0" applyFont="1" applyBorder="1" applyProtection="1"/>
    <xf numFmtId="0" fontId="9" fillId="0" borderId="22" xfId="0" applyFont="1" applyBorder="1" applyProtection="1"/>
    <xf numFmtId="0" fontId="11" fillId="0" borderId="0" xfId="0" applyFont="1" applyBorder="1" applyProtection="1"/>
    <xf numFmtId="0" fontId="11" fillId="0" borderId="0" xfId="0" applyFont="1"/>
    <xf numFmtId="0" fontId="7" fillId="0" borderId="6" xfId="0" applyFont="1" applyBorder="1" applyAlignment="1" applyProtection="1">
      <alignment horizontal="center"/>
    </xf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1" xfId="0" applyFont="1" applyBorder="1"/>
    <xf numFmtId="0" fontId="7" fillId="0" borderId="26" xfId="0" applyFont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3" fillId="0" borderId="8" xfId="0" applyFont="1" applyBorder="1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Border="1" applyProtection="1"/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right"/>
      <protection locked="0"/>
    </xf>
    <xf numFmtId="0" fontId="16" fillId="0" borderId="0" xfId="0" applyFont="1" applyAlignment="1" applyProtection="1">
      <alignment horizontal="right"/>
      <protection locked="0"/>
    </xf>
    <xf numFmtId="0" fontId="12" fillId="0" borderId="11" xfId="0" applyFont="1" applyBorder="1" applyAlignment="1" applyProtection="1">
      <alignment horizontal="center"/>
    </xf>
    <xf numFmtId="0" fontId="18" fillId="0" borderId="27" xfId="0" applyFont="1" applyBorder="1" applyAlignment="1" applyProtection="1">
      <alignment horizontal="right"/>
    </xf>
    <xf numFmtId="171" fontId="18" fillId="0" borderId="11" xfId="0" applyNumberFormat="1" applyFont="1" applyBorder="1" applyAlignment="1" applyProtection="1">
      <alignment horizontal="left"/>
    </xf>
    <xf numFmtId="169" fontId="18" fillId="0" borderId="1" xfId="0" applyNumberFormat="1" applyFont="1" applyBorder="1" applyAlignment="1" applyProtection="1">
      <alignment horizontal="center"/>
    </xf>
    <xf numFmtId="0" fontId="15" fillId="0" borderId="0" xfId="0" applyFont="1" applyProtection="1"/>
    <xf numFmtId="0" fontId="12" fillId="0" borderId="1" xfId="0" applyFont="1" applyBorder="1" applyAlignment="1" applyProtection="1">
      <alignment horizontal="center"/>
    </xf>
    <xf numFmtId="165" fontId="18" fillId="0" borderId="27" xfId="0" applyNumberFormat="1" applyFont="1" applyBorder="1" applyAlignment="1" applyProtection="1">
      <alignment horizontal="center"/>
    </xf>
    <xf numFmtId="165" fontId="18" fillId="0" borderId="11" xfId="0" applyNumberFormat="1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center"/>
    </xf>
    <xf numFmtId="0" fontId="16" fillId="0" borderId="27" xfId="0" applyFont="1" applyBorder="1" applyAlignment="1" applyProtection="1">
      <alignment horizontal="center"/>
    </xf>
    <xf numFmtId="0" fontId="18" fillId="0" borderId="27" xfId="0" applyFont="1" applyBorder="1" applyAlignment="1" applyProtection="1">
      <alignment horizontal="center"/>
    </xf>
    <xf numFmtId="0" fontId="12" fillId="0" borderId="11" xfId="0" applyFont="1" applyBorder="1" applyProtection="1"/>
    <xf numFmtId="0" fontId="18" fillId="0" borderId="1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/>
    </xf>
    <xf numFmtId="0" fontId="13" fillId="0" borderId="0" xfId="0" applyFont="1" applyProtection="1"/>
    <xf numFmtId="0" fontId="21" fillId="0" borderId="0" xfId="0" applyFont="1" applyProtection="1">
      <protection locked="0"/>
    </xf>
    <xf numFmtId="0" fontId="21" fillId="0" borderId="0" xfId="0" applyFont="1" applyProtection="1"/>
    <xf numFmtId="0" fontId="16" fillId="0" borderId="0" xfId="0" applyFont="1" applyAlignment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16" fillId="0" borderId="0" xfId="0" quotePrefix="1" applyFont="1" applyAlignment="1" applyProtection="1"/>
    <xf numFmtId="0" fontId="20" fillId="0" borderId="0" xfId="0" applyFont="1" applyProtection="1"/>
    <xf numFmtId="0" fontId="0" fillId="0" borderId="28" xfId="0" applyBorder="1" applyProtection="1"/>
    <xf numFmtId="0" fontId="8" fillId="0" borderId="1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6" fillId="0" borderId="0" xfId="0" applyFont="1" applyProtection="1"/>
    <xf numFmtId="0" fontId="3" fillId="0" borderId="0" xfId="0" applyFont="1" applyProtection="1"/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2" fillId="2" borderId="1" xfId="0" applyFont="1" applyFill="1" applyBorder="1" applyAlignment="1"/>
    <xf numFmtId="0" fontId="15" fillId="0" borderId="1" xfId="0" applyFont="1" applyBorder="1" applyAlignment="1" applyProtection="1">
      <protection locked="0"/>
    </xf>
    <xf numFmtId="0" fontId="1" fillId="0" borderId="0" xfId="0" applyFont="1"/>
    <xf numFmtId="0" fontId="3" fillId="0" borderId="31" xfId="0" applyFont="1" applyBorder="1"/>
    <xf numFmtId="0" fontId="9" fillId="0" borderId="32" xfId="0" applyFont="1" applyBorder="1" applyProtection="1"/>
    <xf numFmtId="0" fontId="9" fillId="0" borderId="33" xfId="0" applyFont="1" applyBorder="1" applyProtection="1"/>
    <xf numFmtId="0" fontId="1" fillId="0" borderId="16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1" fillId="0" borderId="1" xfId="0" applyFont="1" applyBorder="1"/>
    <xf numFmtId="0" fontId="1" fillId="0" borderId="38" xfId="0" applyFont="1" applyBorder="1"/>
    <xf numFmtId="0" fontId="1" fillId="0" borderId="25" xfId="0" applyFont="1" applyBorder="1"/>
    <xf numFmtId="0" fontId="1" fillId="0" borderId="29" xfId="0" applyFont="1" applyBorder="1"/>
    <xf numFmtId="0" fontId="1" fillId="0" borderId="39" xfId="0" applyFont="1" applyBorder="1"/>
    <xf numFmtId="0" fontId="1" fillId="0" borderId="14" xfId="0" applyFont="1" applyBorder="1"/>
    <xf numFmtId="0" fontId="1" fillId="0" borderId="40" xfId="0" applyFont="1" applyBorder="1"/>
    <xf numFmtId="0" fontId="26" fillId="0" borderId="0" xfId="0" applyFont="1"/>
    <xf numFmtId="0" fontId="2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Protection="1"/>
    <xf numFmtId="0" fontId="17" fillId="0" borderId="36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7" fillId="0" borderId="37" xfId="0" applyFont="1" applyBorder="1" applyAlignment="1">
      <alignment horizontal="left"/>
    </xf>
    <xf numFmtId="165" fontId="34" fillId="0" borderId="43" xfId="0" applyNumberFormat="1" applyFont="1" applyBorder="1" applyAlignment="1">
      <alignment horizontal="center"/>
    </xf>
    <xf numFmtId="165" fontId="34" fillId="0" borderId="44" xfId="0" applyNumberFormat="1" applyFont="1" applyBorder="1" applyAlignment="1">
      <alignment horizontal="center"/>
    </xf>
    <xf numFmtId="165" fontId="34" fillId="0" borderId="45" xfId="0" applyNumberFormat="1" applyFont="1" applyBorder="1" applyAlignment="1">
      <alignment horizontal="center"/>
    </xf>
    <xf numFmtId="165" fontId="34" fillId="0" borderId="46" xfId="0" applyNumberFormat="1" applyFont="1" applyBorder="1" applyAlignment="1">
      <alignment horizontal="center"/>
    </xf>
    <xf numFmtId="165" fontId="34" fillId="0" borderId="47" xfId="0" applyNumberFormat="1" applyFont="1" applyBorder="1" applyAlignment="1">
      <alignment horizontal="center"/>
    </xf>
    <xf numFmtId="165" fontId="34" fillId="0" borderId="27" xfId="0" applyNumberFormat="1" applyFont="1" applyBorder="1" applyAlignment="1">
      <alignment horizontal="center"/>
    </xf>
    <xf numFmtId="0" fontId="17" fillId="0" borderId="48" xfId="0" applyFont="1" applyBorder="1" applyAlignment="1">
      <alignment horizontal="left"/>
    </xf>
    <xf numFmtId="165" fontId="34" fillId="0" borderId="49" xfId="0" applyNumberFormat="1" applyFont="1" applyBorder="1" applyAlignment="1">
      <alignment horizontal="center"/>
    </xf>
    <xf numFmtId="165" fontId="34" fillId="0" borderId="50" xfId="0" applyNumberFormat="1" applyFont="1" applyBorder="1" applyAlignment="1">
      <alignment horizontal="center"/>
    </xf>
    <xf numFmtId="165" fontId="34" fillId="0" borderId="51" xfId="0" applyNumberFormat="1" applyFont="1" applyBorder="1" applyAlignment="1">
      <alignment horizontal="center"/>
    </xf>
    <xf numFmtId="0" fontId="0" fillId="0" borderId="15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3" fillId="0" borderId="23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3" fillId="0" borderId="4" xfId="0" applyFont="1" applyBorder="1"/>
    <xf numFmtId="165" fontId="17" fillId="0" borderId="52" xfId="0" applyNumberFormat="1" applyFont="1" applyBorder="1" applyAlignment="1">
      <alignment horizontal="center"/>
    </xf>
    <xf numFmtId="0" fontId="1" fillId="0" borderId="0" xfId="0" applyFont="1" applyProtection="1">
      <protection locked="0"/>
    </xf>
    <xf numFmtId="0" fontId="33" fillId="0" borderId="0" xfId="0" applyFont="1" applyProtection="1">
      <protection locked="0"/>
    </xf>
    <xf numFmtId="0" fontId="1" fillId="0" borderId="53" xfId="0" applyFont="1" applyBorder="1" applyProtection="1">
      <protection locked="0"/>
    </xf>
    <xf numFmtId="0" fontId="1" fillId="0" borderId="54" xfId="0" applyFont="1" applyBorder="1" applyProtection="1">
      <protection locked="0"/>
    </xf>
    <xf numFmtId="0" fontId="1" fillId="0" borderId="55" xfId="0" applyFon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5" fillId="0" borderId="5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7" xfId="0" applyFont="1" applyBorder="1" applyProtection="1">
      <protection locked="0"/>
    </xf>
    <xf numFmtId="0" fontId="3" fillId="0" borderId="10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3" fillId="0" borderId="58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59" xfId="0" applyFont="1" applyBorder="1" applyAlignment="1" applyProtection="1">
      <alignment horizontal="center"/>
    </xf>
    <xf numFmtId="0" fontId="3" fillId="0" borderId="8" xfId="0" quotePrefix="1" applyFont="1" applyBorder="1" applyAlignment="1" applyProtection="1">
      <alignment horizontal="center"/>
    </xf>
    <xf numFmtId="0" fontId="1" fillId="0" borderId="56" xfId="0" applyFont="1" applyBorder="1" applyProtection="1">
      <protection locked="0"/>
    </xf>
    <xf numFmtId="0" fontId="33" fillId="0" borderId="60" xfId="0" applyFont="1" applyBorder="1" applyAlignment="1" applyProtection="1">
      <alignment horizontal="center"/>
    </xf>
    <xf numFmtId="1" fontId="1" fillId="0" borderId="61" xfId="0" applyNumberFormat="1" applyFont="1" applyFill="1" applyBorder="1" applyAlignment="1" applyProtection="1">
      <alignment horizontal="center"/>
      <protection locked="0"/>
    </xf>
    <xf numFmtId="1" fontId="1" fillId="0" borderId="13" xfId="0" applyNumberFormat="1" applyFont="1" applyFill="1" applyBorder="1" applyAlignment="1" applyProtection="1">
      <alignment horizontal="center"/>
      <protection locked="0"/>
    </xf>
    <xf numFmtId="1" fontId="1" fillId="0" borderId="62" xfId="0" applyNumberFormat="1" applyFont="1" applyFill="1" applyBorder="1" applyAlignment="1" applyProtection="1">
      <alignment horizontal="center"/>
      <protection locked="0"/>
    </xf>
    <xf numFmtId="0" fontId="33" fillId="0" borderId="9" xfId="0" applyFont="1" applyBorder="1" applyAlignment="1" applyProtection="1">
      <alignment horizontal="center"/>
    </xf>
    <xf numFmtId="0" fontId="1" fillId="0" borderId="56" xfId="0" applyFont="1" applyBorder="1" applyProtection="1"/>
    <xf numFmtId="0" fontId="35" fillId="0" borderId="0" xfId="0" applyFont="1" applyBorder="1" applyProtection="1"/>
    <xf numFmtId="0" fontId="1" fillId="0" borderId="0" xfId="0" applyFont="1" applyBorder="1" applyProtection="1"/>
    <xf numFmtId="0" fontId="1" fillId="0" borderId="57" xfId="0" applyFont="1" applyBorder="1" applyProtection="1"/>
    <xf numFmtId="0" fontId="33" fillId="0" borderId="6" xfId="0" applyFont="1" applyBorder="1" applyAlignment="1" applyProtection="1">
      <alignment horizontal="center"/>
    </xf>
    <xf numFmtId="165" fontId="1" fillId="0" borderId="25" xfId="0" applyNumberFormat="1" applyFont="1" applyFill="1" applyBorder="1" applyAlignment="1" applyProtection="1">
      <alignment horizontal="center"/>
      <protection locked="0"/>
    </xf>
    <xf numFmtId="165" fontId="1" fillId="0" borderId="29" xfId="0" applyNumberFormat="1" applyFont="1" applyFill="1" applyBorder="1" applyAlignment="1" applyProtection="1">
      <alignment horizontal="center"/>
      <protection locked="0"/>
    </xf>
    <xf numFmtId="1" fontId="1" fillId="0" borderId="25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29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right"/>
    </xf>
    <xf numFmtId="169" fontId="37" fillId="0" borderId="1" xfId="0" applyNumberFormat="1" applyFont="1" applyBorder="1" applyAlignment="1" applyProtection="1">
      <alignment horizontal="center"/>
    </xf>
    <xf numFmtId="165" fontId="37" fillId="0" borderId="1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/>
    </xf>
    <xf numFmtId="0" fontId="1" fillId="0" borderId="0" xfId="0" quotePrefix="1" applyFont="1" applyBorder="1" applyAlignment="1" applyProtection="1">
      <alignment horizontal="left"/>
    </xf>
    <xf numFmtId="0" fontId="33" fillId="0" borderId="6" xfId="0" applyFont="1" applyFill="1" applyBorder="1" applyAlignment="1" applyProtection="1">
      <alignment horizontal="center"/>
    </xf>
    <xf numFmtId="169" fontId="37" fillId="0" borderId="1" xfId="0" applyNumberFormat="1" applyFont="1" applyBorder="1" applyAlignment="1" applyProtection="1">
      <alignment horizontal="center"/>
      <protection locked="0"/>
    </xf>
    <xf numFmtId="0" fontId="1" fillId="0" borderId="57" xfId="0" applyFont="1" applyBorder="1"/>
    <xf numFmtId="169" fontId="37" fillId="0" borderId="0" xfId="0" applyNumberFormat="1" applyFont="1" applyBorder="1" applyAlignment="1" applyProtection="1">
      <alignment horizontal="center"/>
    </xf>
    <xf numFmtId="0" fontId="1" fillId="0" borderId="63" xfId="0" applyFont="1" applyBorder="1" applyProtection="1"/>
    <xf numFmtId="0" fontId="1" fillId="0" borderId="15" xfId="0" applyFont="1" applyBorder="1" applyProtection="1"/>
    <xf numFmtId="0" fontId="1" fillId="0" borderId="64" xfId="0" applyFont="1" applyBorder="1" applyProtection="1"/>
    <xf numFmtId="0" fontId="33" fillId="0" borderId="7" xfId="0" applyFont="1" applyBorder="1" applyAlignment="1" applyProtection="1">
      <alignment horizontal="center"/>
    </xf>
    <xf numFmtId="165" fontId="1" fillId="0" borderId="52" xfId="0" applyNumberFormat="1" applyFont="1" applyFill="1" applyBorder="1" applyAlignment="1" applyProtection="1">
      <alignment horizontal="center"/>
      <protection locked="0"/>
    </xf>
    <xf numFmtId="165" fontId="1" fillId="0" borderId="65" xfId="0" applyNumberFormat="1" applyFont="1" applyFill="1" applyBorder="1" applyAlignment="1" applyProtection="1">
      <alignment horizontal="center"/>
      <protection locked="0"/>
    </xf>
    <xf numFmtId="1" fontId="1" fillId="0" borderId="52" xfId="0" applyNumberFormat="1" applyFont="1" applyFill="1" applyBorder="1" applyAlignment="1" applyProtection="1">
      <alignment horizontal="center"/>
      <protection locked="0"/>
    </xf>
    <xf numFmtId="1" fontId="1" fillId="0" borderId="66" xfId="0" applyNumberFormat="1" applyFont="1" applyFill="1" applyBorder="1" applyAlignment="1" applyProtection="1">
      <alignment horizontal="center"/>
      <protection locked="0"/>
    </xf>
    <xf numFmtId="1" fontId="1" fillId="0" borderId="65" xfId="0" applyNumberFormat="1" applyFont="1" applyFill="1" applyBorder="1" applyAlignment="1" applyProtection="1">
      <alignment horizontal="center"/>
      <protection locked="0"/>
    </xf>
    <xf numFmtId="165" fontId="37" fillId="0" borderId="0" xfId="0" applyNumberFormat="1" applyFont="1" applyAlignment="1" applyProtection="1">
      <alignment horizontal="center"/>
    </xf>
    <xf numFmtId="170" fontId="37" fillId="0" borderId="0" xfId="0" applyNumberFormat="1" applyFont="1" applyAlignment="1" applyProtection="1">
      <alignment horizontal="center"/>
    </xf>
    <xf numFmtId="171" fontId="37" fillId="0" borderId="0" xfId="0" applyNumberFormat="1" applyFont="1" applyAlignment="1" applyProtection="1">
      <alignment horizontal="center"/>
    </xf>
    <xf numFmtId="169" fontId="37" fillId="0" borderId="0" xfId="0" applyNumberFormat="1" applyFont="1" applyAlignment="1" applyProtection="1">
      <alignment horizontal="center"/>
      <protection locked="0"/>
    </xf>
    <xf numFmtId="0" fontId="37" fillId="0" borderId="0" xfId="0" applyFont="1" applyProtection="1"/>
    <xf numFmtId="0" fontId="1" fillId="0" borderId="67" xfId="0" applyFont="1" applyBorder="1" applyProtection="1">
      <protection locked="0"/>
    </xf>
    <xf numFmtId="0" fontId="33" fillId="0" borderId="67" xfId="0" applyFont="1" applyBorder="1" applyProtection="1">
      <protection locked="0"/>
    </xf>
    <xf numFmtId="0" fontId="40" fillId="0" borderId="0" xfId="0" applyFont="1" applyProtection="1"/>
    <xf numFmtId="0" fontId="40" fillId="0" borderId="0" xfId="2" quotePrefix="1" applyFont="1" applyAlignment="1" applyProtection="1">
      <alignment horizontal="right"/>
    </xf>
    <xf numFmtId="1" fontId="0" fillId="0" borderId="0" xfId="0" applyNumberFormat="1" applyProtection="1"/>
    <xf numFmtId="168" fontId="0" fillId="0" borderId="0" xfId="0" applyNumberFormat="1" applyProtection="1"/>
    <xf numFmtId="0" fontId="1" fillId="0" borderId="23" xfId="0" applyFont="1" applyBorder="1"/>
    <xf numFmtId="0" fontId="1" fillId="0" borderId="30" xfId="0" applyFont="1" applyBorder="1"/>
    <xf numFmtId="0" fontId="40" fillId="0" borderId="0" xfId="2" applyFont="1" applyAlignment="1" applyProtection="1">
      <alignment horizontal="right"/>
    </xf>
    <xf numFmtId="165" fontId="6" fillId="0" borderId="38" xfId="0" applyNumberFormat="1" applyFont="1" applyBorder="1" applyAlignment="1" applyProtection="1">
      <alignment horizontal="center"/>
    </xf>
    <xf numFmtId="165" fontId="6" fillId="0" borderId="16" xfId="0" applyNumberFormat="1" applyFont="1" applyBorder="1" applyAlignment="1" applyProtection="1">
      <alignment horizontal="center"/>
    </xf>
    <xf numFmtId="165" fontId="6" fillId="0" borderId="34" xfId="0" applyNumberFormat="1" applyFont="1" applyBorder="1" applyAlignment="1" applyProtection="1">
      <alignment horizontal="center"/>
    </xf>
    <xf numFmtId="165" fontId="6" fillId="0" borderId="18" xfId="0" applyNumberFormat="1" applyFont="1" applyBorder="1" applyAlignment="1" applyProtection="1">
      <alignment horizontal="center"/>
    </xf>
    <xf numFmtId="165" fontId="6" fillId="0" borderId="25" xfId="0" applyNumberFormat="1" applyFont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29" xfId="0" applyNumberFormat="1" applyFont="1" applyBorder="1" applyAlignment="1" applyProtection="1">
      <alignment horizontal="center"/>
    </xf>
    <xf numFmtId="165" fontId="6" fillId="0" borderId="68" xfId="0" applyNumberFormat="1" applyFont="1" applyBorder="1" applyAlignment="1" applyProtection="1">
      <alignment horizontal="center"/>
    </xf>
    <xf numFmtId="165" fontId="6" fillId="0" borderId="13" xfId="0" applyNumberFormat="1" applyFont="1" applyBorder="1" applyAlignment="1" applyProtection="1">
      <alignment horizontal="center"/>
    </xf>
    <xf numFmtId="165" fontId="6" fillId="0" borderId="19" xfId="0" applyNumberFormat="1" applyFont="1" applyBorder="1" applyAlignment="1" applyProtection="1">
      <alignment horizontal="center"/>
    </xf>
    <xf numFmtId="165" fontId="6" fillId="0" borderId="69" xfId="0" applyNumberFormat="1" applyFont="1" applyBorder="1" applyAlignment="1" applyProtection="1">
      <alignment horizontal="center"/>
    </xf>
    <xf numFmtId="165" fontId="6" fillId="0" borderId="20" xfId="0" applyNumberFormat="1" applyFont="1" applyBorder="1" applyAlignment="1" applyProtection="1">
      <alignment horizontal="center"/>
    </xf>
    <xf numFmtId="0" fontId="8" fillId="0" borderId="10" xfId="2" applyFont="1" applyBorder="1" applyAlignment="1" applyProtection="1">
      <alignment horizontal="center"/>
    </xf>
    <xf numFmtId="0" fontId="3" fillId="0" borderId="2" xfId="2" applyFont="1" applyBorder="1" applyProtection="1"/>
    <xf numFmtId="0" fontId="8" fillId="0" borderId="70" xfId="2" applyFont="1" applyBorder="1" applyAlignment="1" applyProtection="1">
      <alignment horizontal="center" vertical="center"/>
    </xf>
    <xf numFmtId="0" fontId="8" fillId="0" borderId="19" xfId="2" applyFont="1" applyBorder="1" applyProtection="1"/>
    <xf numFmtId="165" fontId="8" fillId="3" borderId="70" xfId="2" applyNumberFormat="1" applyFont="1" applyFill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 vertical="center"/>
    </xf>
    <xf numFmtId="0" fontId="14" fillId="0" borderId="16" xfId="2" applyFont="1" applyBorder="1" applyProtection="1"/>
    <xf numFmtId="0" fontId="8" fillId="0" borderId="16" xfId="2" applyFont="1" applyBorder="1" applyAlignment="1" applyProtection="1">
      <alignment horizontal="left"/>
    </xf>
    <xf numFmtId="1" fontId="8" fillId="0" borderId="2" xfId="2" applyNumberFormat="1" applyFont="1" applyBorder="1" applyProtection="1"/>
    <xf numFmtId="165" fontId="6" fillId="3" borderId="20" xfId="2" applyNumberFormat="1" applyFont="1" applyFill="1" applyBorder="1" applyAlignment="1" applyProtection="1">
      <alignment horizontal="center"/>
    </xf>
    <xf numFmtId="165" fontId="7" fillId="3" borderId="8" xfId="2" applyNumberFormat="1" applyFont="1" applyFill="1" applyBorder="1" applyAlignment="1" applyProtection="1">
      <alignment horizontal="center"/>
    </xf>
    <xf numFmtId="0" fontId="8" fillId="0" borderId="20" xfId="2" applyFont="1" applyBorder="1" applyProtection="1"/>
    <xf numFmtId="0" fontId="8" fillId="0" borderId="19" xfId="2" applyFont="1" applyBorder="1" applyAlignment="1" applyProtection="1">
      <alignment horizontal="left"/>
    </xf>
    <xf numFmtId="49" fontId="8" fillId="0" borderId="0" xfId="2" applyNumberFormat="1" applyFont="1" applyProtection="1"/>
    <xf numFmtId="0" fontId="8" fillId="0" borderId="0" xfId="0" applyFont="1" applyBorder="1" applyProtection="1"/>
    <xf numFmtId="0" fontId="3" fillId="0" borderId="0" xfId="0" applyFont="1" applyBorder="1" applyAlignment="1" applyProtection="1">
      <alignment vertical="distributed"/>
    </xf>
    <xf numFmtId="0" fontId="6" fillId="0" borderId="71" xfId="0" applyFont="1" applyBorder="1" applyProtection="1"/>
    <xf numFmtId="0" fontId="6" fillId="0" borderId="0" xfId="2" applyFont="1" applyProtection="1"/>
    <xf numFmtId="0" fontId="17" fillId="0" borderId="15" xfId="2" applyFont="1" applyBorder="1" applyAlignment="1" applyProtection="1"/>
    <xf numFmtId="0" fontId="21" fillId="0" borderId="0" xfId="2" applyFont="1" applyAlignment="1" applyProtection="1">
      <alignment horizontal="right" vertical="center"/>
    </xf>
    <xf numFmtId="0" fontId="21" fillId="0" borderId="0" xfId="2" quotePrefix="1" applyFont="1" applyAlignment="1" applyProtection="1">
      <alignment horizontal="right" vertical="center"/>
    </xf>
    <xf numFmtId="169" fontId="13" fillId="0" borderId="0" xfId="0" applyNumberFormat="1" applyFont="1" applyProtection="1"/>
    <xf numFmtId="0" fontId="42" fillId="0" borderId="28" xfId="0" applyFont="1" applyBorder="1" applyAlignment="1" applyProtection="1"/>
    <xf numFmtId="168" fontId="42" fillId="0" borderId="28" xfId="0" applyNumberFormat="1" applyFont="1" applyBorder="1" applyAlignment="1" applyProtection="1"/>
    <xf numFmtId="1" fontId="44" fillId="0" borderId="2" xfId="0" quotePrefix="1" applyNumberFormat="1" applyFont="1" applyBorder="1" applyAlignment="1" applyProtection="1">
      <alignment horizontal="right"/>
    </xf>
    <xf numFmtId="168" fontId="45" fillId="0" borderId="4" xfId="0" quotePrefix="1" applyNumberFormat="1" applyFont="1" applyBorder="1" applyAlignment="1" applyProtection="1">
      <alignment horizontal="center"/>
    </xf>
    <xf numFmtId="1" fontId="42" fillId="0" borderId="0" xfId="0" quotePrefix="1" applyNumberFormat="1" applyFont="1" applyAlignment="1" applyProtection="1">
      <alignment horizontal="left"/>
    </xf>
    <xf numFmtId="1" fontId="42" fillId="0" borderId="0" xfId="0" applyNumberFormat="1" applyFont="1" applyAlignment="1" applyProtection="1">
      <alignment horizontal="left"/>
    </xf>
    <xf numFmtId="0" fontId="44" fillId="0" borderId="2" xfId="0" applyFont="1" applyBorder="1" applyProtection="1"/>
    <xf numFmtId="0" fontId="45" fillId="0" borderId="3" xfId="0" applyFont="1" applyBorder="1" applyProtection="1"/>
    <xf numFmtId="170" fontId="45" fillId="0" borderId="3" xfId="0" applyNumberFormat="1" applyFont="1" applyBorder="1" applyAlignment="1" applyProtection="1">
      <alignment horizontal="left"/>
    </xf>
    <xf numFmtId="170" fontId="45" fillId="0" borderId="4" xfId="0" applyNumberFormat="1" applyFont="1" applyBorder="1" applyAlignment="1" applyProtection="1">
      <alignment horizontal="left"/>
    </xf>
    <xf numFmtId="166" fontId="42" fillId="0" borderId="0" xfId="0" applyNumberFormat="1" applyFont="1" applyAlignment="1" applyProtection="1">
      <alignment horizontal="left"/>
    </xf>
    <xf numFmtId="170" fontId="45" fillId="0" borderId="3" xfId="0" applyNumberFormat="1" applyFont="1" applyBorder="1" applyProtection="1"/>
    <xf numFmtId="170" fontId="42" fillId="0" borderId="72" xfId="0" applyNumberFormat="1" applyFont="1" applyBorder="1" applyAlignment="1" applyProtection="1">
      <alignment horizontal="left"/>
    </xf>
    <xf numFmtId="0" fontId="44" fillId="0" borderId="2" xfId="0" applyFont="1" applyBorder="1" applyAlignment="1" applyProtection="1">
      <alignment horizontal="right"/>
    </xf>
    <xf numFmtId="170" fontId="42" fillId="0" borderId="71" xfId="0" applyNumberFormat="1" applyFont="1" applyBorder="1" applyAlignment="1" applyProtection="1">
      <alignment horizontal="left"/>
    </xf>
    <xf numFmtId="0" fontId="42" fillId="0" borderId="0" xfId="0" applyFont="1" applyBorder="1" applyProtection="1"/>
    <xf numFmtId="1" fontId="44" fillId="0" borderId="0" xfId="0" quotePrefix="1" applyNumberFormat="1" applyFont="1" applyBorder="1" applyAlignment="1" applyProtection="1">
      <alignment horizontal="right"/>
    </xf>
    <xf numFmtId="168" fontId="42" fillId="0" borderId="0" xfId="0" quotePrefix="1" applyNumberFormat="1" applyFont="1" applyBorder="1" applyAlignment="1" applyProtection="1">
      <alignment horizontal="center"/>
    </xf>
    <xf numFmtId="168" fontId="42" fillId="0" borderId="0" xfId="0" applyNumberFormat="1" applyFont="1" applyBorder="1" applyAlignment="1" applyProtection="1">
      <alignment horizontal="center"/>
    </xf>
    <xf numFmtId="168" fontId="42" fillId="0" borderId="0" xfId="0" applyNumberFormat="1" applyFont="1" applyAlignment="1" applyProtection="1">
      <alignment horizontal="left"/>
    </xf>
    <xf numFmtId="0" fontId="44" fillId="0" borderId="0" xfId="0" applyFont="1" applyBorder="1" applyProtection="1"/>
    <xf numFmtId="170" fontId="42" fillId="0" borderId="0" xfId="0" applyNumberFormat="1" applyFont="1" applyBorder="1" applyAlignment="1" applyProtection="1">
      <alignment horizontal="left"/>
    </xf>
    <xf numFmtId="170" fontId="42" fillId="0" borderId="0" xfId="0" applyNumberFormat="1" applyFont="1" applyBorder="1" applyProtection="1"/>
    <xf numFmtId="0" fontId="42" fillId="0" borderId="0" xfId="0" applyFont="1" applyBorder="1" applyAlignment="1" applyProtection="1">
      <alignment horizontal="center"/>
    </xf>
    <xf numFmtId="0" fontId="44" fillId="0" borderId="0" xfId="0" applyFont="1" applyBorder="1" applyAlignment="1" applyProtection="1">
      <alignment horizontal="right"/>
    </xf>
    <xf numFmtId="1" fontId="44" fillId="0" borderId="0" xfId="0" applyNumberFormat="1" applyFont="1" applyBorder="1" applyAlignment="1" applyProtection="1">
      <alignment horizontal="right"/>
    </xf>
    <xf numFmtId="168" fontId="42" fillId="0" borderId="0" xfId="0" applyNumberFormat="1" applyFont="1" applyBorder="1" applyAlignment="1" applyProtection="1">
      <alignment horizontal="left"/>
    </xf>
    <xf numFmtId="1" fontId="44" fillId="0" borderId="2" xfId="0" applyNumberFormat="1" applyFont="1" applyBorder="1" applyAlignment="1" applyProtection="1">
      <alignment horizontal="right"/>
    </xf>
    <xf numFmtId="168" fontId="45" fillId="0" borderId="3" xfId="0" applyNumberFormat="1" applyFont="1" applyBorder="1" applyAlignment="1" applyProtection="1">
      <alignment horizontal="left"/>
    </xf>
    <xf numFmtId="1" fontId="45" fillId="0" borderId="3" xfId="0" quotePrefix="1" applyNumberFormat="1" applyFont="1" applyBorder="1" applyAlignment="1" applyProtection="1">
      <alignment horizontal="center"/>
    </xf>
    <xf numFmtId="169" fontId="45" fillId="0" borderId="4" xfId="0" applyNumberFormat="1" applyFont="1" applyBorder="1" applyAlignment="1" applyProtection="1">
      <alignment horizontal="left"/>
    </xf>
    <xf numFmtId="170" fontId="45" fillId="0" borderId="3" xfId="0" applyNumberFormat="1" applyFont="1" applyBorder="1" applyAlignment="1" applyProtection="1">
      <alignment horizontal="center"/>
    </xf>
    <xf numFmtId="170" fontId="45" fillId="0" borderId="4" xfId="0" applyNumberFormat="1" applyFont="1" applyBorder="1" applyAlignment="1" applyProtection="1">
      <alignment horizontal="center"/>
    </xf>
    <xf numFmtId="0" fontId="46" fillId="0" borderId="28" xfId="0" applyFont="1" applyBorder="1" applyProtection="1"/>
    <xf numFmtId="0" fontId="42" fillId="0" borderId="0" xfId="0" applyFont="1" applyProtection="1"/>
    <xf numFmtId="0" fontId="42" fillId="0" borderId="28" xfId="0" applyFont="1" applyBorder="1" applyProtection="1"/>
    <xf numFmtId="169" fontId="45" fillId="0" borderId="3" xfId="0" applyNumberFormat="1" applyFont="1" applyBorder="1" applyAlignment="1" applyProtection="1">
      <alignment horizontal="center"/>
    </xf>
    <xf numFmtId="169" fontId="42" fillId="0" borderId="72" xfId="0" applyNumberFormat="1" applyFont="1" applyBorder="1" applyAlignment="1" applyProtection="1">
      <alignment horizontal="left"/>
    </xf>
    <xf numFmtId="169" fontId="45" fillId="0" borderId="4" xfId="0" applyNumberFormat="1" applyFont="1" applyBorder="1" applyAlignment="1" applyProtection="1">
      <alignment horizontal="center"/>
    </xf>
    <xf numFmtId="169" fontId="42" fillId="0" borderId="0" xfId="0" applyNumberFormat="1" applyFont="1" applyAlignment="1" applyProtection="1">
      <alignment horizontal="center"/>
    </xf>
    <xf numFmtId="0" fontId="42" fillId="0" borderId="0" xfId="0" applyFont="1" applyAlignment="1" applyProtection="1">
      <alignment horizontal="left"/>
    </xf>
    <xf numFmtId="0" fontId="42" fillId="0" borderId="0" xfId="0" applyFont="1" applyAlignment="1" applyProtection="1"/>
    <xf numFmtId="169" fontId="45" fillId="0" borderId="3" xfId="0" applyNumberFormat="1" applyFont="1" applyBorder="1" applyProtection="1"/>
    <xf numFmtId="0" fontId="45" fillId="0" borderId="3" xfId="0" applyFont="1" applyBorder="1" applyAlignment="1" applyProtection="1">
      <alignment horizontal="center"/>
    </xf>
    <xf numFmtId="167" fontId="42" fillId="0" borderId="0" xfId="0" applyNumberFormat="1" applyFont="1" applyProtection="1"/>
    <xf numFmtId="169" fontId="45" fillId="0" borderId="4" xfId="0" applyNumberFormat="1" applyFont="1" applyBorder="1" applyProtection="1"/>
    <xf numFmtId="169" fontId="42" fillId="0" borderId="72" xfId="0" applyNumberFormat="1" applyFont="1" applyBorder="1" applyProtection="1"/>
    <xf numFmtId="169" fontId="45" fillId="0" borderId="3" xfId="0" applyNumberFormat="1" applyFont="1" applyBorder="1" applyAlignment="1" applyProtection="1">
      <alignment horizontal="left"/>
    </xf>
    <xf numFmtId="168" fontId="45" fillId="0" borderId="3" xfId="0" applyNumberFormat="1" applyFont="1" applyBorder="1" applyProtection="1"/>
    <xf numFmtId="170" fontId="42" fillId="0" borderId="0" xfId="0" applyNumberFormat="1" applyFont="1" applyProtection="1"/>
    <xf numFmtId="169" fontId="42" fillId="0" borderId="0" xfId="0" applyNumberFormat="1" applyFont="1" applyAlignment="1" applyProtection="1"/>
    <xf numFmtId="172" fontId="47" fillId="0" borderId="10" xfId="0" applyNumberFormat="1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8" xfId="0" applyBorder="1" applyProtection="1"/>
    <xf numFmtId="0" fontId="0" fillId="0" borderId="15" xfId="0" applyBorder="1" applyProtection="1"/>
    <xf numFmtId="0" fontId="0" fillId="0" borderId="20" xfId="0" applyBorder="1" applyProtection="1"/>
    <xf numFmtId="0" fontId="0" fillId="0" borderId="0" xfId="0" applyFill="1" applyBorder="1" applyProtection="1"/>
    <xf numFmtId="172" fontId="49" fillId="4" borderId="16" xfId="0" applyNumberFormat="1" applyFont="1" applyFill="1" applyBorder="1" applyProtection="1"/>
    <xf numFmtId="0" fontId="49" fillId="4" borderId="17" xfId="0" applyFont="1" applyFill="1" applyBorder="1" applyProtection="1"/>
    <xf numFmtId="0" fontId="49" fillId="4" borderId="71" xfId="0" applyFont="1" applyFill="1" applyBorder="1" applyProtection="1"/>
    <xf numFmtId="0" fontId="49" fillId="4" borderId="0" xfId="0" applyFont="1" applyFill="1" applyBorder="1" applyProtection="1"/>
    <xf numFmtId="0" fontId="49" fillId="4" borderId="19" xfId="0" applyFont="1" applyFill="1" applyBorder="1" applyProtection="1"/>
    <xf numFmtId="0" fontId="49" fillId="4" borderId="15" xfId="0" applyFont="1" applyFill="1" applyBorder="1" applyProtection="1"/>
    <xf numFmtId="172" fontId="48" fillId="0" borderId="19" xfId="0" applyNumberFormat="1" applyFont="1" applyBorder="1" applyProtection="1"/>
    <xf numFmtId="0" fontId="49" fillId="4" borderId="18" xfId="0" applyFont="1" applyFill="1" applyBorder="1" applyProtection="1"/>
    <xf numFmtId="170" fontId="50" fillId="4" borderId="0" xfId="0" applyNumberFormat="1" applyFont="1" applyFill="1" applyBorder="1" applyAlignment="1" applyProtection="1">
      <alignment horizontal="left"/>
    </xf>
    <xf numFmtId="0" fontId="49" fillId="4" borderId="73" xfId="0" applyFont="1" applyFill="1" applyBorder="1" applyProtection="1"/>
    <xf numFmtId="0" fontId="49" fillId="4" borderId="20" xfId="0" applyFont="1" applyFill="1" applyBorder="1" applyProtection="1"/>
    <xf numFmtId="172" fontId="49" fillId="0" borderId="19" xfId="0" applyNumberFormat="1" applyFont="1" applyFill="1" applyBorder="1" applyProtection="1"/>
    <xf numFmtId="1" fontId="13" fillId="0" borderId="3" xfId="0" applyNumberFormat="1" applyFont="1" applyBorder="1" applyAlignment="1" applyProtection="1">
      <alignment horizontal="right"/>
    </xf>
    <xf numFmtId="0" fontId="7" fillId="5" borderId="0" xfId="2" applyFont="1" applyFill="1" applyAlignment="1" applyProtection="1">
      <alignment horizontal="center"/>
    </xf>
    <xf numFmtId="165" fontId="6" fillId="0" borderId="16" xfId="0" applyNumberFormat="1" applyFont="1" applyBorder="1" applyAlignment="1">
      <alignment horizontal="center"/>
    </xf>
    <xf numFmtId="165" fontId="6" fillId="0" borderId="34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29" xfId="0" applyNumberFormat="1" applyFont="1" applyBorder="1" applyAlignment="1">
      <alignment horizontal="center"/>
    </xf>
    <xf numFmtId="165" fontId="6" fillId="0" borderId="74" xfId="0" applyNumberFormat="1" applyFont="1" applyBorder="1" applyAlignment="1">
      <alignment horizontal="center"/>
    </xf>
    <xf numFmtId="165" fontId="6" fillId="0" borderId="68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65" fontId="6" fillId="0" borderId="3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0" borderId="69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/>
    </xf>
    <xf numFmtId="165" fontId="6" fillId="0" borderId="24" xfId="0" applyNumberFormat="1" applyFont="1" applyBorder="1" applyAlignment="1">
      <alignment horizontal="center"/>
    </xf>
    <xf numFmtId="165" fontId="6" fillId="0" borderId="3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6" fillId="0" borderId="52" xfId="0" applyNumberFormat="1" applyFont="1" applyBorder="1" applyAlignment="1">
      <alignment horizontal="center"/>
    </xf>
    <xf numFmtId="165" fontId="6" fillId="0" borderId="66" xfId="0" applyNumberFormat="1" applyFont="1" applyBorder="1" applyAlignment="1">
      <alignment horizontal="center"/>
    </xf>
    <xf numFmtId="165" fontId="6" fillId="0" borderId="65" xfId="0" applyNumberFormat="1" applyFont="1" applyBorder="1" applyAlignment="1">
      <alignment horizontal="center"/>
    </xf>
    <xf numFmtId="165" fontId="6" fillId="0" borderId="16" xfId="0" applyNumberFormat="1" applyFont="1" applyBorder="1"/>
    <xf numFmtId="165" fontId="6" fillId="0" borderId="45" xfId="0" applyNumberFormat="1" applyFont="1" applyBorder="1"/>
    <xf numFmtId="165" fontId="6" fillId="0" borderId="25" xfId="0" applyNumberFormat="1" applyFont="1" applyBorder="1"/>
    <xf numFmtId="165" fontId="6" fillId="0" borderId="1" xfId="0" applyNumberFormat="1" applyFont="1" applyBorder="1"/>
    <xf numFmtId="165" fontId="6" fillId="0" borderId="29" xfId="0" applyNumberFormat="1" applyFont="1" applyBorder="1"/>
    <xf numFmtId="165" fontId="6" fillId="0" borderId="68" xfId="0" applyNumberFormat="1" applyFont="1" applyBorder="1"/>
    <xf numFmtId="165" fontId="6" fillId="0" borderId="13" xfId="0" applyNumberFormat="1" applyFont="1" applyBorder="1"/>
    <xf numFmtId="165" fontId="6" fillId="0" borderId="38" xfId="0" applyNumberFormat="1" applyFont="1" applyBorder="1"/>
    <xf numFmtId="165" fontId="6" fillId="0" borderId="19" xfId="0" applyNumberFormat="1" applyFont="1" applyBorder="1"/>
    <xf numFmtId="165" fontId="6" fillId="0" borderId="69" xfId="0" applyNumberFormat="1" applyFont="1" applyBorder="1"/>
    <xf numFmtId="165" fontId="6" fillId="0" borderId="20" xfId="0" applyNumberFormat="1" applyFont="1" applyBorder="1"/>
    <xf numFmtId="165" fontId="6" fillId="0" borderId="23" xfId="0" applyNumberFormat="1" applyFont="1" applyBorder="1"/>
    <xf numFmtId="165" fontId="6" fillId="0" borderId="24" xfId="0" applyNumberFormat="1" applyFont="1" applyBorder="1"/>
    <xf numFmtId="165" fontId="6" fillId="0" borderId="17" xfId="0" applyNumberFormat="1" applyFont="1" applyBorder="1"/>
    <xf numFmtId="165" fontId="6" fillId="0" borderId="21" xfId="0" applyNumberFormat="1" applyFont="1" applyFill="1" applyBorder="1"/>
    <xf numFmtId="165" fontId="6" fillId="0" borderId="12" xfId="0" applyNumberFormat="1" applyFont="1" applyFill="1" applyBorder="1"/>
    <xf numFmtId="165" fontId="1" fillId="0" borderId="1" xfId="0" applyNumberFormat="1" applyFont="1" applyBorder="1"/>
    <xf numFmtId="165" fontId="1" fillId="0" borderId="29" xfId="0" applyNumberFormat="1" applyFont="1" applyBorder="1"/>
    <xf numFmtId="165" fontId="1" fillId="0" borderId="25" xfId="0" applyNumberFormat="1" applyFont="1" applyBorder="1"/>
    <xf numFmtId="165" fontId="6" fillId="0" borderId="9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5" fontId="6" fillId="0" borderId="60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0" borderId="34" xfId="0" applyNumberFormat="1" applyFont="1" applyBorder="1"/>
    <xf numFmtId="165" fontId="6" fillId="0" borderId="18" xfId="0" applyNumberFormat="1" applyFont="1" applyBorder="1"/>
    <xf numFmtId="165" fontId="6" fillId="0" borderId="61" xfId="0" applyNumberFormat="1" applyFont="1" applyBorder="1"/>
    <xf numFmtId="165" fontId="6" fillId="0" borderId="11" xfId="0" applyNumberFormat="1" applyFont="1" applyBorder="1"/>
    <xf numFmtId="165" fontId="6" fillId="0" borderId="30" xfId="0" applyNumberFormat="1" applyFont="1" applyBorder="1"/>
    <xf numFmtId="165" fontId="1" fillId="0" borderId="11" xfId="0" applyNumberFormat="1" applyFont="1" applyBorder="1"/>
    <xf numFmtId="165" fontId="6" fillId="0" borderId="75" xfId="0" applyNumberFormat="1" applyFont="1" applyBorder="1"/>
    <xf numFmtId="165" fontId="6" fillId="0" borderId="66" xfId="0" applyNumberFormat="1" applyFont="1" applyBorder="1"/>
    <xf numFmtId="165" fontId="6" fillId="0" borderId="65" xfId="0" applyNumberFormat="1" applyFont="1" applyBorder="1"/>
    <xf numFmtId="165" fontId="6" fillId="0" borderId="70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6" fillId="0" borderId="70" xfId="0" applyNumberFormat="1" applyFont="1" applyBorder="1"/>
    <xf numFmtId="0" fontId="8" fillId="0" borderId="2" xfId="2" applyNumberFormat="1" applyFont="1" applyBorder="1" applyAlignment="1" applyProtection="1">
      <alignment horizontal="left"/>
    </xf>
    <xf numFmtId="0" fontId="40" fillId="0" borderId="0" xfId="0" quotePrefix="1" applyFont="1" applyBorder="1" applyAlignment="1" applyProtection="1">
      <alignment horizontal="right"/>
    </xf>
    <xf numFmtId="0" fontId="1" fillId="0" borderId="60" xfId="0" applyNumberFormat="1" applyFont="1" applyFill="1" applyBorder="1" applyAlignment="1" applyProtection="1">
      <alignment horizontal="center"/>
      <protection locked="0"/>
    </xf>
    <xf numFmtId="0" fontId="1" fillId="0" borderId="6" xfId="0" applyNumberFormat="1" applyFont="1" applyFill="1" applyBorder="1" applyAlignment="1" applyProtection="1">
      <alignment horizontal="center"/>
      <protection locked="0"/>
    </xf>
    <xf numFmtId="0" fontId="1" fillId="0" borderId="7" xfId="0" applyNumberFormat="1" applyFont="1" applyFill="1" applyBorder="1" applyAlignment="1" applyProtection="1">
      <alignment horizontal="center"/>
      <protection locked="0"/>
    </xf>
    <xf numFmtId="0" fontId="36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36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57" xfId="0" applyFont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</xf>
    <xf numFmtId="0" fontId="18" fillId="5" borderId="1" xfId="0" applyFont="1" applyFill="1" applyBorder="1" applyAlignment="1" applyProtection="1">
      <alignment horizontal="center"/>
    </xf>
    <xf numFmtId="0" fontId="33" fillId="0" borderId="26" xfId="0" applyFont="1" applyBorder="1" applyAlignment="1" applyProtection="1">
      <alignment horizontal="center"/>
    </xf>
    <xf numFmtId="165" fontId="1" fillId="0" borderId="76" xfId="0" applyNumberFormat="1" applyFont="1" applyFill="1" applyBorder="1" applyAlignment="1" applyProtection="1">
      <alignment horizontal="center"/>
      <protection locked="0"/>
    </xf>
    <xf numFmtId="165" fontId="1" fillId="0" borderId="77" xfId="0" applyNumberFormat="1" applyFont="1" applyFill="1" applyBorder="1" applyAlignment="1" applyProtection="1">
      <alignment horizontal="center"/>
      <protection locked="0"/>
    </xf>
    <xf numFmtId="1" fontId="1" fillId="0" borderId="76" xfId="0" applyNumberFormat="1" applyFont="1" applyFill="1" applyBorder="1" applyAlignment="1" applyProtection="1">
      <alignment horizontal="center"/>
      <protection locked="0"/>
    </xf>
    <xf numFmtId="1" fontId="1" fillId="0" borderId="14" xfId="0" applyNumberFormat="1" applyFont="1" applyFill="1" applyBorder="1" applyAlignment="1" applyProtection="1">
      <alignment horizontal="center"/>
      <protection locked="0"/>
    </xf>
    <xf numFmtId="1" fontId="1" fillId="0" borderId="77" xfId="0" applyNumberFormat="1" applyFont="1" applyFill="1" applyBorder="1" applyAlignment="1" applyProtection="1">
      <alignment horizontal="center"/>
      <protection locked="0"/>
    </xf>
    <xf numFmtId="0" fontId="1" fillId="0" borderId="26" xfId="0" applyNumberFormat="1" applyFont="1" applyFill="1" applyBorder="1" applyAlignment="1" applyProtection="1">
      <alignment horizontal="center"/>
      <protection locked="0"/>
    </xf>
    <xf numFmtId="171" fontId="18" fillId="0" borderId="11" xfId="0" applyNumberFormat="1" applyFont="1" applyFill="1" applyBorder="1" applyAlignment="1" applyProtection="1">
      <alignment horizontal="center"/>
    </xf>
    <xf numFmtId="0" fontId="1" fillId="0" borderId="78" xfId="0" applyFont="1" applyBorder="1"/>
    <xf numFmtId="0" fontId="1" fillId="0" borderId="27" xfId="0" applyFont="1" applyBorder="1"/>
    <xf numFmtId="0" fontId="8" fillId="0" borderId="52" xfId="0" applyFont="1" applyBorder="1"/>
    <xf numFmtId="0" fontId="8" fillId="0" borderId="66" xfId="0" applyFont="1" applyBorder="1"/>
    <xf numFmtId="0" fontId="8" fillId="0" borderId="45" xfId="0" applyFont="1" applyBorder="1"/>
    <xf numFmtId="0" fontId="8" fillId="0" borderId="27" xfId="0" applyFont="1" applyBorder="1"/>
    <xf numFmtId="0" fontId="8" fillId="0" borderId="66" xfId="0" applyFont="1" applyBorder="1" applyAlignment="1">
      <alignment horizontal="center"/>
    </xf>
    <xf numFmtId="0" fontId="8" fillId="0" borderId="65" xfId="0" applyFont="1" applyBorder="1" applyAlignment="1">
      <alignment horizontal="center"/>
    </xf>
    <xf numFmtId="0" fontId="8" fillId="0" borderId="79" xfId="0" applyFont="1" applyBorder="1"/>
    <xf numFmtId="0" fontId="8" fillId="0" borderId="80" xfId="0" applyFont="1" applyBorder="1"/>
    <xf numFmtId="0" fontId="8" fillId="0" borderId="11" xfId="0" applyFont="1" applyBorder="1"/>
    <xf numFmtId="0" fontId="8" fillId="0" borderId="75" xfId="0" applyFont="1" applyBorder="1"/>
    <xf numFmtId="0" fontId="8" fillId="0" borderId="23" xfId="0" applyFont="1" applyBorder="1" applyAlignment="1" applyProtection="1"/>
    <xf numFmtId="0" fontId="8" fillId="0" borderId="24" xfId="0" applyFont="1" applyBorder="1" applyProtection="1"/>
    <xf numFmtId="0" fontId="8" fillId="0" borderId="30" xfId="0" applyFont="1" applyBorder="1" applyProtection="1"/>
    <xf numFmtId="0" fontId="8" fillId="0" borderId="25" xfId="0" applyFont="1" applyBorder="1" applyAlignment="1" applyProtection="1"/>
    <xf numFmtId="0" fontId="8" fillId="0" borderId="1" xfId="0" applyFont="1" applyBorder="1" applyProtection="1"/>
    <xf numFmtId="0" fontId="8" fillId="0" borderId="29" xfId="0" applyFont="1" applyBorder="1" applyProtection="1"/>
    <xf numFmtId="0" fontId="8" fillId="0" borderId="52" xfId="0" applyFont="1" applyBorder="1" applyAlignment="1" applyProtection="1"/>
    <xf numFmtId="0" fontId="8" fillId="0" borderId="66" xfId="0" applyFont="1" applyBorder="1" applyProtection="1"/>
    <xf numFmtId="0" fontId="8" fillId="0" borderId="65" xfId="0" applyFont="1" applyBorder="1" applyProtection="1"/>
    <xf numFmtId="0" fontId="11" fillId="5" borderId="76" xfId="0" applyFont="1" applyFill="1" applyBorder="1" applyAlignment="1" applyProtection="1">
      <alignment horizontal="center"/>
    </xf>
    <xf numFmtId="0" fontId="11" fillId="5" borderId="14" xfId="0" applyFont="1" applyFill="1" applyBorder="1" applyAlignment="1" applyProtection="1">
      <alignment horizontal="center"/>
    </xf>
    <xf numFmtId="0" fontId="11" fillId="5" borderId="77" xfId="0" applyFont="1" applyFill="1" applyBorder="1" applyAlignment="1" applyProtection="1">
      <alignment horizontal="center"/>
    </xf>
    <xf numFmtId="0" fontId="11" fillId="5" borderId="31" xfId="0" quotePrefix="1" applyFont="1" applyFill="1" applyBorder="1" applyAlignment="1" applyProtection="1">
      <alignment horizontal="center"/>
    </xf>
    <xf numFmtId="0" fontId="11" fillId="5" borderId="69" xfId="0" quotePrefix="1" applyFont="1" applyFill="1" applyBorder="1" applyAlignment="1" applyProtection="1">
      <alignment horizontal="center"/>
    </xf>
    <xf numFmtId="0" fontId="11" fillId="5" borderId="58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2" fillId="0" borderId="0" xfId="0" applyFont="1" applyAlignment="1">
      <alignment wrapText="1"/>
    </xf>
    <xf numFmtId="0" fontId="3" fillId="0" borderId="76" xfId="2" applyFont="1" applyBorder="1" applyAlignment="1" applyProtection="1">
      <alignment horizontal="center"/>
    </xf>
    <xf numFmtId="0" fontId="3" fillId="0" borderId="77" xfId="2" applyFont="1" applyBorder="1" applyAlignment="1" applyProtection="1">
      <alignment horizontal="center"/>
    </xf>
    <xf numFmtId="0" fontId="3" fillId="0" borderId="31" xfId="2" applyFont="1" applyBorder="1" applyAlignment="1" applyProtection="1">
      <alignment horizontal="center"/>
    </xf>
    <xf numFmtId="0" fontId="3" fillId="0" borderId="58" xfId="2" applyFont="1" applyBorder="1" applyAlignment="1" applyProtection="1">
      <alignment horizontal="center"/>
    </xf>
    <xf numFmtId="0" fontId="3" fillId="0" borderId="5" xfId="2" applyFont="1" applyBorder="1" applyAlignment="1" applyProtection="1">
      <alignment horizontal="center"/>
    </xf>
    <xf numFmtId="0" fontId="3" fillId="0" borderId="72" xfId="2" applyFont="1" applyBorder="1" applyAlignment="1" applyProtection="1">
      <alignment horizontal="center"/>
    </xf>
    <xf numFmtId="0" fontId="3" fillId="0" borderId="81" xfId="2" applyFont="1" applyBorder="1" applyProtection="1"/>
    <xf numFmtId="0" fontId="3" fillId="0" borderId="74" xfId="2" quotePrefix="1" applyFont="1" applyBorder="1" applyAlignment="1" applyProtection="1">
      <alignment horizontal="left"/>
    </xf>
    <xf numFmtId="0" fontId="3" fillId="0" borderId="74" xfId="2" applyFont="1" applyBorder="1" applyProtection="1"/>
    <xf numFmtId="0" fontId="3" fillId="0" borderId="68" xfId="2" applyFont="1" applyBorder="1" applyProtection="1"/>
    <xf numFmtId="0" fontId="3" fillId="0" borderId="81" xfId="2" applyFont="1" applyBorder="1" applyAlignment="1" applyProtection="1">
      <alignment horizontal="left"/>
    </xf>
    <xf numFmtId="0" fontId="3" fillId="0" borderId="60" xfId="2" applyFont="1" applyBorder="1" applyAlignment="1" applyProtection="1">
      <alignment horizontal="center"/>
    </xf>
    <xf numFmtId="0" fontId="3" fillId="6" borderId="52" xfId="0" applyFont="1" applyFill="1" applyBorder="1" applyAlignment="1" applyProtection="1">
      <alignment horizontal="center"/>
    </xf>
    <xf numFmtId="0" fontId="3" fillId="6" borderId="65" xfId="0" applyFont="1" applyFill="1" applyBorder="1" applyAlignment="1" applyProtection="1">
      <alignment horizontal="center" shrinkToFit="1"/>
    </xf>
    <xf numFmtId="0" fontId="1" fillId="0" borderId="0" xfId="0" applyFont="1" applyAlignment="1">
      <alignment horizontal="center"/>
    </xf>
    <xf numFmtId="0" fontId="1" fillId="0" borderId="74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17" fillId="0" borderId="0" xfId="0" applyFont="1"/>
    <xf numFmtId="0" fontId="17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170" fontId="13" fillId="0" borderId="0" xfId="0" applyNumberFormat="1" applyFont="1" applyProtection="1"/>
    <xf numFmtId="0" fontId="0" fillId="0" borderId="0" xfId="0" quotePrefix="1" applyAlignment="1">
      <alignment horizontal="left"/>
    </xf>
    <xf numFmtId="0" fontId="57" fillId="0" borderId="0" xfId="0" applyFont="1"/>
    <xf numFmtId="0" fontId="58" fillId="0" borderId="14" xfId="0" quotePrefix="1" applyFont="1" applyBorder="1" applyAlignment="1">
      <alignment horizontal="left"/>
    </xf>
    <xf numFmtId="0" fontId="58" fillId="0" borderId="14" xfId="0" applyFont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57" fillId="0" borderId="0" xfId="0" applyFont="1" applyAlignment="1"/>
    <xf numFmtId="169" fontId="0" fillId="0" borderId="0" xfId="0" applyNumberFormat="1" applyBorder="1"/>
    <xf numFmtId="0" fontId="0" fillId="0" borderId="0" xfId="0" quotePrefix="1" applyBorder="1" applyAlignment="1">
      <alignment horizontal="left"/>
    </xf>
    <xf numFmtId="0" fontId="13" fillId="0" borderId="10" xfId="0" applyFont="1" applyBorder="1" applyAlignment="1">
      <alignment horizontal="center" vertical="center"/>
    </xf>
    <xf numFmtId="165" fontId="8" fillId="3" borderId="32" xfId="2" applyNumberFormat="1" applyFont="1" applyFill="1" applyBorder="1" applyAlignment="1" applyProtection="1">
      <alignment horizontal="center"/>
    </xf>
    <xf numFmtId="165" fontId="8" fillId="3" borderId="1" xfId="2" applyNumberFormat="1" applyFont="1" applyFill="1" applyBorder="1" applyAlignment="1" applyProtection="1">
      <alignment horizontal="center"/>
    </xf>
    <xf numFmtId="165" fontId="8" fillId="3" borderId="25" xfId="2" applyNumberFormat="1" applyFont="1" applyFill="1" applyBorder="1" applyAlignment="1" applyProtection="1">
      <alignment horizontal="center"/>
    </xf>
    <xf numFmtId="165" fontId="6" fillId="3" borderId="25" xfId="2" applyNumberFormat="1" applyFont="1" applyFill="1" applyBorder="1" applyAlignment="1" applyProtection="1">
      <alignment horizontal="center"/>
    </xf>
    <xf numFmtId="165" fontId="8" fillId="3" borderId="29" xfId="2" applyNumberFormat="1" applyFont="1" applyFill="1" applyBorder="1" applyAlignment="1" applyProtection="1">
      <alignment horizontal="center"/>
    </xf>
    <xf numFmtId="165" fontId="7" fillId="3" borderId="2" xfId="2" applyNumberFormat="1" applyFont="1" applyFill="1" applyBorder="1" applyAlignment="1" applyProtection="1">
      <alignment horizontal="center"/>
    </xf>
    <xf numFmtId="0" fontId="7" fillId="3" borderId="3" xfId="2" applyFont="1" applyFill="1" applyBorder="1" applyAlignment="1" applyProtection="1">
      <alignment horizontal="center"/>
    </xf>
    <xf numFmtId="0" fontId="7" fillId="3" borderId="4" xfId="2" applyFont="1" applyFill="1" applyBorder="1" applyAlignment="1" applyProtection="1">
      <alignment horizontal="center"/>
    </xf>
    <xf numFmtId="2" fontId="7" fillId="3" borderId="4" xfId="2" applyNumberFormat="1" applyFont="1" applyFill="1" applyBorder="1" applyAlignment="1" applyProtection="1">
      <alignment horizontal="center"/>
    </xf>
    <xf numFmtId="165" fontId="8" fillId="3" borderId="27" xfId="2" applyNumberFormat="1" applyFont="1" applyFill="1" applyBorder="1" applyAlignment="1" applyProtection="1">
      <alignment horizontal="center"/>
    </xf>
    <xf numFmtId="165" fontId="8" fillId="3" borderId="79" xfId="2" applyNumberFormat="1" applyFont="1" applyFill="1" applyBorder="1" applyAlignment="1" applyProtection="1">
      <alignment horizontal="center"/>
    </xf>
    <xf numFmtId="165" fontId="7" fillId="3" borderId="82" xfId="2" applyNumberFormat="1" applyFont="1" applyFill="1" applyBorder="1" applyAlignment="1" applyProtection="1">
      <alignment horizontal="center"/>
    </xf>
    <xf numFmtId="165" fontId="7" fillId="3" borderId="59" xfId="2" applyNumberFormat="1" applyFont="1" applyFill="1" applyBorder="1" applyAlignment="1" applyProtection="1">
      <alignment horizontal="center"/>
    </xf>
    <xf numFmtId="165" fontId="7" fillId="3" borderId="83" xfId="2" applyNumberFormat="1" applyFont="1" applyFill="1" applyBorder="1" applyAlignment="1" applyProtection="1">
      <alignment horizontal="center"/>
    </xf>
    <xf numFmtId="165" fontId="7" fillId="3" borderId="10" xfId="2" applyNumberFormat="1" applyFont="1" applyFill="1" applyBorder="1" applyAlignment="1" applyProtection="1">
      <alignment horizontal="center"/>
    </xf>
    <xf numFmtId="165" fontId="7" fillId="3" borderId="8" xfId="1" applyNumberFormat="1" applyFont="1" applyFill="1" applyBorder="1" applyAlignment="1" applyProtection="1">
      <alignment horizontal="center"/>
    </xf>
    <xf numFmtId="165" fontId="7" fillId="3" borderId="82" xfId="1" applyNumberFormat="1" applyFont="1" applyFill="1" applyBorder="1" applyAlignment="1" applyProtection="1">
      <alignment horizontal="center"/>
    </xf>
    <xf numFmtId="165" fontId="7" fillId="3" borderId="59" xfId="1" applyNumberFormat="1" applyFont="1" applyFill="1" applyBorder="1" applyAlignment="1" applyProtection="1">
      <alignment horizontal="center"/>
    </xf>
    <xf numFmtId="165" fontId="8" fillId="3" borderId="8" xfId="2" applyNumberFormat="1" applyFont="1" applyFill="1" applyBorder="1" applyAlignment="1" applyProtection="1">
      <alignment horizontal="center"/>
    </xf>
    <xf numFmtId="165" fontId="8" fillId="3" borderId="82" xfId="2" applyNumberFormat="1" applyFont="1" applyFill="1" applyBorder="1" applyAlignment="1" applyProtection="1">
      <alignment horizontal="center"/>
    </xf>
    <xf numFmtId="165" fontId="8" fillId="3" borderId="59" xfId="2" applyNumberFormat="1" applyFont="1" applyFill="1" applyBorder="1" applyAlignment="1" applyProtection="1">
      <alignment horizontal="center"/>
    </xf>
    <xf numFmtId="165" fontId="7" fillId="3" borderId="31" xfId="2" applyNumberFormat="1" applyFont="1" applyFill="1" applyBorder="1" applyAlignment="1" applyProtection="1">
      <alignment horizontal="center"/>
    </xf>
    <xf numFmtId="165" fontId="7" fillId="3" borderId="58" xfId="2" applyNumberFormat="1" applyFont="1" applyFill="1" applyBorder="1" applyAlignment="1" applyProtection="1">
      <alignment horizontal="center"/>
    </xf>
    <xf numFmtId="165" fontId="8" fillId="3" borderId="0" xfId="2" applyNumberFormat="1" applyFont="1" applyFill="1" applyBorder="1" applyAlignment="1" applyProtection="1">
      <alignment horizontal="center"/>
    </xf>
    <xf numFmtId="165" fontId="8" fillId="3" borderId="13" xfId="2" applyNumberFormat="1" applyFont="1" applyFill="1" applyBorder="1" applyAlignment="1" applyProtection="1">
      <alignment horizontal="center"/>
    </xf>
    <xf numFmtId="165" fontId="7" fillId="3" borderId="18" xfId="2" applyNumberFormat="1" applyFont="1" applyFill="1" applyBorder="1" applyAlignment="1" applyProtection="1">
      <alignment horizontal="center"/>
    </xf>
    <xf numFmtId="0" fontId="8" fillId="3" borderId="36" xfId="2" applyFont="1" applyFill="1" applyBorder="1" applyAlignment="1" applyProtection="1">
      <alignment horizontal="center"/>
    </xf>
    <xf numFmtId="0" fontId="8" fillId="3" borderId="84" xfId="2" applyFont="1" applyFill="1" applyBorder="1" applyProtection="1"/>
    <xf numFmtId="0" fontId="7" fillId="3" borderId="20" xfId="2" quotePrefix="1" applyFont="1" applyFill="1" applyBorder="1" applyAlignment="1" applyProtection="1">
      <alignment horizontal="center"/>
    </xf>
    <xf numFmtId="49" fontId="3" fillId="6" borderId="65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vertical="center" wrapText="1"/>
    </xf>
    <xf numFmtId="169" fontId="3" fillId="6" borderId="52" xfId="0" applyNumberFormat="1" applyFont="1" applyFill="1" applyBorder="1" applyAlignment="1" applyProtection="1">
      <alignment horizontal="center" vertical="center" wrapText="1"/>
    </xf>
    <xf numFmtId="169" fontId="3" fillId="6" borderId="66" xfId="0" applyNumberFormat="1" applyFont="1" applyFill="1" applyBorder="1" applyAlignment="1" applyProtection="1">
      <alignment horizontal="center" vertical="center" wrapText="1"/>
    </xf>
    <xf numFmtId="0" fontId="59" fillId="0" borderId="0" xfId="0" applyFont="1" applyFill="1" applyAlignment="1">
      <alignment vertical="center" wrapText="1"/>
    </xf>
    <xf numFmtId="0" fontId="0" fillId="0" borderId="0" xfId="0" applyFill="1" applyAlignment="1"/>
    <xf numFmtId="0" fontId="0" fillId="0" borderId="0" xfId="0" applyFill="1"/>
    <xf numFmtId="170" fontId="13" fillId="0" borderId="3" xfId="0" applyNumberFormat="1" applyFont="1" applyBorder="1" applyAlignment="1" applyProtection="1">
      <alignment horizontal="center"/>
    </xf>
    <xf numFmtId="0" fontId="8" fillId="5" borderId="5" xfId="2" applyFont="1" applyFill="1" applyBorder="1" applyAlignment="1" applyProtection="1">
      <alignment horizontal="center" vertical="center"/>
      <protection locked="0"/>
    </xf>
    <xf numFmtId="165" fontId="6" fillId="0" borderId="16" xfId="0" applyNumberFormat="1" applyFont="1" applyBorder="1" applyProtection="1"/>
    <xf numFmtId="165" fontId="6" fillId="0" borderId="45" xfId="0" applyNumberFormat="1" applyFont="1" applyBorder="1" applyProtection="1"/>
    <xf numFmtId="165" fontId="6" fillId="0" borderId="9" xfId="0" applyNumberFormat="1" applyFont="1" applyBorder="1" applyAlignment="1" applyProtection="1">
      <alignment horizontal="center"/>
    </xf>
    <xf numFmtId="165" fontId="6" fillId="0" borderId="34" xfId="0" applyNumberFormat="1" applyFont="1" applyBorder="1" applyProtection="1"/>
    <xf numFmtId="165" fontId="6" fillId="0" borderId="18" xfId="0" applyNumberFormat="1" applyFont="1" applyBorder="1" applyProtection="1"/>
    <xf numFmtId="165" fontId="60" fillId="0" borderId="61" xfId="0" applyNumberFormat="1" applyFont="1" applyFill="1" applyBorder="1" applyAlignment="1" applyProtection="1">
      <alignment horizontal="center"/>
      <protection locked="0"/>
    </xf>
    <xf numFmtId="165" fontId="60" fillId="0" borderId="62" xfId="0" applyNumberFormat="1" applyFont="1" applyFill="1" applyBorder="1" applyAlignment="1" applyProtection="1">
      <alignment horizontal="center"/>
      <protection locked="0"/>
    </xf>
    <xf numFmtId="1" fontId="60" fillId="0" borderId="61" xfId="0" applyNumberFormat="1" applyFont="1" applyFill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52" fillId="7" borderId="0" xfId="0" applyFont="1" applyFill="1" applyAlignment="1">
      <alignment horizontal="center" vertical="distributed"/>
    </xf>
    <xf numFmtId="0" fontId="16" fillId="0" borderId="0" xfId="0" applyFont="1" applyAlignment="1">
      <alignment horizontal="left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7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56" fillId="4" borderId="2" xfId="0" applyFont="1" applyFill="1" applyBorder="1" applyAlignment="1" applyProtection="1">
      <alignment horizontal="center"/>
    </xf>
    <xf numFmtId="0" fontId="56" fillId="4" borderId="3" xfId="0" applyFont="1" applyFill="1" applyBorder="1" applyAlignment="1" applyProtection="1">
      <alignment horizontal="center"/>
    </xf>
    <xf numFmtId="0" fontId="56" fillId="4" borderId="4" xfId="0" applyFont="1" applyFill="1" applyBorder="1" applyAlignment="1" applyProtection="1">
      <alignment horizontal="center"/>
    </xf>
    <xf numFmtId="49" fontId="19" fillId="0" borderId="0" xfId="0" applyNumberFormat="1" applyFont="1" applyBorder="1" applyAlignment="1" applyProtection="1">
      <alignment horizontal="left" vertical="top"/>
      <protection hidden="1"/>
    </xf>
    <xf numFmtId="0" fontId="13" fillId="0" borderId="0" xfId="0" applyFont="1" applyAlignment="1" applyProtection="1">
      <alignment horizontal="center"/>
    </xf>
    <xf numFmtId="0" fontId="43" fillId="0" borderId="0" xfId="0" applyFont="1" applyBorder="1" applyAlignment="1" applyProtection="1">
      <alignment horizontal="center" vertical="center"/>
    </xf>
    <xf numFmtId="0" fontId="43" fillId="0" borderId="0" xfId="0" applyFont="1" applyAlignment="1" applyProtection="1">
      <alignment horizontal="center" vertical="center"/>
    </xf>
    <xf numFmtId="0" fontId="43" fillId="0" borderId="85" xfId="0" applyFont="1" applyBorder="1" applyAlignment="1" applyProtection="1">
      <alignment horizontal="center" vertical="center"/>
    </xf>
    <xf numFmtId="170" fontId="45" fillId="5" borderId="2" xfId="0" applyNumberFormat="1" applyFont="1" applyFill="1" applyBorder="1" applyAlignment="1" applyProtection="1">
      <alignment horizontal="center"/>
    </xf>
    <xf numFmtId="170" fontId="45" fillId="5" borderId="3" xfId="0" applyNumberFormat="1" applyFont="1" applyFill="1" applyBorder="1" applyAlignment="1" applyProtection="1">
      <alignment horizontal="center"/>
    </xf>
    <xf numFmtId="170" fontId="45" fillId="5" borderId="4" xfId="0" applyNumberFormat="1" applyFont="1" applyFill="1" applyBorder="1" applyAlignment="1" applyProtection="1">
      <alignment horizontal="center"/>
    </xf>
    <xf numFmtId="0" fontId="55" fillId="0" borderId="16" xfId="0" applyFont="1" applyBorder="1" applyAlignment="1" applyProtection="1">
      <alignment horizontal="center" vertical="center"/>
    </xf>
    <xf numFmtId="0" fontId="55" fillId="0" borderId="17" xfId="0" applyFont="1" applyBorder="1" applyAlignment="1" applyProtection="1">
      <alignment horizontal="center" vertical="center"/>
    </xf>
    <xf numFmtId="0" fontId="55" fillId="0" borderId="18" xfId="0" applyFont="1" applyBorder="1" applyAlignment="1" applyProtection="1">
      <alignment horizontal="center" vertical="center"/>
    </xf>
    <xf numFmtId="0" fontId="55" fillId="0" borderId="71" xfId="0" applyFont="1" applyBorder="1" applyAlignment="1" applyProtection="1">
      <alignment horizontal="center" vertical="center"/>
    </xf>
    <xf numFmtId="0" fontId="55" fillId="0" borderId="0" xfId="0" applyFont="1" applyBorder="1" applyAlignment="1" applyProtection="1">
      <alignment horizontal="center" vertical="center"/>
    </xf>
    <xf numFmtId="0" fontId="55" fillId="0" borderId="73" xfId="0" applyFont="1" applyBorder="1" applyAlignment="1" applyProtection="1">
      <alignment horizontal="center" vertical="center"/>
    </xf>
    <xf numFmtId="0" fontId="55" fillId="0" borderId="19" xfId="0" applyFont="1" applyBorder="1" applyAlignment="1" applyProtection="1">
      <alignment horizontal="center" vertical="center"/>
    </xf>
    <xf numFmtId="0" fontId="55" fillId="0" borderId="15" xfId="0" applyFont="1" applyBorder="1" applyAlignment="1" applyProtection="1">
      <alignment horizontal="center" vertical="center"/>
    </xf>
    <xf numFmtId="0" fontId="55" fillId="0" borderId="20" xfId="0" applyFont="1" applyBorder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42" fillId="0" borderId="85" xfId="0" applyFont="1" applyBorder="1" applyAlignment="1" applyProtection="1">
      <alignment horizontal="center" vertical="center"/>
    </xf>
    <xf numFmtId="165" fontId="0" fillId="0" borderId="37" xfId="0" applyNumberForma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165" fontId="0" fillId="0" borderId="36" xfId="0" applyNumberFormat="1" applyBorder="1" applyAlignment="1" applyProtection="1">
      <alignment horizontal="center"/>
    </xf>
    <xf numFmtId="165" fontId="0" fillId="0" borderId="84" xfId="0" applyNumberFormat="1" applyBorder="1" applyAlignment="1" applyProtection="1">
      <alignment horizontal="center"/>
    </xf>
    <xf numFmtId="0" fontId="3" fillId="0" borderId="81" xfId="2" applyFont="1" applyBorder="1" applyAlignment="1" applyProtection="1">
      <alignment horizontal="center" vertical="center"/>
    </xf>
    <xf numFmtId="0" fontId="3" fillId="0" borderId="68" xfId="2" applyFont="1" applyBorder="1" applyAlignment="1" applyProtection="1">
      <alignment horizontal="center" vertical="center"/>
    </xf>
    <xf numFmtId="0" fontId="3" fillId="0" borderId="71" xfId="2" applyFont="1" applyBorder="1" applyAlignment="1" applyProtection="1">
      <alignment horizontal="center" vertical="center"/>
    </xf>
    <xf numFmtId="0" fontId="3" fillId="0" borderId="73" xfId="2" applyFont="1" applyBorder="1" applyAlignment="1" applyProtection="1">
      <alignment horizontal="center" vertical="center"/>
    </xf>
    <xf numFmtId="0" fontId="3" fillId="0" borderId="39" xfId="2" applyFont="1" applyBorder="1" applyAlignment="1" applyProtection="1"/>
    <xf numFmtId="0" fontId="3" fillId="0" borderId="40" xfId="2" applyFont="1" applyBorder="1" applyAlignment="1" applyProtection="1"/>
    <xf numFmtId="0" fontId="3" fillId="0" borderId="19" xfId="2" applyFont="1" applyBorder="1" applyAlignment="1" applyProtection="1"/>
    <xf numFmtId="0" fontId="3" fillId="0" borderId="20" xfId="2" applyFont="1" applyBorder="1" applyAlignment="1" applyProtection="1"/>
    <xf numFmtId="0" fontId="6" fillId="8" borderId="25" xfId="2" applyNumberFormat="1" applyFont="1" applyFill="1" applyBorder="1" applyAlignment="1" applyProtection="1">
      <alignment horizontal="center" vertical="center"/>
    </xf>
    <xf numFmtId="0" fontId="6" fillId="8" borderId="1" xfId="2" applyNumberFormat="1" applyFont="1" applyFill="1" applyBorder="1" applyAlignment="1" applyProtection="1">
      <alignment horizontal="center" vertical="center"/>
    </xf>
    <xf numFmtId="0" fontId="6" fillId="8" borderId="29" xfId="2" applyNumberFormat="1" applyFont="1" applyFill="1" applyBorder="1" applyAlignment="1" applyProtection="1">
      <alignment horizontal="center" vertical="center"/>
    </xf>
    <xf numFmtId="0" fontId="6" fillId="8" borderId="11" xfId="0" applyNumberFormat="1" applyFont="1" applyFill="1" applyBorder="1" applyAlignment="1" applyProtection="1">
      <alignment horizontal="center" vertical="center"/>
    </xf>
    <xf numFmtId="0" fontId="6" fillId="8" borderId="1" xfId="0" applyNumberFormat="1" applyFont="1" applyFill="1" applyBorder="1" applyAlignment="1" applyProtection="1">
      <alignment horizontal="center" vertical="center"/>
    </xf>
    <xf numFmtId="0" fontId="6" fillId="8" borderId="29" xfId="0" applyNumberFormat="1" applyFont="1" applyFill="1" applyBorder="1" applyAlignment="1" applyProtection="1">
      <alignment horizontal="center" vertical="center"/>
    </xf>
    <xf numFmtId="0" fontId="6" fillId="8" borderId="25" xfId="0" applyNumberFormat="1" applyFont="1" applyFill="1" applyBorder="1" applyAlignment="1" applyProtection="1">
      <alignment horizontal="center" vertical="center"/>
    </xf>
    <xf numFmtId="0" fontId="6" fillId="8" borderId="52" xfId="2" applyNumberFormat="1" applyFont="1" applyFill="1" applyBorder="1" applyAlignment="1" applyProtection="1">
      <alignment horizontal="center" vertical="center"/>
    </xf>
    <xf numFmtId="0" fontId="6" fillId="8" borderId="66" xfId="2" applyNumberFormat="1" applyFont="1" applyFill="1" applyBorder="1" applyAlignment="1" applyProtection="1">
      <alignment horizontal="center" vertical="center"/>
    </xf>
    <xf numFmtId="0" fontId="6" fillId="8" borderId="65" xfId="2" applyNumberFormat="1" applyFont="1" applyFill="1" applyBorder="1" applyAlignment="1" applyProtection="1">
      <alignment horizontal="center" vertical="center"/>
    </xf>
    <xf numFmtId="0" fontId="6" fillId="8" borderId="75" xfId="0" applyNumberFormat="1" applyFont="1" applyFill="1" applyBorder="1" applyAlignment="1" applyProtection="1">
      <alignment horizontal="center" vertical="center"/>
    </xf>
    <xf numFmtId="0" fontId="6" fillId="8" borderId="66" xfId="0" applyNumberFormat="1" applyFont="1" applyFill="1" applyBorder="1" applyAlignment="1" applyProtection="1">
      <alignment horizontal="center" vertical="center"/>
    </xf>
    <xf numFmtId="0" fontId="6" fillId="8" borderId="65" xfId="0" applyNumberFormat="1" applyFont="1" applyFill="1" applyBorder="1" applyAlignment="1" applyProtection="1">
      <alignment horizontal="center" vertical="center"/>
    </xf>
    <xf numFmtId="0" fontId="6" fillId="8" borderId="52" xfId="0" applyNumberFormat="1" applyFont="1" applyFill="1" applyBorder="1" applyAlignment="1" applyProtection="1">
      <alignment horizontal="center" vertical="center"/>
    </xf>
    <xf numFmtId="0" fontId="3" fillId="0" borderId="26" xfId="2" applyFont="1" applyBorder="1" applyAlignment="1" applyProtection="1">
      <alignment horizontal="center"/>
    </xf>
    <xf numFmtId="0" fontId="3" fillId="0" borderId="70" xfId="2" applyFont="1" applyBorder="1" applyAlignment="1" applyProtection="1">
      <alignment horizontal="center"/>
    </xf>
    <xf numFmtId="0" fontId="21" fillId="0" borderId="15" xfId="2" applyFont="1" applyBorder="1" applyAlignment="1" applyProtection="1">
      <alignment horizontal="center" vertical="center"/>
    </xf>
    <xf numFmtId="169" fontId="41" fillId="0" borderId="15" xfId="2" applyNumberFormat="1" applyFont="1" applyBorder="1" applyAlignment="1" applyProtection="1">
      <alignment horizontal="center" vertical="center"/>
    </xf>
    <xf numFmtId="0" fontId="41" fillId="0" borderId="15" xfId="2" applyFont="1" applyBorder="1" applyAlignment="1" applyProtection="1">
      <alignment horizontal="center" vertical="center"/>
    </xf>
    <xf numFmtId="0" fontId="3" fillId="0" borderId="74" xfId="2" applyFont="1" applyBorder="1" applyAlignment="1" applyProtection="1">
      <alignment horizontal="center" vertical="center"/>
    </xf>
    <xf numFmtId="0" fontId="3" fillId="0" borderId="16" xfId="2" applyFont="1" applyBorder="1" applyAlignment="1" applyProtection="1">
      <alignment horizontal="center"/>
    </xf>
    <xf numFmtId="0" fontId="3" fillId="0" borderId="18" xfId="2" applyFont="1" applyBorder="1" applyAlignment="1" applyProtection="1">
      <alignment horizontal="center"/>
    </xf>
    <xf numFmtId="0" fontId="3" fillId="0" borderId="0" xfId="2" applyFont="1" applyAlignment="1" applyProtection="1">
      <alignment horizontal="center" vertical="center"/>
    </xf>
    <xf numFmtId="165" fontId="8" fillId="3" borderId="2" xfId="2" applyNumberFormat="1" applyFont="1" applyFill="1" applyBorder="1" applyAlignment="1" applyProtection="1">
      <alignment horizontal="center" vertical="center"/>
    </xf>
    <xf numFmtId="165" fontId="8" fillId="3" borderId="4" xfId="2" applyNumberFormat="1" applyFont="1" applyFill="1" applyBorder="1" applyAlignment="1" applyProtection="1">
      <alignment horizontal="center" vertical="center"/>
    </xf>
    <xf numFmtId="165" fontId="7" fillId="3" borderId="2" xfId="2" applyNumberFormat="1" applyFont="1" applyFill="1" applyBorder="1" applyAlignment="1" applyProtection="1">
      <alignment horizontal="center" vertical="center"/>
    </xf>
    <xf numFmtId="165" fontId="7" fillId="3" borderId="4" xfId="2" applyNumberFormat="1" applyFont="1" applyFill="1" applyBorder="1" applyAlignment="1" applyProtection="1">
      <alignment horizontal="center" vertical="center"/>
    </xf>
    <xf numFmtId="165" fontId="1" fillId="0" borderId="37" xfId="0" applyNumberFormat="1" applyFont="1" applyBorder="1" applyAlignment="1">
      <alignment horizontal="center"/>
    </xf>
    <xf numFmtId="165" fontId="1" fillId="0" borderId="38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5" fontId="6" fillId="0" borderId="38" xfId="0" applyNumberFormat="1" applyFont="1" applyBorder="1" applyAlignment="1">
      <alignment horizontal="center"/>
    </xf>
    <xf numFmtId="0" fontId="6" fillId="8" borderId="11" xfId="2" applyNumberFormat="1" applyFont="1" applyFill="1" applyBorder="1" applyAlignment="1" applyProtection="1">
      <alignment horizontal="center" vertical="center"/>
    </xf>
    <xf numFmtId="0" fontId="6" fillId="8" borderId="81" xfId="2" applyNumberFormat="1" applyFont="1" applyFill="1" applyBorder="1" applyAlignment="1" applyProtection="1">
      <alignment horizontal="center" vertical="center"/>
    </xf>
    <xf numFmtId="0" fontId="6" fillId="8" borderId="74" xfId="0" applyNumberFormat="1" applyFont="1" applyFill="1" applyBorder="1" applyAlignment="1" applyProtection="1">
      <alignment horizontal="center" vertical="center"/>
    </xf>
    <xf numFmtId="0" fontId="6" fillId="8" borderId="68" xfId="0" applyNumberFormat="1" applyFont="1" applyFill="1" applyBorder="1" applyAlignment="1" applyProtection="1">
      <alignment horizontal="center" vertical="center"/>
    </xf>
    <xf numFmtId="0" fontId="6" fillId="8" borderId="61" xfId="2" applyNumberFormat="1" applyFont="1" applyFill="1" applyBorder="1" applyAlignment="1" applyProtection="1">
      <alignment horizontal="center" vertical="center"/>
    </xf>
    <xf numFmtId="0" fontId="6" fillId="8" borderId="13" xfId="2" applyNumberFormat="1" applyFont="1" applyFill="1" applyBorder="1" applyAlignment="1" applyProtection="1">
      <alignment horizontal="center" vertical="center"/>
    </xf>
    <xf numFmtId="0" fontId="6" fillId="8" borderId="62" xfId="2" applyNumberFormat="1" applyFont="1" applyFill="1" applyBorder="1" applyAlignment="1" applyProtection="1">
      <alignment horizontal="center" vertical="center"/>
    </xf>
    <xf numFmtId="0" fontId="6" fillId="8" borderId="89" xfId="0" applyNumberFormat="1" applyFont="1" applyFill="1" applyBorder="1" applyAlignment="1" applyProtection="1">
      <alignment horizontal="center" vertical="center"/>
    </xf>
    <xf numFmtId="0" fontId="0" fillId="8" borderId="89" xfId="0" applyNumberFormat="1" applyFill="1" applyBorder="1" applyAlignment="1" applyProtection="1">
      <alignment horizontal="center" vertical="center"/>
    </xf>
    <xf numFmtId="0" fontId="0" fillId="8" borderId="38" xfId="0" applyNumberFormat="1" applyFill="1" applyBorder="1" applyAlignment="1" applyProtection="1">
      <alignment horizontal="center" vertical="center"/>
    </xf>
    <xf numFmtId="0" fontId="3" fillId="0" borderId="71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73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 wrapText="1"/>
    </xf>
    <xf numFmtId="0" fontId="6" fillId="5" borderId="2" xfId="0" applyFont="1" applyFill="1" applyBorder="1" applyAlignment="1" applyProtection="1">
      <alignment horizontal="center"/>
    </xf>
    <xf numFmtId="0" fontId="6" fillId="5" borderId="4" xfId="0" applyFont="1" applyFill="1" applyBorder="1" applyAlignment="1" applyProtection="1">
      <alignment horizontal="center"/>
    </xf>
    <xf numFmtId="0" fontId="3" fillId="0" borderId="5" xfId="2" applyFont="1" applyBorder="1" applyAlignment="1" applyProtection="1">
      <alignment horizontal="center" vertical="center" wrapText="1"/>
    </xf>
    <xf numFmtId="0" fontId="3" fillId="0" borderId="72" xfId="2" applyFont="1" applyBorder="1" applyAlignment="1" applyProtection="1">
      <alignment horizontal="center" vertical="center" wrapText="1"/>
    </xf>
    <xf numFmtId="0" fontId="3" fillId="0" borderId="70" xfId="2" applyFont="1" applyBorder="1" applyAlignment="1" applyProtection="1">
      <alignment horizontal="center" vertical="center" wrapText="1"/>
    </xf>
    <xf numFmtId="0" fontId="6" fillId="8" borderId="8" xfId="0" applyNumberFormat="1" applyFont="1" applyFill="1" applyBorder="1" applyAlignment="1" applyProtection="1">
      <alignment horizontal="center" vertical="center"/>
    </xf>
    <xf numFmtId="0" fontId="6" fillId="8" borderId="82" xfId="0" applyNumberFormat="1" applyFont="1" applyFill="1" applyBorder="1" applyAlignment="1" applyProtection="1">
      <alignment horizontal="center" vertical="center"/>
    </xf>
    <xf numFmtId="0" fontId="6" fillId="8" borderId="59" xfId="0" applyNumberFormat="1" applyFont="1" applyFill="1" applyBorder="1" applyAlignment="1" applyProtection="1">
      <alignment horizontal="center" vertical="center"/>
    </xf>
    <xf numFmtId="0" fontId="24" fillId="8" borderId="8" xfId="0" applyNumberFormat="1" applyFont="1" applyFill="1" applyBorder="1" applyAlignment="1" applyProtection="1">
      <alignment horizontal="center" vertical="center"/>
    </xf>
    <xf numFmtId="0" fontId="24" fillId="8" borderId="82" xfId="0" applyNumberFormat="1" applyFont="1" applyFill="1" applyBorder="1" applyAlignment="1" applyProtection="1">
      <alignment horizontal="center" vertical="center"/>
    </xf>
    <xf numFmtId="0" fontId="24" fillId="8" borderId="59" xfId="0" applyNumberFormat="1" applyFont="1" applyFill="1" applyBorder="1" applyAlignment="1" applyProtection="1">
      <alignment horizontal="center" vertical="center"/>
    </xf>
    <xf numFmtId="0" fontId="6" fillId="8" borderId="36" xfId="0" applyNumberFormat="1" applyFont="1" applyFill="1" applyBorder="1" applyAlignment="1" applyProtection="1">
      <alignment horizontal="left" vertical="center"/>
    </xf>
    <xf numFmtId="0" fontId="6" fillId="8" borderId="86" xfId="0" applyNumberFormat="1" applyFont="1" applyFill="1" applyBorder="1" applyAlignment="1" applyProtection="1">
      <alignment horizontal="left" vertical="center"/>
    </xf>
    <xf numFmtId="0" fontId="6" fillId="8" borderId="84" xfId="0" applyNumberFormat="1" applyFont="1" applyFill="1" applyBorder="1" applyAlignment="1" applyProtection="1">
      <alignment horizontal="left" vertical="center"/>
    </xf>
    <xf numFmtId="0" fontId="6" fillId="8" borderId="90" xfId="2" applyNumberFormat="1" applyFont="1" applyFill="1" applyBorder="1" applyAlignment="1" applyProtection="1">
      <alignment horizontal="center" vertical="center"/>
    </xf>
    <xf numFmtId="0" fontId="6" fillId="8" borderId="61" xfId="0" applyNumberFormat="1" applyFont="1" applyFill="1" applyBorder="1" applyAlignment="1" applyProtection="1">
      <alignment horizontal="center" vertical="center"/>
    </xf>
    <xf numFmtId="0" fontId="6" fillId="8" borderId="13" xfId="0" applyNumberFormat="1" applyFont="1" applyFill="1" applyBorder="1" applyAlignment="1" applyProtection="1">
      <alignment horizontal="center" vertical="center"/>
    </xf>
    <xf numFmtId="0" fontId="6" fillId="8" borderId="62" xfId="0" applyNumberFormat="1" applyFont="1" applyFill="1" applyBorder="1" applyAlignment="1" applyProtection="1">
      <alignment horizontal="center" vertical="center"/>
    </xf>
    <xf numFmtId="0" fontId="6" fillId="8" borderId="39" xfId="2" applyNumberFormat="1" applyFont="1" applyFill="1" applyBorder="1" applyAlignment="1" applyProtection="1">
      <alignment horizontal="center" vertical="center"/>
    </xf>
    <xf numFmtId="0" fontId="6" fillId="8" borderId="91" xfId="0" applyNumberFormat="1" applyFont="1" applyFill="1" applyBorder="1" applyAlignment="1" applyProtection="1">
      <alignment horizontal="center" vertical="center"/>
    </xf>
    <xf numFmtId="0" fontId="6" fillId="8" borderId="40" xfId="0" applyNumberFormat="1" applyFont="1" applyFill="1" applyBorder="1" applyAlignment="1" applyProtection="1">
      <alignment horizontal="center" vertical="center"/>
    </xf>
    <xf numFmtId="0" fontId="6" fillId="8" borderId="91" xfId="2" applyNumberFormat="1" applyFont="1" applyFill="1" applyBorder="1" applyAlignment="1" applyProtection="1">
      <alignment horizontal="center" vertical="center"/>
    </xf>
    <xf numFmtId="0" fontId="6" fillId="8" borderId="40" xfId="2" applyNumberFormat="1" applyFont="1" applyFill="1" applyBorder="1" applyAlignment="1" applyProtection="1">
      <alignment horizontal="center" vertical="center"/>
    </xf>
    <xf numFmtId="0" fontId="6" fillId="8" borderId="74" xfId="2" applyNumberFormat="1" applyFont="1" applyFill="1" applyBorder="1" applyAlignment="1" applyProtection="1">
      <alignment horizontal="center" vertical="center"/>
    </xf>
    <xf numFmtId="0" fontId="6" fillId="8" borderId="68" xfId="2" applyNumberFormat="1" applyFont="1" applyFill="1" applyBorder="1" applyAlignment="1" applyProtection="1">
      <alignment horizontal="center" vertical="center"/>
    </xf>
    <xf numFmtId="0" fontId="6" fillId="8" borderId="39" xfId="0" applyNumberFormat="1" applyFont="1" applyFill="1" applyBorder="1" applyAlignment="1" applyProtection="1">
      <alignment horizontal="center" vertical="center"/>
    </xf>
    <xf numFmtId="0" fontId="6" fillId="8" borderId="81" xfId="0" applyNumberFormat="1" applyFont="1" applyFill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49" fontId="3" fillId="0" borderId="14" xfId="2" applyNumberFormat="1" applyFont="1" applyBorder="1" applyAlignment="1" applyProtection="1">
      <alignment horizontal="center" vertical="center"/>
    </xf>
    <xf numFmtId="0" fontId="3" fillId="0" borderId="69" xfId="2" applyFont="1" applyBorder="1" applyAlignment="1" applyProtection="1">
      <alignment horizontal="center" vertical="center"/>
    </xf>
    <xf numFmtId="0" fontId="3" fillId="0" borderId="77" xfId="2" applyFont="1" applyBorder="1" applyAlignment="1" applyProtection="1">
      <alignment horizontal="center" vertical="center"/>
    </xf>
    <xf numFmtId="0" fontId="3" fillId="0" borderId="58" xfId="2" applyFont="1" applyBorder="1" applyAlignment="1" applyProtection="1">
      <alignment horizontal="center" vertical="center"/>
    </xf>
    <xf numFmtId="49" fontId="3" fillId="0" borderId="76" xfId="2" applyNumberFormat="1" applyFont="1" applyBorder="1" applyAlignment="1" applyProtection="1">
      <alignment horizontal="center" vertical="center"/>
    </xf>
    <xf numFmtId="0" fontId="3" fillId="0" borderId="31" xfId="2" applyFont="1" applyBorder="1" applyAlignment="1" applyProtection="1">
      <alignment horizontal="center" vertical="center"/>
    </xf>
    <xf numFmtId="49" fontId="3" fillId="0" borderId="77" xfId="2" applyNumberFormat="1" applyFont="1" applyBorder="1" applyAlignment="1" applyProtection="1">
      <alignment horizontal="center" vertical="center"/>
    </xf>
    <xf numFmtId="0" fontId="3" fillId="0" borderId="14" xfId="2" applyFont="1" applyBorder="1" applyAlignment="1" applyProtection="1">
      <alignment horizontal="center" vertical="center"/>
    </xf>
    <xf numFmtId="165" fontId="7" fillId="3" borderId="3" xfId="2" applyNumberFormat="1" applyFont="1" applyFill="1" applyBorder="1" applyAlignment="1" applyProtection="1">
      <alignment horizontal="center"/>
    </xf>
    <xf numFmtId="0" fontId="8" fillId="3" borderId="3" xfId="2" applyFont="1" applyFill="1" applyBorder="1" applyAlignment="1" applyProtection="1">
      <alignment horizontal="center"/>
    </xf>
    <xf numFmtId="0" fontId="8" fillId="3" borderId="4" xfId="2" applyFont="1" applyFill="1" applyBorder="1" applyAlignment="1" applyProtection="1">
      <alignment horizontal="center"/>
    </xf>
    <xf numFmtId="165" fontId="33" fillId="3" borderId="3" xfId="2" applyNumberFormat="1" applyFont="1" applyFill="1" applyBorder="1" applyAlignment="1" applyProtection="1">
      <alignment horizontal="center"/>
    </xf>
    <xf numFmtId="0" fontId="1" fillId="3" borderId="3" xfId="2" applyFont="1" applyFill="1" applyBorder="1" applyAlignment="1" applyProtection="1">
      <alignment horizontal="center"/>
    </xf>
    <xf numFmtId="0" fontId="1" fillId="3" borderId="4" xfId="2" applyFont="1" applyFill="1" applyBorder="1" applyAlignment="1" applyProtection="1">
      <alignment horizontal="center"/>
    </xf>
    <xf numFmtId="165" fontId="8" fillId="3" borderId="2" xfId="2" applyNumberFormat="1" applyFont="1" applyFill="1" applyBorder="1" applyAlignment="1" applyProtection="1">
      <alignment horizontal="center"/>
    </xf>
    <xf numFmtId="165" fontId="8" fillId="3" borderId="3" xfId="2" applyNumberFormat="1" applyFont="1" applyFill="1" applyBorder="1" applyAlignment="1" applyProtection="1">
      <alignment horizontal="center"/>
    </xf>
    <xf numFmtId="165" fontId="8" fillId="3" borderId="4" xfId="2" applyNumberFormat="1" applyFont="1" applyFill="1" applyBorder="1" applyAlignment="1" applyProtection="1">
      <alignment horizontal="center"/>
    </xf>
    <xf numFmtId="0" fontId="3" fillId="0" borderId="76" xfId="2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distributed"/>
    </xf>
    <xf numFmtId="0" fontId="3" fillId="0" borderId="72" xfId="0" applyFont="1" applyBorder="1" applyAlignment="1" applyProtection="1">
      <alignment horizontal="center" vertical="distributed"/>
    </xf>
    <xf numFmtId="0" fontId="3" fillId="0" borderId="70" xfId="0" applyFont="1" applyBorder="1" applyAlignment="1" applyProtection="1">
      <alignment horizontal="center" vertical="distributed"/>
    </xf>
    <xf numFmtId="0" fontId="3" fillId="0" borderId="16" xfId="2" applyFont="1" applyBorder="1" applyAlignment="1" applyProtection="1">
      <alignment horizontal="center" vertical="center"/>
    </xf>
    <xf numFmtId="0" fontId="3" fillId="0" borderId="17" xfId="2" applyFont="1" applyBorder="1" applyAlignment="1" applyProtection="1">
      <alignment horizontal="center" vertical="center"/>
    </xf>
    <xf numFmtId="0" fontId="3" fillId="0" borderId="18" xfId="2" applyFont="1" applyBorder="1" applyAlignment="1" applyProtection="1">
      <alignment horizontal="center" vertical="center"/>
    </xf>
    <xf numFmtId="0" fontId="3" fillId="0" borderId="17" xfId="2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4" fillId="0" borderId="2" xfId="0" applyFont="1" applyFill="1" applyBorder="1" applyAlignment="1" applyProtection="1">
      <alignment horizontal="center" vertical="center"/>
    </xf>
    <xf numFmtId="0" fontId="34" fillId="0" borderId="3" xfId="0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 applyProtection="1">
      <alignment horizontal="center" vertical="center"/>
    </xf>
    <xf numFmtId="165" fontId="7" fillId="3" borderId="88" xfId="2" applyNumberFormat="1" applyFont="1" applyFill="1" applyBorder="1" applyAlignment="1" applyProtection="1">
      <alignment horizontal="center"/>
    </xf>
    <xf numFmtId="0" fontId="8" fillId="0" borderId="2" xfId="2" applyFont="1" applyBorder="1" applyAlignment="1" applyProtection="1">
      <alignment horizontal="center" vertical="center"/>
    </xf>
    <xf numFmtId="0" fontId="8" fillId="0" borderId="4" xfId="2" applyFont="1" applyBorder="1" applyAlignment="1" applyProtection="1">
      <alignment horizontal="center" vertical="center"/>
    </xf>
    <xf numFmtId="0" fontId="3" fillId="0" borderId="37" xfId="2" applyFont="1" applyBorder="1" applyAlignment="1" applyProtection="1">
      <alignment horizontal="center"/>
    </xf>
    <xf numFmtId="0" fontId="3" fillId="0" borderId="89" xfId="2" applyFont="1" applyBorder="1" applyAlignment="1" applyProtection="1">
      <alignment horizontal="center"/>
    </xf>
    <xf numFmtId="0" fontId="3" fillId="0" borderId="11" xfId="2" applyFont="1" applyBorder="1" applyAlignment="1" applyProtection="1">
      <alignment horizontal="center"/>
    </xf>
    <xf numFmtId="0" fontId="3" fillId="0" borderId="27" xfId="2" applyFont="1" applyBorder="1" applyAlignment="1" applyProtection="1">
      <alignment horizontal="center"/>
    </xf>
    <xf numFmtId="0" fontId="3" fillId="0" borderId="38" xfId="2" applyFont="1" applyBorder="1" applyAlignment="1" applyProtection="1">
      <alignment horizontal="center"/>
    </xf>
    <xf numFmtId="0" fontId="17" fillId="0" borderId="15" xfId="2" applyFont="1" applyBorder="1" applyAlignment="1" applyProtection="1">
      <alignment horizontal="center"/>
    </xf>
    <xf numFmtId="165" fontId="8" fillId="3" borderId="86" xfId="2" applyNumberFormat="1" applyFont="1" applyFill="1" applyBorder="1" applyAlignment="1" applyProtection="1">
      <alignment horizontal="center"/>
    </xf>
    <xf numFmtId="165" fontId="6" fillId="0" borderId="36" xfId="0" applyNumberFormat="1" applyFont="1" applyBorder="1" applyAlignment="1">
      <alignment horizontal="center"/>
    </xf>
    <xf numFmtId="165" fontId="6" fillId="0" borderId="84" xfId="0" applyNumberFormat="1" applyFont="1" applyBorder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165" fontId="6" fillId="0" borderId="87" xfId="0" applyNumberFormat="1" applyFont="1" applyBorder="1" applyAlignment="1">
      <alignment horizontal="center"/>
    </xf>
    <xf numFmtId="0" fontId="3" fillId="0" borderId="0" xfId="2" applyFont="1" applyBorder="1" applyAlignment="1" applyProtection="1">
      <alignment horizontal="center" vertical="center"/>
    </xf>
    <xf numFmtId="165" fontId="0" fillId="0" borderId="48" xfId="0" applyNumberFormat="1" applyBorder="1" applyAlignment="1">
      <alignment horizontal="center"/>
    </xf>
    <xf numFmtId="165" fontId="0" fillId="0" borderId="87" xfId="0" applyNumberFormat="1" applyBorder="1" applyAlignment="1">
      <alignment horizontal="center"/>
    </xf>
    <xf numFmtId="0" fontId="11" fillId="0" borderId="76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11" fillId="0" borderId="72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9" fillId="0" borderId="81" xfId="0" applyFont="1" applyBorder="1" applyAlignment="1" applyProtection="1">
      <alignment horizontal="center" vertical="center"/>
    </xf>
    <xf numFmtId="0" fontId="9" fillId="0" borderId="74" xfId="0" applyFont="1" applyBorder="1" applyAlignment="1" applyProtection="1">
      <alignment horizontal="center" vertical="center"/>
    </xf>
    <xf numFmtId="0" fontId="9" fillId="0" borderId="68" xfId="0" applyFont="1" applyBorder="1" applyAlignment="1" applyProtection="1">
      <alignment horizontal="center" vertical="center"/>
    </xf>
    <xf numFmtId="0" fontId="11" fillId="0" borderId="77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71" xfId="0" applyFont="1" applyBorder="1" applyAlignment="1" applyProtection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/>
      <protection locked="0"/>
    </xf>
    <xf numFmtId="0" fontId="9" fillId="5" borderId="16" xfId="0" applyFont="1" applyFill="1" applyBorder="1" applyAlignment="1" applyProtection="1">
      <alignment horizontal="center" vertical="center" wrapText="1"/>
    </xf>
    <xf numFmtId="0" fontId="10" fillId="5" borderId="17" xfId="0" applyFont="1" applyFill="1" applyBorder="1" applyAlignment="1" applyProtection="1">
      <alignment horizontal="center" vertical="center" wrapText="1"/>
    </xf>
    <xf numFmtId="0" fontId="10" fillId="5" borderId="18" xfId="0" applyFont="1" applyFill="1" applyBorder="1" applyAlignment="1" applyProtection="1">
      <alignment horizontal="center" vertical="center" wrapText="1"/>
    </xf>
    <xf numFmtId="0" fontId="10" fillId="5" borderId="81" xfId="0" applyFont="1" applyFill="1" applyBorder="1" applyAlignment="1" applyProtection="1">
      <alignment horizontal="center" vertical="center" wrapText="1"/>
    </xf>
    <xf numFmtId="0" fontId="10" fillId="5" borderId="74" xfId="0" applyFont="1" applyFill="1" applyBorder="1" applyAlignment="1" applyProtection="1">
      <alignment horizontal="center" vertical="center" wrapText="1"/>
    </xf>
    <xf numFmtId="0" fontId="10" fillId="5" borderId="68" xfId="0" applyFont="1" applyFill="1" applyBorder="1" applyAlignment="1" applyProtection="1">
      <alignment horizontal="center" vertical="center" wrapText="1"/>
    </xf>
    <xf numFmtId="0" fontId="17" fillId="0" borderId="0" xfId="0" applyFont="1" applyBorder="1" applyAlignment="1" applyProtection="1">
      <alignment horizontal="center"/>
    </xf>
    <xf numFmtId="0" fontId="11" fillId="5" borderId="37" xfId="0" applyFont="1" applyFill="1" applyBorder="1" applyAlignment="1" applyProtection="1">
      <alignment horizontal="center" vertical="center"/>
    </xf>
    <xf numFmtId="0" fontId="11" fillId="5" borderId="89" xfId="0" applyFont="1" applyFill="1" applyBorder="1" applyAlignment="1" applyProtection="1">
      <alignment horizontal="center" vertical="center"/>
    </xf>
    <xf numFmtId="0" fontId="11" fillId="5" borderId="38" xfId="0" applyFont="1" applyFill="1" applyBorder="1" applyAlignment="1" applyProtection="1">
      <alignment horizontal="center" vertical="center"/>
    </xf>
    <xf numFmtId="0" fontId="9" fillId="0" borderId="16" xfId="0" applyFont="1" applyFill="1" applyBorder="1" applyAlignment="1" applyProtection="1">
      <alignment horizontal="center" vertical="center" wrapText="1"/>
    </xf>
    <xf numFmtId="0" fontId="10" fillId="0" borderId="17" xfId="0" applyFont="1" applyFill="1" applyBorder="1" applyAlignment="1" applyProtection="1">
      <alignment horizontal="center" vertical="center" wrapText="1"/>
    </xf>
    <xf numFmtId="0" fontId="10" fillId="0" borderId="18" xfId="0" applyFont="1" applyFill="1" applyBorder="1" applyAlignment="1" applyProtection="1">
      <alignment horizontal="center" vertical="center" wrapText="1"/>
    </xf>
    <xf numFmtId="0" fontId="10" fillId="0" borderId="81" xfId="0" applyFont="1" applyFill="1" applyBorder="1" applyAlignment="1" applyProtection="1">
      <alignment horizontal="center" vertical="center" wrapText="1"/>
    </xf>
    <xf numFmtId="0" fontId="10" fillId="0" borderId="74" xfId="0" applyFont="1" applyFill="1" applyBorder="1" applyAlignment="1" applyProtection="1">
      <alignment horizontal="center" vertical="center" wrapText="1"/>
    </xf>
    <xf numFmtId="0" fontId="10" fillId="0" borderId="68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center" vertical="center"/>
    </xf>
    <xf numFmtId="0" fontId="11" fillId="0" borderId="89" xfId="0" applyFont="1" applyBorder="1" applyAlignment="1" applyProtection="1">
      <alignment horizontal="center" vertical="center"/>
    </xf>
    <xf numFmtId="0" fontId="11" fillId="0" borderId="38" xfId="0" applyFont="1" applyBorder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81" xfId="0" applyFont="1" applyFill="1" applyBorder="1" applyAlignment="1" applyProtection="1">
      <alignment horizontal="center" vertical="center" wrapText="1"/>
    </xf>
    <xf numFmtId="0" fontId="9" fillId="0" borderId="74" xfId="0" applyFont="1" applyFill="1" applyBorder="1" applyAlignment="1" applyProtection="1">
      <alignment horizontal="center" vertical="center" wrapText="1"/>
    </xf>
    <xf numFmtId="0" fontId="9" fillId="0" borderId="68" xfId="0" applyFont="1" applyFill="1" applyBorder="1" applyAlignment="1" applyProtection="1">
      <alignment horizontal="center" vertical="center" wrapText="1"/>
    </xf>
    <xf numFmtId="0" fontId="11" fillId="0" borderId="11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37" xfId="0" applyFont="1" applyFill="1" applyBorder="1" applyAlignment="1" applyProtection="1">
      <alignment horizontal="center" vertical="center"/>
    </xf>
    <xf numFmtId="0" fontId="11" fillId="0" borderId="11" xfId="0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</xf>
    <xf numFmtId="0" fontId="11" fillId="0" borderId="38" xfId="0" applyFont="1" applyFill="1" applyBorder="1" applyAlignment="1" applyProtection="1">
      <alignment horizontal="center" vertical="center"/>
    </xf>
    <xf numFmtId="0" fontId="11" fillId="0" borderId="77" xfId="0" applyFont="1" applyFill="1" applyBorder="1" applyAlignment="1" applyProtection="1">
      <alignment horizontal="center" vertical="center"/>
    </xf>
    <xf numFmtId="0" fontId="11" fillId="0" borderId="58" xfId="0" applyFont="1" applyFill="1" applyBorder="1" applyAlignment="1" applyProtection="1">
      <alignment horizontal="center" vertical="center"/>
    </xf>
    <xf numFmtId="0" fontId="11" fillId="0" borderId="58" xfId="0" applyFont="1" applyBorder="1" applyAlignment="1" applyProtection="1">
      <alignment horizontal="center" vertical="center"/>
    </xf>
    <xf numFmtId="49" fontId="11" fillId="0" borderId="76" xfId="0" applyNumberFormat="1" applyFont="1" applyBorder="1" applyAlignment="1" applyProtection="1">
      <alignment horizontal="center" vertical="center"/>
    </xf>
    <xf numFmtId="0" fontId="11" fillId="0" borderId="76" xfId="0" applyFont="1" applyFill="1" applyBorder="1" applyAlignment="1" applyProtection="1">
      <alignment horizontal="center" vertical="center"/>
    </xf>
    <xf numFmtId="0" fontId="11" fillId="0" borderId="31" xfId="0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horizontal="center" vertical="center"/>
    </xf>
    <xf numFmtId="0" fontId="11" fillId="0" borderId="69" xfId="0" applyFont="1" applyFill="1" applyBorder="1" applyAlignment="1" applyProtection="1">
      <alignment horizontal="center" vertical="center"/>
    </xf>
    <xf numFmtId="0" fontId="11" fillId="0" borderId="31" xfId="0" applyFont="1" applyBorder="1" applyAlignment="1" applyProtection="1">
      <alignment horizontal="center" vertical="center"/>
    </xf>
    <xf numFmtId="0" fontId="11" fillId="0" borderId="69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2" fillId="0" borderId="27" xfId="0" applyFont="1" applyBorder="1" applyAlignment="1" applyProtection="1">
      <alignment horizontal="center"/>
    </xf>
    <xf numFmtId="0" fontId="12" fillId="0" borderId="89" xfId="0" applyFont="1" applyBorder="1" applyAlignment="1" applyProtection="1">
      <alignment horizontal="center"/>
    </xf>
    <xf numFmtId="0" fontId="12" fillId="0" borderId="92" xfId="0" applyFont="1" applyBorder="1" applyAlignment="1" applyProtection="1">
      <alignment horizontal="center" vertical="center" wrapText="1"/>
    </xf>
    <xf numFmtId="0" fontId="12" fillId="0" borderId="93" xfId="0" applyFont="1" applyBorder="1" applyAlignment="1" applyProtection="1">
      <alignment horizontal="center" vertical="center" wrapText="1"/>
    </xf>
    <xf numFmtId="0" fontId="12" fillId="0" borderId="94" xfId="0" applyFont="1" applyBorder="1" applyAlignment="1" applyProtection="1">
      <alignment horizontal="center" vertical="center" wrapText="1"/>
    </xf>
    <xf numFmtId="0" fontId="12" fillId="0" borderId="9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3" xfId="0" applyBorder="1" applyAlignment="1">
      <alignment horizontal="center" vertical="center" wrapText="1"/>
    </xf>
    <xf numFmtId="0" fontId="0" fillId="0" borderId="94" xfId="0" applyBorder="1" applyAlignment="1">
      <alignment horizontal="center" vertical="center" wrapText="1"/>
    </xf>
    <xf numFmtId="0" fontId="0" fillId="0" borderId="90" xfId="0" applyBorder="1" applyAlignment="1">
      <alignment horizontal="center" vertical="center" wrapText="1"/>
    </xf>
    <xf numFmtId="0" fontId="14" fillId="0" borderId="17" xfId="0" applyFont="1" applyBorder="1" applyAlignment="1" applyProtection="1">
      <alignment horizontal="center"/>
    </xf>
    <xf numFmtId="0" fontId="0" fillId="0" borderId="12" xfId="0" applyBorder="1" applyAlignment="1">
      <alignment horizontal="center" vertical="center" wrapText="1"/>
    </xf>
    <xf numFmtId="49" fontId="19" fillId="0" borderId="15" xfId="0" applyNumberFormat="1" applyFont="1" applyBorder="1" applyAlignment="1" applyProtection="1">
      <alignment horizontal="left"/>
      <protection hidden="1"/>
    </xf>
    <xf numFmtId="0" fontId="2" fillId="0" borderId="14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 applyProtection="1">
      <alignment horizontal="center" vertical="center" wrapText="1"/>
    </xf>
    <xf numFmtId="0" fontId="12" fillId="0" borderId="13" xfId="0" applyFont="1" applyFill="1" applyBorder="1" applyAlignment="1" applyProtection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6" borderId="14" xfId="0" applyFont="1" applyFill="1" applyBorder="1" applyAlignment="1" applyProtection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27" xfId="0" applyFont="1" applyFill="1" applyBorder="1" applyAlignment="1" applyProtection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4" xfId="0" applyFont="1" applyFill="1" applyBorder="1" applyAlignment="1" applyProtection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6" borderId="36" xfId="0" applyFont="1" applyFill="1" applyBorder="1" applyAlignment="1" applyProtection="1">
      <alignment horizontal="center"/>
    </xf>
    <xf numFmtId="0" fontId="3" fillId="6" borderId="84" xfId="0" applyFont="1" applyFill="1" applyBorder="1" applyAlignment="1" applyProtection="1">
      <alignment horizontal="center"/>
    </xf>
    <xf numFmtId="0" fontId="3" fillId="6" borderId="86" xfId="0" applyFont="1" applyFill="1" applyBorder="1" applyAlignment="1" applyProtection="1">
      <alignment horizontal="center"/>
    </xf>
    <xf numFmtId="0" fontId="3" fillId="6" borderId="5" xfId="0" applyFont="1" applyFill="1" applyBorder="1" applyAlignment="1" applyProtection="1">
      <alignment horizontal="center" vertical="center" wrapText="1"/>
    </xf>
    <xf numFmtId="0" fontId="3" fillId="6" borderId="70" xfId="0" applyFont="1" applyFill="1" applyBorder="1" applyAlignment="1" applyProtection="1">
      <alignment horizontal="center" vertical="center" wrapText="1"/>
    </xf>
    <xf numFmtId="169" fontId="13" fillId="0" borderId="3" xfId="2" applyNumberFormat="1" applyFont="1" applyBorder="1" applyAlignment="1" applyProtection="1">
      <alignment horizontal="center" vertical="center"/>
    </xf>
    <xf numFmtId="169" fontId="13" fillId="0" borderId="4" xfId="2" applyNumberFormat="1" applyFont="1" applyBorder="1" applyAlignment="1" applyProtection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17" fillId="0" borderId="66" xfId="0" quotePrefix="1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165" fontId="17" fillId="0" borderId="66" xfId="0" quotePrefix="1" applyNumberFormat="1" applyFont="1" applyBorder="1" applyAlignment="1">
      <alignment horizontal="center" vertical="center"/>
    </xf>
    <xf numFmtId="165" fontId="17" fillId="0" borderId="66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5" fontId="17" fillId="0" borderId="65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7" fillId="0" borderId="79" xfId="0" quotePrefix="1" applyFont="1" applyBorder="1" applyAlignment="1">
      <alignment horizontal="center" vertical="center"/>
    </xf>
    <xf numFmtId="0" fontId="17" fillId="0" borderId="75" xfId="0" quotePrefix="1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65" fontId="17" fillId="0" borderId="79" xfId="0" quotePrefix="1" applyNumberFormat="1" applyFont="1" applyBorder="1" applyAlignment="1">
      <alignment horizontal="center" vertical="center"/>
    </xf>
    <xf numFmtId="165" fontId="17" fillId="0" borderId="75" xfId="0" quotePrefix="1" applyNumberFormat="1" applyFont="1" applyBorder="1" applyAlignment="1">
      <alignment horizontal="center" vertical="center"/>
    </xf>
    <xf numFmtId="0" fontId="17" fillId="0" borderId="95" xfId="0" applyFont="1" applyBorder="1" applyAlignment="1">
      <alignment horizontal="center" vertical="center"/>
    </xf>
    <xf numFmtId="0" fontId="17" fillId="0" borderId="96" xfId="0" applyFont="1" applyBorder="1" applyAlignment="1">
      <alignment horizontal="center" vertical="center"/>
    </xf>
    <xf numFmtId="0" fontId="17" fillId="0" borderId="97" xfId="0" applyFont="1" applyBorder="1" applyAlignment="1">
      <alignment horizontal="center" vertical="center"/>
    </xf>
    <xf numFmtId="0" fontId="50" fillId="4" borderId="0" xfId="0" applyFont="1" applyFill="1" applyAlignment="1">
      <alignment horizontal="center" vertical="center" wrapText="1"/>
    </xf>
  </cellXfs>
  <cellStyles count="3">
    <cellStyle name="Millares [0]_planilla Climat" xfId="1"/>
    <cellStyle name="Normal" xfId="0" builtinId="0"/>
    <cellStyle name="Normal_planilla Climat" xfId="2"/>
  </cellStyles>
  <dxfs count="4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8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8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8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8"/>
      </font>
      <fill>
        <patternFill>
          <bgColor indexed="14"/>
        </patternFill>
      </fill>
    </dxf>
    <dxf>
      <font>
        <b val="0"/>
        <i val="0"/>
        <condense val="0"/>
        <extend val="0"/>
        <color indexed="8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workbookViewId="0">
      <selection activeCell="M13" sqref="M13"/>
    </sheetView>
  </sheetViews>
  <sheetFormatPr baseColWidth="10" defaultRowHeight="12.75" x14ac:dyDescent="0.2"/>
  <cols>
    <col min="1" max="16384" width="12" style="111"/>
  </cols>
  <sheetData>
    <row r="2" spans="1:9" x14ac:dyDescent="0.2">
      <c r="A2" s="505" t="s">
        <v>266</v>
      </c>
      <c r="B2" s="505"/>
      <c r="C2" s="505"/>
      <c r="D2" s="505"/>
      <c r="E2" s="505"/>
      <c r="F2" s="505"/>
      <c r="G2" s="505"/>
      <c r="H2" s="505"/>
      <c r="I2" s="505"/>
    </row>
    <row r="3" spans="1:9" x14ac:dyDescent="0.2">
      <c r="A3" s="505"/>
      <c r="B3" s="505"/>
      <c r="C3" s="505"/>
      <c r="D3" s="505"/>
      <c r="E3" s="505"/>
      <c r="F3" s="505"/>
      <c r="G3" s="505"/>
      <c r="H3" s="505"/>
      <c r="I3" s="505"/>
    </row>
    <row r="5" spans="1:9" x14ac:dyDescent="0.2">
      <c r="A5" s="500" t="s">
        <v>264</v>
      </c>
      <c r="B5" s="500"/>
      <c r="C5" s="500"/>
      <c r="D5" s="500"/>
      <c r="E5" s="500"/>
      <c r="F5" s="500"/>
      <c r="G5" s="500"/>
      <c r="H5" s="500"/>
      <c r="I5" s="500"/>
    </row>
    <row r="6" spans="1:9" x14ac:dyDescent="0.2">
      <c r="A6" s="500"/>
      <c r="B6" s="500"/>
      <c r="C6" s="500"/>
      <c r="D6" s="500"/>
      <c r="E6" s="500"/>
      <c r="F6" s="500"/>
      <c r="G6" s="500"/>
      <c r="H6" s="500"/>
      <c r="I6" s="500"/>
    </row>
    <row r="7" spans="1:9" x14ac:dyDescent="0.2">
      <c r="A7" s="500"/>
      <c r="B7" s="500"/>
      <c r="C7" s="500"/>
      <c r="D7" s="500"/>
      <c r="E7" s="500"/>
      <c r="F7" s="500"/>
      <c r="G7" s="500"/>
      <c r="H7" s="500"/>
      <c r="I7" s="500"/>
    </row>
    <row r="8" spans="1:9" x14ac:dyDescent="0.2">
      <c r="A8" s="418"/>
      <c r="B8" s="418"/>
      <c r="C8" s="418"/>
      <c r="D8" s="418"/>
      <c r="E8" s="418"/>
      <c r="F8" s="418"/>
      <c r="G8" s="418"/>
      <c r="H8" s="418"/>
      <c r="I8" s="418"/>
    </row>
    <row r="9" spans="1:9" x14ac:dyDescent="0.2">
      <c r="A9" s="506" t="s">
        <v>286</v>
      </c>
      <c r="B9" s="506"/>
      <c r="C9" s="506"/>
      <c r="D9" s="506"/>
      <c r="E9" s="506"/>
      <c r="F9" s="506"/>
      <c r="G9" s="506"/>
      <c r="H9" s="506"/>
      <c r="I9" s="506"/>
    </row>
    <row r="10" spans="1:9" x14ac:dyDescent="0.2">
      <c r="A10" s="506"/>
      <c r="B10" s="506"/>
      <c r="C10" s="506"/>
      <c r="D10" s="506"/>
      <c r="E10" s="506"/>
      <c r="F10" s="506"/>
      <c r="G10" s="506"/>
      <c r="H10" s="506"/>
      <c r="I10" s="506"/>
    </row>
    <row r="11" spans="1:9" x14ac:dyDescent="0.2">
      <c r="A11" s="506"/>
      <c r="B11" s="506"/>
      <c r="C11" s="506"/>
      <c r="D11" s="506"/>
      <c r="E11" s="506"/>
      <c r="F11" s="506"/>
      <c r="G11" s="506"/>
      <c r="H11" s="506"/>
      <c r="I11" s="506"/>
    </row>
    <row r="12" spans="1:9" ht="32.25" customHeight="1" x14ac:dyDescent="0.2">
      <c r="A12" s="506"/>
      <c r="B12" s="506"/>
      <c r="C12" s="506"/>
      <c r="D12" s="506"/>
      <c r="E12" s="506"/>
      <c r="F12" s="506"/>
      <c r="G12" s="506"/>
      <c r="H12" s="506"/>
      <c r="I12" s="506"/>
    </row>
    <row r="14" spans="1:9" ht="15.75" x14ac:dyDescent="0.25">
      <c r="A14" s="507" t="s">
        <v>240</v>
      </c>
      <c r="B14" s="507"/>
      <c r="C14" s="507"/>
      <c r="D14" s="507"/>
      <c r="E14" s="507"/>
      <c r="F14" s="507"/>
      <c r="G14" s="507"/>
      <c r="H14" s="507"/>
      <c r="I14" s="507"/>
    </row>
    <row r="15" spans="1:9" x14ac:dyDescent="0.2">
      <c r="A15" s="418"/>
      <c r="B15" s="418"/>
      <c r="C15" s="418"/>
      <c r="D15" s="418"/>
      <c r="E15" s="418"/>
      <c r="F15" s="418"/>
      <c r="G15" s="418"/>
      <c r="H15" s="418"/>
      <c r="I15" s="418"/>
    </row>
    <row r="16" spans="1:9" x14ac:dyDescent="0.2">
      <c r="A16" s="499" t="s">
        <v>245</v>
      </c>
      <c r="B16" s="500"/>
      <c r="C16" s="500"/>
      <c r="D16" s="500"/>
      <c r="E16" s="500"/>
      <c r="F16" s="500"/>
      <c r="G16" s="500"/>
      <c r="H16" s="500"/>
      <c r="I16" s="500"/>
    </row>
    <row r="17" spans="1:9" x14ac:dyDescent="0.2">
      <c r="A17" s="418"/>
      <c r="B17" s="418"/>
      <c r="C17" s="418"/>
      <c r="D17" s="418"/>
      <c r="E17" s="418"/>
      <c r="F17" s="418"/>
      <c r="G17" s="418"/>
      <c r="H17" s="418"/>
      <c r="I17" s="418"/>
    </row>
    <row r="18" spans="1:9" x14ac:dyDescent="0.2">
      <c r="A18" s="499" t="s">
        <v>246</v>
      </c>
      <c r="B18" s="500"/>
      <c r="C18" s="500"/>
      <c r="D18" s="500"/>
      <c r="E18" s="500"/>
      <c r="F18" s="500"/>
      <c r="G18" s="500"/>
      <c r="H18" s="500"/>
      <c r="I18" s="500"/>
    </row>
    <row r="19" spans="1:9" x14ac:dyDescent="0.2">
      <c r="A19" s="500"/>
      <c r="B19" s="500"/>
      <c r="C19" s="500"/>
      <c r="D19" s="500"/>
      <c r="E19" s="500"/>
      <c r="F19" s="500"/>
      <c r="G19" s="500"/>
      <c r="H19" s="500"/>
      <c r="I19" s="500"/>
    </row>
    <row r="20" spans="1:9" x14ac:dyDescent="0.2">
      <c r="A20" s="500"/>
      <c r="B20" s="500"/>
      <c r="C20" s="500"/>
      <c r="D20" s="500"/>
      <c r="E20" s="500"/>
      <c r="F20" s="500"/>
      <c r="G20" s="500"/>
      <c r="H20" s="500"/>
      <c r="I20" s="500"/>
    </row>
    <row r="21" spans="1:9" x14ac:dyDescent="0.2">
      <c r="A21" s="500"/>
      <c r="B21" s="500"/>
      <c r="C21" s="500"/>
      <c r="D21" s="500"/>
      <c r="E21" s="500"/>
      <c r="F21" s="500"/>
      <c r="G21" s="500"/>
      <c r="H21" s="500"/>
      <c r="I21" s="500"/>
    </row>
    <row r="22" spans="1:9" x14ac:dyDescent="0.2">
      <c r="A22" s="500"/>
      <c r="B22" s="500"/>
      <c r="C22" s="500"/>
      <c r="D22" s="500"/>
      <c r="E22" s="500"/>
      <c r="F22" s="500"/>
      <c r="G22" s="500"/>
      <c r="H22" s="500"/>
      <c r="I22" s="500"/>
    </row>
    <row r="24" spans="1:9" x14ac:dyDescent="0.2">
      <c r="A24" s="499" t="s">
        <v>265</v>
      </c>
      <c r="B24" s="500"/>
      <c r="C24" s="500"/>
      <c r="D24" s="500"/>
      <c r="E24" s="500"/>
      <c r="F24" s="500"/>
      <c r="G24" s="500"/>
      <c r="H24" s="500"/>
      <c r="I24" s="500"/>
    </row>
    <row r="25" spans="1:9" x14ac:dyDescent="0.2">
      <c r="A25" s="500"/>
      <c r="B25" s="500"/>
      <c r="C25" s="500"/>
      <c r="D25" s="500"/>
      <c r="E25" s="500"/>
      <c r="F25" s="500"/>
      <c r="G25" s="500"/>
      <c r="H25" s="500"/>
      <c r="I25" s="500"/>
    </row>
    <row r="26" spans="1:9" x14ac:dyDescent="0.2">
      <c r="A26" s="500"/>
      <c r="B26" s="500"/>
      <c r="C26" s="500"/>
      <c r="D26" s="500"/>
      <c r="E26" s="500"/>
      <c r="F26" s="500"/>
      <c r="G26" s="500"/>
      <c r="H26" s="500"/>
      <c r="I26" s="500"/>
    </row>
    <row r="27" spans="1:9" x14ac:dyDescent="0.2">
      <c r="A27" s="500"/>
      <c r="B27" s="500"/>
      <c r="C27" s="500"/>
      <c r="D27" s="500"/>
      <c r="E27" s="500"/>
      <c r="F27" s="500"/>
      <c r="G27" s="500"/>
      <c r="H27" s="500"/>
      <c r="I27" s="500"/>
    </row>
    <row r="28" spans="1:9" x14ac:dyDescent="0.2">
      <c r="A28" s="500"/>
      <c r="B28" s="500"/>
      <c r="C28" s="500"/>
      <c r="D28" s="500"/>
      <c r="E28" s="500"/>
      <c r="F28" s="500"/>
      <c r="G28" s="500"/>
      <c r="H28" s="500"/>
      <c r="I28" s="500"/>
    </row>
    <row r="29" spans="1:9" x14ac:dyDescent="0.2">
      <c r="A29" s="500"/>
      <c r="B29" s="500"/>
      <c r="C29" s="500"/>
      <c r="D29" s="500"/>
      <c r="E29" s="500"/>
      <c r="F29" s="500"/>
      <c r="G29" s="500"/>
      <c r="H29" s="500"/>
      <c r="I29" s="500"/>
    </row>
    <row r="30" spans="1:9" x14ac:dyDescent="0.2">
      <c r="A30" s="500"/>
      <c r="B30" s="500"/>
      <c r="C30" s="500"/>
      <c r="D30" s="500"/>
      <c r="E30" s="500"/>
      <c r="F30" s="500"/>
      <c r="G30" s="500"/>
      <c r="H30" s="500"/>
      <c r="I30" s="500"/>
    </row>
    <row r="31" spans="1:9" x14ac:dyDescent="0.2">
      <c r="A31" s="500"/>
      <c r="B31" s="500"/>
      <c r="C31" s="500"/>
      <c r="D31" s="500"/>
      <c r="E31" s="500"/>
      <c r="F31" s="500"/>
      <c r="G31" s="500"/>
      <c r="H31" s="500"/>
      <c r="I31" s="500"/>
    </row>
    <row r="32" spans="1:9" x14ac:dyDescent="0.2">
      <c r="A32" s="500"/>
      <c r="B32" s="500"/>
      <c r="C32" s="500"/>
      <c r="D32" s="500"/>
      <c r="E32" s="500"/>
      <c r="F32" s="500"/>
      <c r="G32" s="500"/>
      <c r="H32" s="500"/>
      <c r="I32" s="500"/>
    </row>
    <row r="33" spans="1:9" x14ac:dyDescent="0.2">
      <c r="A33" s="500"/>
      <c r="B33" s="500"/>
      <c r="C33" s="500"/>
      <c r="D33" s="500"/>
      <c r="E33" s="500"/>
      <c r="F33" s="500"/>
      <c r="G33" s="500"/>
      <c r="H33" s="500"/>
      <c r="I33" s="500"/>
    </row>
    <row r="35" spans="1:9" ht="12.75" customHeight="1" x14ac:dyDescent="0.2">
      <c r="A35" s="499" t="s">
        <v>247</v>
      </c>
      <c r="B35" s="499"/>
      <c r="C35" s="499"/>
      <c r="D35" s="499"/>
      <c r="E35" s="499"/>
      <c r="F35" s="499"/>
      <c r="G35" s="499"/>
      <c r="H35" s="499"/>
      <c r="I35" s="499"/>
    </row>
    <row r="36" spans="1:9" x14ac:dyDescent="0.2">
      <c r="A36" s="499"/>
      <c r="B36" s="499"/>
      <c r="C36" s="499"/>
      <c r="D36" s="499"/>
      <c r="E36" s="499"/>
      <c r="F36" s="499"/>
      <c r="G36" s="499"/>
      <c r="H36" s="499"/>
      <c r="I36" s="499"/>
    </row>
    <row r="37" spans="1:9" x14ac:dyDescent="0.2">
      <c r="A37" s="499"/>
      <c r="B37" s="499"/>
      <c r="C37" s="499"/>
      <c r="D37" s="499"/>
      <c r="E37" s="499"/>
      <c r="F37" s="499"/>
      <c r="G37" s="499"/>
      <c r="H37" s="499"/>
      <c r="I37" s="499"/>
    </row>
    <row r="38" spans="1:9" x14ac:dyDescent="0.2">
      <c r="A38" s="418"/>
      <c r="B38" s="418"/>
      <c r="C38" s="418"/>
      <c r="D38" s="418"/>
      <c r="E38" s="418"/>
      <c r="F38" s="418"/>
      <c r="G38" s="418"/>
      <c r="H38" s="418"/>
      <c r="I38" s="418"/>
    </row>
    <row r="39" spans="1:9" x14ac:dyDescent="0.2">
      <c r="A39" s="499" t="s">
        <v>270</v>
      </c>
      <c r="B39" s="500"/>
      <c r="C39" s="500"/>
      <c r="D39" s="500"/>
      <c r="E39" s="500"/>
      <c r="F39" s="500"/>
      <c r="G39" s="500"/>
      <c r="H39" s="500"/>
      <c r="I39" s="500"/>
    </row>
    <row r="40" spans="1:9" x14ac:dyDescent="0.2">
      <c r="A40" s="500"/>
      <c r="B40" s="500"/>
      <c r="C40" s="500"/>
      <c r="D40" s="500"/>
      <c r="E40" s="500"/>
      <c r="F40" s="500"/>
      <c r="G40" s="500"/>
      <c r="H40" s="500"/>
      <c r="I40" s="500"/>
    </row>
    <row r="41" spans="1:9" x14ac:dyDescent="0.2">
      <c r="A41" s="500"/>
      <c r="B41" s="500"/>
      <c r="C41" s="500"/>
      <c r="D41" s="500"/>
      <c r="E41" s="500"/>
      <c r="F41" s="500"/>
      <c r="G41" s="500"/>
      <c r="H41" s="500"/>
      <c r="I41" s="500"/>
    </row>
    <row r="42" spans="1:9" x14ac:dyDescent="0.2">
      <c r="A42" s="500"/>
      <c r="B42" s="500"/>
      <c r="C42" s="500"/>
      <c r="D42" s="500"/>
      <c r="E42" s="500"/>
      <c r="F42" s="500"/>
      <c r="G42" s="500"/>
      <c r="H42" s="500"/>
      <c r="I42" s="500"/>
    </row>
    <row r="44" spans="1:9" x14ac:dyDescent="0.2">
      <c r="A44" s="499" t="s">
        <v>285</v>
      </c>
      <c r="B44" s="499"/>
      <c r="C44" s="499"/>
      <c r="D44" s="499"/>
      <c r="E44" s="499"/>
      <c r="F44" s="499"/>
      <c r="G44" s="499"/>
      <c r="H44" s="499"/>
      <c r="I44" s="499"/>
    </row>
    <row r="45" spans="1:9" x14ac:dyDescent="0.2">
      <c r="A45" s="499"/>
      <c r="B45" s="499"/>
      <c r="C45" s="499"/>
      <c r="D45" s="499"/>
      <c r="E45" s="499"/>
      <c r="F45" s="499"/>
      <c r="G45" s="499"/>
      <c r="H45" s="499"/>
      <c r="I45" s="499"/>
    </row>
    <row r="46" spans="1:9" x14ac:dyDescent="0.2">
      <c r="A46" s="499"/>
      <c r="B46" s="499"/>
      <c r="C46" s="499"/>
      <c r="D46" s="499"/>
      <c r="E46" s="499"/>
      <c r="F46" s="499"/>
      <c r="G46" s="499"/>
      <c r="H46" s="499"/>
      <c r="I46" s="499"/>
    </row>
    <row r="48" spans="1:9" ht="15.75" x14ac:dyDescent="0.25">
      <c r="A48" s="507" t="s">
        <v>248</v>
      </c>
      <c r="B48" s="507"/>
      <c r="C48" s="507"/>
      <c r="D48" s="507"/>
      <c r="E48" s="507"/>
      <c r="F48" s="507"/>
      <c r="G48" s="507"/>
      <c r="H48" s="507"/>
      <c r="I48" s="507"/>
    </row>
    <row r="50" spans="1:9" x14ac:dyDescent="0.2">
      <c r="A50" s="499" t="s">
        <v>271</v>
      </c>
      <c r="B50" s="500"/>
      <c r="C50" s="500"/>
      <c r="D50" s="500"/>
      <c r="E50" s="500"/>
      <c r="F50" s="500"/>
      <c r="G50" s="500"/>
      <c r="H50" s="500"/>
      <c r="I50" s="500"/>
    </row>
    <row r="51" spans="1:9" x14ac:dyDescent="0.2">
      <c r="A51" s="500"/>
      <c r="B51" s="500"/>
      <c r="C51" s="500"/>
      <c r="D51" s="500"/>
      <c r="E51" s="500"/>
      <c r="F51" s="500"/>
      <c r="G51" s="500"/>
      <c r="H51" s="500"/>
      <c r="I51" s="500"/>
    </row>
    <row r="52" spans="1:9" x14ac:dyDescent="0.2">
      <c r="A52" s="500"/>
      <c r="B52" s="500"/>
      <c r="C52" s="500"/>
      <c r="D52" s="500"/>
      <c r="E52" s="500"/>
      <c r="F52" s="500"/>
      <c r="G52" s="500"/>
      <c r="H52" s="500"/>
      <c r="I52" s="500"/>
    </row>
    <row r="54" spans="1:9" x14ac:dyDescent="0.2">
      <c r="A54" s="499" t="s">
        <v>272</v>
      </c>
      <c r="B54" s="500"/>
      <c r="C54" s="500"/>
      <c r="D54" s="500"/>
      <c r="E54" s="500"/>
      <c r="F54" s="500"/>
      <c r="G54" s="500"/>
      <c r="H54" s="500"/>
      <c r="I54" s="500"/>
    </row>
    <row r="55" spans="1:9" x14ac:dyDescent="0.2">
      <c r="A55" s="500"/>
      <c r="B55" s="500"/>
      <c r="C55" s="500"/>
      <c r="D55" s="500"/>
      <c r="E55" s="500"/>
      <c r="F55" s="500"/>
      <c r="G55" s="500"/>
      <c r="H55" s="500"/>
      <c r="I55" s="500"/>
    </row>
    <row r="56" spans="1:9" x14ac:dyDescent="0.2">
      <c r="A56" s="500"/>
      <c r="B56" s="500"/>
      <c r="C56" s="500"/>
      <c r="D56" s="500"/>
      <c r="E56" s="500"/>
      <c r="F56" s="500"/>
      <c r="G56" s="500"/>
      <c r="H56" s="500"/>
      <c r="I56" s="500"/>
    </row>
    <row r="58" spans="1:9" x14ac:dyDescent="0.2">
      <c r="A58" s="499" t="s">
        <v>278</v>
      </c>
      <c r="B58" s="499"/>
      <c r="C58" s="499"/>
      <c r="D58" s="499"/>
      <c r="E58" s="499"/>
      <c r="F58" s="499"/>
      <c r="G58" s="499"/>
      <c r="H58" s="499"/>
      <c r="I58" s="499"/>
    </row>
    <row r="59" spans="1:9" x14ac:dyDescent="0.2">
      <c r="A59" s="499"/>
      <c r="B59" s="499"/>
      <c r="C59" s="499"/>
      <c r="D59" s="499"/>
      <c r="E59" s="499"/>
      <c r="F59" s="499"/>
      <c r="G59" s="499"/>
      <c r="H59" s="499"/>
      <c r="I59" s="499"/>
    </row>
    <row r="60" spans="1:9" x14ac:dyDescent="0.2">
      <c r="A60" s="499"/>
      <c r="B60" s="499"/>
      <c r="C60" s="499"/>
      <c r="D60" s="499"/>
      <c r="E60" s="499"/>
      <c r="F60" s="499"/>
      <c r="G60" s="499"/>
      <c r="H60" s="499"/>
      <c r="I60" s="499"/>
    </row>
    <row r="61" spans="1:9" x14ac:dyDescent="0.2">
      <c r="A61" s="499"/>
      <c r="B61" s="499"/>
      <c r="C61" s="499"/>
      <c r="D61" s="499"/>
      <c r="E61" s="499"/>
      <c r="F61" s="499"/>
      <c r="G61" s="499"/>
      <c r="H61" s="499"/>
      <c r="I61" s="499"/>
    </row>
    <row r="62" spans="1:9" x14ac:dyDescent="0.2">
      <c r="A62" s="499"/>
      <c r="B62" s="499"/>
      <c r="C62" s="499"/>
      <c r="D62" s="499"/>
      <c r="E62" s="499"/>
      <c r="F62" s="499"/>
      <c r="G62" s="499"/>
      <c r="H62" s="499"/>
      <c r="I62" s="499"/>
    </row>
    <row r="63" spans="1:9" x14ac:dyDescent="0.2">
      <c r="A63" s="499"/>
      <c r="B63" s="499"/>
      <c r="C63" s="499"/>
      <c r="D63" s="499"/>
      <c r="E63" s="499"/>
      <c r="F63" s="499"/>
      <c r="G63" s="499"/>
      <c r="H63" s="499"/>
      <c r="I63" s="499"/>
    </row>
    <row r="64" spans="1:9" x14ac:dyDescent="0.2">
      <c r="A64" s="499"/>
      <c r="B64" s="499"/>
      <c r="C64" s="499"/>
      <c r="D64" s="499"/>
      <c r="E64" s="499"/>
      <c r="F64" s="499"/>
      <c r="G64" s="499"/>
      <c r="H64" s="499"/>
      <c r="I64" s="499"/>
    </row>
    <row r="65" spans="1:9" s="438" customFormat="1" ht="15" customHeight="1" x14ac:dyDescent="0.2">
      <c r="A65" s="499"/>
      <c r="B65" s="499"/>
      <c r="C65" s="499"/>
      <c r="D65" s="499"/>
      <c r="E65" s="499"/>
      <c r="F65" s="499"/>
      <c r="G65" s="499"/>
      <c r="H65" s="499"/>
      <c r="I65" s="499"/>
    </row>
    <row r="67" spans="1:9" ht="15.75" x14ac:dyDescent="0.25">
      <c r="A67" s="501" t="s">
        <v>249</v>
      </c>
      <c r="B67" s="501"/>
      <c r="C67" s="501"/>
      <c r="D67" s="501"/>
      <c r="E67" s="501"/>
      <c r="F67" s="501"/>
      <c r="G67" s="501"/>
      <c r="H67" s="501"/>
      <c r="I67" s="501"/>
    </row>
    <row r="69" spans="1:9" x14ac:dyDescent="0.2">
      <c r="A69" s="499" t="s">
        <v>273</v>
      </c>
      <c r="B69" s="500"/>
      <c r="C69" s="500"/>
      <c r="D69" s="500"/>
      <c r="E69" s="500"/>
      <c r="F69" s="500"/>
      <c r="G69" s="500"/>
      <c r="H69" s="500"/>
      <c r="I69" s="500"/>
    </row>
    <row r="70" spans="1:9" x14ac:dyDescent="0.2">
      <c r="A70" s="435"/>
      <c r="B70" s="435"/>
      <c r="C70" s="435"/>
      <c r="D70" s="435"/>
      <c r="E70" s="435"/>
      <c r="F70" s="435"/>
      <c r="G70" s="435"/>
      <c r="H70" s="435"/>
      <c r="I70" s="435"/>
    </row>
    <row r="71" spans="1:9" x14ac:dyDescent="0.2">
      <c r="A71" s="499" t="s">
        <v>274</v>
      </c>
      <c r="B71" s="499"/>
      <c r="C71" s="499"/>
      <c r="D71" s="499"/>
      <c r="E71" s="499"/>
      <c r="F71" s="499"/>
      <c r="G71" s="499"/>
      <c r="H71" s="499"/>
      <c r="I71" s="499"/>
    </row>
    <row r="72" spans="1:9" x14ac:dyDescent="0.2">
      <c r="A72" s="499"/>
      <c r="B72" s="499"/>
      <c r="C72" s="499"/>
      <c r="D72" s="499"/>
      <c r="E72" s="499"/>
      <c r="F72" s="499"/>
      <c r="G72" s="499"/>
      <c r="H72" s="499"/>
      <c r="I72" s="499"/>
    </row>
    <row r="73" spans="1:9" x14ac:dyDescent="0.2">
      <c r="A73" s="499"/>
      <c r="B73" s="499"/>
      <c r="C73" s="499"/>
      <c r="D73" s="499"/>
      <c r="E73" s="499"/>
      <c r="F73" s="499"/>
      <c r="G73" s="499"/>
      <c r="H73" s="499"/>
      <c r="I73" s="499"/>
    </row>
    <row r="74" spans="1:9" x14ac:dyDescent="0.2">
      <c r="A74" s="499"/>
      <c r="B74" s="499"/>
      <c r="C74" s="499"/>
      <c r="D74" s="499"/>
      <c r="E74" s="499"/>
      <c r="F74" s="499"/>
      <c r="G74" s="499"/>
      <c r="H74" s="499"/>
      <c r="I74" s="499"/>
    </row>
    <row r="75" spans="1:9" x14ac:dyDescent="0.2">
      <c r="A75" s="499"/>
      <c r="B75" s="499"/>
      <c r="C75" s="499"/>
      <c r="D75" s="499"/>
      <c r="E75" s="499"/>
      <c r="F75" s="499"/>
      <c r="G75" s="499"/>
      <c r="H75" s="499"/>
      <c r="I75" s="499"/>
    </row>
    <row r="76" spans="1:9" x14ac:dyDescent="0.2">
      <c r="A76" s="499"/>
      <c r="B76" s="499"/>
      <c r="C76" s="499"/>
      <c r="D76" s="499"/>
      <c r="E76" s="499"/>
      <c r="F76" s="499"/>
      <c r="G76" s="499"/>
      <c r="H76" s="499"/>
      <c r="I76" s="499"/>
    </row>
    <row r="77" spans="1:9" x14ac:dyDescent="0.2">
      <c r="A77" s="499"/>
      <c r="B77" s="499"/>
      <c r="C77" s="499"/>
      <c r="D77" s="499"/>
      <c r="E77" s="499"/>
      <c r="F77" s="499"/>
      <c r="G77" s="499"/>
      <c r="H77" s="499"/>
      <c r="I77" s="499"/>
    </row>
    <row r="78" spans="1:9" x14ac:dyDescent="0.2">
      <c r="A78" s="499"/>
      <c r="B78" s="499"/>
      <c r="C78" s="499"/>
      <c r="D78" s="499"/>
      <c r="E78" s="499"/>
      <c r="F78" s="499"/>
      <c r="G78" s="499"/>
      <c r="H78" s="499"/>
      <c r="I78" s="499"/>
    </row>
    <row r="80" spans="1:9" x14ac:dyDescent="0.2">
      <c r="A80" s="500" t="s">
        <v>250</v>
      </c>
      <c r="B80" s="500"/>
      <c r="C80" s="500"/>
      <c r="D80" s="500"/>
      <c r="E80" s="500"/>
      <c r="F80" s="500"/>
      <c r="G80" s="500"/>
      <c r="H80" s="500"/>
      <c r="I80" s="500"/>
    </row>
    <row r="81" spans="1:9" x14ac:dyDescent="0.2">
      <c r="A81" s="500"/>
      <c r="B81" s="500"/>
      <c r="C81" s="500"/>
      <c r="D81" s="500"/>
      <c r="E81" s="500"/>
      <c r="F81" s="500"/>
      <c r="G81" s="500"/>
      <c r="H81" s="500"/>
      <c r="I81" s="500"/>
    </row>
    <row r="82" spans="1:9" x14ac:dyDescent="0.2">
      <c r="A82" s="500"/>
      <c r="B82" s="500"/>
      <c r="C82" s="500"/>
      <c r="D82" s="500"/>
      <c r="E82" s="500"/>
      <c r="F82" s="500"/>
      <c r="G82" s="500"/>
      <c r="H82" s="500"/>
      <c r="I82" s="500"/>
    </row>
    <row r="84" spans="1:9" ht="15.75" x14ac:dyDescent="0.25">
      <c r="A84" s="501" t="s">
        <v>251</v>
      </c>
      <c r="B84" s="501"/>
      <c r="C84" s="501"/>
      <c r="D84" s="501"/>
      <c r="E84" s="501"/>
      <c r="F84" s="501"/>
      <c r="G84" s="501"/>
      <c r="H84" s="501"/>
      <c r="I84" s="501"/>
    </row>
    <row r="86" spans="1:9" x14ac:dyDescent="0.2">
      <c r="A86" s="503" t="s">
        <v>252</v>
      </c>
      <c r="B86" s="504"/>
      <c r="C86" s="504"/>
      <c r="D86" s="504"/>
      <c r="E86" s="504"/>
      <c r="F86" s="504"/>
      <c r="G86" s="504"/>
      <c r="H86" s="504"/>
      <c r="I86" s="504"/>
    </row>
    <row r="88" spans="1:9" ht="12.75" customHeight="1" x14ac:dyDescent="0.2">
      <c r="A88" s="499" t="s">
        <v>253</v>
      </c>
      <c r="B88" s="500"/>
      <c r="C88" s="500"/>
      <c r="D88" s="500"/>
      <c r="E88" s="500"/>
      <c r="F88" s="500"/>
      <c r="G88" s="500"/>
      <c r="H88" s="500"/>
      <c r="I88" s="500"/>
    </row>
    <row r="89" spans="1:9" x14ac:dyDescent="0.2">
      <c r="A89" s="500"/>
      <c r="B89" s="500"/>
      <c r="C89" s="500"/>
      <c r="D89" s="500"/>
      <c r="E89" s="500"/>
      <c r="F89" s="500"/>
      <c r="G89" s="500"/>
      <c r="H89" s="500"/>
      <c r="I89" s="500"/>
    </row>
    <row r="90" spans="1:9" x14ac:dyDescent="0.2">
      <c r="A90" s="500"/>
      <c r="B90" s="500"/>
      <c r="C90" s="500"/>
      <c r="D90" s="500"/>
      <c r="E90" s="500"/>
      <c r="F90" s="500"/>
      <c r="G90" s="500"/>
      <c r="H90" s="500"/>
      <c r="I90" s="500"/>
    </row>
    <row r="92" spans="1:9" x14ac:dyDescent="0.2">
      <c r="A92" s="499" t="s">
        <v>280</v>
      </c>
      <c r="B92" s="499"/>
      <c r="C92" s="499"/>
      <c r="D92" s="499"/>
      <c r="E92" s="499"/>
      <c r="F92" s="499"/>
      <c r="G92" s="499"/>
      <c r="H92" s="499"/>
      <c r="I92" s="499"/>
    </row>
    <row r="93" spans="1:9" x14ac:dyDescent="0.2">
      <c r="A93" s="499"/>
      <c r="B93" s="499"/>
      <c r="C93" s="499"/>
      <c r="D93" s="499"/>
      <c r="E93" s="499"/>
      <c r="F93" s="499"/>
      <c r="G93" s="499"/>
      <c r="H93" s="499"/>
      <c r="I93" s="499"/>
    </row>
    <row r="94" spans="1:9" x14ac:dyDescent="0.2">
      <c r="A94" s="499"/>
      <c r="B94" s="499"/>
      <c r="C94" s="499"/>
      <c r="D94" s="499"/>
      <c r="E94" s="499"/>
      <c r="F94" s="499"/>
      <c r="G94" s="499"/>
      <c r="H94" s="499"/>
      <c r="I94" s="499"/>
    </row>
    <row r="95" spans="1:9" x14ac:dyDescent="0.2">
      <c r="A95" s="499"/>
      <c r="B95" s="499"/>
      <c r="C95" s="499"/>
      <c r="D95" s="499"/>
      <c r="E95" s="499"/>
      <c r="F95" s="499"/>
      <c r="G95" s="499"/>
      <c r="H95" s="499"/>
      <c r="I95" s="499"/>
    </row>
    <row r="96" spans="1:9" x14ac:dyDescent="0.2">
      <c r="A96" s="499"/>
      <c r="B96" s="499"/>
      <c r="C96" s="499"/>
      <c r="D96" s="499"/>
      <c r="E96" s="499"/>
      <c r="F96" s="499"/>
      <c r="G96" s="499"/>
      <c r="H96" s="499"/>
      <c r="I96" s="499"/>
    </row>
    <row r="97" spans="1:9" x14ac:dyDescent="0.2">
      <c r="A97" s="499"/>
      <c r="B97" s="499"/>
      <c r="C97" s="499"/>
      <c r="D97" s="499"/>
      <c r="E97" s="499"/>
      <c r="F97" s="499"/>
      <c r="G97" s="499"/>
      <c r="H97" s="499"/>
      <c r="I97" s="499"/>
    </row>
    <row r="98" spans="1:9" x14ac:dyDescent="0.2">
      <c r="A98" s="499"/>
      <c r="B98" s="499"/>
      <c r="C98" s="499"/>
      <c r="D98" s="499"/>
      <c r="E98" s="499"/>
      <c r="F98" s="499"/>
      <c r="G98" s="499"/>
      <c r="H98" s="499"/>
      <c r="I98" s="499"/>
    </row>
    <row r="99" spans="1:9" x14ac:dyDescent="0.2">
      <c r="A99" s="499"/>
      <c r="B99" s="499"/>
      <c r="C99" s="499"/>
      <c r="D99" s="499"/>
      <c r="E99" s="499"/>
      <c r="F99" s="499"/>
      <c r="G99" s="499"/>
      <c r="H99" s="499"/>
      <c r="I99" s="499"/>
    </row>
    <row r="100" spans="1:9" x14ac:dyDescent="0.2">
      <c r="A100" s="499"/>
      <c r="B100" s="499"/>
      <c r="C100" s="499"/>
      <c r="D100" s="499"/>
      <c r="E100" s="499"/>
      <c r="F100" s="499"/>
      <c r="G100" s="499"/>
      <c r="H100" s="499"/>
      <c r="I100" s="499"/>
    </row>
    <row r="101" spans="1:9" x14ac:dyDescent="0.2">
      <c r="A101" s="499"/>
      <c r="B101" s="499"/>
      <c r="C101" s="499"/>
      <c r="D101" s="499"/>
      <c r="E101" s="499"/>
      <c r="F101" s="499"/>
      <c r="G101" s="499"/>
      <c r="H101" s="499"/>
      <c r="I101" s="499"/>
    </row>
    <row r="102" spans="1:9" x14ac:dyDescent="0.2">
      <c r="A102" s="499"/>
      <c r="B102" s="499"/>
      <c r="C102" s="499"/>
      <c r="D102" s="499"/>
      <c r="E102" s="499"/>
      <c r="F102" s="499"/>
      <c r="G102" s="499"/>
      <c r="H102" s="499"/>
      <c r="I102" s="499"/>
    </row>
    <row r="103" spans="1:9" x14ac:dyDescent="0.2">
      <c r="A103" s="481"/>
      <c r="B103" s="481"/>
      <c r="C103" s="481"/>
      <c r="D103" s="481"/>
      <c r="E103" s="481"/>
      <c r="F103" s="481"/>
      <c r="G103" s="481"/>
      <c r="H103" s="481"/>
      <c r="I103" s="481"/>
    </row>
    <row r="104" spans="1:9" x14ac:dyDescent="0.2">
      <c r="A104" s="503" t="s">
        <v>275</v>
      </c>
      <c r="B104" s="504"/>
      <c r="C104" s="504"/>
      <c r="D104" s="504"/>
      <c r="E104" s="504"/>
      <c r="F104" s="504"/>
      <c r="G104" s="504"/>
      <c r="H104" s="504"/>
      <c r="I104" s="504"/>
    </row>
    <row r="106" spans="1:9" ht="15.75" x14ac:dyDescent="0.25">
      <c r="A106" s="501" t="s">
        <v>254</v>
      </c>
      <c r="B106" s="501"/>
      <c r="C106" s="501"/>
      <c r="D106" s="501"/>
      <c r="E106" s="501"/>
      <c r="F106" s="501"/>
      <c r="G106" s="501"/>
      <c r="H106" s="501"/>
      <c r="I106" s="501"/>
    </row>
    <row r="108" spans="1:9" x14ac:dyDescent="0.2">
      <c r="A108" s="503" t="s">
        <v>255</v>
      </c>
      <c r="B108" s="504"/>
      <c r="C108" s="504"/>
      <c r="D108" s="504"/>
      <c r="E108" s="504"/>
      <c r="F108" s="504"/>
      <c r="G108" s="504"/>
      <c r="H108" s="504"/>
      <c r="I108" s="504"/>
    </row>
    <row r="110" spans="1:9" x14ac:dyDescent="0.2">
      <c r="A110" s="499" t="s">
        <v>260</v>
      </c>
      <c r="B110" s="499"/>
      <c r="C110" s="499"/>
      <c r="D110" s="499"/>
      <c r="E110" s="499"/>
      <c r="F110" s="499"/>
      <c r="G110" s="499"/>
      <c r="H110" s="499"/>
      <c r="I110" s="499"/>
    </row>
    <row r="111" spans="1:9" x14ac:dyDescent="0.2">
      <c r="A111" s="499"/>
      <c r="B111" s="499"/>
      <c r="C111" s="499"/>
      <c r="D111" s="499"/>
      <c r="E111" s="499"/>
      <c r="F111" s="499"/>
      <c r="G111" s="499"/>
      <c r="H111" s="499"/>
      <c r="I111" s="499"/>
    </row>
    <row r="112" spans="1:9" x14ac:dyDescent="0.2">
      <c r="A112" s="499"/>
      <c r="B112" s="499"/>
      <c r="C112" s="499"/>
      <c r="D112" s="499"/>
      <c r="E112" s="499"/>
      <c r="F112" s="499"/>
      <c r="G112" s="499"/>
      <c r="H112" s="499"/>
      <c r="I112" s="499"/>
    </row>
    <row r="113" spans="1:9" x14ac:dyDescent="0.2">
      <c r="A113" s="499"/>
      <c r="B113" s="499"/>
      <c r="C113" s="499"/>
      <c r="D113" s="499"/>
      <c r="E113" s="499"/>
      <c r="F113" s="499"/>
      <c r="G113" s="499"/>
      <c r="H113" s="499"/>
      <c r="I113" s="499"/>
    </row>
    <row r="114" spans="1:9" x14ac:dyDescent="0.2">
      <c r="A114" s="499"/>
      <c r="B114" s="499"/>
      <c r="C114" s="499"/>
      <c r="D114" s="499"/>
      <c r="E114" s="499"/>
      <c r="F114" s="499"/>
      <c r="G114" s="499"/>
      <c r="H114" s="499"/>
      <c r="I114" s="499"/>
    </row>
    <row r="115" spans="1:9" x14ac:dyDescent="0.2">
      <c r="A115" s="499"/>
      <c r="B115" s="499"/>
      <c r="C115" s="499"/>
      <c r="D115" s="499"/>
      <c r="E115" s="499"/>
      <c r="F115" s="499"/>
      <c r="G115" s="499"/>
      <c r="H115" s="499"/>
      <c r="I115" s="499"/>
    </row>
    <row r="116" spans="1:9" x14ac:dyDescent="0.2">
      <c r="A116" s="499"/>
      <c r="B116" s="499"/>
      <c r="C116" s="499"/>
      <c r="D116" s="499"/>
      <c r="E116" s="499"/>
      <c r="F116" s="499"/>
      <c r="G116" s="499"/>
      <c r="H116" s="499"/>
      <c r="I116" s="499"/>
    </row>
    <row r="117" spans="1:9" x14ac:dyDescent="0.2">
      <c r="A117" s="499"/>
      <c r="B117" s="499"/>
      <c r="C117" s="499"/>
      <c r="D117" s="499"/>
      <c r="E117" s="499"/>
      <c r="F117" s="499"/>
      <c r="G117" s="499"/>
      <c r="H117" s="499"/>
      <c r="I117" s="499"/>
    </row>
    <row r="118" spans="1:9" x14ac:dyDescent="0.2">
      <c r="A118" s="499"/>
      <c r="B118" s="499"/>
      <c r="C118" s="499"/>
      <c r="D118" s="499"/>
      <c r="E118" s="499"/>
      <c r="F118" s="499"/>
      <c r="G118" s="499"/>
      <c r="H118" s="499"/>
      <c r="I118" s="499"/>
    </row>
    <row r="119" spans="1:9" x14ac:dyDescent="0.2">
      <c r="A119" s="499"/>
      <c r="B119" s="499"/>
      <c r="C119" s="499"/>
      <c r="D119" s="499"/>
      <c r="E119" s="499"/>
      <c r="F119" s="499"/>
      <c r="G119" s="499"/>
      <c r="H119" s="499"/>
      <c r="I119" s="499"/>
    </row>
    <row r="120" spans="1:9" x14ac:dyDescent="0.2">
      <c r="A120" s="437"/>
      <c r="B120" s="437"/>
      <c r="C120" s="437"/>
      <c r="D120" s="437"/>
      <c r="E120" s="437"/>
      <c r="F120" s="437"/>
      <c r="G120" s="437"/>
      <c r="H120" s="437"/>
      <c r="I120" s="437"/>
    </row>
    <row r="121" spans="1:9" x14ac:dyDescent="0.2">
      <c r="A121" s="499" t="s">
        <v>256</v>
      </c>
      <c r="B121" s="500"/>
      <c r="C121" s="500"/>
      <c r="D121" s="500"/>
      <c r="E121" s="500"/>
      <c r="F121" s="500"/>
      <c r="G121" s="500"/>
      <c r="H121" s="500"/>
      <c r="I121" s="500"/>
    </row>
    <row r="122" spans="1:9" x14ac:dyDescent="0.2">
      <c r="A122" s="500"/>
      <c r="B122" s="500"/>
      <c r="C122" s="500"/>
      <c r="D122" s="500"/>
      <c r="E122" s="500"/>
      <c r="F122" s="500"/>
      <c r="G122" s="500"/>
      <c r="H122" s="500"/>
      <c r="I122" s="500"/>
    </row>
    <row r="123" spans="1:9" x14ac:dyDescent="0.2">
      <c r="A123" s="500"/>
      <c r="B123" s="500"/>
      <c r="C123" s="500"/>
      <c r="D123" s="500"/>
      <c r="E123" s="500"/>
      <c r="F123" s="500"/>
      <c r="G123" s="500"/>
      <c r="H123" s="500"/>
      <c r="I123" s="500"/>
    </row>
    <row r="124" spans="1:9" x14ac:dyDescent="0.2">
      <c r="A124" s="500"/>
      <c r="B124" s="500"/>
      <c r="C124" s="500"/>
      <c r="D124" s="500"/>
      <c r="E124" s="500"/>
      <c r="F124" s="500"/>
      <c r="G124" s="500"/>
      <c r="H124" s="500"/>
      <c r="I124" s="500"/>
    </row>
    <row r="125" spans="1:9" x14ac:dyDescent="0.2">
      <c r="A125" s="500"/>
      <c r="B125" s="500"/>
      <c r="C125" s="500"/>
      <c r="D125" s="500"/>
      <c r="E125" s="500"/>
      <c r="F125" s="500"/>
      <c r="G125" s="500"/>
      <c r="H125" s="500"/>
      <c r="I125" s="500"/>
    </row>
    <row r="126" spans="1:9" x14ac:dyDescent="0.2">
      <c r="A126" s="500"/>
      <c r="B126" s="500"/>
      <c r="C126" s="500"/>
      <c r="D126" s="500"/>
      <c r="E126" s="500"/>
      <c r="F126" s="500"/>
      <c r="G126" s="500"/>
      <c r="H126" s="500"/>
      <c r="I126" s="500"/>
    </row>
    <row r="127" spans="1:9" x14ac:dyDescent="0.2">
      <c r="A127" s="500"/>
      <c r="B127" s="500"/>
      <c r="C127" s="500"/>
      <c r="D127" s="500"/>
      <c r="E127" s="500"/>
      <c r="F127" s="500"/>
      <c r="G127" s="500"/>
      <c r="H127" s="500"/>
      <c r="I127" s="500"/>
    </row>
    <row r="128" spans="1:9" x14ac:dyDescent="0.2">
      <c r="A128" s="500"/>
      <c r="B128" s="500"/>
      <c r="C128" s="500"/>
      <c r="D128" s="500"/>
      <c r="E128" s="500"/>
      <c r="F128" s="500"/>
      <c r="G128" s="500"/>
      <c r="H128" s="500"/>
      <c r="I128" s="500"/>
    </row>
    <row r="129" spans="1:9" x14ac:dyDescent="0.2">
      <c r="A129" s="500"/>
      <c r="B129" s="500"/>
      <c r="C129" s="500"/>
      <c r="D129" s="500"/>
      <c r="E129" s="500"/>
      <c r="F129" s="500"/>
      <c r="G129" s="500"/>
      <c r="H129" s="500"/>
      <c r="I129" s="500"/>
    </row>
    <row r="130" spans="1:9" x14ac:dyDescent="0.2">
      <c r="A130" s="500"/>
      <c r="B130" s="500"/>
      <c r="C130" s="500"/>
      <c r="D130" s="500"/>
      <c r="E130" s="500"/>
      <c r="F130" s="500"/>
      <c r="G130" s="500"/>
      <c r="H130" s="500"/>
      <c r="I130" s="500"/>
    </row>
    <row r="131" spans="1:9" x14ac:dyDescent="0.2">
      <c r="A131" s="435"/>
      <c r="B131" s="435"/>
      <c r="C131" s="435"/>
      <c r="D131" s="435"/>
      <c r="E131" s="435"/>
      <c r="F131" s="435"/>
      <c r="G131" s="435"/>
      <c r="H131" s="435"/>
      <c r="I131" s="435"/>
    </row>
    <row r="132" spans="1:9" x14ac:dyDescent="0.2">
      <c r="A132" s="436" t="s">
        <v>276</v>
      </c>
    </row>
    <row r="135" spans="1:9" ht="15.75" x14ac:dyDescent="0.25">
      <c r="A135" s="501" t="s">
        <v>257</v>
      </c>
      <c r="B135" s="501"/>
      <c r="C135" s="501"/>
      <c r="D135" s="501"/>
      <c r="E135" s="501"/>
      <c r="F135" s="501"/>
      <c r="G135" s="501"/>
      <c r="H135" s="501"/>
      <c r="I135" s="501"/>
    </row>
    <row r="137" spans="1:9" x14ac:dyDescent="0.2">
      <c r="A137" s="499" t="s">
        <v>277</v>
      </c>
      <c r="B137" s="500"/>
      <c r="C137" s="500"/>
      <c r="D137" s="500"/>
      <c r="E137" s="500"/>
      <c r="F137" s="500"/>
      <c r="G137" s="500"/>
      <c r="H137" s="500"/>
      <c r="I137" s="500"/>
    </row>
    <row r="138" spans="1:9" x14ac:dyDescent="0.2">
      <c r="A138" s="500"/>
      <c r="B138" s="500"/>
      <c r="C138" s="500"/>
      <c r="D138" s="500"/>
      <c r="E138" s="500"/>
      <c r="F138" s="500"/>
      <c r="G138" s="500"/>
      <c r="H138" s="500"/>
      <c r="I138" s="500"/>
    </row>
    <row r="139" spans="1:9" x14ac:dyDescent="0.2">
      <c r="A139" s="500"/>
      <c r="B139" s="500"/>
      <c r="C139" s="500"/>
      <c r="D139" s="500"/>
      <c r="E139" s="500"/>
      <c r="F139" s="500"/>
      <c r="G139" s="500"/>
      <c r="H139" s="500"/>
      <c r="I139" s="500"/>
    </row>
    <row r="141" spans="1:9" ht="15.75" x14ac:dyDescent="0.25">
      <c r="A141" s="501" t="s">
        <v>258</v>
      </c>
      <c r="B141" s="501"/>
      <c r="C141" s="501"/>
      <c r="D141" s="501"/>
      <c r="E141" s="501"/>
      <c r="F141" s="501"/>
      <c r="G141" s="501"/>
      <c r="H141" s="501"/>
      <c r="I141" s="501"/>
    </row>
    <row r="143" spans="1:9" x14ac:dyDescent="0.2">
      <c r="A143" s="499" t="s">
        <v>262</v>
      </c>
      <c r="B143" s="502"/>
      <c r="C143" s="502"/>
      <c r="D143" s="502"/>
      <c r="E143" s="502"/>
      <c r="F143" s="502"/>
      <c r="G143" s="502"/>
      <c r="H143" s="502"/>
      <c r="I143" s="502"/>
    </row>
    <row r="144" spans="1:9" x14ac:dyDescent="0.2">
      <c r="A144" s="502"/>
      <c r="B144" s="502"/>
      <c r="C144" s="502"/>
      <c r="D144" s="502"/>
      <c r="E144" s="502"/>
      <c r="F144" s="502"/>
      <c r="G144" s="502"/>
      <c r="H144" s="502"/>
      <c r="I144" s="502"/>
    </row>
    <row r="145" spans="1:9" x14ac:dyDescent="0.2">
      <c r="A145" s="502"/>
      <c r="B145" s="502"/>
      <c r="C145" s="502"/>
      <c r="D145" s="502"/>
      <c r="E145" s="502"/>
      <c r="F145" s="502"/>
      <c r="G145" s="502"/>
      <c r="H145" s="502"/>
      <c r="I145" s="502"/>
    </row>
    <row r="148" spans="1:9" ht="15.75" x14ac:dyDescent="0.25">
      <c r="A148" s="501" t="s">
        <v>261</v>
      </c>
      <c r="B148" s="501"/>
      <c r="C148" s="501"/>
      <c r="D148" s="501"/>
      <c r="E148" s="501"/>
      <c r="F148" s="501"/>
      <c r="G148" s="501"/>
      <c r="H148" s="501"/>
      <c r="I148" s="501"/>
    </row>
    <row r="150" spans="1:9" x14ac:dyDescent="0.2">
      <c r="A150" s="500" t="s">
        <v>279</v>
      </c>
      <c r="B150" s="500"/>
      <c r="C150" s="500"/>
      <c r="D150" s="500"/>
      <c r="E150" s="500"/>
      <c r="F150" s="500"/>
      <c r="G150" s="500"/>
      <c r="H150" s="500"/>
      <c r="I150" s="500"/>
    </row>
    <row r="151" spans="1:9" x14ac:dyDescent="0.2">
      <c r="A151" s="500"/>
      <c r="B151" s="500"/>
      <c r="C151" s="500"/>
      <c r="D151" s="500"/>
      <c r="E151" s="500"/>
      <c r="F151" s="500"/>
      <c r="G151" s="500"/>
      <c r="H151" s="500"/>
      <c r="I151" s="500"/>
    </row>
    <row r="152" spans="1:9" x14ac:dyDescent="0.2">
      <c r="A152" s="500"/>
      <c r="B152" s="500"/>
      <c r="C152" s="500"/>
      <c r="D152" s="500"/>
      <c r="E152" s="500"/>
      <c r="F152" s="500"/>
      <c r="G152" s="500"/>
      <c r="H152" s="500"/>
      <c r="I152" s="500"/>
    </row>
    <row r="153" spans="1:9" x14ac:dyDescent="0.2">
      <c r="A153" s="500"/>
      <c r="B153" s="500"/>
      <c r="C153" s="500"/>
      <c r="D153" s="500"/>
      <c r="E153" s="500"/>
      <c r="F153" s="500"/>
      <c r="G153" s="500"/>
      <c r="H153" s="500"/>
      <c r="I153" s="500"/>
    </row>
    <row r="154" spans="1:9" x14ac:dyDescent="0.2">
      <c r="A154" s="500"/>
      <c r="B154" s="500"/>
      <c r="C154" s="500"/>
      <c r="D154" s="500"/>
      <c r="E154" s="500"/>
      <c r="F154" s="500"/>
      <c r="G154" s="500"/>
      <c r="H154" s="500"/>
      <c r="I154" s="500"/>
    </row>
    <row r="157" spans="1:9" x14ac:dyDescent="0.2">
      <c r="A157" s="498" t="s">
        <v>259</v>
      </c>
      <c r="B157" s="498"/>
      <c r="C157" s="498"/>
      <c r="D157" s="498"/>
      <c r="E157" s="498"/>
      <c r="F157" s="498"/>
      <c r="G157" s="498"/>
      <c r="H157" s="498"/>
      <c r="I157" s="498"/>
    </row>
    <row r="158" spans="1:9" x14ac:dyDescent="0.2">
      <c r="A158" s="498"/>
      <c r="B158" s="498"/>
      <c r="C158" s="498"/>
      <c r="D158" s="498"/>
      <c r="E158" s="498"/>
      <c r="F158" s="498"/>
      <c r="G158" s="498"/>
      <c r="H158" s="498"/>
      <c r="I158" s="498"/>
    </row>
    <row r="159" spans="1:9" x14ac:dyDescent="0.2">
      <c r="A159" s="498"/>
      <c r="B159" s="498"/>
      <c r="C159" s="498"/>
      <c r="D159" s="498"/>
      <c r="E159" s="498"/>
      <c r="F159" s="498"/>
      <c r="G159" s="498"/>
      <c r="H159" s="498"/>
      <c r="I159" s="498"/>
    </row>
    <row r="160" spans="1:9" x14ac:dyDescent="0.2">
      <c r="A160" s="498"/>
      <c r="B160" s="498"/>
      <c r="C160" s="498"/>
      <c r="D160" s="498"/>
      <c r="E160" s="498"/>
      <c r="F160" s="498"/>
      <c r="G160" s="498"/>
      <c r="H160" s="498"/>
      <c r="I160" s="498"/>
    </row>
    <row r="161" spans="1:9" x14ac:dyDescent="0.2">
      <c r="A161" s="498"/>
      <c r="B161" s="498"/>
      <c r="C161" s="498"/>
      <c r="D161" s="498"/>
      <c r="E161" s="498"/>
      <c r="F161" s="498"/>
      <c r="G161" s="498"/>
      <c r="H161" s="498"/>
      <c r="I161" s="498"/>
    </row>
  </sheetData>
  <sheetProtection password="9EAD" sheet="1" objects="1" scenarios="1"/>
  <mergeCells count="34">
    <mergeCell ref="A44:I46"/>
    <mergeCell ref="A92:I102"/>
    <mergeCell ref="A18:I22"/>
    <mergeCell ref="A24:I33"/>
    <mergeCell ref="A50:I52"/>
    <mergeCell ref="A54:I56"/>
    <mergeCell ref="A86:I86"/>
    <mergeCell ref="A88:I90"/>
    <mergeCell ref="A39:I42"/>
    <mergeCell ref="A108:I108"/>
    <mergeCell ref="A80:I82"/>
    <mergeCell ref="A84:I84"/>
    <mergeCell ref="A2:I3"/>
    <mergeCell ref="A104:I104"/>
    <mergeCell ref="A106:I106"/>
    <mergeCell ref="A58:I65"/>
    <mergeCell ref="A67:I67"/>
    <mergeCell ref="A5:I7"/>
    <mergeCell ref="A9:I12"/>
    <mergeCell ref="A14:I14"/>
    <mergeCell ref="A69:I69"/>
    <mergeCell ref="A71:I78"/>
    <mergeCell ref="A48:I48"/>
    <mergeCell ref="A35:I37"/>
    <mergeCell ref="A16:I16"/>
    <mergeCell ref="A157:I161"/>
    <mergeCell ref="A110:I119"/>
    <mergeCell ref="A121:I130"/>
    <mergeCell ref="A135:I135"/>
    <mergeCell ref="A137:I139"/>
    <mergeCell ref="A150:I154"/>
    <mergeCell ref="A141:I141"/>
    <mergeCell ref="A148:I148"/>
    <mergeCell ref="A143:I145"/>
  </mergeCells>
  <phoneticPr fontId="0" type="noConversion"/>
  <pageMargins left="0.78740157480314965" right="0.78740157480314965" top="0.78740157480314965" bottom="0.78740157480314965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46"/>
  <sheetViews>
    <sheetView topLeftCell="A22" workbookViewId="0">
      <selection activeCell="B34" sqref="B34:P37"/>
    </sheetView>
  </sheetViews>
  <sheetFormatPr baseColWidth="10" defaultRowHeight="11.25" x14ac:dyDescent="0.2"/>
  <cols>
    <col min="1" max="1" width="7.83203125" style="56" customWidth="1"/>
    <col min="2" max="2" width="11.33203125" style="56" bestFit="1" customWidth="1"/>
    <col min="3" max="3" width="10.6640625" style="56" customWidth="1"/>
    <col min="4" max="4" width="8.1640625" style="56" customWidth="1"/>
    <col min="5" max="5" width="7" style="56" customWidth="1"/>
    <col min="6" max="6" width="9.33203125" style="56" customWidth="1"/>
    <col min="7" max="7" width="8.6640625" style="56" customWidth="1"/>
    <col min="8" max="8" width="10" style="56" customWidth="1"/>
    <col min="9" max="9" width="10.5" style="56" customWidth="1"/>
    <col min="10" max="10" width="9.5" style="56" customWidth="1"/>
    <col min="11" max="11" width="8.33203125" style="56" customWidth="1"/>
    <col min="12" max="13" width="4.5" style="56" bestFit="1" customWidth="1"/>
    <col min="14" max="14" width="9.5" style="56" customWidth="1"/>
    <col min="15" max="15" width="10.5" style="56" customWidth="1"/>
    <col min="16" max="16" width="9.83203125" style="56" customWidth="1"/>
    <col min="17" max="17" width="8.83203125" style="56" customWidth="1"/>
    <col min="18" max="18" width="7.1640625" style="56" customWidth="1"/>
    <col min="19" max="19" width="8" style="56" customWidth="1"/>
    <col min="20" max="20" width="9.5" style="56" customWidth="1"/>
    <col min="21" max="21" width="7.33203125" style="56" customWidth="1"/>
    <col min="22" max="22" width="6.1640625" style="56" customWidth="1"/>
    <col min="23" max="23" width="8" style="56" customWidth="1"/>
    <col min="24" max="24" width="6.83203125" style="56" customWidth="1"/>
    <col min="25" max="16384" width="12" style="56"/>
  </cols>
  <sheetData>
    <row r="3" spans="1:24" s="78" customFormat="1" ht="18" x14ac:dyDescent="0.25">
      <c r="A3" s="77"/>
      <c r="D3" s="77"/>
      <c r="G3" s="79" t="s">
        <v>234</v>
      </c>
      <c r="H3" s="80"/>
    </row>
    <row r="4" spans="1:24" s="78" customFormat="1" ht="6" customHeight="1" x14ac:dyDescent="0.25"/>
    <row r="5" spans="1:24" s="78" customFormat="1" ht="14.25" customHeight="1" x14ac:dyDescent="0.25">
      <c r="A5" s="81"/>
      <c r="B5" s="60"/>
      <c r="C5" s="82"/>
      <c r="D5" s="60"/>
      <c r="E5" s="60"/>
    </row>
    <row r="6" spans="1:24" s="78" customFormat="1" ht="6.75" customHeight="1" x14ac:dyDescent="0.25">
      <c r="A6" s="520"/>
      <c r="B6" s="520"/>
      <c r="C6" s="520"/>
      <c r="D6" s="520"/>
      <c r="E6" s="60"/>
    </row>
    <row r="7" spans="1:24" s="78" customFormat="1" ht="15.75" x14ac:dyDescent="0.25">
      <c r="A7" s="82" t="s">
        <v>224</v>
      </c>
      <c r="B7" s="82"/>
      <c r="C7" s="238">
        <f>SECC1!H2</f>
        <v>4</v>
      </c>
      <c r="D7" s="439">
        <f>IF(SECC1!L2="","000",SECC1!L2-2000)</f>
        <v>17</v>
      </c>
      <c r="E7" s="60"/>
      <c r="G7" s="521" t="s">
        <v>109</v>
      </c>
      <c r="H7" s="521"/>
      <c r="I7" s="521"/>
      <c r="J7" s="521"/>
      <c r="K7" s="521"/>
      <c r="L7" s="521"/>
      <c r="M7" s="521"/>
      <c r="N7" s="521"/>
      <c r="O7" s="521"/>
      <c r="V7" s="77"/>
    </row>
    <row r="8" spans="1:24" s="78" customFormat="1" ht="6.75" customHeight="1" x14ac:dyDescent="0.25">
      <c r="A8" s="59"/>
      <c r="B8" s="60"/>
      <c r="C8" s="60"/>
      <c r="D8" s="60"/>
      <c r="E8" s="60"/>
    </row>
    <row r="9" spans="1:24" s="78" customFormat="1" ht="15.75" x14ac:dyDescent="0.25">
      <c r="A9" s="59"/>
      <c r="B9" s="60"/>
      <c r="C9" s="60"/>
      <c r="D9" s="60"/>
      <c r="E9" s="60"/>
    </row>
    <row r="10" spans="1:24" s="78" customFormat="1" ht="15.75" x14ac:dyDescent="0.25">
      <c r="A10" s="83"/>
      <c r="C10" s="84"/>
      <c r="D10" s="84"/>
    </row>
    <row r="11" spans="1:24" ht="15.75" thickBot="1" x14ac:dyDescent="0.25">
      <c r="A11" s="239"/>
      <c r="B11" s="239"/>
      <c r="C11" s="240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</row>
    <row r="12" spans="1:24" ht="16.5" thickBot="1" x14ac:dyDescent="0.3">
      <c r="A12" s="522">
        <v>111</v>
      </c>
      <c r="B12" s="241">
        <v>1</v>
      </c>
      <c r="C12" s="242">
        <f>IF(SECC1!D45="////","////",IF(SECC1!D45&gt;=1000,(SECC1!D45-1000)*10,SECC1!D45*10))</f>
        <v>9915.7666666666628</v>
      </c>
      <c r="D12" s="243"/>
      <c r="E12" s="241">
        <v>2</v>
      </c>
      <c r="F12" s="242">
        <f>IF(SECC1!H45="////","////",IF(SECC1!H45&gt;=1000,(SECC1!H45-1000)*10,SECC1!H45*10))</f>
        <v>9924.4416666666693</v>
      </c>
      <c r="G12" s="244"/>
      <c r="H12" s="245">
        <v>3</v>
      </c>
      <c r="I12" s="246">
        <f>IF(SECC1!$L$45="///","/",IF(SECC1!$L$45&lt;0,1,0))</f>
        <v>1</v>
      </c>
      <c r="J12" s="247">
        <f>IF(SECC1!L45="///","///",ABS(SECC1!L45*10))</f>
        <v>33.9</v>
      </c>
      <c r="K12" s="248">
        <f>IF(SECC1!Q45="///","///",SECC1!Q45*10)</f>
        <v>33.738701812606841</v>
      </c>
      <c r="L12" s="249"/>
      <c r="M12" s="245">
        <v>4</v>
      </c>
      <c r="N12" s="246">
        <f>IF(SECC1!R45="///","/",IF(SECC1!$R$45&lt;0,1,0))</f>
        <v>1</v>
      </c>
      <c r="O12" s="250">
        <f>IF(SECC1!R45="///","///",ABS(SECC1!R45*10))</f>
        <v>11</v>
      </c>
      <c r="P12" s="246">
        <f>IF(SECC1!S45="///","/",IF(SECC1!$S$45&lt;0,1,0))</f>
        <v>1</v>
      </c>
      <c r="Q12" s="248">
        <f>IF(SECC1!S45="///","///",ABS(SECC1!S45*10))</f>
        <v>63.633333333333326</v>
      </c>
      <c r="R12" s="251"/>
      <c r="S12" s="252">
        <v>5</v>
      </c>
      <c r="T12" s="248">
        <f>IF(SECC1!U45="///","///",SECC1!U45*10)</f>
        <v>41.94166666666667</v>
      </c>
      <c r="U12" s="253"/>
      <c r="V12" s="254"/>
      <c r="W12" s="254"/>
      <c r="X12" s="254"/>
    </row>
    <row r="13" spans="1:24" ht="15.75" thickBot="1" x14ac:dyDescent="0.25">
      <c r="A13" s="523"/>
      <c r="B13" s="255"/>
      <c r="C13" s="256"/>
      <c r="D13" s="243"/>
      <c r="E13" s="255"/>
      <c r="F13" s="257"/>
      <c r="G13" s="258"/>
      <c r="H13" s="244"/>
      <c r="I13" s="259"/>
      <c r="J13" s="254"/>
      <c r="K13" s="260"/>
      <c r="L13" s="260"/>
      <c r="M13" s="249"/>
      <c r="N13" s="259"/>
      <c r="O13" s="254"/>
      <c r="P13" s="261"/>
      <c r="Q13" s="262"/>
      <c r="R13" s="260"/>
      <c r="S13" s="260"/>
      <c r="T13" s="263"/>
      <c r="U13" s="260"/>
      <c r="V13" s="260"/>
      <c r="W13" s="264"/>
      <c r="X13" s="265"/>
    </row>
    <row r="14" spans="1:24" ht="16.5" thickBot="1" x14ac:dyDescent="0.3">
      <c r="A14" s="524"/>
      <c r="B14" s="266">
        <v>6</v>
      </c>
      <c r="C14" s="267">
        <f>IF(SECC1!X43=0,0,(IF(SECC1!X43&lt;1,9999,SECC1!X43)))</f>
        <v>54</v>
      </c>
      <c r="D14" s="268" t="str">
        <f>IF(SECC1!Y44="","/",SECC1!Y44)</f>
        <v>/</v>
      </c>
      <c r="E14" s="269">
        <f>SECC1!Y45</f>
        <v>13</v>
      </c>
      <c r="F14" s="257"/>
      <c r="G14" s="266">
        <v>7</v>
      </c>
      <c r="H14" s="487">
        <f>SECC1!Z43</f>
        <v>40.9</v>
      </c>
      <c r="I14" s="271" t="str">
        <f>SECC1!Z45</f>
        <v>///</v>
      </c>
      <c r="J14" s="254"/>
      <c r="K14" s="525">
        <v>8000000</v>
      </c>
      <c r="L14" s="526"/>
      <c r="M14" s="526"/>
      <c r="N14" s="527"/>
      <c r="O14" s="254"/>
      <c r="P14" s="525">
        <v>9000000</v>
      </c>
      <c r="Q14" s="526"/>
      <c r="R14" s="526"/>
      <c r="S14" s="527"/>
      <c r="T14" s="263"/>
      <c r="U14" s="260"/>
      <c r="V14" s="260"/>
      <c r="W14" s="264"/>
      <c r="X14" s="265"/>
    </row>
    <row r="15" spans="1:24" ht="15.75" thickBot="1" x14ac:dyDescent="0.25">
      <c r="A15" s="272"/>
      <c r="B15" s="273"/>
      <c r="C15" s="273"/>
      <c r="D15" s="273"/>
      <c r="E15" s="273"/>
      <c r="F15" s="274"/>
      <c r="G15" s="273"/>
      <c r="H15" s="273"/>
      <c r="I15" s="273"/>
      <c r="J15" s="274"/>
      <c r="K15" s="254"/>
      <c r="L15" s="254"/>
      <c r="M15" s="254"/>
      <c r="N15" s="254"/>
      <c r="O15" s="274"/>
      <c r="P15" s="254"/>
      <c r="Q15" s="254"/>
      <c r="R15" s="254"/>
      <c r="S15" s="254"/>
      <c r="T15" s="274"/>
      <c r="U15" s="274"/>
      <c r="V15" s="274"/>
      <c r="W15" s="274"/>
      <c r="X15" s="274"/>
    </row>
    <row r="16" spans="1:24" ht="16.5" thickBot="1" x14ac:dyDescent="0.3">
      <c r="A16" s="523">
        <v>333</v>
      </c>
      <c r="B16" s="245">
        <v>0</v>
      </c>
      <c r="C16" s="275">
        <f>IF(COUNTBLANK(Auxiliar!C4:C34)&gt;Auxiliar!C47,"//",SECC3!C41)</f>
        <v>0</v>
      </c>
      <c r="D16" s="269">
        <f>IF(COUNTBLANK(Auxiliar!C4:C34)&gt;Auxiliar!C47,"//",SECC3!D41)</f>
        <v>0</v>
      </c>
      <c r="E16" s="276"/>
      <c r="F16" s="245">
        <v>1</v>
      </c>
      <c r="G16" s="275">
        <f>IF(COUNTBLANK(Auxiliar!C4:C34)&gt;Auxiliar!C47,"//",SECC3!E41)</f>
        <v>0</v>
      </c>
      <c r="H16" s="269">
        <f>IF(COUNTBLANK(Auxiliar!C4:C34)&gt;Auxiliar!C47,"//",SECC3!F41)</f>
        <v>0</v>
      </c>
      <c r="I16" s="273"/>
      <c r="J16" s="245">
        <v>2</v>
      </c>
      <c r="K16" s="275">
        <f>IF(COUNTBLANK(Auxiliar!D4:D34)&gt;Auxiliar!C47,"//",SECC3!G41)</f>
        <v>29</v>
      </c>
      <c r="L16" s="269">
        <f>IF(COUNTBLANK(Auxiliar!C4:C34)&gt;Auxiliar!C47,"//",SECC3!H41)</f>
        <v>16</v>
      </c>
      <c r="M16" s="273"/>
      <c r="N16" s="245">
        <v>3</v>
      </c>
      <c r="O16" s="275">
        <f>SECC3!I41</f>
        <v>13</v>
      </c>
      <c r="P16" s="277">
        <f>SECC3!J41</f>
        <v>4</v>
      </c>
      <c r="Q16" s="273"/>
      <c r="R16" s="266">
        <v>4</v>
      </c>
      <c r="S16" s="275">
        <f>SECC3!K41</f>
        <v>0</v>
      </c>
      <c r="T16" s="269">
        <f>SECC3!L41</f>
        <v>0</v>
      </c>
      <c r="U16" s="278"/>
      <c r="V16" s="266">
        <v>5</v>
      </c>
      <c r="W16" s="275">
        <f>SECC3!M41</f>
        <v>0</v>
      </c>
      <c r="X16" s="269">
        <f>SECC3!N41</f>
        <v>0</v>
      </c>
    </row>
    <row r="17" spans="1:25" ht="15.75" thickBot="1" x14ac:dyDescent="0.25">
      <c r="A17" s="537"/>
      <c r="B17" s="273"/>
      <c r="C17" s="273"/>
      <c r="D17" s="273"/>
      <c r="E17" s="273"/>
      <c r="F17" s="273"/>
      <c r="G17" s="273"/>
      <c r="H17" s="273"/>
      <c r="I17" s="279"/>
      <c r="J17" s="273"/>
      <c r="K17" s="273"/>
      <c r="L17" s="273"/>
      <c r="M17" s="273"/>
      <c r="N17" s="273"/>
      <c r="O17" s="273"/>
      <c r="P17" s="273"/>
      <c r="Q17" s="280"/>
      <c r="R17" s="273"/>
      <c r="S17" s="273"/>
      <c r="T17" s="273"/>
      <c r="U17" s="273"/>
      <c r="V17" s="273"/>
      <c r="W17" s="273"/>
      <c r="X17" s="273"/>
    </row>
    <row r="18" spans="1:25" ht="16.5" thickBot="1" x14ac:dyDescent="0.3">
      <c r="A18" s="538"/>
      <c r="B18" s="266">
        <v>6</v>
      </c>
      <c r="C18" s="275">
        <f>SECC3!O41</f>
        <v>30</v>
      </c>
      <c r="D18" s="269">
        <f>SECC3!P41</f>
        <v>30</v>
      </c>
      <c r="E18" s="273"/>
      <c r="F18" s="266">
        <v>7</v>
      </c>
      <c r="G18" s="275">
        <f>SECC3!Q41</f>
        <v>21</v>
      </c>
      <c r="H18" s="269">
        <f>SECC3!R41</f>
        <v>0</v>
      </c>
      <c r="I18" s="273"/>
      <c r="J18" s="266">
        <v>8</v>
      </c>
      <c r="K18" s="275">
        <f>SECC3!S41</f>
        <v>10</v>
      </c>
      <c r="L18" s="275">
        <f>SECC3!T41</f>
        <v>0</v>
      </c>
      <c r="M18" s="269">
        <f>SECC3!U41</f>
        <v>0</v>
      </c>
      <c r="N18" s="273"/>
      <c r="O18" s="266">
        <v>9</v>
      </c>
      <c r="P18" s="281">
        <f>SECC3!V41</f>
        <v>0</v>
      </c>
      <c r="Q18" s="275">
        <f>SECC3!W41</f>
        <v>0</v>
      </c>
      <c r="R18" s="269">
        <f>SECC3!X41</f>
        <v>6</v>
      </c>
      <c r="S18" s="273"/>
      <c r="T18" s="273"/>
      <c r="U18" s="273"/>
      <c r="V18" s="273"/>
      <c r="W18" s="273"/>
      <c r="X18" s="273"/>
    </row>
    <row r="19" spans="1:25" ht="15.75" thickBot="1" x14ac:dyDescent="0.25">
      <c r="A19" s="272"/>
      <c r="B19" s="273"/>
      <c r="C19" s="273"/>
      <c r="D19" s="273"/>
      <c r="E19" s="274"/>
      <c r="F19" s="273"/>
      <c r="G19" s="273"/>
      <c r="H19" s="273"/>
      <c r="I19" s="279"/>
      <c r="J19" s="274"/>
      <c r="K19" s="273"/>
      <c r="L19" s="273"/>
      <c r="M19" s="273"/>
      <c r="N19" s="273"/>
      <c r="O19" s="274"/>
      <c r="P19" s="274"/>
      <c r="Q19" s="239"/>
      <c r="R19" s="274"/>
      <c r="S19" s="274"/>
      <c r="T19" s="274"/>
      <c r="U19" s="274"/>
      <c r="V19" s="274"/>
      <c r="W19" s="274"/>
      <c r="X19" s="274"/>
    </row>
    <row r="20" spans="1:25" ht="16.5" thickBot="1" x14ac:dyDescent="0.3">
      <c r="A20" s="523">
        <v>444</v>
      </c>
      <c r="B20" s="245">
        <v>0</v>
      </c>
      <c r="C20" s="282">
        <f>IF(SECC4!$C$10="///","/",IF(SECC4!$C$10&lt;0,1,0))</f>
        <v>0</v>
      </c>
      <c r="D20" s="270">
        <f>IF(SECC4!C10="///","///",ABS(SECC4!C10*10))</f>
        <v>14.000000000000002</v>
      </c>
      <c r="E20" s="269">
        <f>SECC4!D10</f>
        <v>1</v>
      </c>
      <c r="F20" s="283"/>
      <c r="G20" s="245">
        <v>1</v>
      </c>
      <c r="H20" s="246">
        <f>IF(SECC4!$C$15="///","/",IF(SECC4!$C$15&lt;0,1,0))</f>
        <v>1</v>
      </c>
      <c r="I20" s="250">
        <f>IF(SECC4!$C$15="///","///",ABS(SECC4!C15*10))</f>
        <v>104</v>
      </c>
      <c r="J20" s="284">
        <f>SECC4!D15</f>
        <v>21</v>
      </c>
      <c r="K20" s="273"/>
      <c r="L20" s="245">
        <v>2</v>
      </c>
      <c r="M20" s="246">
        <f>IF(SECC4!$C$20="///","/",IF(SECC4!$C$20&lt;0,1,0))</f>
        <v>0</v>
      </c>
      <c r="N20" s="270">
        <f>IF(SECC4!$C$20="///","///",ABS(SECC4!C20*10))</f>
        <v>46</v>
      </c>
      <c r="O20" s="284">
        <f>SECC4!D20</f>
        <v>8</v>
      </c>
      <c r="P20" s="285"/>
      <c r="Q20" s="266">
        <v>3</v>
      </c>
      <c r="R20" s="246">
        <f>IF(SECC4!$C$25="///","/",IF(SECC4!$C$25&lt;0,1,0))</f>
        <v>1</v>
      </c>
      <c r="S20" s="247">
        <f>IF(SECC4!$C$25="///","///",ABS(SECC4!C25*10))</f>
        <v>135</v>
      </c>
      <c r="T20" s="286">
        <f>SECC4!$D$25</f>
        <v>19</v>
      </c>
      <c r="U20" s="276"/>
      <c r="V20" s="266">
        <v>4</v>
      </c>
      <c r="W20" s="287">
        <f>IF(SECC4!C30="////","////",SECC4!C30*10)</f>
        <v>99</v>
      </c>
      <c r="X20" s="269">
        <f>SECC4!D30</f>
        <v>1</v>
      </c>
    </row>
    <row r="21" spans="1:25" ht="15.75" thickBot="1" x14ac:dyDescent="0.25">
      <c r="A21" s="537"/>
      <c r="B21" s="273"/>
      <c r="C21" s="273"/>
      <c r="D21" s="288"/>
      <c r="E21" s="289"/>
      <c r="F21" s="28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</row>
    <row r="22" spans="1:25" ht="16.5" thickBot="1" x14ac:dyDescent="0.3">
      <c r="A22" s="538"/>
      <c r="B22" s="266">
        <v>5</v>
      </c>
      <c r="C22" s="309">
        <f>IF(SECC4!B35="","/",SECC4!B35)</f>
        <v>4</v>
      </c>
      <c r="D22" s="250">
        <f>IF(SECC4!C35="","///",IF(SECC4!C35="///","///",SECC4!C35*10))</f>
        <v>580</v>
      </c>
      <c r="E22" s="269">
        <f>IF(SECC4!D35="","//",IF(SECC4!D35="//","//",SECC4!D35))</f>
        <v>8</v>
      </c>
      <c r="F22" s="273"/>
      <c r="G22" s="245">
        <v>6</v>
      </c>
      <c r="H22" s="275">
        <f>SECC4!G42</f>
        <v>0</v>
      </c>
      <c r="I22" s="277">
        <f>SECC4!H42</f>
        <v>0</v>
      </c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</row>
    <row r="23" spans="1:25" ht="12" thickBot="1" x14ac:dyDescent="0.25">
      <c r="A23" s="85"/>
      <c r="E23" s="57"/>
      <c r="F23" s="57"/>
      <c r="G23" s="57"/>
      <c r="H23" s="57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416"/>
      <c r="U23" s="417"/>
      <c r="V23" s="417"/>
      <c r="W23" s="417"/>
      <c r="X23" s="417"/>
      <c r="Y23" s="293"/>
    </row>
    <row r="24" spans="1:25" ht="12.75" thickBot="1" x14ac:dyDescent="0.25">
      <c r="A24" s="115" t="s">
        <v>127</v>
      </c>
      <c r="T24" s="290" t="str">
        <f>CONCATENATE(A20," ",B20,C20,TEXT(D20,"000"),TEXT(E20,"00")," ",G20,H20,TEXT(I20,"000"),TEXT(J20,"00")," ",L20,M20,TEXT(N20,"000"),TEXT(O20,"00")," ",Q20,R20,TEXT(S20,"000"),TEXT(T20,"00")," ",V20,TEXT(W20,"0000"),TEXT(X20,"00")," ",B22,C22,TEXT(D22,"000"),TEXT(E22,"00"))</f>
        <v>444 0001401 1110421 2004608 3113519 4009901 5458008</v>
      </c>
      <c r="U24" s="291"/>
      <c r="V24" s="291"/>
      <c r="W24" s="291"/>
      <c r="X24" s="292"/>
      <c r="Y24" s="293"/>
    </row>
    <row r="25" spans="1:25" ht="18.75" thickBot="1" x14ac:dyDescent="0.3">
      <c r="T25" s="303" t="str">
        <f>CONCATENATE(A12," ",B12,TEXT(C12,"0000")," ",E12,TEXT(F12,"0000")," ",H12,I12,TEXT(J12,"000"),TEXT(K12,"000")," ",M12,N12,TEXT(O12,"000"),P12,TEXT(Q12,"000")," ",S12,TEXT(T12,"000")," ",B14,TEXT(C14,"0000"),D14,TEXT(E14,"00")," ",G14,TEXT(H14,"000"),TEXT(I14,"000"))</f>
        <v>111 19916 29924 31034034 410111064 5042 60054/13 7041///</v>
      </c>
      <c r="U25" s="294"/>
      <c r="V25" s="294"/>
      <c r="W25" s="294"/>
      <c r="X25" s="294"/>
      <c r="Y25" s="295"/>
    </row>
    <row r="26" spans="1:25" ht="18.75" thickBot="1" x14ac:dyDescent="0.3">
      <c r="T26" s="308" t="str">
        <f>CONCATENATE(A16," ",B16,TEXT(C16,"00"),TEXT(D16,"00")," ",F16,TEXT(G16,"00"),TEXT(H16,"00")," ",J16,TEXT(K16,"00"),TEXT(L16,"00")," ",N16,TEXT(O16,"00"),TEXT(P16,"00")," ",R16,TEXT(S16,"00"),TEXT(T16,"00")," ",V16,TEXT(W16,"00"),TEXT(X16,"00"))</f>
        <v>333 00000 10000 22916 31304 40000 50000</v>
      </c>
      <c r="U26" s="294"/>
      <c r="V26" s="294"/>
      <c r="W26" s="294"/>
      <c r="X26" s="294"/>
      <c r="Y26" s="295"/>
    </row>
    <row r="27" spans="1:25" ht="12" thickBot="1" x14ac:dyDescent="0.25"/>
    <row r="28" spans="1:25" ht="27" thickBot="1" x14ac:dyDescent="0.45">
      <c r="B28" s="517" t="s">
        <v>229</v>
      </c>
      <c r="C28" s="518"/>
      <c r="D28" s="518"/>
      <c r="E28" s="518"/>
      <c r="F28" s="518"/>
      <c r="G28" s="518"/>
      <c r="H28" s="518"/>
      <c r="I28" s="518"/>
      <c r="J28" s="518"/>
      <c r="K28" s="518"/>
      <c r="L28" s="518"/>
      <c r="M28" s="518"/>
      <c r="N28" s="518"/>
      <c r="O28" s="518"/>
      <c r="P28" s="518"/>
      <c r="Q28" s="519"/>
      <c r="R28" s="200"/>
      <c r="S28" s="201"/>
      <c r="T28" s="200"/>
      <c r="U28" s="201"/>
    </row>
    <row r="29" spans="1:25" ht="12" thickBot="1" x14ac:dyDescent="0.25">
      <c r="A29" s="296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</row>
    <row r="30" spans="1:25" x14ac:dyDescent="0.2">
      <c r="A30" s="296"/>
      <c r="B30" s="528" t="str">
        <f>IF(SECC1!D2="","Ingresar el número de la estación en SECC1",IF(SECC1!H2="","Ingresar el mes correspondiente en SECC1",IF(SECC1!L2="","Ingresar el año correspondiente en SECC1","")))</f>
        <v/>
      </c>
      <c r="C30" s="529"/>
      <c r="D30" s="529"/>
      <c r="E30" s="529"/>
      <c r="F30" s="529"/>
      <c r="G30" s="529"/>
      <c r="H30" s="529"/>
      <c r="I30" s="529"/>
      <c r="J30" s="529"/>
      <c r="K30" s="529"/>
      <c r="L30" s="529"/>
      <c r="M30" s="529"/>
      <c r="N30" s="529"/>
      <c r="O30" s="529"/>
      <c r="P30" s="529"/>
      <c r="Q30" s="530"/>
    </row>
    <row r="31" spans="1:25" x14ac:dyDescent="0.2">
      <c r="A31" s="296"/>
      <c r="B31" s="531"/>
      <c r="C31" s="532"/>
      <c r="D31" s="532"/>
      <c r="E31" s="532"/>
      <c r="F31" s="532"/>
      <c r="G31" s="532"/>
      <c r="H31" s="532"/>
      <c r="I31" s="532"/>
      <c r="J31" s="532"/>
      <c r="K31" s="532"/>
      <c r="L31" s="532"/>
      <c r="M31" s="532"/>
      <c r="N31" s="532"/>
      <c r="O31" s="532"/>
      <c r="P31" s="532"/>
      <c r="Q31" s="533"/>
    </row>
    <row r="32" spans="1:25" ht="12" thickBot="1" x14ac:dyDescent="0.25">
      <c r="A32" s="296"/>
      <c r="B32" s="534"/>
      <c r="C32" s="535"/>
      <c r="D32" s="535"/>
      <c r="E32" s="535"/>
      <c r="F32" s="535"/>
      <c r="G32" s="535"/>
      <c r="H32" s="535"/>
      <c r="I32" s="535"/>
      <c r="J32" s="535"/>
      <c r="K32" s="535"/>
      <c r="L32" s="535"/>
      <c r="M32" s="535"/>
      <c r="N32" s="535"/>
      <c r="O32" s="535"/>
      <c r="P32" s="535"/>
      <c r="Q32" s="536"/>
    </row>
    <row r="33" spans="1:17" ht="12" thickBot="1" x14ac:dyDescent="0.25">
      <c r="A33" s="296"/>
    </row>
    <row r="34" spans="1:17" ht="18" x14ac:dyDescent="0.25">
      <c r="A34" s="296"/>
      <c r="B34" s="297" t="str">
        <f>CONCATENATE(TEXT(A7,"000000")," ",TEXT(C7,"00"),TEXT(D7,"000")," ",SECC1!D2)</f>
        <v>CLIMAT 04017 89066</v>
      </c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4"/>
    </row>
    <row r="35" spans="1:17" ht="18" x14ac:dyDescent="0.25">
      <c r="A35" s="296"/>
      <c r="B35" s="299" t="str">
        <f>CONCATENATE(T25," ",TEXT(K14,"0000000")," ",TEXT(P14,"0000000"))</f>
        <v>111 19916 29924 31034034 410111064 5042 60054/13 7041/// 8000000 9000000</v>
      </c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5"/>
      <c r="O35" s="300"/>
      <c r="P35" s="300"/>
      <c r="Q35" s="306"/>
    </row>
    <row r="36" spans="1:17" ht="18" x14ac:dyDescent="0.25">
      <c r="B36" s="299" t="str">
        <f>CONCATENATE(T26," ",B18,TEXT(C18,"00"),TEXT(D18,"00")," ",F18,TEXT(G18,"00"),TEXT(H18,"00")," ",J18,TEXT(K18,"00"),TEXT(L18,"00"),TEXT(M18,"00")," ",O18,TEXT(P18,"00"),TEXT(Q18,"00"),TEXT(R18,"00"))</f>
        <v>333 00000 10000 22916 31304 40000 50000 63030 72100 8100000 9000006</v>
      </c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6"/>
    </row>
    <row r="37" spans="1:17" ht="18.75" thickBot="1" x14ac:dyDescent="0.3">
      <c r="B37" s="301" t="str">
        <f>CONCATENATE(T24," ",G22,TEXT(H22,"00"),TEXT(I22,"00"),"=")</f>
        <v>444 0001401 1110421 2004608 3113519 4009901 5458008 60000=</v>
      </c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7"/>
    </row>
    <row r="39" spans="1:17" ht="12" thickBot="1" x14ac:dyDescent="0.25"/>
    <row r="40" spans="1:17" ht="11.25" customHeight="1" x14ac:dyDescent="0.2">
      <c r="B40" s="508" t="s">
        <v>263</v>
      </c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10"/>
    </row>
    <row r="41" spans="1:17" ht="11.25" customHeight="1" x14ac:dyDescent="0.2">
      <c r="B41" s="511"/>
      <c r="C41" s="512"/>
      <c r="D41" s="512"/>
      <c r="E41" s="512"/>
      <c r="F41" s="512"/>
      <c r="G41" s="512"/>
      <c r="H41" s="512"/>
      <c r="I41" s="512"/>
      <c r="J41" s="512"/>
      <c r="K41" s="512"/>
      <c r="L41" s="512"/>
      <c r="M41" s="512"/>
      <c r="N41" s="512"/>
      <c r="O41" s="512"/>
      <c r="P41" s="512"/>
      <c r="Q41" s="513"/>
    </row>
    <row r="42" spans="1:17" ht="11.25" customHeight="1" x14ac:dyDescent="0.2">
      <c r="B42" s="511"/>
      <c r="C42" s="512"/>
      <c r="D42" s="512"/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  <c r="P42" s="512"/>
      <c r="Q42" s="513"/>
    </row>
    <row r="43" spans="1:17" ht="11.25" customHeight="1" x14ac:dyDescent="0.2">
      <c r="B43" s="511"/>
      <c r="C43" s="512"/>
      <c r="D43" s="512"/>
      <c r="E43" s="512"/>
      <c r="F43" s="512"/>
      <c r="G43" s="512"/>
      <c r="H43" s="512"/>
      <c r="I43" s="512"/>
      <c r="J43" s="512"/>
      <c r="K43" s="512"/>
      <c r="L43" s="512"/>
      <c r="M43" s="512"/>
      <c r="N43" s="512"/>
      <c r="O43" s="512"/>
      <c r="P43" s="512"/>
      <c r="Q43" s="513"/>
    </row>
    <row r="44" spans="1:17" ht="11.25" customHeight="1" x14ac:dyDescent="0.2">
      <c r="B44" s="511"/>
      <c r="C44" s="512"/>
      <c r="D44" s="512"/>
      <c r="E44" s="512"/>
      <c r="F44" s="512"/>
      <c r="G44" s="512"/>
      <c r="H44" s="512"/>
      <c r="I44" s="512"/>
      <c r="J44" s="512"/>
      <c r="K44" s="512"/>
      <c r="L44" s="512"/>
      <c r="M44" s="512"/>
      <c r="N44" s="512"/>
      <c r="O44" s="512"/>
      <c r="P44" s="512"/>
      <c r="Q44" s="513"/>
    </row>
    <row r="45" spans="1:17" x14ac:dyDescent="0.2">
      <c r="B45" s="511"/>
      <c r="C45" s="512"/>
      <c r="D45" s="512"/>
      <c r="E45" s="512"/>
      <c r="F45" s="512"/>
      <c r="G45" s="512"/>
      <c r="H45" s="512"/>
      <c r="I45" s="512"/>
      <c r="J45" s="512"/>
      <c r="K45" s="512"/>
      <c r="L45" s="512"/>
      <c r="M45" s="512"/>
      <c r="N45" s="512"/>
      <c r="O45" s="512"/>
      <c r="P45" s="512"/>
      <c r="Q45" s="513"/>
    </row>
    <row r="46" spans="1:17" ht="12" thickBot="1" x14ac:dyDescent="0.25">
      <c r="B46" s="514"/>
      <c r="C46" s="515"/>
      <c r="D46" s="515"/>
      <c r="E46" s="515"/>
      <c r="F46" s="515"/>
      <c r="G46" s="515"/>
      <c r="H46" s="515"/>
      <c r="I46" s="515"/>
      <c r="J46" s="515"/>
      <c r="K46" s="515"/>
      <c r="L46" s="515"/>
      <c r="M46" s="515"/>
      <c r="N46" s="515"/>
      <c r="O46" s="515"/>
      <c r="P46" s="515"/>
      <c r="Q46" s="516"/>
    </row>
  </sheetData>
  <sheetProtection password="9EAD" sheet="1"/>
  <protectedRanges>
    <protectedRange sqref="K14" name="Rango1"/>
    <protectedRange sqref="P14" name="Rango2"/>
  </protectedRanges>
  <mergeCells count="10">
    <mergeCell ref="B40:Q46"/>
    <mergeCell ref="B28:Q28"/>
    <mergeCell ref="A6:D6"/>
    <mergeCell ref="G7:O7"/>
    <mergeCell ref="A12:A14"/>
    <mergeCell ref="K14:N14"/>
    <mergeCell ref="B30:Q32"/>
    <mergeCell ref="P14:S14"/>
    <mergeCell ref="A16:A18"/>
    <mergeCell ref="A20:A22"/>
  </mergeCells>
  <phoneticPr fontId="0" type="noConversion"/>
  <conditionalFormatting sqref="B30:Q32">
    <cfRule type="cellIs" dxfId="47" priority="1" stopIfTrue="1" operator="equal">
      <formula>"Ingresar el número de la estación en SECC1"</formula>
    </cfRule>
    <cfRule type="cellIs" dxfId="46" priority="2" stopIfTrue="1" operator="equal">
      <formula>"Ingresar el mes correspondiente en SECC1"</formula>
    </cfRule>
    <cfRule type="cellIs" dxfId="45" priority="3" stopIfTrue="1" operator="equal">
      <formula>"Ingresar el año correspondiente en SECC1"</formula>
    </cfRule>
  </conditionalFormatting>
  <pageMargins left="0.74803149606299213" right="0.74803149606299213" top="0.98425196850393704" bottom="0.98425196850393704" header="0" footer="0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3"/>
  <sheetViews>
    <sheetView tabSelected="1" workbookViewId="0">
      <pane xSplit="2" ySplit="8" topLeftCell="O36" activePane="bottomRight" state="frozen"/>
      <selection pane="topRight" activeCell="C1" sqref="C1"/>
      <selection pane="bottomLeft" activeCell="A9" sqref="A9"/>
      <selection pane="bottomRight" activeCell="Z43" sqref="Z43"/>
    </sheetView>
  </sheetViews>
  <sheetFormatPr baseColWidth="10" defaultRowHeight="11.25" x14ac:dyDescent="0.2"/>
  <cols>
    <col min="1" max="1" width="4.33203125" style="34" customWidth="1"/>
    <col min="2" max="2" width="11.6640625" style="34" customWidth="1"/>
    <col min="3" max="3" width="10.5" style="34" customWidth="1"/>
    <col min="4" max="6" width="8.6640625" style="34" customWidth="1"/>
    <col min="7" max="7" width="10" style="34" customWidth="1"/>
    <col min="8" max="10" width="8.6640625" style="34" customWidth="1"/>
    <col min="11" max="11" width="10.33203125" style="34" customWidth="1"/>
    <col min="12" max="15" width="8.6640625" style="34" customWidth="1"/>
    <col min="16" max="16" width="12.5" style="34" customWidth="1"/>
    <col min="17" max="23" width="8.6640625" style="34" customWidth="1"/>
    <col min="24" max="24" width="5.1640625" style="34" customWidth="1"/>
    <col min="25" max="25" width="4.33203125" style="34" customWidth="1"/>
    <col min="26" max="26" width="8.6640625" style="34" customWidth="1"/>
    <col min="27" max="16384" width="12" style="34"/>
  </cols>
  <sheetData>
    <row r="1" spans="1:26" s="4" customFormat="1" x14ac:dyDescent="0.2"/>
    <row r="2" spans="1:26" s="5" customFormat="1" ht="28.5" customHeight="1" thickBot="1" x14ac:dyDescent="0.25">
      <c r="A2" s="4"/>
      <c r="B2" s="567" t="s">
        <v>114</v>
      </c>
      <c r="C2" s="567"/>
      <c r="D2" s="569">
        <v>89066</v>
      </c>
      <c r="E2" s="569"/>
      <c r="F2" s="569"/>
      <c r="G2" s="236" t="s">
        <v>0</v>
      </c>
      <c r="H2" s="568">
        <v>4</v>
      </c>
      <c r="I2" s="568"/>
      <c r="J2" s="568"/>
      <c r="K2" s="237" t="s">
        <v>117</v>
      </c>
      <c r="L2" s="569">
        <v>2017</v>
      </c>
      <c r="M2" s="569"/>
      <c r="N2" s="569"/>
      <c r="O2" s="235"/>
      <c r="P2" s="235"/>
      <c r="Q2" s="235"/>
      <c r="R2" s="235"/>
      <c r="S2" s="204"/>
      <c r="T2" s="235"/>
      <c r="U2" s="235"/>
      <c r="V2" s="235"/>
      <c r="W2" s="199"/>
      <c r="X2" s="666"/>
      <c r="Y2" s="666"/>
      <c r="Z2" s="666"/>
    </row>
    <row r="3" spans="1:26" s="5" customFormat="1" ht="12" thickBot="1" x14ac:dyDescent="0.25">
      <c r="B3" s="6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9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10"/>
    </row>
    <row r="4" spans="1:26" s="5" customFormat="1" x14ac:dyDescent="0.2">
      <c r="B4" s="600" t="s">
        <v>1</v>
      </c>
      <c r="C4" s="648" t="s">
        <v>2</v>
      </c>
      <c r="D4" s="649"/>
      <c r="E4" s="649"/>
      <c r="F4" s="650"/>
      <c r="G4" s="571" t="s">
        <v>3</v>
      </c>
      <c r="H4" s="651"/>
      <c r="I4" s="651"/>
      <c r="J4" s="572"/>
      <c r="K4" s="648" t="s">
        <v>4</v>
      </c>
      <c r="L4" s="649"/>
      <c r="M4" s="649"/>
      <c r="N4" s="649"/>
      <c r="O4" s="649"/>
      <c r="P4" s="649"/>
      <c r="Q4" s="650"/>
      <c r="R4" s="571" t="s">
        <v>5</v>
      </c>
      <c r="S4" s="572"/>
      <c r="T4" s="648" t="s">
        <v>6</v>
      </c>
      <c r="U4" s="649"/>
      <c r="V4" s="649"/>
      <c r="W4" s="650"/>
      <c r="X4" s="571" t="s">
        <v>7</v>
      </c>
      <c r="Y4" s="572"/>
      <c r="Z4" s="423" t="s">
        <v>8</v>
      </c>
    </row>
    <row r="5" spans="1:26" s="5" customFormat="1" x14ac:dyDescent="0.2">
      <c r="B5" s="601"/>
      <c r="C5" s="545"/>
      <c r="D5" s="573"/>
      <c r="E5" s="573"/>
      <c r="F5" s="546"/>
      <c r="G5" s="545" t="s">
        <v>9</v>
      </c>
      <c r="H5" s="573"/>
      <c r="I5" s="573"/>
      <c r="J5" s="546"/>
      <c r="K5" s="543"/>
      <c r="L5" s="570"/>
      <c r="M5" s="570"/>
      <c r="N5" s="570"/>
      <c r="O5" s="570"/>
      <c r="P5" s="570"/>
      <c r="Q5" s="544"/>
      <c r="R5" s="545" t="s">
        <v>10</v>
      </c>
      <c r="S5" s="546"/>
      <c r="T5" s="545"/>
      <c r="U5" s="672"/>
      <c r="V5" s="672"/>
      <c r="W5" s="546"/>
      <c r="X5" s="545" t="s">
        <v>11</v>
      </c>
      <c r="Y5" s="546"/>
      <c r="Z5" s="424" t="s">
        <v>12</v>
      </c>
    </row>
    <row r="6" spans="1:26" s="5" customFormat="1" x14ac:dyDescent="0.2">
      <c r="B6" s="601"/>
      <c r="C6" s="425"/>
      <c r="D6" s="426" t="s">
        <v>13</v>
      </c>
      <c r="E6" s="427"/>
      <c r="F6" s="428"/>
      <c r="G6" s="429" t="s">
        <v>14</v>
      </c>
      <c r="H6" s="427"/>
      <c r="I6" s="427"/>
      <c r="J6" s="428"/>
      <c r="K6" s="661" t="s">
        <v>15</v>
      </c>
      <c r="L6" s="662"/>
      <c r="M6" s="662"/>
      <c r="N6" s="663"/>
      <c r="O6" s="664" t="s">
        <v>16</v>
      </c>
      <c r="P6" s="662"/>
      <c r="Q6" s="665"/>
      <c r="R6" s="425" t="s">
        <v>17</v>
      </c>
      <c r="S6" s="428"/>
      <c r="T6" s="543" t="s">
        <v>18</v>
      </c>
      <c r="U6" s="570"/>
      <c r="V6" s="570"/>
      <c r="W6" s="544"/>
      <c r="X6" s="543" t="s">
        <v>19</v>
      </c>
      <c r="Y6" s="544"/>
      <c r="Z6" s="430" t="s">
        <v>20</v>
      </c>
    </row>
    <row r="7" spans="1:26" s="5" customFormat="1" x14ac:dyDescent="0.2">
      <c r="B7" s="601"/>
      <c r="C7" s="631" t="s">
        <v>225</v>
      </c>
      <c r="D7" s="627" t="s">
        <v>226</v>
      </c>
      <c r="E7" s="627" t="s">
        <v>227</v>
      </c>
      <c r="F7" s="633" t="s">
        <v>239</v>
      </c>
      <c r="G7" s="631" t="s">
        <v>225</v>
      </c>
      <c r="H7" s="627" t="s">
        <v>226</v>
      </c>
      <c r="I7" s="627" t="s">
        <v>227</v>
      </c>
      <c r="J7" s="633" t="s">
        <v>239</v>
      </c>
      <c r="K7" s="631" t="s">
        <v>225</v>
      </c>
      <c r="L7" s="627" t="s">
        <v>226</v>
      </c>
      <c r="M7" s="627" t="s">
        <v>227</v>
      </c>
      <c r="N7" s="633" t="s">
        <v>239</v>
      </c>
      <c r="O7" s="644" t="s">
        <v>21</v>
      </c>
      <c r="P7" s="634" t="s">
        <v>22</v>
      </c>
      <c r="Q7" s="629" t="s">
        <v>242</v>
      </c>
      <c r="R7" s="419" t="s">
        <v>23</v>
      </c>
      <c r="S7" s="420" t="s">
        <v>23</v>
      </c>
      <c r="T7" s="631" t="s">
        <v>225</v>
      </c>
      <c r="U7" s="627" t="s">
        <v>226</v>
      </c>
      <c r="V7" s="627" t="s">
        <v>227</v>
      </c>
      <c r="W7" s="633" t="s">
        <v>239</v>
      </c>
      <c r="X7" s="547"/>
      <c r="Y7" s="548"/>
      <c r="Z7" s="565"/>
    </row>
    <row r="8" spans="1:26" s="5" customFormat="1" ht="12" thickBot="1" x14ac:dyDescent="0.25">
      <c r="B8" s="602"/>
      <c r="C8" s="632"/>
      <c r="D8" s="628"/>
      <c r="E8" s="628"/>
      <c r="F8" s="630"/>
      <c r="G8" s="632"/>
      <c r="H8" s="628"/>
      <c r="I8" s="628"/>
      <c r="J8" s="630"/>
      <c r="K8" s="632"/>
      <c r="L8" s="628"/>
      <c r="M8" s="628"/>
      <c r="N8" s="630"/>
      <c r="O8" s="632"/>
      <c r="P8" s="628"/>
      <c r="Q8" s="630"/>
      <c r="R8" s="421" t="s">
        <v>24</v>
      </c>
      <c r="S8" s="422" t="s">
        <v>25</v>
      </c>
      <c r="T8" s="632"/>
      <c r="U8" s="628"/>
      <c r="V8" s="628"/>
      <c r="W8" s="630"/>
      <c r="X8" s="549"/>
      <c r="Y8" s="550"/>
      <c r="Z8" s="566"/>
    </row>
    <row r="9" spans="1:26" x14ac:dyDescent="0.2">
      <c r="B9" s="12">
        <v>1</v>
      </c>
      <c r="C9" s="206">
        <v>972.3</v>
      </c>
      <c r="D9" s="207">
        <v>975.2</v>
      </c>
      <c r="E9" s="207">
        <v>984.5</v>
      </c>
      <c r="F9" s="208">
        <v>989.4</v>
      </c>
      <c r="G9" s="206">
        <v>973.1</v>
      </c>
      <c r="H9" s="207">
        <v>976.1</v>
      </c>
      <c r="I9" s="207">
        <v>985.4</v>
      </c>
      <c r="J9" s="208">
        <v>990.3</v>
      </c>
      <c r="K9" s="489">
        <v>3.6</v>
      </c>
      <c r="L9" s="490">
        <v>0.4</v>
      </c>
      <c r="M9" s="490">
        <v>1.2</v>
      </c>
      <c r="N9" s="490">
        <v>0.4</v>
      </c>
      <c r="O9" s="451">
        <f>IF(K9="","",(IF(L9="","",(IF(M9="","",(IF(N9="","",AVERAGE(K9:N9))))))))</f>
        <v>1.4000000000000001</v>
      </c>
      <c r="P9" s="452">
        <f>IF(O9="","",(O9-$L$45))</f>
        <v>4.79</v>
      </c>
      <c r="Q9" s="452">
        <f>IF(P9="","",POWER(P9,2))</f>
        <v>22.944099999999999</v>
      </c>
      <c r="R9" s="491">
        <v>4.2</v>
      </c>
      <c r="S9" s="491">
        <v>0.1</v>
      </c>
      <c r="T9" s="489">
        <v>5.5</v>
      </c>
      <c r="U9" s="492">
        <v>6</v>
      </c>
      <c r="V9" s="492">
        <v>6</v>
      </c>
      <c r="W9" s="493">
        <v>5.8</v>
      </c>
      <c r="X9" s="541">
        <v>9.9</v>
      </c>
      <c r="Y9" s="542"/>
      <c r="Z9" s="491">
        <v>0</v>
      </c>
    </row>
    <row r="10" spans="1:26" x14ac:dyDescent="0.2">
      <c r="B10" s="13">
        <v>2</v>
      </c>
      <c r="C10" s="209">
        <v>996.1</v>
      </c>
      <c r="D10" s="210">
        <v>998.2</v>
      </c>
      <c r="E10" s="210">
        <v>1001.2</v>
      </c>
      <c r="F10" s="211">
        <v>998.8</v>
      </c>
      <c r="G10" s="314">
        <v>997</v>
      </c>
      <c r="H10" s="315">
        <v>999.1</v>
      </c>
      <c r="I10" s="315">
        <v>1002.1</v>
      </c>
      <c r="J10" s="316">
        <v>999.7</v>
      </c>
      <c r="K10" s="334">
        <v>-1.2</v>
      </c>
      <c r="L10" s="335">
        <v>-0.8</v>
      </c>
      <c r="M10" s="335">
        <v>-0.4</v>
      </c>
      <c r="N10" s="336">
        <v>-1.6</v>
      </c>
      <c r="O10" s="453">
        <f>IF(K10="","",(IF(L10="","",(IF(M10="","",(IF(N10="","",AVERAGE(K10:N10))))))))</f>
        <v>-1</v>
      </c>
      <c r="P10" s="452">
        <f t="shared" ref="P10:P18" si="0">IF(O10="","",(O10-$L$45))</f>
        <v>2.3899999999999997</v>
      </c>
      <c r="Q10" s="452">
        <f t="shared" ref="Q10:Q18" si="1">IF(P10="","",POWER(P10,2))</f>
        <v>5.7120999999999986</v>
      </c>
      <c r="R10" s="352">
        <v>0.7</v>
      </c>
      <c r="S10" s="352">
        <v>-2.6</v>
      </c>
      <c r="T10" s="334">
        <v>4.5999999999999996</v>
      </c>
      <c r="U10" s="335">
        <v>4.8</v>
      </c>
      <c r="V10" s="335">
        <v>4.8</v>
      </c>
      <c r="W10" s="336">
        <v>5.0999999999999996</v>
      </c>
      <c r="X10" s="539">
        <v>4.4000000000000004</v>
      </c>
      <c r="Y10" s="540"/>
      <c r="Z10" s="352">
        <v>0</v>
      </c>
    </row>
    <row r="11" spans="1:26" x14ac:dyDescent="0.2">
      <c r="B11" s="13">
        <v>3</v>
      </c>
      <c r="C11" s="209">
        <v>998.3</v>
      </c>
      <c r="D11" s="210">
        <v>997.9</v>
      </c>
      <c r="E11" s="210">
        <v>997.4</v>
      </c>
      <c r="F11" s="212">
        <v>996</v>
      </c>
      <c r="G11" s="314">
        <v>999.2</v>
      </c>
      <c r="H11" s="315">
        <v>998.8</v>
      </c>
      <c r="I11" s="315">
        <v>998.3</v>
      </c>
      <c r="J11" s="318">
        <v>996.9</v>
      </c>
      <c r="K11" s="334">
        <v>-2.6</v>
      </c>
      <c r="L11" s="335">
        <v>-2.5</v>
      </c>
      <c r="M11" s="335">
        <v>-0.2</v>
      </c>
      <c r="N11" s="337">
        <v>-3.6</v>
      </c>
      <c r="O11" s="454">
        <f t="shared" ref="O11:O18" si="2">IF(K11="","",(IF(L11="","",(IF(M11="","",(IF(N11="","",AVERAGE(K11:N11))))))))</f>
        <v>-2.2250000000000001</v>
      </c>
      <c r="P11" s="452">
        <f t="shared" si="0"/>
        <v>1.1649999999999996</v>
      </c>
      <c r="Q11" s="452">
        <f t="shared" si="1"/>
        <v>1.357224999999999</v>
      </c>
      <c r="R11" s="352">
        <v>0.2</v>
      </c>
      <c r="S11" s="352">
        <v>-3.9</v>
      </c>
      <c r="T11" s="357">
        <v>4.7</v>
      </c>
      <c r="U11" s="335">
        <v>4.5</v>
      </c>
      <c r="V11" s="335">
        <v>5.0999999999999996</v>
      </c>
      <c r="W11" s="337">
        <v>4.5</v>
      </c>
      <c r="X11" s="539">
        <v>0</v>
      </c>
      <c r="Y11" s="540"/>
      <c r="Z11" s="352">
        <v>6.5</v>
      </c>
    </row>
    <row r="12" spans="1:26" x14ac:dyDescent="0.2">
      <c r="B12" s="13">
        <v>4</v>
      </c>
      <c r="C12" s="209">
        <v>995.3</v>
      </c>
      <c r="D12" s="210">
        <v>995.7</v>
      </c>
      <c r="E12" s="213">
        <v>996.7</v>
      </c>
      <c r="F12" s="212">
        <v>998.1</v>
      </c>
      <c r="G12" s="314">
        <v>996.5</v>
      </c>
      <c r="H12" s="315">
        <v>996.6</v>
      </c>
      <c r="I12" s="319">
        <v>997.6</v>
      </c>
      <c r="J12" s="318">
        <v>999</v>
      </c>
      <c r="K12" s="334">
        <v>-4.4000000000000004</v>
      </c>
      <c r="L12" s="335">
        <v>-8.1999999999999993</v>
      </c>
      <c r="M12" s="338">
        <v>-6</v>
      </c>
      <c r="N12" s="337">
        <v>-7.4</v>
      </c>
      <c r="O12" s="454">
        <f t="shared" si="2"/>
        <v>-6.5</v>
      </c>
      <c r="P12" s="452">
        <f t="shared" si="0"/>
        <v>-3.1100000000000003</v>
      </c>
      <c r="Q12" s="452">
        <f t="shared" si="1"/>
        <v>9.6721000000000021</v>
      </c>
      <c r="R12" s="352">
        <v>-3.6</v>
      </c>
      <c r="S12" s="352">
        <v>-10.1</v>
      </c>
      <c r="T12" s="334">
        <v>4</v>
      </c>
      <c r="U12" s="335">
        <v>2.8</v>
      </c>
      <c r="V12" s="338">
        <v>3</v>
      </c>
      <c r="W12" s="337">
        <v>3.2</v>
      </c>
      <c r="X12" s="539"/>
      <c r="Y12" s="540"/>
      <c r="Z12" s="352">
        <v>7.5</v>
      </c>
    </row>
    <row r="13" spans="1:26" x14ac:dyDescent="0.2">
      <c r="B13" s="13">
        <v>5</v>
      </c>
      <c r="C13" s="209">
        <v>997.2</v>
      </c>
      <c r="D13" s="210">
        <v>996.3</v>
      </c>
      <c r="E13" s="210">
        <v>993.6</v>
      </c>
      <c r="F13" s="211">
        <v>993.1</v>
      </c>
      <c r="G13" s="314">
        <v>998.1</v>
      </c>
      <c r="H13" s="315">
        <v>997.2</v>
      </c>
      <c r="I13" s="315">
        <v>994.5</v>
      </c>
      <c r="J13" s="316">
        <v>994</v>
      </c>
      <c r="K13" s="334">
        <v>-6.6</v>
      </c>
      <c r="L13" s="335">
        <v>-6.2</v>
      </c>
      <c r="M13" s="335">
        <v>-5.6</v>
      </c>
      <c r="N13" s="336">
        <v>-3.8</v>
      </c>
      <c r="O13" s="454">
        <f t="shared" si="2"/>
        <v>-5.55</v>
      </c>
      <c r="P13" s="452">
        <f t="shared" si="0"/>
        <v>-2.16</v>
      </c>
      <c r="Q13" s="452">
        <f t="shared" si="1"/>
        <v>4.6656000000000004</v>
      </c>
      <c r="R13" s="352">
        <v>-3.8</v>
      </c>
      <c r="S13" s="352">
        <v>-9.3000000000000007</v>
      </c>
      <c r="T13" s="334">
        <v>3.5</v>
      </c>
      <c r="U13" s="335">
        <v>3.6</v>
      </c>
      <c r="V13" s="335">
        <v>3.2</v>
      </c>
      <c r="W13" s="336">
        <v>3.7</v>
      </c>
      <c r="X13" s="539"/>
      <c r="Y13" s="540"/>
      <c r="Z13" s="352">
        <v>0.7</v>
      </c>
    </row>
    <row r="14" spans="1:26" x14ac:dyDescent="0.2">
      <c r="B14" s="13">
        <v>6</v>
      </c>
      <c r="C14" s="209">
        <v>995.1</v>
      </c>
      <c r="D14" s="210">
        <v>997</v>
      </c>
      <c r="E14" s="213">
        <v>998.9</v>
      </c>
      <c r="F14" s="212">
        <v>999.6</v>
      </c>
      <c r="G14" s="314">
        <v>996</v>
      </c>
      <c r="H14" s="315">
        <v>997.9</v>
      </c>
      <c r="I14" s="319">
        <v>999.8</v>
      </c>
      <c r="J14" s="318">
        <v>1000.5</v>
      </c>
      <c r="K14" s="334">
        <v>-5.8</v>
      </c>
      <c r="L14" s="335">
        <v>-5.8</v>
      </c>
      <c r="M14" s="338">
        <v>-2.6</v>
      </c>
      <c r="N14" s="337">
        <v>-3</v>
      </c>
      <c r="O14" s="454">
        <f t="shared" si="2"/>
        <v>-4.3</v>
      </c>
      <c r="P14" s="452">
        <f t="shared" si="0"/>
        <v>-0.91000000000000014</v>
      </c>
      <c r="Q14" s="452">
        <f t="shared" si="1"/>
        <v>0.82810000000000028</v>
      </c>
      <c r="R14" s="352">
        <v>-2.2000000000000002</v>
      </c>
      <c r="S14" s="352">
        <v>-8.6999999999999993</v>
      </c>
      <c r="T14" s="334">
        <v>3.3</v>
      </c>
      <c r="U14" s="335">
        <v>3.1</v>
      </c>
      <c r="V14" s="338">
        <v>3.9</v>
      </c>
      <c r="W14" s="337">
        <v>4.3</v>
      </c>
      <c r="X14" s="539">
        <v>0</v>
      </c>
      <c r="Y14" s="540"/>
      <c r="Z14" s="352">
        <v>4.7</v>
      </c>
    </row>
    <row r="15" spans="1:26" x14ac:dyDescent="0.2">
      <c r="B15" s="13">
        <v>7</v>
      </c>
      <c r="C15" s="209">
        <v>999.2</v>
      </c>
      <c r="D15" s="210">
        <v>995</v>
      </c>
      <c r="E15" s="210">
        <v>991.7</v>
      </c>
      <c r="F15" s="205">
        <v>991.1</v>
      </c>
      <c r="G15" s="314">
        <v>1000.1</v>
      </c>
      <c r="H15" s="315">
        <v>995.9</v>
      </c>
      <c r="I15" s="315">
        <v>992.6</v>
      </c>
      <c r="J15" s="320">
        <v>992</v>
      </c>
      <c r="K15" s="334">
        <v>-2.4</v>
      </c>
      <c r="L15" s="335">
        <v>-0.2</v>
      </c>
      <c r="M15" s="335">
        <v>0.4</v>
      </c>
      <c r="N15" s="339">
        <v>0.2</v>
      </c>
      <c r="O15" s="453">
        <f t="shared" si="2"/>
        <v>-0.5</v>
      </c>
      <c r="P15" s="452">
        <f t="shared" si="0"/>
        <v>2.8899999999999997</v>
      </c>
      <c r="Q15" s="455">
        <f t="shared" si="1"/>
        <v>8.3520999999999983</v>
      </c>
      <c r="R15" s="320">
        <v>1.2</v>
      </c>
      <c r="S15" s="352">
        <v>-3.7</v>
      </c>
      <c r="T15" s="358">
        <v>4.8</v>
      </c>
      <c r="U15" s="335">
        <v>4.8</v>
      </c>
      <c r="V15" s="335">
        <v>5.4</v>
      </c>
      <c r="W15" s="339">
        <v>5.4</v>
      </c>
      <c r="X15" s="539">
        <v>1</v>
      </c>
      <c r="Y15" s="540"/>
      <c r="Z15" s="352">
        <v>0</v>
      </c>
    </row>
    <row r="16" spans="1:26" x14ac:dyDescent="0.2">
      <c r="B16" s="13">
        <v>8</v>
      </c>
      <c r="C16" s="209">
        <v>985.4</v>
      </c>
      <c r="D16" s="210">
        <v>975</v>
      </c>
      <c r="E16" s="210">
        <v>969</v>
      </c>
      <c r="F16" s="205">
        <v>967.7</v>
      </c>
      <c r="G16" s="314">
        <v>986.3</v>
      </c>
      <c r="H16" s="315">
        <v>975.9</v>
      </c>
      <c r="I16" s="315">
        <v>969.8</v>
      </c>
      <c r="J16" s="320">
        <v>968.5</v>
      </c>
      <c r="K16" s="334">
        <v>-0.4</v>
      </c>
      <c r="L16" s="335">
        <v>3</v>
      </c>
      <c r="M16" s="335">
        <v>1.2</v>
      </c>
      <c r="N16" s="339">
        <v>-2.2000000000000002</v>
      </c>
      <c r="O16" s="453">
        <f t="shared" si="2"/>
        <v>0.39999999999999991</v>
      </c>
      <c r="P16" s="452">
        <f t="shared" si="0"/>
        <v>3.7899999999999996</v>
      </c>
      <c r="Q16" s="455">
        <f t="shared" si="1"/>
        <v>14.364099999999997</v>
      </c>
      <c r="R16" s="320">
        <v>4.5999999999999996</v>
      </c>
      <c r="S16" s="352">
        <v>-3.8</v>
      </c>
      <c r="T16" s="358">
        <v>5.6</v>
      </c>
      <c r="U16" s="335">
        <v>5</v>
      </c>
      <c r="V16" s="335">
        <v>5.2</v>
      </c>
      <c r="W16" s="339">
        <v>4.0999999999999996</v>
      </c>
      <c r="X16" s="539"/>
      <c r="Y16" s="540"/>
      <c r="Z16" s="352">
        <v>0</v>
      </c>
    </row>
    <row r="17" spans="2:26" x14ac:dyDescent="0.2">
      <c r="B17" s="13">
        <v>9</v>
      </c>
      <c r="C17" s="209">
        <v>971.1</v>
      </c>
      <c r="D17" s="213">
        <v>973.6</v>
      </c>
      <c r="E17" s="213">
        <v>978.6</v>
      </c>
      <c r="F17" s="211">
        <v>982.2</v>
      </c>
      <c r="G17" s="314">
        <v>972</v>
      </c>
      <c r="H17" s="319">
        <v>974.5</v>
      </c>
      <c r="I17" s="319">
        <v>979.5</v>
      </c>
      <c r="J17" s="316">
        <v>983.1</v>
      </c>
      <c r="K17" s="334">
        <v>-2.4</v>
      </c>
      <c r="L17" s="338">
        <v>-2.8</v>
      </c>
      <c r="M17" s="338">
        <v>0.1</v>
      </c>
      <c r="N17" s="336">
        <v>0.2</v>
      </c>
      <c r="O17" s="453">
        <f t="shared" si="2"/>
        <v>-1.2249999999999999</v>
      </c>
      <c r="P17" s="452">
        <f t="shared" si="0"/>
        <v>2.165</v>
      </c>
      <c r="Q17" s="452">
        <f t="shared" si="1"/>
        <v>4.6872249999999998</v>
      </c>
      <c r="R17" s="352">
        <v>0.8</v>
      </c>
      <c r="S17" s="352">
        <v>-5.0999999999999996</v>
      </c>
      <c r="T17" s="334">
        <v>4.5999999999999996</v>
      </c>
      <c r="U17" s="338">
        <v>4.0999999999999996</v>
      </c>
      <c r="V17" s="338">
        <v>5</v>
      </c>
      <c r="W17" s="336">
        <v>5.5</v>
      </c>
      <c r="X17" s="539"/>
      <c r="Y17" s="540"/>
      <c r="Z17" s="352">
        <v>0</v>
      </c>
    </row>
    <row r="18" spans="2:26" ht="12" thickBot="1" x14ac:dyDescent="0.25">
      <c r="B18" s="14">
        <v>10</v>
      </c>
      <c r="C18" s="214">
        <v>985.9</v>
      </c>
      <c r="D18" s="215">
        <v>989.6</v>
      </c>
      <c r="E18" s="215">
        <v>991.7</v>
      </c>
      <c r="F18" s="216">
        <v>986.7</v>
      </c>
      <c r="G18" s="321">
        <v>986.8</v>
      </c>
      <c r="H18" s="322">
        <v>990.5</v>
      </c>
      <c r="I18" s="322">
        <v>992.6</v>
      </c>
      <c r="J18" s="323">
        <v>987.6</v>
      </c>
      <c r="K18" s="340">
        <v>-1</v>
      </c>
      <c r="L18" s="341">
        <v>-0.6</v>
      </c>
      <c r="M18" s="341">
        <v>1</v>
      </c>
      <c r="N18" s="342">
        <v>2.6</v>
      </c>
      <c r="O18" s="453">
        <f t="shared" si="2"/>
        <v>0.5</v>
      </c>
      <c r="P18" s="452">
        <f t="shared" si="0"/>
        <v>3.8899999999999997</v>
      </c>
      <c r="Q18" s="452">
        <f t="shared" si="1"/>
        <v>15.132099999999998</v>
      </c>
      <c r="R18" s="353">
        <v>2.6</v>
      </c>
      <c r="S18" s="353">
        <v>-2.7</v>
      </c>
      <c r="T18" s="340">
        <v>4.7</v>
      </c>
      <c r="U18" s="341">
        <v>5.2</v>
      </c>
      <c r="V18" s="341">
        <v>5.3</v>
      </c>
      <c r="W18" s="342">
        <v>3.3</v>
      </c>
      <c r="X18" s="673">
        <v>1.1000000000000001</v>
      </c>
      <c r="Y18" s="674"/>
      <c r="Z18" s="364">
        <v>1.9</v>
      </c>
    </row>
    <row r="19" spans="2:26" ht="12" thickBot="1" x14ac:dyDescent="0.25">
      <c r="B19" s="15" t="s">
        <v>26</v>
      </c>
      <c r="C19" s="462">
        <f t="shared" ref="C19:N19" si="3">SUM(C9:C18)</f>
        <v>9895.9</v>
      </c>
      <c r="D19" s="462">
        <f t="shared" si="3"/>
        <v>9893.5</v>
      </c>
      <c r="E19" s="462">
        <f t="shared" si="3"/>
        <v>9903.3000000000011</v>
      </c>
      <c r="F19" s="463">
        <f t="shared" si="3"/>
        <v>9902.7000000000007</v>
      </c>
      <c r="G19" s="464">
        <f t="shared" si="3"/>
        <v>9905.1</v>
      </c>
      <c r="H19" s="462">
        <f t="shared" si="3"/>
        <v>9902.5</v>
      </c>
      <c r="I19" s="462">
        <f t="shared" si="3"/>
        <v>9912.2000000000007</v>
      </c>
      <c r="J19" s="463">
        <f t="shared" si="3"/>
        <v>9911.6</v>
      </c>
      <c r="K19" s="464">
        <f t="shared" si="3"/>
        <v>-23.199999999999996</v>
      </c>
      <c r="L19" s="462">
        <f t="shared" si="3"/>
        <v>-23.700000000000003</v>
      </c>
      <c r="M19" s="462">
        <f t="shared" si="3"/>
        <v>-10.9</v>
      </c>
      <c r="N19" s="462">
        <f t="shared" si="3"/>
        <v>-18.2</v>
      </c>
      <c r="O19" s="456"/>
      <c r="P19" s="457"/>
      <c r="Q19" s="458"/>
      <c r="R19" s="456">
        <f>SUM(R9:R18)</f>
        <v>4.6999999999999993</v>
      </c>
      <c r="S19" s="465">
        <f t="shared" ref="S19:X19" si="4">SUM(S9:S18)</f>
        <v>-49.800000000000004</v>
      </c>
      <c r="T19" s="462">
        <f t="shared" si="4"/>
        <v>45.300000000000004</v>
      </c>
      <c r="U19" s="462">
        <f t="shared" si="4"/>
        <v>43.900000000000013</v>
      </c>
      <c r="V19" s="462">
        <f t="shared" si="4"/>
        <v>46.9</v>
      </c>
      <c r="W19" s="462">
        <f t="shared" si="4"/>
        <v>44.9</v>
      </c>
      <c r="X19" s="576">
        <f t="shared" si="4"/>
        <v>16.400000000000002</v>
      </c>
      <c r="Y19" s="577"/>
      <c r="Z19" s="465">
        <f>SUM(Z9:Z18)</f>
        <v>21.299999999999997</v>
      </c>
    </row>
    <row r="20" spans="2:26" x14ac:dyDescent="0.2">
      <c r="B20" s="16">
        <v>11</v>
      </c>
      <c r="C20" s="311">
        <v>982.6</v>
      </c>
      <c r="D20" s="312">
        <v>982.1</v>
      </c>
      <c r="E20" s="312">
        <v>986.1</v>
      </c>
      <c r="F20" s="313">
        <v>987.6</v>
      </c>
      <c r="G20" s="311">
        <v>983.5</v>
      </c>
      <c r="H20" s="312">
        <v>983</v>
      </c>
      <c r="I20" s="312">
        <v>987</v>
      </c>
      <c r="J20" s="313">
        <v>988.5</v>
      </c>
      <c r="K20" s="343">
        <v>2.2999999999999998</v>
      </c>
      <c r="L20" s="344">
        <v>1.3</v>
      </c>
      <c r="M20" s="345">
        <v>0.6</v>
      </c>
      <c r="N20" s="333">
        <v>0.2</v>
      </c>
      <c r="O20" s="451">
        <f>IF(K20="","",(IF(L20="","",(IF(M20="","",(IF(N20="","",AVERAGE(K20:N20))))))))</f>
        <v>1.0999999999999999</v>
      </c>
      <c r="P20" s="452">
        <f>IF(O20="","",(O20-$L$45))</f>
        <v>4.4899999999999993</v>
      </c>
      <c r="Q20" s="452">
        <f>IF(P20="","",POWER(P20,2))</f>
        <v>20.160099999999993</v>
      </c>
      <c r="R20" s="351">
        <v>3.6</v>
      </c>
      <c r="S20" s="351">
        <v>-1.1000000000000001</v>
      </c>
      <c r="T20" s="332">
        <v>4.8</v>
      </c>
      <c r="U20" s="355">
        <v>5.2</v>
      </c>
      <c r="V20" s="355">
        <v>5.5</v>
      </c>
      <c r="W20" s="356">
        <v>5.5</v>
      </c>
      <c r="X20" s="668">
        <v>0</v>
      </c>
      <c r="Y20" s="669"/>
      <c r="Z20" s="351">
        <v>0</v>
      </c>
    </row>
    <row r="21" spans="2:26" x14ac:dyDescent="0.2">
      <c r="B21" s="13">
        <v>12</v>
      </c>
      <c r="C21" s="314">
        <v>986.5</v>
      </c>
      <c r="D21" s="315">
        <v>984.9</v>
      </c>
      <c r="E21" s="315">
        <v>985.4</v>
      </c>
      <c r="F21" s="316">
        <v>987.6</v>
      </c>
      <c r="G21" s="314">
        <v>987.4</v>
      </c>
      <c r="H21" s="315">
        <v>985.8</v>
      </c>
      <c r="I21" s="315">
        <v>986.3</v>
      </c>
      <c r="J21" s="316">
        <v>988.5</v>
      </c>
      <c r="K21" s="334">
        <v>-1</v>
      </c>
      <c r="L21" s="335">
        <v>-4.2</v>
      </c>
      <c r="M21" s="335">
        <v>-1.5</v>
      </c>
      <c r="N21" s="336">
        <v>-3.2</v>
      </c>
      <c r="O21" s="453">
        <f>IF(K21="","",(IF(L21="","",(IF(M21="","",(IF(N21="","",AVERAGE(K21:N21))))))))</f>
        <v>-2.4750000000000001</v>
      </c>
      <c r="P21" s="452">
        <f t="shared" ref="P21:P29" si="5">IF(O21="","",(O21-$L$45))</f>
        <v>0.91499999999999959</v>
      </c>
      <c r="Q21" s="452">
        <f t="shared" ref="Q21:Q29" si="6">IF(P21="","",POWER(P21,2))</f>
        <v>0.83722499999999922</v>
      </c>
      <c r="R21" s="352">
        <v>0.5</v>
      </c>
      <c r="S21" s="352">
        <v>-5.0999999999999996</v>
      </c>
      <c r="T21" s="334">
        <v>5.2</v>
      </c>
      <c r="U21" s="335">
        <v>4</v>
      </c>
      <c r="V21" s="335">
        <v>4.2</v>
      </c>
      <c r="W21" s="336">
        <v>4</v>
      </c>
      <c r="X21" s="580">
        <v>3.5</v>
      </c>
      <c r="Y21" s="581"/>
      <c r="Z21" s="352">
        <v>2.1</v>
      </c>
    </row>
    <row r="22" spans="2:26" x14ac:dyDescent="0.2">
      <c r="B22" s="13">
        <v>13</v>
      </c>
      <c r="C22" s="317">
        <v>988</v>
      </c>
      <c r="D22" s="315">
        <v>985.4</v>
      </c>
      <c r="E22" s="315">
        <v>981.5</v>
      </c>
      <c r="F22" s="318">
        <v>983.9</v>
      </c>
      <c r="G22" s="314">
        <v>988.9</v>
      </c>
      <c r="H22" s="315">
        <v>986.3</v>
      </c>
      <c r="I22" s="315">
        <v>982.4</v>
      </c>
      <c r="J22" s="318">
        <v>984.8</v>
      </c>
      <c r="K22" s="346">
        <v>-1.4</v>
      </c>
      <c r="L22" s="347">
        <v>-1.2</v>
      </c>
      <c r="M22" s="335">
        <v>1.6</v>
      </c>
      <c r="N22" s="337">
        <v>-1.4</v>
      </c>
      <c r="O22" s="454">
        <f t="shared" ref="O22:O29" si="7">IF(K22="","",(IF(L22="","",(IF(M22="","",(IF(N22="","",AVERAGE(K22:N22))))))))</f>
        <v>-0.59999999999999987</v>
      </c>
      <c r="P22" s="452">
        <f t="shared" si="5"/>
        <v>2.79</v>
      </c>
      <c r="Q22" s="452">
        <f t="shared" si="6"/>
        <v>7.7841000000000005</v>
      </c>
      <c r="R22" s="352">
        <v>2.7</v>
      </c>
      <c r="S22" s="352">
        <v>-3.4</v>
      </c>
      <c r="T22" s="334">
        <v>4.5</v>
      </c>
      <c r="U22" s="335">
        <v>5</v>
      </c>
      <c r="V22" s="335">
        <v>4.8</v>
      </c>
      <c r="W22" s="337">
        <v>4.8</v>
      </c>
      <c r="X22" s="580">
        <v>7.4</v>
      </c>
      <c r="Y22" s="581"/>
      <c r="Z22" s="352">
        <v>0.3</v>
      </c>
    </row>
    <row r="23" spans="2:26" x14ac:dyDescent="0.2">
      <c r="B23" s="13">
        <v>14</v>
      </c>
      <c r="C23" s="314">
        <v>987.4</v>
      </c>
      <c r="D23" s="315">
        <v>992.6</v>
      </c>
      <c r="E23" s="319">
        <v>994.2</v>
      </c>
      <c r="F23" s="318">
        <v>988.5</v>
      </c>
      <c r="G23" s="314">
        <v>988.3</v>
      </c>
      <c r="H23" s="315">
        <v>993.6</v>
      </c>
      <c r="I23" s="319">
        <v>995.1</v>
      </c>
      <c r="J23" s="316">
        <v>989.4</v>
      </c>
      <c r="K23" s="334">
        <v>-1.8</v>
      </c>
      <c r="L23" s="335">
        <v>-0.4</v>
      </c>
      <c r="M23" s="338">
        <v>0.2</v>
      </c>
      <c r="N23" s="337">
        <v>0.6</v>
      </c>
      <c r="O23" s="454">
        <f t="shared" si="7"/>
        <v>-0.35</v>
      </c>
      <c r="P23" s="452">
        <f t="shared" si="5"/>
        <v>3.0399999999999996</v>
      </c>
      <c r="Q23" s="452">
        <f t="shared" si="6"/>
        <v>9.2415999999999983</v>
      </c>
      <c r="R23" s="352">
        <v>1.5</v>
      </c>
      <c r="S23" s="352">
        <v>-2.4</v>
      </c>
      <c r="T23" s="334">
        <v>5.3</v>
      </c>
      <c r="U23" s="335">
        <v>5.4</v>
      </c>
      <c r="V23" s="338">
        <v>5.6</v>
      </c>
      <c r="W23" s="337">
        <v>5</v>
      </c>
      <c r="X23" s="580">
        <v>4</v>
      </c>
      <c r="Y23" s="581"/>
      <c r="Z23" s="352">
        <v>0</v>
      </c>
    </row>
    <row r="24" spans="2:26" x14ac:dyDescent="0.2">
      <c r="B24" s="13">
        <v>15</v>
      </c>
      <c r="C24" s="314">
        <v>986.2</v>
      </c>
      <c r="D24" s="315">
        <v>988.8</v>
      </c>
      <c r="E24" s="315">
        <v>994.8</v>
      </c>
      <c r="F24" s="316">
        <v>998.2</v>
      </c>
      <c r="G24" s="314">
        <v>987.6</v>
      </c>
      <c r="H24" s="315">
        <v>989.7</v>
      </c>
      <c r="I24" s="315">
        <v>995.7</v>
      </c>
      <c r="J24" s="316">
        <v>999.1</v>
      </c>
      <c r="K24" s="334">
        <v>0</v>
      </c>
      <c r="L24" s="335">
        <v>0</v>
      </c>
      <c r="M24" s="335">
        <v>0.6</v>
      </c>
      <c r="N24" s="336">
        <v>-1.2</v>
      </c>
      <c r="O24" s="454">
        <f t="shared" si="7"/>
        <v>-0.15</v>
      </c>
      <c r="P24" s="452">
        <f t="shared" si="5"/>
        <v>3.2399999999999998</v>
      </c>
      <c r="Q24" s="452">
        <f t="shared" si="6"/>
        <v>10.497599999999998</v>
      </c>
      <c r="R24" s="352">
        <v>1.5</v>
      </c>
      <c r="S24" s="352">
        <v>-2.1</v>
      </c>
      <c r="T24" s="334">
        <v>5.9</v>
      </c>
      <c r="U24" s="335">
        <v>5.6</v>
      </c>
      <c r="V24" s="335">
        <v>4.0999999999999996</v>
      </c>
      <c r="W24" s="336">
        <v>4.8</v>
      </c>
      <c r="X24" s="580">
        <v>0</v>
      </c>
      <c r="Y24" s="581"/>
      <c r="Z24" s="352">
        <v>0</v>
      </c>
    </row>
    <row r="25" spans="2:26" x14ac:dyDescent="0.2">
      <c r="B25" s="13">
        <v>16</v>
      </c>
      <c r="C25" s="314">
        <v>1001.6</v>
      </c>
      <c r="D25" s="315">
        <v>1003</v>
      </c>
      <c r="E25" s="319">
        <v>999.5</v>
      </c>
      <c r="F25" s="318">
        <v>999.5</v>
      </c>
      <c r="G25" s="314">
        <v>1002.5</v>
      </c>
      <c r="H25" s="315">
        <v>1003.9</v>
      </c>
      <c r="I25" s="319">
        <v>1000.4</v>
      </c>
      <c r="J25" s="318">
        <v>997.4</v>
      </c>
      <c r="K25" s="334">
        <v>-1.4</v>
      </c>
      <c r="L25" s="335">
        <v>-1.4</v>
      </c>
      <c r="M25" s="338">
        <v>-1.2</v>
      </c>
      <c r="N25" s="337">
        <v>-2</v>
      </c>
      <c r="O25" s="454">
        <f t="shared" si="7"/>
        <v>-1.5</v>
      </c>
      <c r="P25" s="452">
        <f t="shared" si="5"/>
        <v>1.8899999999999997</v>
      </c>
      <c r="Q25" s="452">
        <f t="shared" si="6"/>
        <v>3.5720999999999989</v>
      </c>
      <c r="R25" s="352">
        <v>-1</v>
      </c>
      <c r="S25" s="352">
        <v>-3.7</v>
      </c>
      <c r="T25" s="334">
        <v>4.3</v>
      </c>
      <c r="U25" s="335">
        <v>4.8</v>
      </c>
      <c r="V25" s="338">
        <v>4.5999999999999996</v>
      </c>
      <c r="W25" s="337">
        <v>4.3</v>
      </c>
      <c r="X25" s="580">
        <v>7.3</v>
      </c>
      <c r="Y25" s="581"/>
      <c r="Z25" s="352">
        <v>0</v>
      </c>
    </row>
    <row r="26" spans="2:26" x14ac:dyDescent="0.2">
      <c r="B26" s="13">
        <v>17</v>
      </c>
      <c r="C26" s="314">
        <v>996.4</v>
      </c>
      <c r="D26" s="315">
        <v>997.6</v>
      </c>
      <c r="E26" s="315">
        <v>994.5</v>
      </c>
      <c r="F26" s="320">
        <v>987.2</v>
      </c>
      <c r="G26" s="314">
        <v>997.3</v>
      </c>
      <c r="H26" s="315">
        <v>998.5</v>
      </c>
      <c r="I26" s="315">
        <v>995.4</v>
      </c>
      <c r="J26" s="320">
        <v>988.1</v>
      </c>
      <c r="K26" s="334">
        <v>-0.2</v>
      </c>
      <c r="L26" s="335">
        <v>-1.1000000000000001</v>
      </c>
      <c r="M26" s="335">
        <v>-1.4</v>
      </c>
      <c r="N26" s="339">
        <v>-3.4</v>
      </c>
      <c r="O26" s="453">
        <f t="shared" si="7"/>
        <v>-1.5249999999999999</v>
      </c>
      <c r="P26" s="452">
        <f t="shared" si="5"/>
        <v>1.8649999999999998</v>
      </c>
      <c r="Q26" s="455">
        <f t="shared" si="6"/>
        <v>3.4782249999999992</v>
      </c>
      <c r="R26" s="352">
        <v>0.5</v>
      </c>
      <c r="S26" s="352">
        <v>-3.6</v>
      </c>
      <c r="T26" s="334">
        <v>5.8</v>
      </c>
      <c r="U26" s="335">
        <v>5.2</v>
      </c>
      <c r="V26" s="335">
        <v>5.2</v>
      </c>
      <c r="W26" s="339">
        <v>3.8</v>
      </c>
      <c r="X26" s="580">
        <v>3.5</v>
      </c>
      <c r="Y26" s="581"/>
      <c r="Z26" s="352">
        <v>0</v>
      </c>
    </row>
    <row r="27" spans="2:26" x14ac:dyDescent="0.2">
      <c r="B27" s="13">
        <v>18</v>
      </c>
      <c r="C27" s="314">
        <v>980.1</v>
      </c>
      <c r="D27" s="315">
        <v>978</v>
      </c>
      <c r="E27" s="315">
        <v>978.9</v>
      </c>
      <c r="F27" s="320">
        <v>978.4</v>
      </c>
      <c r="G27" s="314">
        <v>981</v>
      </c>
      <c r="H27" s="315">
        <v>978.9</v>
      </c>
      <c r="I27" s="315">
        <v>979.2</v>
      </c>
      <c r="J27" s="320">
        <v>979.3</v>
      </c>
      <c r="K27" s="334">
        <v>-0.1</v>
      </c>
      <c r="L27" s="335">
        <v>-1</v>
      </c>
      <c r="M27" s="335">
        <v>-0.3</v>
      </c>
      <c r="N27" s="339">
        <v>-0.8</v>
      </c>
      <c r="O27" s="453">
        <f t="shared" si="7"/>
        <v>-0.55000000000000004</v>
      </c>
      <c r="P27" s="452">
        <f t="shared" si="5"/>
        <v>2.84</v>
      </c>
      <c r="Q27" s="455">
        <f t="shared" si="6"/>
        <v>8.0655999999999999</v>
      </c>
      <c r="R27" s="352">
        <v>0.6</v>
      </c>
      <c r="S27" s="352">
        <v>-4.0999999999999996</v>
      </c>
      <c r="T27" s="334">
        <v>3.9</v>
      </c>
      <c r="U27" s="335">
        <v>5.4</v>
      </c>
      <c r="V27" s="335">
        <v>5.5</v>
      </c>
      <c r="W27" s="339">
        <v>5</v>
      </c>
      <c r="X27" s="580">
        <v>2.8</v>
      </c>
      <c r="Y27" s="581"/>
      <c r="Z27" s="352">
        <v>0</v>
      </c>
    </row>
    <row r="28" spans="2:26" x14ac:dyDescent="0.2">
      <c r="B28" s="13">
        <v>19</v>
      </c>
      <c r="C28" s="314">
        <v>976.6</v>
      </c>
      <c r="D28" s="319">
        <v>976.2</v>
      </c>
      <c r="E28" s="319">
        <v>976.8</v>
      </c>
      <c r="F28" s="316">
        <v>977.9</v>
      </c>
      <c r="G28" s="314">
        <v>978.7</v>
      </c>
      <c r="H28" s="319">
        <v>977.1</v>
      </c>
      <c r="I28" s="319">
        <v>977.7</v>
      </c>
      <c r="J28" s="316">
        <v>978.8</v>
      </c>
      <c r="K28" s="334">
        <v>-7.4</v>
      </c>
      <c r="L28" s="338">
        <v>-9.4</v>
      </c>
      <c r="M28" s="338">
        <v>-11.2</v>
      </c>
      <c r="N28" s="336">
        <v>-8.1999999999999993</v>
      </c>
      <c r="O28" s="453">
        <f t="shared" si="7"/>
        <v>-9.0500000000000007</v>
      </c>
      <c r="P28" s="452">
        <f t="shared" si="5"/>
        <v>-5.660000000000001</v>
      </c>
      <c r="Q28" s="452">
        <f t="shared" si="6"/>
        <v>32.035600000000009</v>
      </c>
      <c r="R28" s="352">
        <v>-0.8</v>
      </c>
      <c r="S28" s="352">
        <v>-13.5</v>
      </c>
      <c r="T28" s="334">
        <v>3.1</v>
      </c>
      <c r="U28" s="338">
        <v>2.6</v>
      </c>
      <c r="V28" s="338">
        <v>2.2999999999999998</v>
      </c>
      <c r="W28" s="336">
        <v>3</v>
      </c>
      <c r="X28" s="580">
        <v>1.4</v>
      </c>
      <c r="Y28" s="581"/>
      <c r="Z28" s="352">
        <v>6.9</v>
      </c>
    </row>
    <row r="29" spans="2:26" ht="12" thickBot="1" x14ac:dyDescent="0.25">
      <c r="B29" s="14">
        <v>20</v>
      </c>
      <c r="C29" s="321">
        <v>978.7</v>
      </c>
      <c r="D29" s="322">
        <v>981.5</v>
      </c>
      <c r="E29" s="322">
        <v>984.7</v>
      </c>
      <c r="F29" s="323">
        <v>989</v>
      </c>
      <c r="G29" s="321">
        <v>979.6</v>
      </c>
      <c r="H29" s="322">
        <v>982.4</v>
      </c>
      <c r="I29" s="322">
        <v>985.6</v>
      </c>
      <c r="J29" s="323">
        <v>989.9</v>
      </c>
      <c r="K29" s="340">
        <v>-7.6</v>
      </c>
      <c r="L29" s="341">
        <v>-8</v>
      </c>
      <c r="M29" s="341">
        <v>-10.6</v>
      </c>
      <c r="N29" s="342">
        <v>-10</v>
      </c>
      <c r="O29" s="453">
        <f t="shared" si="7"/>
        <v>-9.0500000000000007</v>
      </c>
      <c r="P29" s="452">
        <f t="shared" si="5"/>
        <v>-5.660000000000001</v>
      </c>
      <c r="Q29" s="452">
        <f t="shared" si="6"/>
        <v>32.035600000000009</v>
      </c>
      <c r="R29" s="353">
        <v>-6.5</v>
      </c>
      <c r="S29" s="353">
        <v>-12.7</v>
      </c>
      <c r="T29" s="340">
        <v>3.2</v>
      </c>
      <c r="U29" s="341">
        <v>3.1</v>
      </c>
      <c r="V29" s="341">
        <v>2.5</v>
      </c>
      <c r="W29" s="342">
        <v>2.1</v>
      </c>
      <c r="X29" s="670"/>
      <c r="Y29" s="671"/>
      <c r="Z29" s="364">
        <v>0</v>
      </c>
    </row>
    <row r="30" spans="2:26" ht="12" thickBot="1" x14ac:dyDescent="0.25">
      <c r="B30" s="17" t="s">
        <v>26</v>
      </c>
      <c r="C30" s="227">
        <f t="shared" ref="C30:N30" si="8">SUM(C20:C29)</f>
        <v>9864.1</v>
      </c>
      <c r="D30" s="462">
        <f t="shared" si="8"/>
        <v>9870.1</v>
      </c>
      <c r="E30" s="462">
        <f t="shared" si="8"/>
        <v>9876.4</v>
      </c>
      <c r="F30" s="463">
        <f t="shared" si="8"/>
        <v>9877.7999999999993</v>
      </c>
      <c r="G30" s="464">
        <f t="shared" si="8"/>
        <v>9874.8000000000011</v>
      </c>
      <c r="H30" s="462">
        <f t="shared" si="8"/>
        <v>9879.1999999999989</v>
      </c>
      <c r="I30" s="462">
        <f t="shared" si="8"/>
        <v>9884.7999999999993</v>
      </c>
      <c r="J30" s="462">
        <f t="shared" si="8"/>
        <v>9883.7999999999993</v>
      </c>
      <c r="K30" s="227">
        <f t="shared" si="8"/>
        <v>-18.600000000000001</v>
      </c>
      <c r="L30" s="462">
        <f t="shared" si="8"/>
        <v>-25.4</v>
      </c>
      <c r="M30" s="462">
        <f t="shared" si="8"/>
        <v>-23.2</v>
      </c>
      <c r="N30" s="463">
        <f t="shared" si="8"/>
        <v>-29.4</v>
      </c>
      <c r="O30" s="456"/>
      <c r="P30" s="457"/>
      <c r="Q30" s="459"/>
      <c r="R30" s="227">
        <f t="shared" ref="R30:X30" si="9">SUM(R20:R29)</f>
        <v>2.5999999999999996</v>
      </c>
      <c r="S30" s="227">
        <f t="shared" si="9"/>
        <v>-51.7</v>
      </c>
      <c r="T30" s="227">
        <f t="shared" si="9"/>
        <v>46.000000000000007</v>
      </c>
      <c r="U30" s="462">
        <f t="shared" si="9"/>
        <v>46.300000000000004</v>
      </c>
      <c r="V30" s="462">
        <f t="shared" si="9"/>
        <v>44.300000000000004</v>
      </c>
      <c r="W30" s="463">
        <f t="shared" si="9"/>
        <v>42.300000000000004</v>
      </c>
      <c r="X30" s="576">
        <f t="shared" si="9"/>
        <v>29.9</v>
      </c>
      <c r="Y30" s="577"/>
      <c r="Z30" s="465">
        <f>SUM(Z20:Z29)</f>
        <v>9.3000000000000007</v>
      </c>
    </row>
    <row r="31" spans="2:26" x14ac:dyDescent="0.2">
      <c r="B31" s="16">
        <v>21</v>
      </c>
      <c r="C31" s="324">
        <v>991.8</v>
      </c>
      <c r="D31" s="325">
        <v>994.5</v>
      </c>
      <c r="E31" s="325">
        <v>997.2</v>
      </c>
      <c r="F31" s="326">
        <v>999.4</v>
      </c>
      <c r="G31" s="324">
        <v>992.7</v>
      </c>
      <c r="H31" s="325">
        <v>995.4</v>
      </c>
      <c r="I31" s="325">
        <v>998.1</v>
      </c>
      <c r="J31" s="326">
        <v>1000.3</v>
      </c>
      <c r="K31" s="334">
        <v>-11.6</v>
      </c>
      <c r="L31" s="335">
        <v>-11</v>
      </c>
      <c r="M31" s="335">
        <v>-8.4</v>
      </c>
      <c r="N31" s="336">
        <v>-10.6</v>
      </c>
      <c r="O31" s="451">
        <f>IF(K31="","",(IF(L31="","",(IF(M31="","",(IF(N31="","",AVERAGE(K31:N31))))))))</f>
        <v>-10.4</v>
      </c>
      <c r="P31" s="452">
        <f>IF(O31="","",(O31-$L$45))</f>
        <v>-7.0100000000000007</v>
      </c>
      <c r="Q31" s="460">
        <f>IF(P31="","",POWER(P31,2))</f>
        <v>49.140100000000011</v>
      </c>
      <c r="R31" s="351">
        <v>-7.6</v>
      </c>
      <c r="S31" s="351">
        <v>-13.4</v>
      </c>
      <c r="T31" s="343">
        <v>1.7</v>
      </c>
      <c r="U31" s="344">
        <v>2</v>
      </c>
      <c r="V31" s="344">
        <v>2.8</v>
      </c>
      <c r="W31" s="359">
        <v>2.2999999999999998</v>
      </c>
      <c r="X31" s="668"/>
      <c r="Y31" s="669"/>
      <c r="Z31" s="351">
        <v>6.7</v>
      </c>
    </row>
    <row r="32" spans="2:26" x14ac:dyDescent="0.2">
      <c r="B32" s="13">
        <v>22</v>
      </c>
      <c r="C32" s="314">
        <v>999.7</v>
      </c>
      <c r="D32" s="315">
        <v>1000.3</v>
      </c>
      <c r="E32" s="315">
        <v>1000.9</v>
      </c>
      <c r="F32" s="316">
        <v>1001.7</v>
      </c>
      <c r="G32" s="314">
        <v>1000.6</v>
      </c>
      <c r="H32" s="315">
        <v>1001.2</v>
      </c>
      <c r="I32" s="315">
        <v>1001.8</v>
      </c>
      <c r="J32" s="316">
        <v>1002.6</v>
      </c>
      <c r="K32" s="334">
        <v>-10.4</v>
      </c>
      <c r="L32" s="335">
        <v>-9.6</v>
      </c>
      <c r="M32" s="335">
        <v>-7</v>
      </c>
      <c r="N32" s="336">
        <v>-7.7</v>
      </c>
      <c r="O32" s="453">
        <f>IF(K32="","",(IF(L32="","",(IF(M32="","",(IF(N32="","",AVERAGE(K32:N32))))))))</f>
        <v>-8.6750000000000007</v>
      </c>
      <c r="P32" s="452">
        <f t="shared" ref="P32:P40" si="10">IF(O32="","",(O32-$L$45))</f>
        <v>-5.285000000000001</v>
      </c>
      <c r="Q32" s="460">
        <f t="shared" ref="Q32:Q40" si="11">IF(P32="","",POWER(P32,2))</f>
        <v>27.931225000000012</v>
      </c>
      <c r="R32" s="352">
        <v>-6.4</v>
      </c>
      <c r="S32" s="352">
        <v>-12.1</v>
      </c>
      <c r="T32" s="358">
        <v>2.2000000000000002</v>
      </c>
      <c r="U32" s="335">
        <v>2.4</v>
      </c>
      <c r="V32" s="335">
        <v>3.4</v>
      </c>
      <c r="W32" s="336">
        <v>3.1</v>
      </c>
      <c r="X32" s="580">
        <v>1.2</v>
      </c>
      <c r="Y32" s="581"/>
      <c r="Z32" s="352">
        <v>1.6</v>
      </c>
    </row>
    <row r="33" spans="2:26" x14ac:dyDescent="0.2">
      <c r="B33" s="13">
        <v>23</v>
      </c>
      <c r="C33" s="314">
        <v>1001.5</v>
      </c>
      <c r="D33" s="315">
        <v>1001.9</v>
      </c>
      <c r="E33" s="315">
        <v>1002.2</v>
      </c>
      <c r="F33" s="316">
        <v>1002.4</v>
      </c>
      <c r="G33" s="314">
        <v>1002.4</v>
      </c>
      <c r="H33" s="315">
        <v>1002.8</v>
      </c>
      <c r="I33" s="315">
        <v>1003.1</v>
      </c>
      <c r="J33" s="316">
        <v>1003.3</v>
      </c>
      <c r="K33" s="334">
        <v>-7.4</v>
      </c>
      <c r="L33" s="335">
        <v>-6.5</v>
      </c>
      <c r="M33" s="335">
        <v>-7.4</v>
      </c>
      <c r="N33" s="336">
        <v>-7.2</v>
      </c>
      <c r="O33" s="454">
        <f t="shared" ref="O33:O40" si="12">IF(K33="","",(IF(L33="","",(IF(M33="","",(IF(N33="","",AVERAGE(K33:N33))))))))</f>
        <v>-7.125</v>
      </c>
      <c r="P33" s="452">
        <f t="shared" si="10"/>
        <v>-3.7350000000000003</v>
      </c>
      <c r="Q33" s="460">
        <f t="shared" si="11"/>
        <v>13.950225000000003</v>
      </c>
      <c r="R33" s="352">
        <v>-6.3</v>
      </c>
      <c r="S33" s="352">
        <v>-9.6999999999999993</v>
      </c>
      <c r="T33" s="358">
        <v>2.9</v>
      </c>
      <c r="U33" s="335">
        <v>3</v>
      </c>
      <c r="V33" s="335">
        <v>2.9</v>
      </c>
      <c r="W33" s="336">
        <v>3.1</v>
      </c>
      <c r="X33" s="580">
        <v>0</v>
      </c>
      <c r="Y33" s="581"/>
      <c r="Z33" s="352">
        <v>0</v>
      </c>
    </row>
    <row r="34" spans="2:26" x14ac:dyDescent="0.2">
      <c r="B34" s="13">
        <v>24</v>
      </c>
      <c r="C34" s="314">
        <v>1003.9</v>
      </c>
      <c r="D34" s="315">
        <v>1004.3</v>
      </c>
      <c r="E34" s="327">
        <v>1004.3</v>
      </c>
      <c r="F34" s="328">
        <v>1004</v>
      </c>
      <c r="G34" s="314">
        <v>1004.8</v>
      </c>
      <c r="H34" s="315">
        <v>1005.2</v>
      </c>
      <c r="I34" s="327">
        <v>1005.2</v>
      </c>
      <c r="J34" s="328">
        <v>1004.9</v>
      </c>
      <c r="K34" s="334">
        <v>-6.2</v>
      </c>
      <c r="L34" s="335">
        <v>-5.4</v>
      </c>
      <c r="M34" s="348">
        <v>-2.2000000000000002</v>
      </c>
      <c r="N34" s="349">
        <v>-1.6</v>
      </c>
      <c r="O34" s="454">
        <f t="shared" si="12"/>
        <v>-3.85</v>
      </c>
      <c r="P34" s="452">
        <f t="shared" si="10"/>
        <v>-0.46000000000000041</v>
      </c>
      <c r="Q34" s="460">
        <f t="shared" si="11"/>
        <v>0.21160000000000037</v>
      </c>
      <c r="R34" s="352">
        <v>-1.6</v>
      </c>
      <c r="S34" s="352">
        <v>-8.1</v>
      </c>
      <c r="T34" s="334">
        <v>3.4</v>
      </c>
      <c r="U34" s="335">
        <v>3.4</v>
      </c>
      <c r="V34" s="335">
        <v>4.9000000000000004</v>
      </c>
      <c r="W34" s="336">
        <v>5</v>
      </c>
      <c r="X34" s="580">
        <v>5.7</v>
      </c>
      <c r="Y34" s="581"/>
      <c r="Z34" s="352">
        <v>0</v>
      </c>
    </row>
    <row r="35" spans="2:26" x14ac:dyDescent="0.2">
      <c r="B35" s="13">
        <v>25</v>
      </c>
      <c r="C35" s="314">
        <v>1003.6</v>
      </c>
      <c r="D35" s="315">
        <v>1004.2</v>
      </c>
      <c r="E35" s="315">
        <v>1003.6</v>
      </c>
      <c r="F35" s="316">
        <v>1002.1</v>
      </c>
      <c r="G35" s="314">
        <v>1004.5</v>
      </c>
      <c r="H35" s="315">
        <v>1005.1</v>
      </c>
      <c r="I35" s="315">
        <v>1004.5</v>
      </c>
      <c r="J35" s="316">
        <v>1002.9</v>
      </c>
      <c r="K35" s="350">
        <v>-1.6</v>
      </c>
      <c r="L35" s="348">
        <v>-1.6</v>
      </c>
      <c r="M35" s="348">
        <v>-1.8</v>
      </c>
      <c r="N35" s="349">
        <v>-3</v>
      </c>
      <c r="O35" s="454">
        <f t="shared" si="12"/>
        <v>-2</v>
      </c>
      <c r="P35" s="452">
        <f t="shared" si="10"/>
        <v>1.3899999999999997</v>
      </c>
      <c r="Q35" s="460">
        <f t="shared" si="11"/>
        <v>1.932099999999999</v>
      </c>
      <c r="R35" s="352">
        <v>-0.5</v>
      </c>
      <c r="S35" s="352">
        <v>-3.7</v>
      </c>
      <c r="T35" s="334">
        <v>5.0999999999999996</v>
      </c>
      <c r="U35" s="335">
        <v>5.0999999999999996</v>
      </c>
      <c r="V35" s="335">
        <v>4.9000000000000004</v>
      </c>
      <c r="W35" s="336">
        <v>4.7</v>
      </c>
      <c r="X35" s="580">
        <v>0.4</v>
      </c>
      <c r="Y35" s="581"/>
      <c r="Z35" s="352">
        <v>0</v>
      </c>
    </row>
    <row r="36" spans="2:26" x14ac:dyDescent="0.2">
      <c r="B36" s="13">
        <v>26</v>
      </c>
      <c r="C36" s="314">
        <v>1000.3</v>
      </c>
      <c r="D36" s="315">
        <v>998.4</v>
      </c>
      <c r="E36" s="315">
        <v>997</v>
      </c>
      <c r="F36" s="316">
        <v>996.2</v>
      </c>
      <c r="G36" s="314">
        <v>1001.2</v>
      </c>
      <c r="H36" s="315">
        <v>999.3</v>
      </c>
      <c r="I36" s="315">
        <v>997.9</v>
      </c>
      <c r="J36" s="316">
        <v>997.1</v>
      </c>
      <c r="K36" s="350">
        <v>-3.6</v>
      </c>
      <c r="L36" s="348">
        <v>-5.4</v>
      </c>
      <c r="M36" s="348">
        <v>-5.2</v>
      </c>
      <c r="N36" s="349">
        <v>-5.4</v>
      </c>
      <c r="O36" s="454">
        <f t="shared" si="12"/>
        <v>-4.9000000000000004</v>
      </c>
      <c r="P36" s="452">
        <f t="shared" si="10"/>
        <v>-1.5100000000000007</v>
      </c>
      <c r="Q36" s="460">
        <f t="shared" si="11"/>
        <v>2.2801000000000022</v>
      </c>
      <c r="R36" s="352">
        <v>-2.6</v>
      </c>
      <c r="S36" s="352">
        <v>-7.6</v>
      </c>
      <c r="T36" s="350">
        <v>4.5</v>
      </c>
      <c r="U36" s="348">
        <v>4.0999999999999996</v>
      </c>
      <c r="V36" s="348">
        <v>4.2</v>
      </c>
      <c r="W36" s="349">
        <v>4</v>
      </c>
      <c r="X36" s="578"/>
      <c r="Y36" s="579"/>
      <c r="Z36" s="497">
        <v>0</v>
      </c>
    </row>
    <row r="37" spans="2:26" x14ac:dyDescent="0.2">
      <c r="B37" s="13">
        <v>27</v>
      </c>
      <c r="C37" s="314">
        <v>996.8</v>
      </c>
      <c r="D37" s="315">
        <v>997.7</v>
      </c>
      <c r="E37" s="315">
        <v>996.9</v>
      </c>
      <c r="F37" s="316">
        <v>995.6</v>
      </c>
      <c r="G37" s="314">
        <v>997.7</v>
      </c>
      <c r="H37" s="315">
        <v>998.6</v>
      </c>
      <c r="I37" s="315">
        <v>997.8</v>
      </c>
      <c r="J37" s="316">
        <v>996.5</v>
      </c>
      <c r="K37" s="350">
        <v>-4</v>
      </c>
      <c r="L37" s="348">
        <v>-5.2</v>
      </c>
      <c r="M37" s="348">
        <v>-3.8</v>
      </c>
      <c r="N37" s="349">
        <v>-4.2</v>
      </c>
      <c r="O37" s="453">
        <f t="shared" si="12"/>
        <v>-4.3</v>
      </c>
      <c r="P37" s="452">
        <f t="shared" si="10"/>
        <v>-0.91000000000000014</v>
      </c>
      <c r="Q37" s="460">
        <f t="shared" si="11"/>
        <v>0.82810000000000028</v>
      </c>
      <c r="R37" s="352">
        <v>-2.5</v>
      </c>
      <c r="S37" s="352">
        <v>-7.9</v>
      </c>
      <c r="T37" s="350">
        <v>3.9</v>
      </c>
      <c r="U37" s="348">
        <v>3.7</v>
      </c>
      <c r="V37" s="348">
        <v>3.7</v>
      </c>
      <c r="W37" s="349">
        <v>3.8</v>
      </c>
      <c r="X37" s="578"/>
      <c r="Y37" s="579"/>
      <c r="Z37" s="365">
        <v>0</v>
      </c>
    </row>
    <row r="38" spans="2:26" x14ac:dyDescent="0.2">
      <c r="B38" s="13">
        <v>28</v>
      </c>
      <c r="C38" s="314">
        <v>994.5</v>
      </c>
      <c r="D38" s="315">
        <v>995.7</v>
      </c>
      <c r="E38" s="315">
        <v>992.8</v>
      </c>
      <c r="F38" s="316">
        <v>992.2</v>
      </c>
      <c r="G38" s="314">
        <v>995.4</v>
      </c>
      <c r="H38" s="315">
        <v>994.6</v>
      </c>
      <c r="I38" s="315">
        <v>993.7</v>
      </c>
      <c r="J38" s="316">
        <v>993.1</v>
      </c>
      <c r="K38" s="350">
        <v>-5.8</v>
      </c>
      <c r="L38" s="348">
        <v>-4.8</v>
      </c>
      <c r="M38" s="348">
        <v>-5.4</v>
      </c>
      <c r="N38" s="349">
        <v>-6.6</v>
      </c>
      <c r="O38" s="453">
        <f t="shared" si="12"/>
        <v>-5.65</v>
      </c>
      <c r="P38" s="452">
        <f t="shared" si="10"/>
        <v>-2.2600000000000007</v>
      </c>
      <c r="Q38" s="460">
        <f t="shared" si="11"/>
        <v>5.1076000000000032</v>
      </c>
      <c r="R38" s="352">
        <v>-4</v>
      </c>
      <c r="S38" s="352">
        <v>-7</v>
      </c>
      <c r="T38" s="350">
        <v>3.5</v>
      </c>
      <c r="U38" s="348">
        <v>3.8</v>
      </c>
      <c r="V38" s="348">
        <v>3.6</v>
      </c>
      <c r="W38" s="349">
        <v>3.3</v>
      </c>
      <c r="X38" s="578"/>
      <c r="Y38" s="579"/>
      <c r="Z38" s="365">
        <v>0</v>
      </c>
    </row>
    <row r="39" spans="2:26" x14ac:dyDescent="0.2">
      <c r="B39" s="13">
        <v>29</v>
      </c>
      <c r="C39" s="314">
        <v>990.8</v>
      </c>
      <c r="D39" s="315">
        <v>990.1</v>
      </c>
      <c r="E39" s="315">
        <v>990.1</v>
      </c>
      <c r="F39" s="316">
        <v>991</v>
      </c>
      <c r="G39" s="314">
        <v>991.7</v>
      </c>
      <c r="H39" s="315">
        <v>991</v>
      </c>
      <c r="I39" s="315">
        <v>991</v>
      </c>
      <c r="J39" s="316">
        <v>991.9</v>
      </c>
      <c r="K39" s="350">
        <v>-7.3</v>
      </c>
      <c r="L39" s="348">
        <v>-6.4</v>
      </c>
      <c r="M39" s="348">
        <v>-5.6</v>
      </c>
      <c r="N39" s="349">
        <v>-7.4</v>
      </c>
      <c r="O39" s="453">
        <f t="shared" si="12"/>
        <v>-6.6749999999999989</v>
      </c>
      <c r="P39" s="452">
        <f t="shared" si="10"/>
        <v>-3.2849999999999993</v>
      </c>
      <c r="Q39" s="460">
        <f t="shared" si="11"/>
        <v>10.791224999999995</v>
      </c>
      <c r="R39" s="352">
        <v>-5.4</v>
      </c>
      <c r="S39" s="352">
        <v>-9.8000000000000007</v>
      </c>
      <c r="T39" s="360">
        <v>3.8</v>
      </c>
      <c r="U39" s="348">
        <v>3.4</v>
      </c>
      <c r="V39" s="348">
        <v>3.4</v>
      </c>
      <c r="W39" s="349">
        <v>3.1</v>
      </c>
      <c r="X39" s="578">
        <v>0.4</v>
      </c>
      <c r="Y39" s="579"/>
      <c r="Z39" s="365">
        <v>2</v>
      </c>
    </row>
    <row r="40" spans="2:26" x14ac:dyDescent="0.2">
      <c r="B40" s="13">
        <v>30</v>
      </c>
      <c r="C40" s="314">
        <v>991.6</v>
      </c>
      <c r="D40" s="315">
        <v>991.7</v>
      </c>
      <c r="E40" s="315">
        <v>991.6</v>
      </c>
      <c r="F40" s="316">
        <v>990.9</v>
      </c>
      <c r="G40" s="314">
        <v>992.5</v>
      </c>
      <c r="H40" s="315">
        <v>992.6</v>
      </c>
      <c r="I40" s="315">
        <v>992.5</v>
      </c>
      <c r="J40" s="316">
        <v>991.8</v>
      </c>
      <c r="K40" s="350">
        <v>-6.5</v>
      </c>
      <c r="L40" s="348">
        <v>-5.6</v>
      </c>
      <c r="M40" s="348">
        <v>-4.4000000000000004</v>
      </c>
      <c r="N40" s="349">
        <v>-3.4</v>
      </c>
      <c r="O40" s="453">
        <f t="shared" si="12"/>
        <v>-4.9749999999999996</v>
      </c>
      <c r="P40" s="452">
        <f t="shared" si="10"/>
        <v>-1.585</v>
      </c>
      <c r="Q40" s="460">
        <f t="shared" si="11"/>
        <v>2.5122249999999999</v>
      </c>
      <c r="R40" s="352">
        <v>-3.4</v>
      </c>
      <c r="S40" s="352">
        <v>-10.1</v>
      </c>
      <c r="T40" s="360">
        <v>3.4</v>
      </c>
      <c r="U40" s="348">
        <v>3.5</v>
      </c>
      <c r="V40" s="348">
        <v>4.0999999999999996</v>
      </c>
      <c r="W40" s="349">
        <v>4.3</v>
      </c>
      <c r="X40" s="578"/>
      <c r="Y40" s="579"/>
      <c r="Z40" s="365">
        <v>0</v>
      </c>
    </row>
    <row r="41" spans="2:26" ht="12" thickBot="1" x14ac:dyDescent="0.25">
      <c r="B41" s="13">
        <v>31</v>
      </c>
      <c r="C41" s="329"/>
      <c r="D41" s="330"/>
      <c r="E41" s="330"/>
      <c r="F41" s="331"/>
      <c r="G41" s="329"/>
      <c r="H41" s="330"/>
      <c r="I41" s="330"/>
      <c r="J41" s="331"/>
      <c r="K41" s="334"/>
      <c r="L41" s="335"/>
      <c r="M41" s="335"/>
      <c r="N41" s="336"/>
      <c r="O41" s="453" t="str">
        <f>IF(K41="","",(IF(L41="","",(IF(M41="","",(IF(N41="","",AVERAGE(K41:N41))))))))</f>
        <v/>
      </c>
      <c r="P41" s="452" t="str">
        <f>IF(O41="","",(O41-$L$45))</f>
        <v/>
      </c>
      <c r="Q41" s="461" t="str">
        <f>IF(P41="","",POWER(P41,2))</f>
        <v/>
      </c>
      <c r="R41" s="354"/>
      <c r="S41" s="354"/>
      <c r="T41" s="361"/>
      <c r="U41" s="362"/>
      <c r="V41" s="362"/>
      <c r="W41" s="363"/>
      <c r="X41" s="670"/>
      <c r="Y41" s="671"/>
      <c r="Z41" s="366"/>
    </row>
    <row r="42" spans="2:26" ht="12" thickBot="1" x14ac:dyDescent="0.25">
      <c r="B42" s="15" t="s">
        <v>26</v>
      </c>
      <c r="C42" s="466">
        <f t="shared" ref="C42:N42" si="13">SUM(C31:C41)</f>
        <v>9974.5</v>
      </c>
      <c r="D42" s="467">
        <f t="shared" si="13"/>
        <v>9978.7999999999993</v>
      </c>
      <c r="E42" s="467">
        <f t="shared" si="13"/>
        <v>9976.6</v>
      </c>
      <c r="F42" s="468">
        <f t="shared" si="13"/>
        <v>9975.5</v>
      </c>
      <c r="G42" s="466">
        <f t="shared" si="13"/>
        <v>9983.5</v>
      </c>
      <c r="H42" s="467">
        <f t="shared" si="13"/>
        <v>9985.8000000000011</v>
      </c>
      <c r="I42" s="467">
        <f t="shared" si="13"/>
        <v>9985.5999999999985</v>
      </c>
      <c r="J42" s="468">
        <f t="shared" si="13"/>
        <v>9984.4</v>
      </c>
      <c r="K42" s="466">
        <f t="shared" si="13"/>
        <v>-64.400000000000006</v>
      </c>
      <c r="L42" s="467">
        <f t="shared" si="13"/>
        <v>-61.5</v>
      </c>
      <c r="M42" s="467">
        <f t="shared" si="13"/>
        <v>-51.199999999999996</v>
      </c>
      <c r="N42" s="468">
        <f t="shared" si="13"/>
        <v>-57.1</v>
      </c>
      <c r="O42" s="217" t="s">
        <v>27</v>
      </c>
      <c r="P42" s="218" t="s">
        <v>110</v>
      </c>
      <c r="Q42" s="459">
        <f>SUM(Q9:Q18,Q20:Q29,Q31:Q41)</f>
        <v>330.10699999999997</v>
      </c>
      <c r="R42" s="472">
        <f t="shared" ref="R42:X42" si="14">SUM(R31:R41)</f>
        <v>-40.300000000000004</v>
      </c>
      <c r="S42" s="473">
        <f t="shared" si="14"/>
        <v>-89.399999999999991</v>
      </c>
      <c r="T42" s="227">
        <f t="shared" si="14"/>
        <v>34.4</v>
      </c>
      <c r="U42" s="462">
        <f t="shared" si="14"/>
        <v>34.4</v>
      </c>
      <c r="V42" s="462">
        <f t="shared" si="14"/>
        <v>37.9</v>
      </c>
      <c r="W42" s="463">
        <f t="shared" si="14"/>
        <v>36.699999999999996</v>
      </c>
      <c r="X42" s="576">
        <f t="shared" si="14"/>
        <v>7.7000000000000011</v>
      </c>
      <c r="Y42" s="577"/>
      <c r="Z42" s="465">
        <f>SUM(Z31:Z41)</f>
        <v>10.3</v>
      </c>
    </row>
    <row r="43" spans="2:26" ht="12" thickBot="1" x14ac:dyDescent="0.25">
      <c r="B43" s="12" t="s">
        <v>28</v>
      </c>
      <c r="C43" s="469">
        <f t="shared" ref="C43:N43" si="15">SUM(C19,C30,C42)</f>
        <v>29734.5</v>
      </c>
      <c r="D43" s="470">
        <f t="shared" si="15"/>
        <v>29742.399999999998</v>
      </c>
      <c r="E43" s="470">
        <f t="shared" si="15"/>
        <v>29756.300000000003</v>
      </c>
      <c r="F43" s="471">
        <f t="shared" si="15"/>
        <v>29756</v>
      </c>
      <c r="G43" s="469">
        <f t="shared" si="15"/>
        <v>29763.4</v>
      </c>
      <c r="H43" s="470">
        <f t="shared" si="15"/>
        <v>29767.5</v>
      </c>
      <c r="I43" s="470">
        <f t="shared" si="15"/>
        <v>29782.6</v>
      </c>
      <c r="J43" s="471">
        <f t="shared" si="15"/>
        <v>29779.800000000003</v>
      </c>
      <c r="K43" s="469">
        <f t="shared" si="15"/>
        <v>-106.2</v>
      </c>
      <c r="L43" s="470">
        <f t="shared" si="15"/>
        <v>-110.6</v>
      </c>
      <c r="M43" s="470">
        <f t="shared" si="15"/>
        <v>-85.3</v>
      </c>
      <c r="N43" s="471">
        <f t="shared" si="15"/>
        <v>-104.69999999999999</v>
      </c>
      <c r="O43" s="219" t="s">
        <v>27</v>
      </c>
      <c r="P43" s="220"/>
      <c r="Q43" s="474">
        <f>COUNT(Q9:Q18,Q20:Q29,Q31:Q41)</f>
        <v>30</v>
      </c>
      <c r="R43" s="221">
        <f t="shared" ref="R43:W43" si="16">SUM(R19,R30,R42)</f>
        <v>-33.000000000000007</v>
      </c>
      <c r="S43" s="221">
        <f t="shared" si="16"/>
        <v>-190.89999999999998</v>
      </c>
      <c r="T43" s="474">
        <f t="shared" si="16"/>
        <v>125.70000000000002</v>
      </c>
      <c r="U43" s="475">
        <f t="shared" si="16"/>
        <v>124.60000000000002</v>
      </c>
      <c r="V43" s="475">
        <f t="shared" si="16"/>
        <v>129.1</v>
      </c>
      <c r="W43" s="474">
        <f t="shared" si="16"/>
        <v>123.9</v>
      </c>
      <c r="X43" s="574">
        <f>X19+X30+X42</f>
        <v>54</v>
      </c>
      <c r="Y43" s="575"/>
      <c r="Z43" s="221">
        <f>IF(COUNTBLANK(Z9:Z41)=31,"///",SUM(Z19,Z30,Z42))</f>
        <v>40.9</v>
      </c>
    </row>
    <row r="44" spans="2:26" ht="12" thickBot="1" x14ac:dyDescent="0.25">
      <c r="B44" s="18" t="s">
        <v>29</v>
      </c>
      <c r="C44" s="641">
        <f>SUM(C43,D43,E43,F43)</f>
        <v>118989.2</v>
      </c>
      <c r="D44" s="642"/>
      <c r="E44" s="642"/>
      <c r="F44" s="643"/>
      <c r="G44" s="641">
        <f>SUM(G43,H43,I43,J43)</f>
        <v>119093.3</v>
      </c>
      <c r="H44" s="642"/>
      <c r="I44" s="642"/>
      <c r="J44" s="643"/>
      <c r="K44" s="641">
        <f>SUM(K43,L43,M43,N43)</f>
        <v>-406.8</v>
      </c>
      <c r="L44" s="636"/>
      <c r="M44" s="636"/>
      <c r="N44" s="637"/>
      <c r="O44" s="222" t="s">
        <v>27</v>
      </c>
      <c r="P44" s="223" t="s">
        <v>111</v>
      </c>
      <c r="Q44" s="476">
        <f>SQRT((Q42/(Q43-1)))</f>
        <v>3.3738701812606839</v>
      </c>
      <c r="R44" s="659" t="s">
        <v>30</v>
      </c>
      <c r="S44" s="660"/>
      <c r="T44" s="477"/>
      <c r="U44" s="667">
        <f>SUM(T43,U43,V43,W43)</f>
        <v>503.30000000000007</v>
      </c>
      <c r="V44" s="667"/>
      <c r="W44" s="478"/>
      <c r="X44" s="224" t="s">
        <v>31</v>
      </c>
      <c r="Y44" s="310"/>
      <c r="Z44" s="488"/>
    </row>
    <row r="45" spans="2:26" ht="12" thickBot="1" x14ac:dyDescent="0.25">
      <c r="B45" s="18" t="s">
        <v>32</v>
      </c>
      <c r="C45" s="367" t="s">
        <v>33</v>
      </c>
      <c r="D45" s="635">
        <f>IF(COUNTBLANK(C9:F41)=124,"////",AVERAGE(C9:F18,C20:F29,C31:F41))</f>
        <v>991.57666666666637</v>
      </c>
      <c r="E45" s="636"/>
      <c r="F45" s="637"/>
      <c r="G45" s="225" t="s">
        <v>34</v>
      </c>
      <c r="H45" s="635">
        <f>IF(COUNTBLANK(G9:J41)=124,"////",AVERAGE(G9:J18,G20:J29,G31:J41))</f>
        <v>992.44416666666689</v>
      </c>
      <c r="I45" s="636"/>
      <c r="J45" s="637"/>
      <c r="K45" s="6" t="s">
        <v>230</v>
      </c>
      <c r="L45" s="638">
        <f>IF(COUNTBLANK(K9:N41)=124,"///",IF(COUNTBLANK(K9:K41)&gt;Auxiliar!C47,AVERAGE(L9:N18,L20:N29,L31:N41)-O49,AVERAGE(K9:N18,K20:N29,K31:N41)))</f>
        <v>-3.3899999999999997</v>
      </c>
      <c r="M45" s="639"/>
      <c r="N45" s="640"/>
      <c r="O45" s="219" t="s">
        <v>27</v>
      </c>
      <c r="P45" s="220" t="s">
        <v>35</v>
      </c>
      <c r="Q45" s="226">
        <f>IF((COUNTBLANK(O9:O18)+COUNTBLANK(O20:O29)+COUNTBLANK(O31:O41))&gt;=Auxiliar!C47,"///",Q44)</f>
        <v>3.3738701812606839</v>
      </c>
      <c r="R45" s="227">
        <f>IF(COUNTBLANK(R9:R41)=31,"///",IF(COUNTBLANK(R9:R41)&gt;Auxiliar!C47,"///",AVERAGE(R9:R18,R20:R29,R31:R41)))</f>
        <v>-1.1000000000000001</v>
      </c>
      <c r="S45" s="227">
        <f>IF(COUNTBLANK(S9:S41)=31,"///",IF(COUNTBLANK(S9:S41)&gt;Auxiliar!C47,"///",AVERAGE(S9:S18,S20:S29,S31:S41)))</f>
        <v>-6.3633333333333324</v>
      </c>
      <c r="T45" s="220" t="s">
        <v>36</v>
      </c>
      <c r="U45" s="658">
        <f>IF(COUNTBLANK(T9:W41)=124,"///",AVERAGE(T9:W18,T20:W29,T31:W41))</f>
        <v>4.1941666666666668</v>
      </c>
      <c r="V45" s="658"/>
      <c r="W45" s="228"/>
      <c r="X45" s="229" t="s">
        <v>37</v>
      </c>
      <c r="Y45" s="479">
        <f>SECC3!I41</f>
        <v>13</v>
      </c>
      <c r="Z45" s="221" t="str">
        <f>IF(Z43="///","///",IF(Z44="","///",Z43/Z44*100))</f>
        <v>///</v>
      </c>
    </row>
    <row r="46" spans="2:26" ht="20.25" customHeight="1" thickBot="1" x14ac:dyDescent="0.25">
      <c r="B46" s="230"/>
      <c r="K46" s="655" t="b">
        <f>IF(COUNTBLANK(K9:N41)=124,"",IF(COUNTBLANK(K9:K41)&gt;Auxiliar!C47,IF(O49="","Ingrese la corrección a 24hs en O49","")))</f>
        <v>0</v>
      </c>
      <c r="L46" s="656"/>
      <c r="M46" s="656"/>
      <c r="N46" s="657"/>
    </row>
    <row r="47" spans="2:26" ht="11.25" customHeight="1" thickBot="1" x14ac:dyDescent="0.25">
      <c r="B47" s="600" t="s">
        <v>113</v>
      </c>
      <c r="D47" s="652" t="str">
        <f>IF(D45&gt;J55,"1PoPoPo= Verifique los datos ingresados",IF(D45&lt;G55,"1PoPoPo= Verifique los datos ingresados",""))</f>
        <v/>
      </c>
      <c r="E47" s="653"/>
      <c r="F47" s="654"/>
      <c r="H47" s="652" t="str">
        <f>IF(H45&gt;J56,"2PPPP= Verifique los datos ingresados",IF(H45&lt;G56,"2PPPP= Verifique los datos ingresados",""))</f>
        <v/>
      </c>
      <c r="I47" s="653"/>
      <c r="J47" s="654"/>
      <c r="L47" s="592" t="str">
        <f>IF(L45&gt;J58,"3snTTT= Verifique los datos ingresados",IF(L45&lt;G58,"3snTTT= Verifique los datos ingresados",""))</f>
        <v/>
      </c>
      <c r="M47" s="593"/>
      <c r="N47" s="594"/>
      <c r="R47" s="645" t="str">
        <f>IF(R45&gt;J59,"4 snTxTxTx= Verifique los datos",IF(R45&lt;G59,"4 snTxTxTx= Verifique los datos",""))</f>
        <v/>
      </c>
      <c r="S47" s="645" t="str">
        <f>IF(S45&gt;J60,"4  snTmTmTm= Verifique los datos",IF(S45&lt;G60,"4  snTmTmTm= Verifique los datos",""))</f>
        <v/>
      </c>
      <c r="U47" s="652" t="str">
        <f>IF(U45&gt;J61,"5eee= Verifique los datos ingresados",IF(U45&lt;G61,"5eee= Verifique los datos ingresados",""))</f>
        <v/>
      </c>
      <c r="V47" s="653"/>
      <c r="W47" s="654"/>
    </row>
    <row r="48" spans="2:26" ht="12" thickBot="1" x14ac:dyDescent="0.25">
      <c r="B48" s="601"/>
      <c r="D48" s="592"/>
      <c r="E48" s="593"/>
      <c r="F48" s="594"/>
      <c r="H48" s="592"/>
      <c r="I48" s="593"/>
      <c r="J48" s="594"/>
      <c r="L48" s="592"/>
      <c r="M48" s="593"/>
      <c r="N48" s="594"/>
      <c r="O48" s="625" t="s">
        <v>130</v>
      </c>
      <c r="P48" s="626"/>
      <c r="Q48" s="231"/>
      <c r="R48" s="646"/>
      <c r="S48" s="646"/>
      <c r="U48" s="592"/>
      <c r="V48" s="593"/>
      <c r="W48" s="594"/>
    </row>
    <row r="49" spans="2:23" ht="12" thickBot="1" x14ac:dyDescent="0.25">
      <c r="B49" s="601"/>
      <c r="D49" s="592"/>
      <c r="E49" s="593"/>
      <c r="F49" s="594"/>
      <c r="H49" s="592"/>
      <c r="I49" s="593"/>
      <c r="J49" s="594"/>
      <c r="L49" s="592"/>
      <c r="M49" s="593"/>
      <c r="N49" s="594"/>
      <c r="O49" s="598"/>
      <c r="P49" s="599"/>
      <c r="Q49" s="231"/>
      <c r="R49" s="646"/>
      <c r="S49" s="646"/>
      <c r="U49" s="592"/>
      <c r="V49" s="593"/>
      <c r="W49" s="594"/>
    </row>
    <row r="50" spans="2:23" x14ac:dyDescent="0.2">
      <c r="B50" s="601"/>
      <c r="D50" s="592"/>
      <c r="E50" s="593"/>
      <c r="F50" s="594"/>
      <c r="H50" s="592"/>
      <c r="I50" s="593"/>
      <c r="J50" s="594"/>
      <c r="L50" s="592"/>
      <c r="M50" s="593"/>
      <c r="N50" s="594"/>
      <c r="R50" s="646"/>
      <c r="S50" s="646"/>
      <c r="U50" s="592"/>
      <c r="V50" s="593"/>
      <c r="W50" s="594"/>
    </row>
    <row r="51" spans="2:23" ht="12" thickBot="1" x14ac:dyDescent="0.25">
      <c r="B51" s="602"/>
      <c r="D51" s="595"/>
      <c r="E51" s="596"/>
      <c r="F51" s="597"/>
      <c r="H51" s="595"/>
      <c r="I51" s="596"/>
      <c r="J51" s="597"/>
      <c r="L51" s="595"/>
      <c r="M51" s="596"/>
      <c r="N51" s="597"/>
      <c r="R51" s="647"/>
      <c r="S51" s="647"/>
      <c r="U51" s="595"/>
      <c r="V51" s="596"/>
      <c r="W51" s="597"/>
    </row>
    <row r="52" spans="2:23" x14ac:dyDescent="0.2">
      <c r="B52" s="5"/>
      <c r="R52" s="232"/>
      <c r="S52" s="232"/>
    </row>
    <row r="53" spans="2:23" ht="12" thickBot="1" x14ac:dyDescent="0.25">
      <c r="B53" s="5"/>
    </row>
    <row r="54" spans="2:23" ht="12" thickBot="1" x14ac:dyDescent="0.25">
      <c r="B54" s="600" t="s">
        <v>128</v>
      </c>
      <c r="C54" s="88"/>
      <c r="D54" s="603"/>
      <c r="E54" s="604"/>
      <c r="F54" s="605"/>
      <c r="G54" s="606" t="s">
        <v>119</v>
      </c>
      <c r="H54" s="607"/>
      <c r="I54" s="608"/>
      <c r="J54" s="606" t="s">
        <v>120</v>
      </c>
      <c r="K54" s="607"/>
      <c r="L54" s="608"/>
    </row>
    <row r="55" spans="2:23" x14ac:dyDescent="0.2">
      <c r="B55" s="601"/>
      <c r="C55" s="88"/>
      <c r="D55" s="609" t="s">
        <v>2</v>
      </c>
      <c r="E55" s="610"/>
      <c r="F55" s="611"/>
      <c r="G55" s="612">
        <v>900</v>
      </c>
      <c r="H55" s="587"/>
      <c r="I55" s="588"/>
      <c r="J55" s="613">
        <v>1050</v>
      </c>
      <c r="K55" s="614"/>
      <c r="L55" s="615"/>
    </row>
    <row r="56" spans="2:23" x14ac:dyDescent="0.2">
      <c r="B56" s="601"/>
      <c r="C56" s="233"/>
      <c r="D56" s="616" t="s">
        <v>3</v>
      </c>
      <c r="E56" s="617"/>
      <c r="F56" s="618"/>
      <c r="G56" s="619">
        <v>900</v>
      </c>
      <c r="H56" s="619"/>
      <c r="I56" s="620"/>
      <c r="J56" s="623">
        <v>1040</v>
      </c>
      <c r="K56" s="617"/>
      <c r="L56" s="618"/>
    </row>
    <row r="57" spans="2:23" x14ac:dyDescent="0.2">
      <c r="B57" s="601"/>
      <c r="C57" s="233"/>
      <c r="D57" s="583" t="s">
        <v>9</v>
      </c>
      <c r="E57" s="584"/>
      <c r="F57" s="585"/>
      <c r="G57" s="621"/>
      <c r="H57" s="621"/>
      <c r="I57" s="622"/>
      <c r="J57" s="624"/>
      <c r="K57" s="584"/>
      <c r="L57" s="585"/>
    </row>
    <row r="58" spans="2:23" ht="12" thickBot="1" x14ac:dyDescent="0.25">
      <c r="B58" s="602"/>
      <c r="C58" s="88"/>
      <c r="D58" s="586" t="s">
        <v>121</v>
      </c>
      <c r="E58" s="587"/>
      <c r="F58" s="588"/>
      <c r="G58" s="589">
        <v>-45</v>
      </c>
      <c r="H58" s="590"/>
      <c r="I58" s="591"/>
      <c r="J58" s="557">
        <v>20</v>
      </c>
      <c r="K58" s="555"/>
      <c r="L58" s="556"/>
    </row>
    <row r="59" spans="2:23" x14ac:dyDescent="0.2">
      <c r="B59" s="234"/>
      <c r="C59" s="88"/>
      <c r="D59" s="551" t="s">
        <v>122</v>
      </c>
      <c r="E59" s="552"/>
      <c r="F59" s="553"/>
      <c r="G59" s="554">
        <v>-45</v>
      </c>
      <c r="H59" s="555"/>
      <c r="I59" s="556"/>
      <c r="J59" s="557">
        <v>20</v>
      </c>
      <c r="K59" s="555"/>
      <c r="L59" s="556"/>
    </row>
    <row r="60" spans="2:23" x14ac:dyDescent="0.2">
      <c r="B60" s="234"/>
      <c r="C60" s="88"/>
      <c r="D60" s="551" t="s">
        <v>123</v>
      </c>
      <c r="E60" s="552"/>
      <c r="F60" s="553"/>
      <c r="G60" s="582">
        <v>-50</v>
      </c>
      <c r="H60" s="552"/>
      <c r="I60" s="553"/>
      <c r="J60" s="557">
        <v>20</v>
      </c>
      <c r="K60" s="555"/>
      <c r="L60" s="556"/>
    </row>
    <row r="61" spans="2:23" x14ac:dyDescent="0.2">
      <c r="B61" s="234"/>
      <c r="C61" s="88"/>
      <c r="D61" s="551" t="s">
        <v>6</v>
      </c>
      <c r="E61" s="552"/>
      <c r="F61" s="553"/>
      <c r="G61" s="582">
        <v>0</v>
      </c>
      <c r="H61" s="552"/>
      <c r="I61" s="553"/>
      <c r="J61" s="557">
        <v>25</v>
      </c>
      <c r="K61" s="555"/>
      <c r="L61" s="556"/>
    </row>
    <row r="62" spans="2:23" x14ac:dyDescent="0.2">
      <c r="B62" s="234"/>
      <c r="C62" s="88"/>
      <c r="D62" s="551" t="s">
        <v>124</v>
      </c>
      <c r="E62" s="552"/>
      <c r="F62" s="553"/>
      <c r="G62" s="554">
        <v>0</v>
      </c>
      <c r="H62" s="555"/>
      <c r="I62" s="556"/>
      <c r="J62" s="557">
        <v>200</v>
      </c>
      <c r="K62" s="555"/>
      <c r="L62" s="556"/>
    </row>
    <row r="63" spans="2:23" ht="12" thickBot="1" x14ac:dyDescent="0.25">
      <c r="B63" s="234"/>
      <c r="C63" s="88"/>
      <c r="D63" s="558" t="s">
        <v>125</v>
      </c>
      <c r="E63" s="559"/>
      <c r="F63" s="560"/>
      <c r="G63" s="561">
        <v>0</v>
      </c>
      <c r="H63" s="562"/>
      <c r="I63" s="563"/>
      <c r="J63" s="564">
        <v>24</v>
      </c>
      <c r="K63" s="562"/>
      <c r="L63" s="563"/>
    </row>
  </sheetData>
  <sheetProtection password="9EAD" sheet="1"/>
  <protectedRanges>
    <protectedRange sqref="Y44" name="Rango12"/>
    <protectedRange sqref="L2" name="Rango11"/>
    <protectedRange sqref="H2" name="Rango10"/>
    <protectedRange sqref="D2" name="Rango9"/>
    <protectedRange sqref="O49" name="Rango7"/>
    <protectedRange sqref="R31:Z41" name="Rango6"/>
    <protectedRange sqref="R20:Z29" name="Rango5"/>
    <protectedRange sqref="R9:Z18" name="Rango4"/>
    <protectedRange sqref="C31:N41" name="Rango3"/>
    <protectedRange sqref="C20:N29" name="Rango2"/>
    <protectedRange sqref="C9:N18" name="Rango1"/>
  </protectedRanges>
  <mergeCells count="123">
    <mergeCell ref="X2:Z2"/>
    <mergeCell ref="U44:V44"/>
    <mergeCell ref="X20:Y20"/>
    <mergeCell ref="X21:Y21"/>
    <mergeCell ref="X22:Y22"/>
    <mergeCell ref="X23:Y23"/>
    <mergeCell ref="X24:Y24"/>
    <mergeCell ref="X40:Y40"/>
    <mergeCell ref="X41:Y41"/>
    <mergeCell ref="U7:U8"/>
    <mergeCell ref="T4:W5"/>
    <mergeCell ref="X33:Y33"/>
    <mergeCell ref="X32:Y32"/>
    <mergeCell ref="X31:Y31"/>
    <mergeCell ref="X30:Y30"/>
    <mergeCell ref="X29:Y29"/>
    <mergeCell ref="X28:Y28"/>
    <mergeCell ref="X27:Y27"/>
    <mergeCell ref="X26:Y26"/>
    <mergeCell ref="X25:Y25"/>
    <mergeCell ref="X19:Y19"/>
    <mergeCell ref="X18:Y18"/>
    <mergeCell ref="X17:Y17"/>
    <mergeCell ref="X16:Y16"/>
    <mergeCell ref="R47:R51"/>
    <mergeCell ref="S47:S51"/>
    <mergeCell ref="B47:B51"/>
    <mergeCell ref="B4:B8"/>
    <mergeCell ref="C4:F5"/>
    <mergeCell ref="G4:J4"/>
    <mergeCell ref="K4:Q5"/>
    <mergeCell ref="U47:W51"/>
    <mergeCell ref="I7:I8"/>
    <mergeCell ref="J7:J8"/>
    <mergeCell ref="T7:T8"/>
    <mergeCell ref="K46:N46"/>
    <mergeCell ref="U45:V45"/>
    <mergeCell ref="H45:J45"/>
    <mergeCell ref="V7:V8"/>
    <mergeCell ref="W7:W8"/>
    <mergeCell ref="R44:S44"/>
    <mergeCell ref="K6:N6"/>
    <mergeCell ref="O6:Q6"/>
    <mergeCell ref="D47:F51"/>
    <mergeCell ref="H47:J51"/>
    <mergeCell ref="C7:C8"/>
    <mergeCell ref="D7:D8"/>
    <mergeCell ref="E7:E8"/>
    <mergeCell ref="L7:L8"/>
    <mergeCell ref="Q7:Q8"/>
    <mergeCell ref="K7:K8"/>
    <mergeCell ref="F7:F8"/>
    <mergeCell ref="N7:N8"/>
    <mergeCell ref="M7:M8"/>
    <mergeCell ref="P7:P8"/>
    <mergeCell ref="D45:F45"/>
    <mergeCell ref="L45:N45"/>
    <mergeCell ref="C44:F44"/>
    <mergeCell ref="G44:J44"/>
    <mergeCell ref="K44:N44"/>
    <mergeCell ref="G7:G8"/>
    <mergeCell ref="H7:H8"/>
    <mergeCell ref="O7:O8"/>
    <mergeCell ref="L47:N51"/>
    <mergeCell ref="O49:P49"/>
    <mergeCell ref="B54:B58"/>
    <mergeCell ref="D54:F54"/>
    <mergeCell ref="G54:I54"/>
    <mergeCell ref="J54:L54"/>
    <mergeCell ref="D55:F55"/>
    <mergeCell ref="G55:I55"/>
    <mergeCell ref="J55:L55"/>
    <mergeCell ref="D56:F56"/>
    <mergeCell ref="G56:I57"/>
    <mergeCell ref="J56:L57"/>
    <mergeCell ref="O48:P48"/>
    <mergeCell ref="J60:L60"/>
    <mergeCell ref="D61:F61"/>
    <mergeCell ref="G61:I61"/>
    <mergeCell ref="J61:L61"/>
    <mergeCell ref="D60:F60"/>
    <mergeCell ref="G60:I60"/>
    <mergeCell ref="D59:F59"/>
    <mergeCell ref="G59:I59"/>
    <mergeCell ref="D57:F57"/>
    <mergeCell ref="D58:F58"/>
    <mergeCell ref="G58:I58"/>
    <mergeCell ref="J58:L58"/>
    <mergeCell ref="J59:L59"/>
    <mergeCell ref="D62:F62"/>
    <mergeCell ref="G62:I62"/>
    <mergeCell ref="J62:L62"/>
    <mergeCell ref="D63:F63"/>
    <mergeCell ref="G63:I63"/>
    <mergeCell ref="J63:L63"/>
    <mergeCell ref="Z7:Z8"/>
    <mergeCell ref="B2:C2"/>
    <mergeCell ref="H2:J2"/>
    <mergeCell ref="L2:N2"/>
    <mergeCell ref="D2:F2"/>
    <mergeCell ref="T6:W6"/>
    <mergeCell ref="X4:Y4"/>
    <mergeCell ref="G5:J5"/>
    <mergeCell ref="R5:S5"/>
    <mergeCell ref="R4:S4"/>
    <mergeCell ref="X43:Y43"/>
    <mergeCell ref="X42:Y42"/>
    <mergeCell ref="X39:Y39"/>
    <mergeCell ref="X38:Y38"/>
    <mergeCell ref="X37:Y37"/>
    <mergeCell ref="X36:Y36"/>
    <mergeCell ref="X35:Y35"/>
    <mergeCell ref="X34:Y34"/>
    <mergeCell ref="X15:Y15"/>
    <mergeCell ref="X14:Y14"/>
    <mergeCell ref="X13:Y13"/>
    <mergeCell ref="X12:Y12"/>
    <mergeCell ref="X11:Y11"/>
    <mergeCell ref="X10:Y10"/>
    <mergeCell ref="X9:Y9"/>
    <mergeCell ref="X6:Y6"/>
    <mergeCell ref="X5:Y5"/>
    <mergeCell ref="X7:Y8"/>
  </mergeCells>
  <phoneticPr fontId="0" type="noConversion"/>
  <conditionalFormatting sqref="R9:R18 R20:R29 R31:R41">
    <cfRule type="cellIs" priority="19" stopIfTrue="1" operator="equal">
      <formula>""</formula>
    </cfRule>
    <cfRule type="cellIs" dxfId="44" priority="20" stopIfTrue="1" operator="notBetween">
      <formula>$G$59</formula>
      <formula>$J$59</formula>
    </cfRule>
    <cfRule type="cellIs" dxfId="43" priority="21" stopIfTrue="1" operator="lessThanOrEqual">
      <formula>S9</formula>
    </cfRule>
  </conditionalFormatting>
  <conditionalFormatting sqref="S9:S18 S20:S29 S31:S41">
    <cfRule type="cellIs" priority="22" stopIfTrue="1" operator="equal">
      <formula>""</formula>
    </cfRule>
    <cfRule type="cellIs" dxfId="42" priority="23" stopIfTrue="1" operator="notBetween">
      <formula>$G$60</formula>
      <formula>$J$60</formula>
    </cfRule>
    <cfRule type="cellIs" dxfId="41" priority="24" stopIfTrue="1" operator="greaterThanOrEqual">
      <formula>R9</formula>
    </cfRule>
  </conditionalFormatting>
  <conditionalFormatting sqref="H2:J2">
    <cfRule type="cellIs" dxfId="40" priority="25" stopIfTrue="1" operator="notBetween">
      <formula>1</formula>
      <formula>12</formula>
    </cfRule>
  </conditionalFormatting>
  <conditionalFormatting sqref="L2:N2">
    <cfRule type="cellIs" dxfId="39" priority="26" stopIfTrue="1" operator="notBetween">
      <formula>2010</formula>
      <formula>2020</formula>
    </cfRule>
  </conditionalFormatting>
  <conditionalFormatting sqref="Y44">
    <cfRule type="cellIs" dxfId="38" priority="27" stopIfTrue="1" operator="notBetween">
      <formula>0</formula>
      <formula>6</formula>
    </cfRule>
  </conditionalFormatting>
  <conditionalFormatting sqref="D2:F2">
    <cfRule type="cellIs" dxfId="37" priority="28" stopIfTrue="1" operator="notBetween">
      <formula>87007</formula>
      <formula>89066</formula>
    </cfRule>
  </conditionalFormatting>
  <conditionalFormatting sqref="C9:F18">
    <cfRule type="cellIs" priority="29" stopIfTrue="1" operator="equal">
      <formula>""</formula>
    </cfRule>
    <cfRule type="cellIs" dxfId="36" priority="30" stopIfTrue="1" operator="notBetween">
      <formula>$G$55</formula>
      <formula>$J$55</formula>
    </cfRule>
  </conditionalFormatting>
  <conditionalFormatting sqref="C20:F29 C31:F41">
    <cfRule type="cellIs" priority="31" stopIfTrue="1" operator="equal">
      <formula>""</formula>
    </cfRule>
    <cfRule type="cellIs" dxfId="35" priority="32" stopIfTrue="1" operator="notBetween">
      <formula>$G$55</formula>
      <formula>$J$55</formula>
    </cfRule>
  </conditionalFormatting>
  <conditionalFormatting sqref="G9:J18 G20:J29 G31:J41">
    <cfRule type="cellIs" priority="33" stopIfTrue="1" operator="equal">
      <formula>""</formula>
    </cfRule>
    <cfRule type="cellIs" dxfId="34" priority="34" stopIfTrue="1" operator="notBetween">
      <formula>$G$56</formula>
      <formula>$J$56</formula>
    </cfRule>
  </conditionalFormatting>
  <conditionalFormatting sqref="K9:N18 K20:N29 K31:N41">
    <cfRule type="cellIs" priority="35" stopIfTrue="1" operator="equal">
      <formula>""</formula>
    </cfRule>
    <cfRule type="cellIs" dxfId="33" priority="36" stopIfTrue="1" operator="notBetween">
      <formula>$G$58</formula>
      <formula>$J$58</formula>
    </cfRule>
  </conditionalFormatting>
  <conditionalFormatting sqref="T9:W18 T20:W29 T31:W41">
    <cfRule type="cellIs" priority="37" stopIfTrue="1" operator="equal">
      <formula>""</formula>
    </cfRule>
    <cfRule type="cellIs" dxfId="32" priority="38" stopIfTrue="1" operator="notBetween">
      <formula>$G$61</formula>
      <formula>$J$61</formula>
    </cfRule>
  </conditionalFormatting>
  <conditionalFormatting sqref="X9:Y18 X20:Y29 X31:Y41">
    <cfRule type="cellIs" priority="39" stopIfTrue="1" operator="equal">
      <formula>""</formula>
    </cfRule>
    <cfRule type="cellIs" dxfId="31" priority="40" stopIfTrue="1" operator="notBetween">
      <formula>$G$62</formula>
      <formula>$J$62</formula>
    </cfRule>
  </conditionalFormatting>
  <conditionalFormatting sqref="Z9:Z18 Z20:Z29 Z31:Z41">
    <cfRule type="cellIs" priority="41" stopIfTrue="1" operator="equal">
      <formula>""</formula>
    </cfRule>
    <cfRule type="cellIs" dxfId="30" priority="42" stopIfTrue="1" operator="notBetween">
      <formula>$G$63</formula>
      <formula>$J$63</formula>
    </cfRule>
  </conditionalFormatting>
  <conditionalFormatting sqref="K46:N46">
    <cfRule type="cellIs" dxfId="29" priority="43" stopIfTrue="1" operator="equal">
      <formula>"Ingrese la corrección a 24hs en O49"</formula>
    </cfRule>
  </conditionalFormatting>
  <conditionalFormatting sqref="C9:F9">
    <cfRule type="cellIs" priority="17" stopIfTrue="1" operator="equal">
      <formula>""</formula>
    </cfRule>
    <cfRule type="cellIs" dxfId="28" priority="18" stopIfTrue="1" operator="notBetween">
      <formula>$G$55</formula>
      <formula>$J$55</formula>
    </cfRule>
  </conditionalFormatting>
  <conditionalFormatting sqref="G9:J9">
    <cfRule type="cellIs" priority="15" stopIfTrue="1" operator="equal">
      <formula>""</formula>
    </cfRule>
    <cfRule type="cellIs" dxfId="27" priority="16" stopIfTrue="1" operator="notBetween">
      <formula>$G$56</formula>
      <formula>$J$56</formula>
    </cfRule>
  </conditionalFormatting>
  <conditionalFormatting sqref="K9:N9">
    <cfRule type="cellIs" priority="13" stopIfTrue="1" operator="equal">
      <formula>""</formula>
    </cfRule>
    <cfRule type="cellIs" dxfId="26" priority="14" stopIfTrue="1" operator="notBetween">
      <formula>$G$58</formula>
      <formula>$J$58</formula>
    </cfRule>
  </conditionalFormatting>
  <conditionalFormatting sqref="R9">
    <cfRule type="cellIs" priority="10" stopIfTrue="1" operator="equal">
      <formula>""</formula>
    </cfRule>
    <cfRule type="cellIs" dxfId="25" priority="11" stopIfTrue="1" operator="notBetween">
      <formula>$G$59</formula>
      <formula>$J$59</formula>
    </cfRule>
    <cfRule type="cellIs" dxfId="24" priority="12" stopIfTrue="1" operator="lessThanOrEqual">
      <formula>S9</formula>
    </cfRule>
  </conditionalFormatting>
  <conditionalFormatting sqref="S9">
    <cfRule type="cellIs" priority="7" stopIfTrue="1" operator="equal">
      <formula>""</formula>
    </cfRule>
    <cfRule type="cellIs" dxfId="23" priority="8" stopIfTrue="1" operator="notBetween">
      <formula>$G$60</formula>
      <formula>$J$60</formula>
    </cfRule>
    <cfRule type="cellIs" dxfId="22" priority="9" stopIfTrue="1" operator="greaterThanOrEqual">
      <formula>R9</formula>
    </cfRule>
  </conditionalFormatting>
  <conditionalFormatting sqref="T9:W9">
    <cfRule type="cellIs" priority="5" stopIfTrue="1" operator="equal">
      <formula>""</formula>
    </cfRule>
    <cfRule type="cellIs" dxfId="21" priority="6" stopIfTrue="1" operator="notBetween">
      <formula>$G$61</formula>
      <formula>$J$61</formula>
    </cfRule>
  </conditionalFormatting>
  <conditionalFormatting sqref="X9:Y9">
    <cfRule type="cellIs" priority="3" stopIfTrue="1" operator="equal">
      <formula>""</formula>
    </cfRule>
    <cfRule type="cellIs" dxfId="20" priority="4" stopIfTrue="1" operator="notBetween">
      <formula>$G$62</formula>
      <formula>$J$62</formula>
    </cfRule>
  </conditionalFormatting>
  <conditionalFormatting sqref="Z9">
    <cfRule type="cellIs" priority="1" stopIfTrue="1" operator="equal">
      <formula>""</formula>
    </cfRule>
    <cfRule type="cellIs" dxfId="19" priority="2" stopIfTrue="1" operator="notBetween">
      <formula>$G$63</formula>
      <formula>$J$63</formula>
    </cfRule>
  </conditionalFormatting>
  <dataValidations count="6">
    <dataValidation errorStyle="warning" allowBlank="1" showInputMessage="1" showErrorMessage="1" errorTitle="ingresa dias del mes" error="mfdkdfjoix" sqref="B1"/>
    <dataValidation type="whole" allowBlank="1" showInputMessage="1" showErrorMessage="1" errorTitle="MES" error="Ingrese el mes en número." sqref="H2:J2">
      <formula1>1</formula1>
      <formula2>12</formula2>
    </dataValidation>
    <dataValidation type="whole" allowBlank="1" showInputMessage="1" showErrorMessage="1" errorTitle="AÑO" sqref="L2:N2">
      <formula1>1994</formula1>
      <formula2>2020</formula2>
    </dataValidation>
    <dataValidation type="whole" allowBlank="1" showInputMessage="1" showErrorMessage="1" errorTitle="NÚMERO DE ESTACION" error="Ingrese el número de la estación meteorológica (entre 87007 y 89066)_x000a_" sqref="D2:F2">
      <formula1>87007</formula1>
      <formula2>89066</formula2>
    </dataValidation>
    <dataValidation type="decimal" operator="greaterThanOrEqual" allowBlank="1" showInputMessage="1" showErrorMessage="1" errorTitle="Corrección a 24hs" error="Ingrese el valor de la corrección de la temperatura media a 24 horas. La corrección debe ser positiva. Tenga en cuenta que se debe ingresar el separador decimal correcto sea &quot; . &quot; (punto)  o &quot; , &quot; (coma) según su PC._x000a_" sqref="O49:P49">
      <formula1>0</formula1>
    </dataValidation>
    <dataValidation type="whole" allowBlank="1" showInputMessage="1" showErrorMessage="1" errorTitle="Quintil" error="Ingrese el quintil correcto (entre 0 y 6)" sqref="Y44">
      <formula1>0</formula1>
      <formula2>6</formula2>
    </dataValidation>
  </dataValidations>
  <pageMargins left="0.39370078740157483" right="0.39370078740157483" top="0.98425196850393704" bottom="0.98425196850393704" header="0" footer="0"/>
  <pageSetup paperSize="9" scale="75" orientation="landscape" r:id="rId1"/>
  <headerFooter alignWithMargins="0"/>
  <ignoredErrors>
    <ignoredError sqref="C7:E8 F7:F8 G7:I8 J7:J8 K7:M8 N7:N8 T7:W7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7"/>
  <sheetViews>
    <sheetView workbookViewId="0">
      <pane xSplit="2" ySplit="9" topLeftCell="K16" activePane="bottomRight" state="frozen"/>
      <selection pane="topRight" activeCell="C1" sqref="C1"/>
      <selection pane="bottomLeft" activeCell="A10" sqref="A10"/>
      <selection pane="bottomRight" activeCell="S38" sqref="S38"/>
    </sheetView>
  </sheetViews>
  <sheetFormatPr baseColWidth="10" defaultRowHeight="11.25" x14ac:dyDescent="0.2"/>
  <cols>
    <col min="1" max="1" width="4.6640625" style="11" customWidth="1"/>
    <col min="2" max="2" width="10.6640625" style="11" bestFit="1" customWidth="1"/>
    <col min="3" max="6" width="7.6640625" style="11" customWidth="1"/>
    <col min="7" max="7" width="10.33203125" style="11" customWidth="1"/>
    <col min="8" max="8" width="10.5" style="11" customWidth="1"/>
    <col min="9" max="12" width="8.33203125" style="11" customWidth="1"/>
    <col min="13" max="14" width="9.33203125" style="11" customWidth="1"/>
    <col min="15" max="18" width="7.6640625" style="11" customWidth="1"/>
    <col min="19" max="21" width="10.33203125" style="11" customWidth="1"/>
    <col min="22" max="23" width="8" style="11" customWidth="1"/>
    <col min="24" max="24" width="9" style="11" customWidth="1"/>
    <col min="25" max="16384" width="12" style="11"/>
  </cols>
  <sheetData>
    <row r="1" spans="1:24" s="34" customFormat="1" ht="18.75" customHeight="1" x14ac:dyDescent="0.2">
      <c r="A1" s="33"/>
      <c r="B1" s="368" t="s">
        <v>114</v>
      </c>
      <c r="C1" s="698">
        <f>IF(SECC1!D2="","",SECC1!D2)</f>
        <v>89066</v>
      </c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198" t="s">
        <v>116</v>
      </c>
      <c r="S1" s="691">
        <v>4</v>
      </c>
      <c r="T1" s="691"/>
      <c r="U1" s="198" t="s">
        <v>129</v>
      </c>
      <c r="V1" s="691">
        <f>IF(SECC1!L2="","",SECC1!L2)</f>
        <v>2017</v>
      </c>
      <c r="W1" s="691"/>
      <c r="X1" s="691"/>
    </row>
    <row r="2" spans="1:24" s="34" customFormat="1" ht="18" customHeight="1" thickBot="1" x14ac:dyDescent="0.25">
      <c r="B2" s="35"/>
      <c r="C2" s="36"/>
      <c r="P2" s="88" t="s">
        <v>115</v>
      </c>
    </row>
    <row r="3" spans="1:24" s="34" customFormat="1" ht="9" customHeight="1" x14ac:dyDescent="0.2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9"/>
    </row>
    <row r="4" spans="1:24" s="34" customFormat="1" ht="5.25" customHeight="1" thickBot="1" x14ac:dyDescent="0.25">
      <c r="B4" s="4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41"/>
    </row>
    <row r="5" spans="1:24" s="42" customFormat="1" x14ac:dyDescent="0.2">
      <c r="A5" s="34"/>
      <c r="B5" s="679" t="s">
        <v>51</v>
      </c>
      <c r="C5" s="681" t="s">
        <v>52</v>
      </c>
      <c r="D5" s="682"/>
      <c r="E5" s="682"/>
      <c r="F5" s="683"/>
      <c r="G5" s="96" t="s">
        <v>53</v>
      </c>
      <c r="H5" s="97" t="s">
        <v>54</v>
      </c>
      <c r="I5" s="681" t="s">
        <v>55</v>
      </c>
      <c r="J5" s="682"/>
      <c r="K5" s="682"/>
      <c r="L5" s="682"/>
      <c r="M5" s="682"/>
      <c r="N5" s="683"/>
      <c r="O5" s="702" t="s">
        <v>56</v>
      </c>
      <c r="P5" s="711"/>
      <c r="Q5" s="711"/>
      <c r="R5" s="712"/>
      <c r="S5" s="692" t="s">
        <v>57</v>
      </c>
      <c r="T5" s="693"/>
      <c r="U5" s="694"/>
      <c r="V5" s="702" t="s">
        <v>112</v>
      </c>
      <c r="W5" s="703"/>
      <c r="X5" s="704"/>
    </row>
    <row r="6" spans="1:24" s="42" customFormat="1" x14ac:dyDescent="0.2">
      <c r="B6" s="680"/>
      <c r="C6" s="684"/>
      <c r="D6" s="685"/>
      <c r="E6" s="685"/>
      <c r="F6" s="686"/>
      <c r="G6" s="43" t="s">
        <v>58</v>
      </c>
      <c r="H6" s="44" t="s">
        <v>58</v>
      </c>
      <c r="I6" s="684"/>
      <c r="J6" s="685"/>
      <c r="K6" s="685"/>
      <c r="L6" s="685"/>
      <c r="M6" s="685"/>
      <c r="N6" s="686"/>
      <c r="O6" s="713"/>
      <c r="P6" s="714"/>
      <c r="Q6" s="714"/>
      <c r="R6" s="715"/>
      <c r="S6" s="695"/>
      <c r="T6" s="696"/>
      <c r="U6" s="697"/>
      <c r="V6" s="705"/>
      <c r="W6" s="706"/>
      <c r="X6" s="707"/>
    </row>
    <row r="7" spans="1:24" s="42" customFormat="1" ht="17.25" customHeight="1" x14ac:dyDescent="0.2">
      <c r="B7" s="680"/>
      <c r="C7" s="708" t="s">
        <v>59</v>
      </c>
      <c r="D7" s="716"/>
      <c r="E7" s="717" t="s">
        <v>60</v>
      </c>
      <c r="F7" s="709"/>
      <c r="G7" s="708" t="s">
        <v>61</v>
      </c>
      <c r="H7" s="710"/>
      <c r="I7" s="709" t="s">
        <v>62</v>
      </c>
      <c r="J7" s="716"/>
      <c r="K7" s="717" t="s">
        <v>63</v>
      </c>
      <c r="L7" s="716"/>
      <c r="M7" s="717" t="s">
        <v>64</v>
      </c>
      <c r="N7" s="710"/>
      <c r="O7" s="718" t="s">
        <v>65</v>
      </c>
      <c r="P7" s="719"/>
      <c r="Q7" s="720" t="s">
        <v>66</v>
      </c>
      <c r="R7" s="721"/>
      <c r="S7" s="699" t="s">
        <v>67</v>
      </c>
      <c r="T7" s="700"/>
      <c r="U7" s="701"/>
      <c r="V7" s="708" t="s">
        <v>68</v>
      </c>
      <c r="W7" s="709"/>
      <c r="X7" s="710"/>
    </row>
    <row r="8" spans="1:24" s="42" customFormat="1" x14ac:dyDescent="0.2">
      <c r="B8" s="680"/>
      <c r="C8" s="675" t="s">
        <v>200</v>
      </c>
      <c r="D8" s="677" t="s">
        <v>201</v>
      </c>
      <c r="E8" s="677" t="s">
        <v>202</v>
      </c>
      <c r="F8" s="687" t="s">
        <v>203</v>
      </c>
      <c r="G8" s="689" t="s">
        <v>69</v>
      </c>
      <c r="H8" s="687" t="s">
        <v>70</v>
      </c>
      <c r="I8" s="725" t="s">
        <v>74</v>
      </c>
      <c r="J8" s="677" t="s">
        <v>204</v>
      </c>
      <c r="K8" s="677" t="s">
        <v>205</v>
      </c>
      <c r="L8" s="677" t="s">
        <v>206</v>
      </c>
      <c r="M8" s="677" t="s">
        <v>207</v>
      </c>
      <c r="N8" s="687" t="s">
        <v>208</v>
      </c>
      <c r="O8" s="726" t="s">
        <v>238</v>
      </c>
      <c r="P8" s="728" t="s">
        <v>209</v>
      </c>
      <c r="Q8" s="728" t="s">
        <v>210</v>
      </c>
      <c r="R8" s="722" t="s">
        <v>211</v>
      </c>
      <c r="S8" s="410" t="s">
        <v>212</v>
      </c>
      <c r="T8" s="411" t="s">
        <v>213</v>
      </c>
      <c r="U8" s="412" t="s">
        <v>214</v>
      </c>
      <c r="V8" s="675" t="s">
        <v>235</v>
      </c>
      <c r="W8" s="677" t="s">
        <v>236</v>
      </c>
      <c r="X8" s="687" t="s">
        <v>237</v>
      </c>
    </row>
    <row r="9" spans="1:24" s="45" customFormat="1" ht="12" thickBot="1" x14ac:dyDescent="0.25">
      <c r="B9" s="680"/>
      <c r="C9" s="676"/>
      <c r="D9" s="678"/>
      <c r="E9" s="678"/>
      <c r="F9" s="688"/>
      <c r="G9" s="690"/>
      <c r="H9" s="724"/>
      <c r="I9" s="676"/>
      <c r="J9" s="678"/>
      <c r="K9" s="678"/>
      <c r="L9" s="678"/>
      <c r="M9" s="678"/>
      <c r="N9" s="688"/>
      <c r="O9" s="727"/>
      <c r="P9" s="729"/>
      <c r="Q9" s="729"/>
      <c r="R9" s="723"/>
      <c r="S9" s="413" t="s">
        <v>71</v>
      </c>
      <c r="T9" s="414" t="s">
        <v>72</v>
      </c>
      <c r="U9" s="415" t="s">
        <v>73</v>
      </c>
      <c r="V9" s="730"/>
      <c r="W9" s="731"/>
      <c r="X9" s="724"/>
    </row>
    <row r="10" spans="1:24" x14ac:dyDescent="0.2">
      <c r="A10" s="46"/>
      <c r="B10" s="47">
        <v>1</v>
      </c>
      <c r="C10" s="98" t="str">
        <f>IF(SECC1!R9&gt;=25,1,"")</f>
        <v/>
      </c>
      <c r="D10" s="99" t="str">
        <f>IF(SECC1!R9&gt;=30,1,"")</f>
        <v/>
      </c>
      <c r="E10" s="99" t="str">
        <f>IF(SECC1!R9&gt;=35,1,"")</f>
        <v/>
      </c>
      <c r="F10" s="100" t="str">
        <f>IF(SECC1!R9&gt;=40,1,"")</f>
        <v/>
      </c>
      <c r="G10" s="202" t="str">
        <f>IF(SECC1!S9&lt;0,1,"")</f>
        <v/>
      </c>
      <c r="H10" s="203" t="str">
        <f>IF(SECC1!R9&lt;0,1,"")</f>
        <v/>
      </c>
      <c r="I10" s="101">
        <f>IF(SECC1!X9&gt;=1,1,"")</f>
        <v>1</v>
      </c>
      <c r="J10" s="99">
        <f>IF(SECC1!X9&gt;=5,1,"")</f>
        <v>1</v>
      </c>
      <c r="K10" s="99" t="str">
        <f>IF(SECC1!X9&gt;=10,1,"")</f>
        <v/>
      </c>
      <c r="L10" s="99" t="str">
        <f>IF(SECC1!X9&gt;=50,1,"")</f>
        <v/>
      </c>
      <c r="M10" s="99" t="str">
        <f>IF(SECC1!X9&gt;=100,1,"")</f>
        <v/>
      </c>
      <c r="N10" s="389" t="str">
        <f>IF(SECC1!X9&gt;=150,1,"")</f>
        <v/>
      </c>
      <c r="O10" s="48">
        <f>IF(Extremos!AA4&gt;0,1,"")</f>
        <v>1</v>
      </c>
      <c r="P10" s="49">
        <f>IF(Extremos!AA4&gt;=1,1,"")</f>
        <v>1</v>
      </c>
      <c r="Q10" s="49" t="str">
        <f>IF(Extremos!AA4&gt;=10,1,"")</f>
        <v/>
      </c>
      <c r="R10" s="393" t="str">
        <f>IF(Extremos!AA4&gt;=50,1,"")</f>
        <v/>
      </c>
      <c r="S10" s="401"/>
      <c r="T10" s="402"/>
      <c r="U10" s="403"/>
      <c r="V10" s="398" t="str">
        <f>IF(Extremos!X4=1,1,"")</f>
        <v/>
      </c>
      <c r="W10" s="91" t="str">
        <f>IF(Extremos!Y4=1,1,IF(Extremos!X4=1,1,""))</f>
        <v/>
      </c>
      <c r="X10" s="90">
        <f>IF(Extremos!Z4=1,1,IF(Extremos!Y4=1,1,IF(Extremos!X4=1,1,"")))</f>
        <v>1</v>
      </c>
    </row>
    <row r="11" spans="1:24" x14ac:dyDescent="0.2">
      <c r="B11" s="47">
        <v>2</v>
      </c>
      <c r="C11" s="102" t="str">
        <f>IF(SECC1!R10&gt;=25,1,"")</f>
        <v/>
      </c>
      <c r="D11" s="103" t="str">
        <f>IF(SECC1!R10&gt;=30,1,"")</f>
        <v/>
      </c>
      <c r="E11" s="103" t="str">
        <f>IF(SECC1!R10&gt;=35,1,"")</f>
        <v/>
      </c>
      <c r="F11" s="104" t="str">
        <f>IF(SECC1!R10&gt;=40,1,"")</f>
        <v/>
      </c>
      <c r="G11" s="105">
        <f>IF(SECC1!S10&lt;0,1,"")</f>
        <v>1</v>
      </c>
      <c r="H11" s="106" t="str">
        <f>IF(SECC1!R10&lt;0,1,"")</f>
        <v/>
      </c>
      <c r="I11" s="103">
        <f>IF(SECC1!X10&gt;=1,1,"")</f>
        <v>1</v>
      </c>
      <c r="J11" s="103" t="str">
        <f>IF(SECC1!X10&gt;=5,1,"")</f>
        <v/>
      </c>
      <c r="K11" s="103" t="str">
        <f>IF(SECC1!X10&gt;=10,1,"")</f>
        <v/>
      </c>
      <c r="L11" s="103" t="str">
        <f>IF(SECC1!X10&gt;=50,1,"")</f>
        <v/>
      </c>
      <c r="M11" s="103" t="str">
        <f>IF(SECC1!X10&gt;=100,1,"")</f>
        <v/>
      </c>
      <c r="N11" s="390" t="str">
        <f>IF(SECC1!X10&gt;=150,1,"")</f>
        <v/>
      </c>
      <c r="O11" s="50">
        <f>IF(Extremos!AA5&gt;0,1,"")</f>
        <v>1</v>
      </c>
      <c r="P11" s="51">
        <f>IF(Extremos!AA5&gt;=1,1,"")</f>
        <v>1</v>
      </c>
      <c r="Q11" s="51" t="str">
        <f>IF(Extremos!AA5&gt;=10,1,"")</f>
        <v/>
      </c>
      <c r="R11" s="394" t="str">
        <f>IF(Extremos!AA5&gt;=50,1,"")</f>
        <v/>
      </c>
      <c r="S11" s="404"/>
      <c r="T11" s="405"/>
      <c r="U11" s="406"/>
      <c r="V11" s="399" t="str">
        <f>IF(Extremos!X5=1,1,"")</f>
        <v/>
      </c>
      <c r="W11" s="86" t="str">
        <f>IF(Extremos!Y5=1,1,IF(Extremos!X5=1,1,""))</f>
        <v/>
      </c>
      <c r="X11" s="87">
        <f>IF(Extremos!Z5=1,1,IF(Extremos!Y5=1,1,IF(Extremos!X5=1,1,"")))</f>
        <v>1</v>
      </c>
    </row>
    <row r="12" spans="1:24" x14ac:dyDescent="0.2">
      <c r="B12" s="47">
        <v>3</v>
      </c>
      <c r="C12" s="102" t="str">
        <f>IF(SECC1!R11&gt;=25,1,"")</f>
        <v/>
      </c>
      <c r="D12" s="103" t="str">
        <f>IF(SECC1!R11&gt;=30,1,"")</f>
        <v/>
      </c>
      <c r="E12" s="103" t="str">
        <f>IF(SECC1!R11&gt;=35,1,"")</f>
        <v/>
      </c>
      <c r="F12" s="104" t="str">
        <f>IF(SECC1!R11&gt;=40,1,"")</f>
        <v/>
      </c>
      <c r="G12" s="105">
        <f>IF(SECC1!S11&lt;0,1,"")</f>
        <v>1</v>
      </c>
      <c r="H12" s="106" t="str">
        <f>IF(SECC1!R11&lt;0,1,"")</f>
        <v/>
      </c>
      <c r="I12" s="103" t="str">
        <f>IF(SECC1!X11&gt;=1,1,"")</f>
        <v/>
      </c>
      <c r="J12" s="103" t="str">
        <f>IF(SECC1!X11&gt;=5,1,"")</f>
        <v/>
      </c>
      <c r="K12" s="103" t="str">
        <f>IF(SECC1!X11&gt;=10,1,"")</f>
        <v/>
      </c>
      <c r="L12" s="103" t="str">
        <f>IF(SECC1!X11&gt;=50,1,"")</f>
        <v/>
      </c>
      <c r="M12" s="103" t="str">
        <f>IF(SECC1!X11&gt;=100,1,"")</f>
        <v/>
      </c>
      <c r="N12" s="390" t="str">
        <f>IF(SECC1!X11&gt;=150,1,"")</f>
        <v/>
      </c>
      <c r="O12" s="50">
        <f>IF(Extremos!AA6&gt;0,1,"")</f>
        <v>1</v>
      </c>
      <c r="P12" s="51">
        <f>IF(Extremos!AA6&gt;=1,1,"")</f>
        <v>1</v>
      </c>
      <c r="Q12" s="51">
        <f>IF(Extremos!AA6&gt;=10,1,"")</f>
        <v>1</v>
      </c>
      <c r="R12" s="394" t="str">
        <f>IF(Extremos!AA6&gt;=50,1,"")</f>
        <v/>
      </c>
      <c r="S12" s="404"/>
      <c r="T12" s="405"/>
      <c r="U12" s="406"/>
      <c r="V12" s="399" t="str">
        <f>IF(Extremos!X6=1,1,"")</f>
        <v/>
      </c>
      <c r="W12" s="86" t="str">
        <f>IF(Extremos!Y6=1,1,IF(Extremos!X6=1,1,""))</f>
        <v/>
      </c>
      <c r="X12" s="87" t="str">
        <f>IF(Extremos!Z6=1,1,IF(Extremos!Y6=1,1,IF(Extremos!X6=1,1,"")))</f>
        <v/>
      </c>
    </row>
    <row r="13" spans="1:24" x14ac:dyDescent="0.2">
      <c r="B13" s="47">
        <v>4</v>
      </c>
      <c r="C13" s="102" t="str">
        <f>IF(SECC1!R12&gt;=25,1,"")</f>
        <v/>
      </c>
      <c r="D13" s="103" t="str">
        <f>IF(SECC1!R12&gt;=30,1,"")</f>
        <v/>
      </c>
      <c r="E13" s="103" t="str">
        <f>IF(SECC1!R12&gt;=35,1,"")</f>
        <v/>
      </c>
      <c r="F13" s="104" t="str">
        <f>IF(SECC1!R12&gt;=40,1,"")</f>
        <v/>
      </c>
      <c r="G13" s="105">
        <f>IF(SECC1!S12&lt;0,1,"")</f>
        <v>1</v>
      </c>
      <c r="H13" s="106">
        <f>IF(SECC1!R12&lt;0,1,"")</f>
        <v>1</v>
      </c>
      <c r="I13" s="103" t="str">
        <f>IF(SECC1!X12&gt;=1,1,"")</f>
        <v/>
      </c>
      <c r="J13" s="103" t="str">
        <f>IF(SECC1!X12&gt;=5,1,"")</f>
        <v/>
      </c>
      <c r="K13" s="103" t="str">
        <f>IF(SECC1!X12&gt;=10,1,"")</f>
        <v/>
      </c>
      <c r="L13" s="103" t="str">
        <f>IF(SECC1!X12&gt;=50,1,"")</f>
        <v/>
      </c>
      <c r="M13" s="103" t="str">
        <f>IF(SECC1!X12&gt;=100,1,"")</f>
        <v/>
      </c>
      <c r="N13" s="390" t="str">
        <f>IF(SECC1!X12&gt;=150,1,"")</f>
        <v/>
      </c>
      <c r="O13" s="50">
        <f>IF(Extremos!AA7&gt;0,1,"")</f>
        <v>1</v>
      </c>
      <c r="P13" s="51">
        <f>IF(Extremos!AA7&gt;=1,1,"")</f>
        <v>1</v>
      </c>
      <c r="Q13" s="51">
        <f>IF(Extremos!AA7&gt;=10,1,"")</f>
        <v>1</v>
      </c>
      <c r="R13" s="394" t="str">
        <f>IF(Extremos!AA7&gt;=50,1,"")</f>
        <v/>
      </c>
      <c r="S13" s="404">
        <v>1</v>
      </c>
      <c r="T13" s="405"/>
      <c r="U13" s="406"/>
      <c r="V13" s="399" t="str">
        <f>IF(Extremos!X7=1,1,"")</f>
        <v/>
      </c>
      <c r="W13" s="86" t="str">
        <f>IF(Extremos!Y7=1,1,IF(Extremos!X7=1,1,""))</f>
        <v/>
      </c>
      <c r="X13" s="87" t="str">
        <f>IF(Extremos!Z7=1,1,IF(Extremos!Y7=1,1,IF(Extremos!X7=1,1,"")))</f>
        <v/>
      </c>
    </row>
    <row r="14" spans="1:24" x14ac:dyDescent="0.2">
      <c r="B14" s="47">
        <v>5</v>
      </c>
      <c r="C14" s="102" t="str">
        <f>IF(SECC1!R13&gt;=25,1,"")</f>
        <v/>
      </c>
      <c r="D14" s="103" t="str">
        <f>IF(SECC1!R13&gt;=30,1,"")</f>
        <v/>
      </c>
      <c r="E14" s="103" t="str">
        <f>IF(SECC1!R13&gt;=35,1,"")</f>
        <v/>
      </c>
      <c r="F14" s="104" t="str">
        <f>IF(SECC1!R13&gt;=40,1,"")</f>
        <v/>
      </c>
      <c r="G14" s="105">
        <f>IF(SECC1!S13&lt;0,1,"")</f>
        <v>1</v>
      </c>
      <c r="H14" s="106">
        <f>IF(SECC1!R13&lt;0,1,"")</f>
        <v>1</v>
      </c>
      <c r="I14" s="103" t="str">
        <f>IF(SECC1!X13&gt;=1,1,"")</f>
        <v/>
      </c>
      <c r="J14" s="103" t="str">
        <f>IF(SECC1!X13&gt;=5,1,"")</f>
        <v/>
      </c>
      <c r="K14" s="103" t="str">
        <f>IF(SECC1!X13&gt;=10,1,"")</f>
        <v/>
      </c>
      <c r="L14" s="103" t="str">
        <f>IF(SECC1!X13&gt;=50,1,"")</f>
        <v/>
      </c>
      <c r="M14" s="103" t="str">
        <f>IF(SECC1!X13&gt;=100,1,"")</f>
        <v/>
      </c>
      <c r="N14" s="390" t="str">
        <f>IF(SECC1!X13&gt;=150,1,"")</f>
        <v/>
      </c>
      <c r="O14" s="50">
        <f>IF(Extremos!AA8&gt;0,1,"")</f>
        <v>1</v>
      </c>
      <c r="P14" s="51">
        <f>IF(Extremos!AA8&gt;=1,1,"")</f>
        <v>1</v>
      </c>
      <c r="Q14" s="51">
        <f>IF(Extremos!AA8&gt;=10,1,"")</f>
        <v>1</v>
      </c>
      <c r="R14" s="394" t="str">
        <f>IF(Extremos!AA8&gt;=50,1,"")</f>
        <v/>
      </c>
      <c r="S14" s="404"/>
      <c r="T14" s="405"/>
      <c r="U14" s="406"/>
      <c r="V14" s="399" t="str">
        <f>IF(Extremos!X8=1,1,"")</f>
        <v/>
      </c>
      <c r="W14" s="86" t="str">
        <f>IF(Extremos!Y8=1,1,IF(Extremos!X8=1,1,""))</f>
        <v/>
      </c>
      <c r="X14" s="87" t="str">
        <f>IF(Extremos!Z8=1,1,IF(Extremos!Y8=1,1,IF(Extremos!X8=1,1,"")))</f>
        <v/>
      </c>
    </row>
    <row r="15" spans="1:24" x14ac:dyDescent="0.2">
      <c r="B15" s="47">
        <v>6</v>
      </c>
      <c r="C15" s="102" t="str">
        <f>IF(SECC1!R14&gt;=25,1,"")</f>
        <v/>
      </c>
      <c r="D15" s="103" t="str">
        <f>IF(SECC1!R14&gt;=30,1,"")</f>
        <v/>
      </c>
      <c r="E15" s="103" t="str">
        <f>IF(SECC1!R14&gt;=35,1,"")</f>
        <v/>
      </c>
      <c r="F15" s="104" t="str">
        <f>IF(SECC1!R14&gt;=40,1,"")</f>
        <v/>
      </c>
      <c r="G15" s="105">
        <f>IF(SECC1!S14&lt;0,1,"")</f>
        <v>1</v>
      </c>
      <c r="H15" s="106">
        <f>IF(SECC1!R14&lt;0,1,"")</f>
        <v>1</v>
      </c>
      <c r="I15" s="103" t="str">
        <f>IF(SECC1!X14&gt;=1,1,"")</f>
        <v/>
      </c>
      <c r="J15" s="103" t="str">
        <f>IF(SECC1!X14&gt;=5,1,"")</f>
        <v/>
      </c>
      <c r="K15" s="103" t="str">
        <f>IF(SECC1!X14&gt;=10,1,"")</f>
        <v/>
      </c>
      <c r="L15" s="103" t="str">
        <f>IF(SECC1!X14&gt;=50,1,"")</f>
        <v/>
      </c>
      <c r="M15" s="103" t="str">
        <f>IF(SECC1!X14&gt;=100,1,"")</f>
        <v/>
      </c>
      <c r="N15" s="390" t="str">
        <f>IF(SECC1!X14&gt;=150,1,"")</f>
        <v/>
      </c>
      <c r="O15" s="50">
        <f>IF(Extremos!AA9&gt;0,1,"")</f>
        <v>1</v>
      </c>
      <c r="P15" s="51">
        <f>IF(Extremos!AA9&gt;=1,1,"")</f>
        <v>1</v>
      </c>
      <c r="Q15" s="51">
        <f>IF(Extremos!AA9&gt;=10,1,"")</f>
        <v>1</v>
      </c>
      <c r="R15" s="394" t="str">
        <f>IF(Extremos!AA9&gt;=50,1,"")</f>
        <v/>
      </c>
      <c r="S15" s="404"/>
      <c r="T15" s="405"/>
      <c r="U15" s="406"/>
      <c r="V15" s="399" t="str">
        <f>IF(Extremos!X9=1,1,"")</f>
        <v/>
      </c>
      <c r="W15" s="86" t="str">
        <f>IF(Extremos!Y9=1,1,IF(Extremos!X9=1,1,""))</f>
        <v/>
      </c>
      <c r="X15" s="87" t="str">
        <f>IF(Extremos!Z9=1,1,IF(Extremos!Y9=1,1,IF(Extremos!X9=1,1,"")))</f>
        <v/>
      </c>
    </row>
    <row r="16" spans="1:24" x14ac:dyDescent="0.2">
      <c r="B16" s="47">
        <v>7</v>
      </c>
      <c r="C16" s="102" t="str">
        <f>IF(SECC1!R15&gt;=25,1,"")</f>
        <v/>
      </c>
      <c r="D16" s="103" t="str">
        <f>IF(SECC1!R15&gt;=30,1,"")</f>
        <v/>
      </c>
      <c r="E16" s="103" t="str">
        <f>IF(SECC1!R15&gt;=35,1,"")</f>
        <v/>
      </c>
      <c r="F16" s="104" t="str">
        <f>IF(SECC1!R15&gt;=40,1,"")</f>
        <v/>
      </c>
      <c r="G16" s="105">
        <f>IF(SECC1!S15&lt;0,1,"")</f>
        <v>1</v>
      </c>
      <c r="H16" s="106" t="str">
        <f>IF(SECC1!R15&lt;0,1,"")</f>
        <v/>
      </c>
      <c r="I16" s="103">
        <f>IF(SECC1!X15&gt;=1,1,"")</f>
        <v>1</v>
      </c>
      <c r="J16" s="103" t="str">
        <f>IF(SECC1!X15&gt;=5,1,"")</f>
        <v/>
      </c>
      <c r="K16" s="103" t="str">
        <f>IF(SECC1!X15&gt;=10,1,"")</f>
        <v/>
      </c>
      <c r="L16" s="103" t="str">
        <f>IF(SECC1!X15&gt;=50,1,"")</f>
        <v/>
      </c>
      <c r="M16" s="103" t="str">
        <f>IF(SECC1!X15&gt;=100,1,"")</f>
        <v/>
      </c>
      <c r="N16" s="390" t="str">
        <f>IF(SECC1!X15&gt;=150,1,"")</f>
        <v/>
      </c>
      <c r="O16" s="50">
        <f>IF(Extremos!AA10&gt;0,1,"")</f>
        <v>1</v>
      </c>
      <c r="P16" s="51">
        <f>IF(Extremos!AA10&gt;=1,1,"")</f>
        <v>1</v>
      </c>
      <c r="Q16" s="51" t="str">
        <f>IF(Extremos!AA10&gt;=10,1,"")</f>
        <v/>
      </c>
      <c r="R16" s="394" t="str">
        <f>IF(Extremos!AA10&gt;=50,1,"")</f>
        <v/>
      </c>
      <c r="S16" s="404"/>
      <c r="T16" s="405"/>
      <c r="U16" s="406"/>
      <c r="V16" s="399" t="str">
        <f>IF(Extremos!X10=1,1,"")</f>
        <v/>
      </c>
      <c r="W16" s="86" t="str">
        <f>IF(Extremos!Y10=1,1,IF(Extremos!X10=1,1,""))</f>
        <v/>
      </c>
      <c r="X16" s="87" t="str">
        <f>IF(Extremos!Z10=1,1,IF(Extremos!Y10=1,1,IF(Extremos!X10=1,1,"")))</f>
        <v/>
      </c>
    </row>
    <row r="17" spans="2:24" x14ac:dyDescent="0.2">
      <c r="B17" s="47">
        <v>8</v>
      </c>
      <c r="C17" s="102" t="str">
        <f>IF(SECC1!R16&gt;=25,1,"")</f>
        <v/>
      </c>
      <c r="D17" s="103" t="str">
        <f>IF(SECC1!R16&gt;=30,1,"")</f>
        <v/>
      </c>
      <c r="E17" s="103" t="str">
        <f>IF(SECC1!R16&gt;=35,1,"")</f>
        <v/>
      </c>
      <c r="F17" s="104" t="str">
        <f>IF(SECC1!R16&gt;=40,1,"")</f>
        <v/>
      </c>
      <c r="G17" s="105">
        <f>IF(SECC1!S16&lt;0,1,"")</f>
        <v>1</v>
      </c>
      <c r="H17" s="106" t="str">
        <f>IF(SECC1!R16&lt;0,1,"")</f>
        <v/>
      </c>
      <c r="I17" s="103" t="str">
        <f>IF(SECC1!X16&gt;=1,1,"")</f>
        <v/>
      </c>
      <c r="J17" s="103" t="str">
        <f>IF(SECC1!X16&gt;=5,1,"")</f>
        <v/>
      </c>
      <c r="K17" s="103" t="str">
        <f>IF(SECC1!X16&gt;=10,1,"")</f>
        <v/>
      </c>
      <c r="L17" s="103" t="str">
        <f>IF(SECC1!X16&gt;=50,1,"")</f>
        <v/>
      </c>
      <c r="M17" s="103" t="str">
        <f>IF(SECC1!X16&gt;=100,1,"")</f>
        <v/>
      </c>
      <c r="N17" s="390" t="str">
        <f>IF(SECC1!X16&gt;=150,1,"")</f>
        <v/>
      </c>
      <c r="O17" s="50">
        <f>IF(Extremos!AA11&gt;0,1,"")</f>
        <v>1</v>
      </c>
      <c r="P17" s="51">
        <f>IF(Extremos!AA11&gt;=1,1,"")</f>
        <v>1</v>
      </c>
      <c r="Q17" s="51" t="str">
        <f>IF(Extremos!AA11&gt;=10,1,"")</f>
        <v/>
      </c>
      <c r="R17" s="394" t="str">
        <f>IF(Extremos!AA11&gt;=50,1,"")</f>
        <v/>
      </c>
      <c r="S17" s="404">
        <v>1</v>
      </c>
      <c r="T17" s="405"/>
      <c r="U17" s="406"/>
      <c r="V17" s="399" t="str">
        <f>IF(Extremos!X11=1,1,"")</f>
        <v/>
      </c>
      <c r="W17" s="86" t="str">
        <f>IF(Extremos!Y11=1,1,IF(Extremos!X11=1,1,""))</f>
        <v/>
      </c>
      <c r="X17" s="87">
        <f>IF(Extremos!Z11=1,1,IF(Extremos!Y11=1,1,IF(Extremos!X11=1,1,"")))</f>
        <v>1</v>
      </c>
    </row>
    <row r="18" spans="2:24" x14ac:dyDescent="0.2">
      <c r="B18" s="47">
        <v>9</v>
      </c>
      <c r="C18" s="102" t="str">
        <f>IF(SECC1!R17&gt;=25,1,"")</f>
        <v/>
      </c>
      <c r="D18" s="103" t="str">
        <f>IF(SECC1!R17&gt;=30,1,"")</f>
        <v/>
      </c>
      <c r="E18" s="103" t="str">
        <f>IF(SECC1!R17&gt;=35,1,"")</f>
        <v/>
      </c>
      <c r="F18" s="104" t="str">
        <f>IF(SECC1!R17&gt;=40,1,"")</f>
        <v/>
      </c>
      <c r="G18" s="105">
        <f>IF(SECC1!S17&lt;0,1,"")</f>
        <v>1</v>
      </c>
      <c r="H18" s="106" t="str">
        <f>IF(SECC1!R17&lt;0,1,"")</f>
        <v/>
      </c>
      <c r="I18" s="103" t="str">
        <f>IF(SECC1!X17&gt;=1,1,"")</f>
        <v/>
      </c>
      <c r="J18" s="103" t="str">
        <f>IF(SECC1!X17&gt;=5,1,"")</f>
        <v/>
      </c>
      <c r="K18" s="103" t="str">
        <f>IF(SECC1!X17&gt;=10,1,"")</f>
        <v/>
      </c>
      <c r="L18" s="103" t="str">
        <f>IF(SECC1!X17&gt;=50,1,"")</f>
        <v/>
      </c>
      <c r="M18" s="103" t="str">
        <f>IF(SECC1!X17&gt;=100,1,"")</f>
        <v/>
      </c>
      <c r="N18" s="390" t="str">
        <f>IF(SECC1!X17&gt;=150,1,"")</f>
        <v/>
      </c>
      <c r="O18" s="50">
        <f>IF(Extremos!AA12&gt;0,1,"")</f>
        <v>1</v>
      </c>
      <c r="P18" s="51">
        <f>IF(Extremos!AA12&gt;=1,1,"")</f>
        <v>1</v>
      </c>
      <c r="Q18" s="51" t="str">
        <f>IF(Extremos!AA12&gt;=10,1,"")</f>
        <v/>
      </c>
      <c r="R18" s="394" t="str">
        <f>IF(Extremos!AA12&gt;=50,1,"")</f>
        <v/>
      </c>
      <c r="S18" s="404">
        <v>1</v>
      </c>
      <c r="T18" s="405"/>
      <c r="U18" s="406"/>
      <c r="V18" s="399" t="str">
        <f>IF(Extremos!X12=1,1,"")</f>
        <v/>
      </c>
      <c r="W18" s="86" t="str">
        <f>IF(Extremos!Y12=1,1,IF(Extremos!X12=1,1,""))</f>
        <v/>
      </c>
      <c r="X18" s="87" t="str">
        <f>IF(Extremos!Z12=1,1,IF(Extremos!Y12=1,1,IF(Extremos!X12=1,1,"")))</f>
        <v/>
      </c>
    </row>
    <row r="19" spans="2:24" x14ac:dyDescent="0.2">
      <c r="B19" s="47">
        <v>10</v>
      </c>
      <c r="C19" s="102" t="str">
        <f>IF(SECC1!R18&gt;=25,1,"")</f>
        <v/>
      </c>
      <c r="D19" s="103" t="str">
        <f>IF(SECC1!R18&gt;=30,1,"")</f>
        <v/>
      </c>
      <c r="E19" s="103" t="str">
        <f>IF(SECC1!R18&gt;=35,1,"")</f>
        <v/>
      </c>
      <c r="F19" s="104" t="str">
        <f>IF(SECC1!R18&gt;=40,1,"")</f>
        <v/>
      </c>
      <c r="G19" s="105">
        <f>IF(SECC1!S18&lt;0,1,"")</f>
        <v>1</v>
      </c>
      <c r="H19" s="106" t="str">
        <f>IF(SECC1!R18&lt;0,1,"")</f>
        <v/>
      </c>
      <c r="I19" s="103">
        <f>IF(SECC1!X18&gt;=1,1,"")</f>
        <v>1</v>
      </c>
      <c r="J19" s="103" t="str">
        <f>IF(SECC1!X18&gt;=5,1,"")</f>
        <v/>
      </c>
      <c r="K19" s="103" t="str">
        <f>IF(SECC1!X18&gt;=10,1,"")</f>
        <v/>
      </c>
      <c r="L19" s="103" t="str">
        <f>IF(SECC1!X18&gt;=50,1,"")</f>
        <v/>
      </c>
      <c r="M19" s="103" t="str">
        <f>IF(SECC1!X18&gt;=100,1,"")</f>
        <v/>
      </c>
      <c r="N19" s="390" t="str">
        <f>IF(SECC1!X18&gt;=150,1,"")</f>
        <v/>
      </c>
      <c r="O19" s="50">
        <f>IF(Extremos!AA13&gt;0,1,"")</f>
        <v>1</v>
      </c>
      <c r="P19" s="51">
        <f>IF(Extremos!AA13&gt;=1,1,"")</f>
        <v>1</v>
      </c>
      <c r="Q19" s="51" t="str">
        <f>IF(Extremos!AA13&gt;=10,1,"")</f>
        <v/>
      </c>
      <c r="R19" s="394" t="str">
        <f>IF(Extremos!AA13&gt;=50,1,"")</f>
        <v/>
      </c>
      <c r="S19" s="404"/>
      <c r="T19" s="405"/>
      <c r="U19" s="406"/>
      <c r="V19" s="399" t="str">
        <f>IF(Extremos!X13=1,1,"")</f>
        <v/>
      </c>
      <c r="W19" s="86" t="str">
        <f>IF(Extremos!Y13=1,1,IF(Extremos!X13=1,1,""))</f>
        <v/>
      </c>
      <c r="X19" s="87" t="str">
        <f>IF(Extremos!Z13=1,1,IF(Extremos!Y13=1,1,IF(Extremos!X13=1,1,"")))</f>
        <v/>
      </c>
    </row>
    <row r="20" spans="2:24" x14ac:dyDescent="0.2">
      <c r="B20" s="47">
        <v>11</v>
      </c>
      <c r="C20" s="102" t="str">
        <f>IF(SECC1!R20&gt;=25,1,"")</f>
        <v/>
      </c>
      <c r="D20" s="103" t="str">
        <f>IF(SECC1!R20&gt;=30,1,"")</f>
        <v/>
      </c>
      <c r="E20" s="103" t="str">
        <f>IF(SECC1!R20&gt;=35,1,"")</f>
        <v/>
      </c>
      <c r="F20" s="104" t="str">
        <f>IF(SECC1!R20&gt;=40,1,"")</f>
        <v/>
      </c>
      <c r="G20" s="105">
        <f>IF(SECC1!S20&lt;0,1,"")</f>
        <v>1</v>
      </c>
      <c r="H20" s="106" t="str">
        <f>IF(SECC1!R20&lt;0,1,"")</f>
        <v/>
      </c>
      <c r="I20" s="103" t="str">
        <f>IF(SECC1!X20&gt;=1,1,"")</f>
        <v/>
      </c>
      <c r="J20" s="103" t="str">
        <f>IF(SECC1!X20&gt;=5,1,"")</f>
        <v/>
      </c>
      <c r="K20" s="103" t="str">
        <f>IF(SECC1!X20&gt;=10,1,"")</f>
        <v/>
      </c>
      <c r="L20" s="103" t="str">
        <f>IF(SECC1!X20&gt;=50,1,"")</f>
        <v/>
      </c>
      <c r="M20" s="103" t="str">
        <f>IF(SECC1!X20&gt;=100,1,"")</f>
        <v/>
      </c>
      <c r="N20" s="390" t="str">
        <f>IF(SECC1!X20&gt;=150,1,"")</f>
        <v/>
      </c>
      <c r="O20" s="50">
        <f>IF(Extremos!AA14&gt;0,1,"")</f>
        <v>1</v>
      </c>
      <c r="P20" s="51">
        <f>IF(Extremos!AA14&gt;=1,1,"")</f>
        <v>1</v>
      </c>
      <c r="Q20" s="51" t="str">
        <f>IF(Extremos!AA14&gt;=10,1,"")</f>
        <v/>
      </c>
      <c r="R20" s="394" t="str">
        <f>IF(Extremos!AA14&gt;=50,1,"")</f>
        <v/>
      </c>
      <c r="S20" s="404">
        <v>1</v>
      </c>
      <c r="T20" s="405"/>
      <c r="U20" s="406"/>
      <c r="V20" s="399" t="str">
        <f>IF(Extremos!X14=1,1,"")</f>
        <v/>
      </c>
      <c r="W20" s="86" t="str">
        <f>IF(Extremos!Y14=1,1,IF(Extremos!X14=1,1,""))</f>
        <v/>
      </c>
      <c r="X20" s="87" t="str">
        <f>IF(Extremos!Z14=1,1,IF(Extremos!Y14=1,1,IF(Extremos!X14=1,1,"")))</f>
        <v/>
      </c>
    </row>
    <row r="21" spans="2:24" x14ac:dyDescent="0.2">
      <c r="B21" s="47">
        <v>12</v>
      </c>
      <c r="C21" s="102" t="str">
        <f>IF(SECC1!R21&gt;=25,1,"")</f>
        <v/>
      </c>
      <c r="D21" s="103" t="str">
        <f>IF(SECC1!R21&gt;=30,1,"")</f>
        <v/>
      </c>
      <c r="E21" s="103" t="str">
        <f>IF(SECC1!R21&gt;=35,1,"")</f>
        <v/>
      </c>
      <c r="F21" s="104" t="str">
        <f>IF(SECC1!R21&gt;=40,1,"")</f>
        <v/>
      </c>
      <c r="G21" s="105">
        <f>IF(SECC1!S21&lt;0,1,"")</f>
        <v>1</v>
      </c>
      <c r="H21" s="106" t="str">
        <f>IF(SECC1!R21&lt;0,1,"")</f>
        <v/>
      </c>
      <c r="I21" s="103">
        <f>IF(SECC1!X21&gt;=1,1,"")</f>
        <v>1</v>
      </c>
      <c r="J21" s="103" t="str">
        <f>IF(SECC1!X21&gt;=5,1,"")</f>
        <v/>
      </c>
      <c r="K21" s="103" t="str">
        <f>IF(SECC1!X21&gt;=10,1,"")</f>
        <v/>
      </c>
      <c r="L21" s="103" t="str">
        <f>IF(SECC1!X21&gt;=50,1,"")</f>
        <v/>
      </c>
      <c r="M21" s="103" t="str">
        <f>IF(SECC1!X21&gt;=100,1,"")</f>
        <v/>
      </c>
      <c r="N21" s="390" t="str">
        <f>IF(SECC1!X21&gt;=150,1,"")</f>
        <v/>
      </c>
      <c r="O21" s="50">
        <f>IF(Extremos!AA15&gt;0,1,"")</f>
        <v>1</v>
      </c>
      <c r="P21" s="51">
        <f>IF(Extremos!AA15&gt;=1,1,"")</f>
        <v>1</v>
      </c>
      <c r="Q21" s="51" t="str">
        <f>IF(Extremos!AA15&gt;=10,1,"")</f>
        <v/>
      </c>
      <c r="R21" s="394" t="str">
        <f>IF(Extremos!AA15&gt;=50,1,"")</f>
        <v/>
      </c>
      <c r="S21" s="404"/>
      <c r="T21" s="405"/>
      <c r="U21" s="406"/>
      <c r="V21" s="399" t="str">
        <f>IF(Extremos!X15=1,1,"")</f>
        <v/>
      </c>
      <c r="W21" s="86" t="str">
        <f>IF(Extremos!Y15=1,1,IF(Extremos!X15=1,1,""))</f>
        <v/>
      </c>
      <c r="X21" s="87" t="str">
        <f>IF(Extremos!Z15=1,1,IF(Extremos!Y15=1,1,IF(Extremos!X15=1,1,"")))</f>
        <v/>
      </c>
    </row>
    <row r="22" spans="2:24" x14ac:dyDescent="0.2">
      <c r="B22" s="47">
        <v>13</v>
      </c>
      <c r="C22" s="102" t="str">
        <f>IF(SECC1!R22&gt;=25,1,"")</f>
        <v/>
      </c>
      <c r="D22" s="103" t="str">
        <f>IF(SECC1!R22&gt;=30,1,"")</f>
        <v/>
      </c>
      <c r="E22" s="103" t="str">
        <f>IF(SECC1!R22&gt;=35,1,"")</f>
        <v/>
      </c>
      <c r="F22" s="104" t="str">
        <f>IF(SECC1!R22&gt;=40,1,"")</f>
        <v/>
      </c>
      <c r="G22" s="105">
        <f>IF(SECC1!S22&lt;0,1,"")</f>
        <v>1</v>
      </c>
      <c r="H22" s="106" t="str">
        <f>IF(SECC1!R22&lt;0,1,"")</f>
        <v/>
      </c>
      <c r="I22" s="103">
        <f>IF(SECC1!X22&gt;=1,1,"")</f>
        <v>1</v>
      </c>
      <c r="J22" s="103">
        <f>IF(SECC1!X22&gt;=5,1,"")</f>
        <v>1</v>
      </c>
      <c r="K22" s="103" t="str">
        <f>IF(SECC1!X22&gt;=10,1,"")</f>
        <v/>
      </c>
      <c r="L22" s="103" t="str">
        <f>IF(SECC1!X22&gt;=50,1,"")</f>
        <v/>
      </c>
      <c r="M22" s="103" t="str">
        <f>IF(SECC1!X22&gt;=100,1,"")</f>
        <v/>
      </c>
      <c r="N22" s="390" t="str">
        <f>IF(SECC1!X22&gt;=150,1,"")</f>
        <v/>
      </c>
      <c r="O22" s="50">
        <f>IF(Extremos!AA16&gt;0,1,"")</f>
        <v>1</v>
      </c>
      <c r="P22" s="51">
        <f>IF(Extremos!AA16&gt;=1,1,"")</f>
        <v>1</v>
      </c>
      <c r="Q22" s="51" t="str">
        <f>IF(Extremos!AA16&gt;=10,1,"")</f>
        <v/>
      </c>
      <c r="R22" s="394" t="str">
        <f>IF(Extremos!AA16&gt;=50,1,"")</f>
        <v/>
      </c>
      <c r="S22" s="404"/>
      <c r="T22" s="405"/>
      <c r="U22" s="406"/>
      <c r="V22" s="399" t="str">
        <f>IF(Extremos!X16=1,1,"")</f>
        <v/>
      </c>
      <c r="W22" s="86" t="str">
        <f>IF(Extremos!Y16=1,1,IF(Extremos!X16=1,1,""))</f>
        <v/>
      </c>
      <c r="X22" s="87" t="str">
        <f>IF(Extremos!Z16=1,1,IF(Extremos!Y16=1,1,IF(Extremos!X16=1,1,"")))</f>
        <v/>
      </c>
    </row>
    <row r="23" spans="2:24" x14ac:dyDescent="0.2">
      <c r="B23" s="47">
        <v>14</v>
      </c>
      <c r="C23" s="102" t="str">
        <f>IF(SECC1!R23&gt;=25,1,"")</f>
        <v/>
      </c>
      <c r="D23" s="103" t="str">
        <f>IF(SECC1!R23&gt;=30,1,"")</f>
        <v/>
      </c>
      <c r="E23" s="103" t="str">
        <f>IF(SECC1!R23&gt;=35,1,"")</f>
        <v/>
      </c>
      <c r="F23" s="104" t="str">
        <f>IF(SECC1!R23&gt;=40,1,"")</f>
        <v/>
      </c>
      <c r="G23" s="105">
        <f>IF(SECC1!S23&lt;0,1,"")</f>
        <v>1</v>
      </c>
      <c r="H23" s="106" t="str">
        <f>IF(SECC1!R23&lt;0,1,"")</f>
        <v/>
      </c>
      <c r="I23" s="103">
        <f>IF(SECC1!X23&gt;=1,1,"")</f>
        <v>1</v>
      </c>
      <c r="J23" s="103" t="str">
        <f>IF(SECC1!X23&gt;=5,1,"")</f>
        <v/>
      </c>
      <c r="K23" s="103" t="str">
        <f>IF(SECC1!X23&gt;=10,1,"")</f>
        <v/>
      </c>
      <c r="L23" s="103" t="str">
        <f>IF(SECC1!X23&gt;=50,1,"")</f>
        <v/>
      </c>
      <c r="M23" s="103" t="str">
        <f>IF(SECC1!X23&gt;=100,1,"")</f>
        <v/>
      </c>
      <c r="N23" s="390" t="str">
        <f>IF(SECC1!X23&gt;=150,1,"")</f>
        <v/>
      </c>
      <c r="O23" s="50">
        <f>IF(Extremos!AA17&gt;0,1,"")</f>
        <v>1</v>
      </c>
      <c r="P23" s="51">
        <f>IF(Extremos!AA17&gt;=1,1,"")</f>
        <v>1</v>
      </c>
      <c r="Q23" s="51">
        <f>IF(Extremos!AA17&gt;=10,1,"")</f>
        <v>1</v>
      </c>
      <c r="R23" s="394" t="str">
        <f>IF(Extremos!AA17&gt;=50,1,"")</f>
        <v/>
      </c>
      <c r="S23" s="404">
        <v>1</v>
      </c>
      <c r="T23" s="405"/>
      <c r="U23" s="406"/>
      <c r="V23" s="399" t="str">
        <f>IF(Extremos!X17=1,1,"")</f>
        <v/>
      </c>
      <c r="W23" s="86" t="str">
        <f>IF(Extremos!Y17=1,1,IF(Extremos!X17=1,1,""))</f>
        <v/>
      </c>
      <c r="X23" s="87">
        <f>IF(Extremos!Z17=1,1,IF(Extremos!Y17=1,1,IF(Extremos!X17=1,1,"")))</f>
        <v>1</v>
      </c>
    </row>
    <row r="24" spans="2:24" x14ac:dyDescent="0.2">
      <c r="B24" s="47">
        <v>15</v>
      </c>
      <c r="C24" s="102" t="str">
        <f>IF(SECC1!R24&gt;=25,1,"")</f>
        <v/>
      </c>
      <c r="D24" s="103" t="str">
        <f>IF(SECC1!R24&gt;=30,1,"")</f>
        <v/>
      </c>
      <c r="E24" s="103" t="str">
        <f>IF(SECC1!R24&gt;=35,1,"")</f>
        <v/>
      </c>
      <c r="F24" s="104" t="str">
        <f>IF(SECC1!R24&gt;=40,1,"")</f>
        <v/>
      </c>
      <c r="G24" s="105">
        <f>IF(SECC1!S24&lt;0,1,"")</f>
        <v>1</v>
      </c>
      <c r="H24" s="106" t="str">
        <f>IF(SECC1!R24&lt;0,1,"")</f>
        <v/>
      </c>
      <c r="I24" s="103" t="str">
        <f>IF(SECC1!X24&gt;=1,1,"")</f>
        <v/>
      </c>
      <c r="J24" s="103" t="str">
        <f>IF(SECC1!X24&gt;=5,1,"")</f>
        <v/>
      </c>
      <c r="K24" s="103" t="str">
        <f>IF(SECC1!X24&gt;=10,1,"")</f>
        <v/>
      </c>
      <c r="L24" s="103" t="str">
        <f>IF(SECC1!X24&gt;=50,1,"")</f>
        <v/>
      </c>
      <c r="M24" s="103" t="str">
        <f>IF(SECC1!X24&gt;=100,1,"")</f>
        <v/>
      </c>
      <c r="N24" s="390" t="str">
        <f>IF(SECC1!X24&gt;=150,1,"")</f>
        <v/>
      </c>
      <c r="O24" s="50">
        <f>IF(Extremos!AA18&gt;0,1,"")</f>
        <v>1</v>
      </c>
      <c r="P24" s="51">
        <f>IF(Extremos!AA18&gt;=1,1,"")</f>
        <v>1</v>
      </c>
      <c r="Q24" s="51">
        <f>IF(Extremos!AA18&gt;=10,1,"")</f>
        <v>1</v>
      </c>
      <c r="R24" s="394" t="str">
        <f>IF(Extremos!AA18&gt;=50,1,"")</f>
        <v/>
      </c>
      <c r="S24" s="404">
        <v>1</v>
      </c>
      <c r="T24" s="405"/>
      <c r="U24" s="406"/>
      <c r="V24" s="399" t="str">
        <f>IF(Extremos!X18=1,1,"")</f>
        <v/>
      </c>
      <c r="W24" s="86" t="str">
        <f>IF(Extremos!Y18=1,1,IF(Extremos!X18=1,1,""))</f>
        <v/>
      </c>
      <c r="X24" s="87" t="str">
        <f>IF(Extremos!Z18=1,1,IF(Extremos!Y18=1,1,IF(Extremos!X18=1,1,"")))</f>
        <v/>
      </c>
    </row>
    <row r="25" spans="2:24" x14ac:dyDescent="0.2">
      <c r="B25" s="47">
        <v>16</v>
      </c>
      <c r="C25" s="102" t="str">
        <f>IF(SECC1!R25&gt;=25,1,"")</f>
        <v/>
      </c>
      <c r="D25" s="103" t="str">
        <f>IF(SECC1!R25&gt;=30,1,"")</f>
        <v/>
      </c>
      <c r="E25" s="103" t="str">
        <f>IF(SECC1!R25&gt;=35,1,"")</f>
        <v/>
      </c>
      <c r="F25" s="104" t="str">
        <f>IF(SECC1!R25&gt;=40,1,"")</f>
        <v/>
      </c>
      <c r="G25" s="105">
        <f>IF(SECC1!S25&lt;0,1,"")</f>
        <v>1</v>
      </c>
      <c r="H25" s="106">
        <f>IF(SECC1!R25&lt;0,1,"")</f>
        <v>1</v>
      </c>
      <c r="I25" s="103">
        <f>IF(SECC1!X25&gt;=1,1,"")</f>
        <v>1</v>
      </c>
      <c r="J25" s="103">
        <f>IF(SECC1!X25&gt;=5,1,"")</f>
        <v>1</v>
      </c>
      <c r="K25" s="103" t="str">
        <f>IF(SECC1!X25&gt;=10,1,"")</f>
        <v/>
      </c>
      <c r="L25" s="103" t="str">
        <f>IF(SECC1!X25&gt;=50,1,"")</f>
        <v/>
      </c>
      <c r="M25" s="103" t="str">
        <f>IF(SECC1!X25&gt;=100,1,"")</f>
        <v/>
      </c>
      <c r="N25" s="390" t="str">
        <f>IF(SECC1!X25&gt;=150,1,"")</f>
        <v/>
      </c>
      <c r="O25" s="50">
        <f>IF(Extremos!AA19&gt;0,1,"")</f>
        <v>1</v>
      </c>
      <c r="P25" s="51">
        <f>IF(Extremos!AA19&gt;=1,1,"")</f>
        <v>1</v>
      </c>
      <c r="Q25" s="51">
        <f>IF(Extremos!AA19&gt;=10,1,"")</f>
        <v>1</v>
      </c>
      <c r="R25" s="394" t="str">
        <f>IF(Extremos!AA19&gt;=50,1,"")</f>
        <v/>
      </c>
      <c r="S25" s="404">
        <v>1</v>
      </c>
      <c r="T25" s="405"/>
      <c r="U25" s="406"/>
      <c r="V25" s="399" t="str">
        <f>IF(Extremos!X19=1,1,"")</f>
        <v/>
      </c>
      <c r="W25" s="86" t="str">
        <f>IF(Extremos!Y19=1,1,IF(Extremos!X19=1,1,""))</f>
        <v/>
      </c>
      <c r="X25" s="87" t="str">
        <f>IF(Extremos!Z19=1,1,IF(Extremos!Y19=1,1,IF(Extremos!X19=1,1,"")))</f>
        <v/>
      </c>
    </row>
    <row r="26" spans="2:24" x14ac:dyDescent="0.2">
      <c r="B26" s="47">
        <v>17</v>
      </c>
      <c r="C26" s="102" t="str">
        <f>IF(SECC1!R26&gt;=25,1,"")</f>
        <v/>
      </c>
      <c r="D26" s="103" t="str">
        <f>IF(SECC1!R26&gt;=30,1,"")</f>
        <v/>
      </c>
      <c r="E26" s="103" t="str">
        <f>IF(SECC1!R26&gt;=35,1,"")</f>
        <v/>
      </c>
      <c r="F26" s="104" t="str">
        <f>IF(SECC1!R26&gt;=40,1,"")</f>
        <v/>
      </c>
      <c r="G26" s="105">
        <f>IF(SECC1!S26&lt;0,1,"")</f>
        <v>1</v>
      </c>
      <c r="H26" s="106" t="str">
        <f>IF(SECC1!R26&lt;0,1,"")</f>
        <v/>
      </c>
      <c r="I26" s="103">
        <f>IF(SECC1!X26&gt;=1,1,"")</f>
        <v>1</v>
      </c>
      <c r="J26" s="103" t="str">
        <f>IF(SECC1!X26&gt;=5,1,"")</f>
        <v/>
      </c>
      <c r="K26" s="103" t="str">
        <f>IF(SECC1!X26&gt;=10,1,"")</f>
        <v/>
      </c>
      <c r="L26" s="103" t="str">
        <f>IF(SECC1!X26&gt;=50,1,"")</f>
        <v/>
      </c>
      <c r="M26" s="103" t="str">
        <f>IF(SECC1!X26&gt;=100,1,"")</f>
        <v/>
      </c>
      <c r="N26" s="390" t="str">
        <f>IF(SECC1!X26&gt;=150,1,"")</f>
        <v/>
      </c>
      <c r="O26" s="50">
        <f>IF(Extremos!AA20&gt;0,1,"")</f>
        <v>1</v>
      </c>
      <c r="P26" s="51">
        <f>IF(Extremos!AA20&gt;=1,1,"")</f>
        <v>1</v>
      </c>
      <c r="Q26" s="51">
        <f>IF(Extremos!AA20&gt;=10,1,"")</f>
        <v>1</v>
      </c>
      <c r="R26" s="394" t="str">
        <f>IF(Extremos!AA20&gt;=50,1,"")</f>
        <v/>
      </c>
      <c r="S26" s="404"/>
      <c r="T26" s="405"/>
      <c r="U26" s="406"/>
      <c r="V26" s="399" t="str">
        <f>IF(Extremos!X20=1,1,"")</f>
        <v/>
      </c>
      <c r="W26" s="86" t="str">
        <f>IF(Extremos!Y20=1,1,IF(Extremos!X20=1,1,""))</f>
        <v/>
      </c>
      <c r="X26" s="87" t="str">
        <f>IF(Extremos!Z20=1,1,IF(Extremos!Y20=1,1,IF(Extremos!X20=1,1,"")))</f>
        <v/>
      </c>
    </row>
    <row r="27" spans="2:24" x14ac:dyDescent="0.2">
      <c r="B27" s="47">
        <v>18</v>
      </c>
      <c r="C27" s="102" t="str">
        <f>IF(SECC1!R27&gt;=25,1,"")</f>
        <v/>
      </c>
      <c r="D27" s="103" t="str">
        <f>IF(SECC1!R27&gt;=30,1,"")</f>
        <v/>
      </c>
      <c r="E27" s="103" t="str">
        <f>IF(SECC1!R27&gt;=35,1,"")</f>
        <v/>
      </c>
      <c r="F27" s="104" t="str">
        <f>IF(SECC1!R27&gt;=40,1,"")</f>
        <v/>
      </c>
      <c r="G27" s="105">
        <f>IF(SECC1!S27&lt;0,1,"")</f>
        <v>1</v>
      </c>
      <c r="H27" s="106" t="str">
        <f>IF(SECC1!R27&lt;0,1,"")</f>
        <v/>
      </c>
      <c r="I27" s="103">
        <f>IF(SECC1!X27&gt;=1,1,"")</f>
        <v>1</v>
      </c>
      <c r="J27" s="103" t="str">
        <f>IF(SECC1!X27&gt;=5,1,"")</f>
        <v/>
      </c>
      <c r="K27" s="103" t="str">
        <f>IF(SECC1!X27&gt;=10,1,"")</f>
        <v/>
      </c>
      <c r="L27" s="103" t="str">
        <f>IF(SECC1!X27&gt;=50,1,"")</f>
        <v/>
      </c>
      <c r="M27" s="103" t="str">
        <f>IF(SECC1!X27&gt;=100,1,"")</f>
        <v/>
      </c>
      <c r="N27" s="390" t="str">
        <f>IF(SECC1!X27&gt;=150,1,"")</f>
        <v/>
      </c>
      <c r="O27" s="50">
        <f>IF(Extremos!AA21&gt;0,1,"")</f>
        <v>1</v>
      </c>
      <c r="P27" s="51">
        <f>IF(Extremos!AA21&gt;=1,1,"")</f>
        <v>1</v>
      </c>
      <c r="Q27" s="51">
        <f>IF(Extremos!AA21&gt;=10,1,"")</f>
        <v>1</v>
      </c>
      <c r="R27" s="394" t="str">
        <f>IF(Extremos!AA21&gt;=50,1,"")</f>
        <v/>
      </c>
      <c r="S27" s="404">
        <v>1</v>
      </c>
      <c r="T27" s="405"/>
      <c r="U27" s="406"/>
      <c r="V27" s="399" t="str">
        <f>IF(Extremos!X21=1,1,"")</f>
        <v/>
      </c>
      <c r="W27" s="86" t="str">
        <f>IF(Extremos!Y21=1,1,IF(Extremos!X21=1,1,""))</f>
        <v/>
      </c>
      <c r="X27" s="87" t="str">
        <f>IF(Extremos!Z21=1,1,IF(Extremos!Y21=1,1,IF(Extremos!X21=1,1,"")))</f>
        <v/>
      </c>
    </row>
    <row r="28" spans="2:24" x14ac:dyDescent="0.2">
      <c r="B28" s="47">
        <v>19</v>
      </c>
      <c r="C28" s="102" t="str">
        <f>IF(SECC1!R28&gt;=25,1,"")</f>
        <v/>
      </c>
      <c r="D28" s="103" t="str">
        <f>IF(SECC1!R28&gt;=30,1,"")</f>
        <v/>
      </c>
      <c r="E28" s="103" t="str">
        <f>IF(SECC1!R28&gt;=35,1,"")</f>
        <v/>
      </c>
      <c r="F28" s="104" t="str">
        <f>IF(SECC1!R28&gt;=40,1,"")</f>
        <v/>
      </c>
      <c r="G28" s="105">
        <f>IF(SECC1!S28&lt;0,1,"")</f>
        <v>1</v>
      </c>
      <c r="H28" s="106">
        <f>IF(SECC1!R28&lt;0,1,"")</f>
        <v>1</v>
      </c>
      <c r="I28" s="103">
        <f>IF(SECC1!X28&gt;=1,1,"")</f>
        <v>1</v>
      </c>
      <c r="J28" s="103" t="str">
        <f>IF(SECC1!X28&gt;=5,1,"")</f>
        <v/>
      </c>
      <c r="K28" s="103" t="str">
        <f>IF(SECC1!X28&gt;=10,1,"")</f>
        <v/>
      </c>
      <c r="L28" s="103" t="str">
        <f>IF(SECC1!X28&gt;=50,1,"")</f>
        <v/>
      </c>
      <c r="M28" s="103" t="str">
        <f>IF(SECC1!X28&gt;=100,1,"")</f>
        <v/>
      </c>
      <c r="N28" s="390" t="str">
        <f>IF(SECC1!X28&gt;=150,1,"")</f>
        <v/>
      </c>
      <c r="O28" s="50">
        <f>IF(Extremos!AA22&gt;0,1,"")</f>
        <v>1</v>
      </c>
      <c r="P28" s="51">
        <f>IF(Extremos!AA22&gt;=1,1,"")</f>
        <v>1</v>
      </c>
      <c r="Q28" s="51">
        <f>IF(Extremos!AA22&gt;=10,1,"")</f>
        <v>1</v>
      </c>
      <c r="R28" s="394" t="str">
        <f>IF(Extremos!AA22&gt;=50,1,"")</f>
        <v/>
      </c>
      <c r="S28" s="404">
        <v>1</v>
      </c>
      <c r="T28" s="405"/>
      <c r="U28" s="406"/>
      <c r="V28" s="399" t="str">
        <f>IF(Extremos!X22=1,1,"")</f>
        <v/>
      </c>
      <c r="W28" s="86" t="str">
        <f>IF(Extremos!Y22=1,1,IF(Extremos!X22=1,1,""))</f>
        <v/>
      </c>
      <c r="X28" s="87">
        <f>IF(Extremos!Z22=1,1,IF(Extremos!Y22=1,1,IF(Extremos!X22=1,1,"")))</f>
        <v>1</v>
      </c>
    </row>
    <row r="29" spans="2:24" x14ac:dyDescent="0.2">
      <c r="B29" s="47">
        <v>20</v>
      </c>
      <c r="C29" s="102" t="str">
        <f>IF(SECC1!R29&gt;=25,1,"")</f>
        <v/>
      </c>
      <c r="D29" s="103" t="str">
        <f>IF(SECC1!R29&gt;=30,1,"")</f>
        <v/>
      </c>
      <c r="E29" s="103" t="str">
        <f>IF(SECC1!R29&gt;=35,1,"")</f>
        <v/>
      </c>
      <c r="F29" s="104" t="str">
        <f>IF(SECC1!R29&gt;=40,1,"")</f>
        <v/>
      </c>
      <c r="G29" s="105">
        <f>IF(SECC1!S29&lt;0,1,"")</f>
        <v>1</v>
      </c>
      <c r="H29" s="106">
        <f>IF(SECC1!R29&lt;0,1,"")</f>
        <v>1</v>
      </c>
      <c r="I29" s="103" t="str">
        <f>IF(SECC1!X29&gt;=1,1,"")</f>
        <v/>
      </c>
      <c r="J29" s="103" t="str">
        <f>IF(SECC1!X29&gt;=5,1,"")</f>
        <v/>
      </c>
      <c r="K29" s="103" t="str">
        <f>IF(SECC1!X29&gt;=10,1,"")</f>
        <v/>
      </c>
      <c r="L29" s="103" t="str">
        <f>IF(SECC1!X29&gt;=50,1,"")</f>
        <v/>
      </c>
      <c r="M29" s="103" t="str">
        <f>IF(SECC1!X29&gt;=100,1,"")</f>
        <v/>
      </c>
      <c r="N29" s="390" t="str">
        <f>IF(SECC1!X29&gt;=150,1,"")</f>
        <v/>
      </c>
      <c r="O29" s="50">
        <f>IF(Extremos!AA23&gt;0,1,"")</f>
        <v>1</v>
      </c>
      <c r="P29" s="51">
        <f>IF(Extremos!AA23&gt;=1,1,"")</f>
        <v>1</v>
      </c>
      <c r="Q29" s="51">
        <f>IF(Extremos!AA23&gt;=10,1,"")</f>
        <v>1</v>
      </c>
      <c r="R29" s="394" t="str">
        <f>IF(Extremos!AA23&gt;=50,1,"")</f>
        <v/>
      </c>
      <c r="S29" s="404">
        <v>1</v>
      </c>
      <c r="T29" s="405"/>
      <c r="U29" s="406"/>
      <c r="V29" s="399" t="str">
        <f>IF(Extremos!X23=1,1,"")</f>
        <v/>
      </c>
      <c r="W29" s="86" t="str">
        <f>IF(Extremos!Y23=1,1,IF(Extremos!X23=1,1,""))</f>
        <v/>
      </c>
      <c r="X29" s="87" t="str">
        <f>IF(Extremos!Z23=1,1,IF(Extremos!Y23=1,1,IF(Extremos!X23=1,1,"")))</f>
        <v/>
      </c>
    </row>
    <row r="30" spans="2:24" x14ac:dyDescent="0.2">
      <c r="B30" s="47">
        <v>21</v>
      </c>
      <c r="C30" s="102" t="str">
        <f>IF(SECC1!R31&gt;=25,1,"")</f>
        <v/>
      </c>
      <c r="D30" s="103" t="str">
        <f>IF(SECC1!R31&gt;=30,1,"")</f>
        <v/>
      </c>
      <c r="E30" s="103" t="str">
        <f>IF(SECC1!R31&gt;=35,1,"")</f>
        <v/>
      </c>
      <c r="F30" s="104" t="str">
        <f>IF(SECC1!R31&gt;=40,1,"")</f>
        <v/>
      </c>
      <c r="G30" s="105">
        <f>IF(SECC1!S31&lt;0,1,"")</f>
        <v>1</v>
      </c>
      <c r="H30" s="106">
        <f>IF(SECC1!R31&lt;0,1,"")</f>
        <v>1</v>
      </c>
      <c r="I30" s="103" t="str">
        <f>IF(SECC1!X31&gt;=1,1,"")</f>
        <v/>
      </c>
      <c r="J30" s="103" t="str">
        <f>IF(SECC1!X31&gt;=5,1,"")</f>
        <v/>
      </c>
      <c r="K30" s="103" t="str">
        <f>IF(SECC1!X31&gt;=10,1,"")</f>
        <v/>
      </c>
      <c r="L30" s="103" t="str">
        <f>IF(SECC1!X31&gt;=50,1,"")</f>
        <v/>
      </c>
      <c r="M30" s="103" t="str">
        <f>IF(SECC1!X31&gt;=100,1,"")</f>
        <v/>
      </c>
      <c r="N30" s="390" t="str">
        <f>IF(SECC1!X31&gt;=150,1,"")</f>
        <v/>
      </c>
      <c r="O30" s="50">
        <f>IF(Extremos!AA24&gt;0,1,"")</f>
        <v>1</v>
      </c>
      <c r="P30" s="51">
        <f>IF(Extremos!AA24&gt;=1,1,"")</f>
        <v>1</v>
      </c>
      <c r="Q30" s="51">
        <f>IF(Extremos!AA24&gt;=10,1,"")</f>
        <v>1</v>
      </c>
      <c r="R30" s="394" t="str">
        <f>IF(Extremos!AA24&gt;=50,1,"")</f>
        <v/>
      </c>
      <c r="S30" s="404"/>
      <c r="T30" s="405"/>
      <c r="U30" s="406"/>
      <c r="V30" s="399" t="str">
        <f>IF(Extremos!X24=1,1,"")</f>
        <v/>
      </c>
      <c r="W30" s="86" t="str">
        <f>IF(Extremos!Y24=1,1,IF(Extremos!X24=1,1,""))</f>
        <v/>
      </c>
      <c r="X30" s="87" t="str">
        <f>IF(Extremos!Z24=1,1,IF(Extremos!Y24=1,1,IF(Extremos!X24=1,1,"")))</f>
        <v/>
      </c>
    </row>
    <row r="31" spans="2:24" x14ac:dyDescent="0.2">
      <c r="B31" s="47">
        <v>22</v>
      </c>
      <c r="C31" s="102" t="str">
        <f>IF(SECC1!R32&gt;=25,1,"")</f>
        <v/>
      </c>
      <c r="D31" s="103" t="str">
        <f>IF(SECC1!R32&gt;=30,1,"")</f>
        <v/>
      </c>
      <c r="E31" s="103" t="str">
        <f>IF(SECC1!R32&gt;=35,1,"")</f>
        <v/>
      </c>
      <c r="F31" s="104" t="str">
        <f>IF(SECC1!R32&gt;=40,1,"")</f>
        <v/>
      </c>
      <c r="G31" s="105">
        <f>IF(SECC1!S32&lt;0,1,"")</f>
        <v>1</v>
      </c>
      <c r="H31" s="106">
        <f>IF(SECC1!R32&lt;0,1,"")</f>
        <v>1</v>
      </c>
      <c r="I31" s="103">
        <f>IF(SECC1!X32&gt;=1,1,"")</f>
        <v>1</v>
      </c>
      <c r="J31" s="103" t="str">
        <f>IF(SECC1!X32&gt;=5,1,"")</f>
        <v/>
      </c>
      <c r="K31" s="103" t="str">
        <f>IF(SECC1!X32&gt;=10,1,"")</f>
        <v/>
      </c>
      <c r="L31" s="103" t="str">
        <f>IF(SECC1!X32&gt;=50,1,"")</f>
        <v/>
      </c>
      <c r="M31" s="103" t="str">
        <f>IF(SECC1!X32&gt;=100,1,"")</f>
        <v/>
      </c>
      <c r="N31" s="390" t="str">
        <f>IF(SECC1!X32&gt;=150,1,"")</f>
        <v/>
      </c>
      <c r="O31" s="50">
        <f>IF(Extremos!AA25&gt;0,1,"")</f>
        <v>1</v>
      </c>
      <c r="P31" s="51">
        <f>IF(Extremos!AA25&gt;=1,1,"")</f>
        <v>1</v>
      </c>
      <c r="Q31" s="51">
        <f>IF(Extremos!AA25&gt;=10,1,"")</f>
        <v>1</v>
      </c>
      <c r="R31" s="394" t="str">
        <f>IF(Extremos!AA25&gt;=50,1,"")</f>
        <v/>
      </c>
      <c r="S31" s="404"/>
      <c r="T31" s="405"/>
      <c r="U31" s="406"/>
      <c r="V31" s="399" t="str">
        <f>IF(Extremos!X25=1,1,"")</f>
        <v/>
      </c>
      <c r="W31" s="86" t="str">
        <f>IF(Extremos!Y25=1,1,IF(Extremos!X25=1,1,""))</f>
        <v/>
      </c>
      <c r="X31" s="87" t="str">
        <f>IF(Extremos!Z25=1,1,IF(Extremos!Y25=1,1,IF(Extremos!X25=1,1,"")))</f>
        <v/>
      </c>
    </row>
    <row r="32" spans="2:24" x14ac:dyDescent="0.2">
      <c r="B32" s="47">
        <v>23</v>
      </c>
      <c r="C32" s="102" t="str">
        <f>IF(SECC1!R33&gt;=25,1,"")</f>
        <v/>
      </c>
      <c r="D32" s="103" t="str">
        <f>IF(SECC1!R33&gt;=30,1,"")</f>
        <v/>
      </c>
      <c r="E32" s="103" t="str">
        <f>IF(SECC1!R33&gt;=35,1,"")</f>
        <v/>
      </c>
      <c r="F32" s="104" t="str">
        <f>IF(SECC1!R33&gt;=40,1,"")</f>
        <v/>
      </c>
      <c r="G32" s="105">
        <f>IF(SECC1!S33&lt;0,1,"")</f>
        <v>1</v>
      </c>
      <c r="H32" s="106">
        <f>IF(SECC1!R33&lt;0,1,"")</f>
        <v>1</v>
      </c>
      <c r="I32" s="103" t="str">
        <f>IF(SECC1!X33&gt;=1,1,"")</f>
        <v/>
      </c>
      <c r="J32" s="103" t="str">
        <f>IF(SECC1!X33&gt;=5,1,"")</f>
        <v/>
      </c>
      <c r="K32" s="103" t="str">
        <f>IF(SECC1!X33&gt;=10,1,"")</f>
        <v/>
      </c>
      <c r="L32" s="103" t="str">
        <f>IF(SECC1!X33&gt;=50,1,"")</f>
        <v/>
      </c>
      <c r="M32" s="103" t="str">
        <f>IF(SECC1!X33&gt;=100,1,"")</f>
        <v/>
      </c>
      <c r="N32" s="390" t="str">
        <f>IF(SECC1!X33&gt;=150,1,"")</f>
        <v/>
      </c>
      <c r="O32" s="50">
        <f>IF(Extremos!AA26&gt;0,1,"")</f>
        <v>1</v>
      </c>
      <c r="P32" s="51">
        <f>IF(Extremos!AA26&gt;=1,1,"")</f>
        <v>1</v>
      </c>
      <c r="Q32" s="51">
        <f>IF(Extremos!AA26&gt;=10,1,"")</f>
        <v>1</v>
      </c>
      <c r="R32" s="394" t="str">
        <f>IF(Extremos!AA26&gt;=50,1,"")</f>
        <v/>
      </c>
      <c r="S32" s="404"/>
      <c r="T32" s="405"/>
      <c r="U32" s="406"/>
      <c r="V32" s="399" t="str">
        <f>IF(Extremos!X26=1,1,"")</f>
        <v/>
      </c>
      <c r="W32" s="86" t="str">
        <f>IF(Extremos!Y26=1,1,IF(Extremos!X26=1,1,""))</f>
        <v/>
      </c>
      <c r="X32" s="87" t="str">
        <f>IF(Extremos!Z26=1,1,IF(Extremos!Y26=1,1,IF(Extremos!X26=1,1,"")))</f>
        <v/>
      </c>
    </row>
    <row r="33" spans="2:24" x14ac:dyDescent="0.2">
      <c r="B33" s="47">
        <v>24</v>
      </c>
      <c r="C33" s="102" t="str">
        <f>IF(SECC1!R34&gt;=25,1,"")</f>
        <v/>
      </c>
      <c r="D33" s="103" t="str">
        <f>IF(SECC1!R34&gt;=30,1,"")</f>
        <v/>
      </c>
      <c r="E33" s="103" t="str">
        <f>IF(SECC1!R34&gt;=35,1,"")</f>
        <v/>
      </c>
      <c r="F33" s="104" t="str">
        <f>IF(SECC1!R34&gt;=40,1,"")</f>
        <v/>
      </c>
      <c r="G33" s="105">
        <f>IF(SECC1!S34&lt;0,1,"")</f>
        <v>1</v>
      </c>
      <c r="H33" s="106">
        <f>IF(SECC1!R34&lt;0,1,"")</f>
        <v>1</v>
      </c>
      <c r="I33" s="103">
        <f>IF(SECC1!X34&gt;=1,1,"")</f>
        <v>1</v>
      </c>
      <c r="J33" s="103">
        <f>IF(SECC1!X34&gt;=5,1,"")</f>
        <v>1</v>
      </c>
      <c r="K33" s="103" t="str">
        <f>IF(SECC1!X34&gt;=10,1,"")</f>
        <v/>
      </c>
      <c r="L33" s="103" t="str">
        <f>IF(SECC1!X34&gt;=50,1,"")</f>
        <v/>
      </c>
      <c r="M33" s="103" t="str">
        <f>IF(SECC1!X34&gt;=100,1,"")</f>
        <v/>
      </c>
      <c r="N33" s="390" t="str">
        <f>IF(SECC1!X34&gt;=150,1,"")</f>
        <v/>
      </c>
      <c r="O33" s="50">
        <f>IF(Extremos!AA27&gt;0,1,"")</f>
        <v>1</v>
      </c>
      <c r="P33" s="51">
        <f>IF(Extremos!AA27&gt;=1,1,"")</f>
        <v>1</v>
      </c>
      <c r="Q33" s="51">
        <f>IF(Extremos!AA27&gt;=10,1,"")</f>
        <v>1</v>
      </c>
      <c r="R33" s="394" t="str">
        <f>IF(Extremos!AA27&gt;=50,1,"")</f>
        <v/>
      </c>
      <c r="S33" s="404"/>
      <c r="T33" s="405"/>
      <c r="U33" s="406"/>
      <c r="V33" s="399" t="str">
        <f>IF(Extremos!X27=1,1,"")</f>
        <v/>
      </c>
      <c r="W33" s="86" t="str">
        <f>IF(Extremos!Y27=1,1,IF(Extremos!X27=1,1,""))</f>
        <v/>
      </c>
      <c r="X33" s="87" t="str">
        <f>IF(Extremos!Z27=1,1,IF(Extremos!Y27=1,1,IF(Extremos!X27=1,1,"")))</f>
        <v/>
      </c>
    </row>
    <row r="34" spans="2:24" x14ac:dyDescent="0.2">
      <c r="B34" s="47">
        <v>25</v>
      </c>
      <c r="C34" s="102" t="str">
        <f>IF(SECC1!R35&gt;=25,1,"")</f>
        <v/>
      </c>
      <c r="D34" s="103" t="str">
        <f>IF(SECC1!R35&gt;=30,1,"")</f>
        <v/>
      </c>
      <c r="E34" s="103" t="str">
        <f>IF(SECC1!R35&gt;=35,1,"")</f>
        <v/>
      </c>
      <c r="F34" s="104" t="str">
        <f>IF(SECC1!R35&gt;=40,1,"")</f>
        <v/>
      </c>
      <c r="G34" s="105">
        <f>IF(SECC1!S35&lt;0,1,"")</f>
        <v>1</v>
      </c>
      <c r="H34" s="106">
        <f>IF(SECC1!R35&lt;0,1,"")</f>
        <v>1</v>
      </c>
      <c r="I34" s="103" t="str">
        <f>IF(SECC1!X35&gt;=1,1,"")</f>
        <v/>
      </c>
      <c r="J34" s="103" t="str">
        <f>IF(SECC1!X35&gt;=5,1,"")</f>
        <v/>
      </c>
      <c r="K34" s="103" t="str">
        <f>IF(SECC1!X35&gt;=10,1,"")</f>
        <v/>
      </c>
      <c r="L34" s="103" t="str">
        <f>IF(SECC1!X35&gt;=50,1,"")</f>
        <v/>
      </c>
      <c r="M34" s="103" t="str">
        <f>IF(SECC1!X35&gt;=100,1,"")</f>
        <v/>
      </c>
      <c r="N34" s="390" t="str">
        <f>IF(SECC1!X35&gt;=150,1,"")</f>
        <v/>
      </c>
      <c r="O34" s="50">
        <f>IF(Extremos!AA28&gt;0,1,"")</f>
        <v>1</v>
      </c>
      <c r="P34" s="51">
        <f>IF(Extremos!AA28&gt;=1,1,"")</f>
        <v>1</v>
      </c>
      <c r="Q34" s="51">
        <f>IF(Extremos!AA28&gt;=10,1,"")</f>
        <v>1</v>
      </c>
      <c r="R34" s="394" t="str">
        <f>IF(Extremos!AA28&gt;=50,1,"")</f>
        <v/>
      </c>
      <c r="S34" s="404"/>
      <c r="T34" s="405"/>
      <c r="U34" s="406"/>
      <c r="V34" s="399" t="str">
        <f>IF(Extremos!X28=1,1,"")</f>
        <v/>
      </c>
      <c r="W34" s="86" t="str">
        <f>IF(Extremos!Y28=1,1,IF(Extremos!X28=1,1,""))</f>
        <v/>
      </c>
      <c r="X34" s="87" t="str">
        <f>IF(Extremos!Z28=1,1,IF(Extremos!Y28=1,1,IF(Extremos!X28=1,1,"")))</f>
        <v/>
      </c>
    </row>
    <row r="35" spans="2:24" x14ac:dyDescent="0.2">
      <c r="B35" s="47">
        <v>26</v>
      </c>
      <c r="C35" s="102" t="str">
        <f>IF(SECC1!R36&gt;=25,1,"")</f>
        <v/>
      </c>
      <c r="D35" s="103" t="str">
        <f>IF(SECC1!R36&gt;=30,1,"")</f>
        <v/>
      </c>
      <c r="E35" s="103" t="str">
        <f>IF(SECC1!R36&gt;=35,1,"")</f>
        <v/>
      </c>
      <c r="F35" s="104" t="str">
        <f>IF(SECC1!R36&gt;=40,1,"")</f>
        <v/>
      </c>
      <c r="G35" s="105">
        <f>IF(SECC1!S36&lt;0,1,"")</f>
        <v>1</v>
      </c>
      <c r="H35" s="106">
        <f>IF(SECC1!R36&lt;0,1,"")</f>
        <v>1</v>
      </c>
      <c r="I35" s="103" t="str">
        <f>IF(SECC1!X36&gt;=1,1,"")</f>
        <v/>
      </c>
      <c r="J35" s="103" t="str">
        <f>IF(SECC1!X36&gt;=5,1,"")</f>
        <v/>
      </c>
      <c r="K35" s="103" t="str">
        <f>IF(SECC1!X36&gt;=10,1,"")</f>
        <v/>
      </c>
      <c r="L35" s="103" t="str">
        <f>IF(SECC1!X36&gt;=50,1,"")</f>
        <v/>
      </c>
      <c r="M35" s="103" t="str">
        <f>IF(SECC1!X36&gt;=100,1,"")</f>
        <v/>
      </c>
      <c r="N35" s="390" t="str">
        <f>IF(SECC1!X36&gt;=150,1,"")</f>
        <v/>
      </c>
      <c r="O35" s="50">
        <f>IF(Extremos!AA29&gt;0,1,"")</f>
        <v>1</v>
      </c>
      <c r="P35" s="51">
        <f>IF(Extremos!AA29&gt;=1,1,"")</f>
        <v>1</v>
      </c>
      <c r="Q35" s="51">
        <f>IF(Extremos!AA29&gt;=10,1,"")</f>
        <v>1</v>
      </c>
      <c r="R35" s="394" t="str">
        <f>IF(Extremos!AA29&gt;=50,1,"")</f>
        <v/>
      </c>
      <c r="S35" s="404"/>
      <c r="T35" s="405"/>
      <c r="U35" s="406"/>
      <c r="V35" s="399" t="str">
        <f>IF(Extremos!X29=1,1,"")</f>
        <v/>
      </c>
      <c r="W35" s="86" t="str">
        <f>IF(Extremos!Y29=1,1,IF(Extremos!X29=1,1,""))</f>
        <v/>
      </c>
      <c r="X35" s="87">
        <f>IF(Extremos!Z29=1,1,IF(Extremos!Y29=1,1,IF(Extremos!X29=1,1,"")))</f>
        <v>1</v>
      </c>
    </row>
    <row r="36" spans="2:24" x14ac:dyDescent="0.2">
      <c r="B36" s="47">
        <v>27</v>
      </c>
      <c r="C36" s="102" t="str">
        <f>IF(SECC1!R37&gt;=25,1,"")</f>
        <v/>
      </c>
      <c r="D36" s="103" t="str">
        <f>IF(SECC1!R37&gt;=30,1,"")</f>
        <v/>
      </c>
      <c r="E36" s="103" t="str">
        <f>IF(SECC1!R37&gt;=35,1,"")</f>
        <v/>
      </c>
      <c r="F36" s="104" t="str">
        <f>IF(SECC1!R37&gt;=40,1,"")</f>
        <v/>
      </c>
      <c r="G36" s="105">
        <f>IF(SECC1!S37&lt;0,1,"")</f>
        <v>1</v>
      </c>
      <c r="H36" s="106">
        <f>IF(SECC1!R37&lt;0,1,"")</f>
        <v>1</v>
      </c>
      <c r="I36" s="103" t="str">
        <f>IF(SECC1!X37&gt;=1,1,"")</f>
        <v/>
      </c>
      <c r="J36" s="103" t="str">
        <f>IF(SECC1!X37&gt;=5,1,"")</f>
        <v/>
      </c>
      <c r="K36" s="103" t="str">
        <f>IF(SECC1!X37&gt;=10,1,"")</f>
        <v/>
      </c>
      <c r="L36" s="103" t="str">
        <f>IF(SECC1!X37&gt;=50,1,"")</f>
        <v/>
      </c>
      <c r="M36" s="103" t="str">
        <f>IF(SECC1!X37&gt;=100,1,"")</f>
        <v/>
      </c>
      <c r="N36" s="390" t="str">
        <f>IF(SECC1!X37&gt;=150,1,"")</f>
        <v/>
      </c>
      <c r="O36" s="50">
        <f>IF(Extremos!AA30&gt;0,1,"")</f>
        <v>1</v>
      </c>
      <c r="P36" s="51">
        <f>IF(Extremos!AA30&gt;=1,1,"")</f>
        <v>1</v>
      </c>
      <c r="Q36" s="51">
        <f>IF(Extremos!AA30&gt;=10,1,"")</f>
        <v>1</v>
      </c>
      <c r="R36" s="394" t="str">
        <f>IF(Extremos!AA30&gt;=50,1,"")</f>
        <v/>
      </c>
      <c r="S36" s="404"/>
      <c r="T36" s="405"/>
      <c r="U36" s="406"/>
      <c r="V36" s="399" t="str">
        <f>IF(Extremos!X30=1,1,"")</f>
        <v/>
      </c>
      <c r="W36" s="86" t="str">
        <f>IF(Extremos!Y30=1,1,IF(Extremos!X30=1,1,""))</f>
        <v/>
      </c>
      <c r="X36" s="87" t="str">
        <f>IF(Extremos!Z30=1,1,IF(Extremos!Y30=1,1,IF(Extremos!X30=1,1,"")))</f>
        <v/>
      </c>
    </row>
    <row r="37" spans="2:24" x14ac:dyDescent="0.2">
      <c r="B37" s="47">
        <v>28</v>
      </c>
      <c r="C37" s="102" t="str">
        <f>IF(SECC1!R38&gt;=25,1,"")</f>
        <v/>
      </c>
      <c r="D37" s="103" t="str">
        <f>IF(SECC1!R38&gt;=30,1,"")</f>
        <v/>
      </c>
      <c r="E37" s="103" t="str">
        <f>IF(SECC1!R38&gt;=35,1,"")</f>
        <v/>
      </c>
      <c r="F37" s="104" t="str">
        <f>IF(SECC1!R38&gt;=40,1,"")</f>
        <v/>
      </c>
      <c r="G37" s="105">
        <f>IF(SECC1!S38&lt;0,1,"")</f>
        <v>1</v>
      </c>
      <c r="H37" s="106">
        <f>IF(SECC1!R38&lt;0,1,"")</f>
        <v>1</v>
      </c>
      <c r="I37" s="103" t="str">
        <f>IF(SECC1!X38&gt;=1,1,"")</f>
        <v/>
      </c>
      <c r="J37" s="103" t="str">
        <f>IF(SECC1!X38&gt;=5,1,"")</f>
        <v/>
      </c>
      <c r="K37" s="103" t="str">
        <f>IF(SECC1!X38&gt;=10,1,"")</f>
        <v/>
      </c>
      <c r="L37" s="103" t="str">
        <f>IF(SECC1!X38&gt;=50,1,"")</f>
        <v/>
      </c>
      <c r="M37" s="103" t="str">
        <f>IF(SECC1!X38&gt;=100,1,"")</f>
        <v/>
      </c>
      <c r="N37" s="390" t="str">
        <f>IF(SECC1!X38&gt;=150,1,"")</f>
        <v/>
      </c>
      <c r="O37" s="50">
        <f>IF(Extremos!AA31&gt;0,1,"")</f>
        <v>1</v>
      </c>
      <c r="P37" s="51">
        <f>IF(Extremos!AA31&gt;=1,1,"")</f>
        <v>1</v>
      </c>
      <c r="Q37" s="51">
        <f>IF(Extremos!AA31&gt;=10,1,"")</f>
        <v>1</v>
      </c>
      <c r="R37" s="394" t="str">
        <f>IF(Extremos!AA31&gt;=50,1,"")</f>
        <v/>
      </c>
      <c r="S37" s="404"/>
      <c r="T37" s="405"/>
      <c r="U37" s="406"/>
      <c r="V37" s="399" t="str">
        <f>IF(Extremos!X31=1,1,"")</f>
        <v/>
      </c>
      <c r="W37" s="86" t="str">
        <f>IF(Extremos!Y31=1,1,IF(Extremos!X31=1,1,""))</f>
        <v/>
      </c>
      <c r="X37" s="87" t="str">
        <f>IF(Extremos!Z31=1,1,IF(Extremos!Y31=1,1,IF(Extremos!X31=1,1,"")))</f>
        <v/>
      </c>
    </row>
    <row r="38" spans="2:24" x14ac:dyDescent="0.2">
      <c r="B38" s="47">
        <v>29</v>
      </c>
      <c r="C38" s="102" t="str">
        <f>IF(SECC1!R39&gt;=25,1,"")</f>
        <v/>
      </c>
      <c r="D38" s="103" t="str">
        <f>IF(SECC1!R39&gt;=30,1,"")</f>
        <v/>
      </c>
      <c r="E38" s="103" t="str">
        <f>IF(SECC1!R39&gt;=35,1,"")</f>
        <v/>
      </c>
      <c r="F38" s="104" t="str">
        <f>IF(SECC1!R39&gt;=40,1,"")</f>
        <v/>
      </c>
      <c r="G38" s="105">
        <f>IF(SECC1!S39&lt;0,1,"")</f>
        <v>1</v>
      </c>
      <c r="H38" s="106">
        <f>IF(SECC1!R39&lt;0,1,"")</f>
        <v>1</v>
      </c>
      <c r="I38" s="103" t="str">
        <f>IF(SECC1!X39&gt;=1,1,"")</f>
        <v/>
      </c>
      <c r="J38" s="103" t="str">
        <f>IF(SECC1!X39&gt;=5,1,"")</f>
        <v/>
      </c>
      <c r="K38" s="103" t="str">
        <f>IF(SECC1!X39&gt;=10,1,"")</f>
        <v/>
      </c>
      <c r="L38" s="103" t="str">
        <f>IF(SECC1!X39&gt;=50,1,"")</f>
        <v/>
      </c>
      <c r="M38" s="103" t="str">
        <f>IF(SECC1!X39&gt;=100,1,"")</f>
        <v/>
      </c>
      <c r="N38" s="390" t="str">
        <f>IF(SECC1!X39&gt;=150,1,"")</f>
        <v/>
      </c>
      <c r="O38" s="50">
        <f>IF(Extremos!AA32&gt;0,1,"")</f>
        <v>1</v>
      </c>
      <c r="P38" s="51">
        <f>IF(Extremos!AA32&gt;=1,1,"")</f>
        <v>1</v>
      </c>
      <c r="Q38" s="51">
        <f>IF(Extremos!AA32&gt;=10,1,"")</f>
        <v>1</v>
      </c>
      <c r="R38" s="394" t="str">
        <f>IF(Extremos!AA32&gt;=50,1,"")</f>
        <v/>
      </c>
      <c r="S38" s="404"/>
      <c r="T38" s="405"/>
      <c r="U38" s="406"/>
      <c r="V38" s="399" t="str">
        <f>IF(Extremos!X32=1,1,"")</f>
        <v/>
      </c>
      <c r="W38" s="86" t="str">
        <f>IF(Extremos!Y32=1,1,IF(Extremos!X32=1,1,""))</f>
        <v/>
      </c>
      <c r="X38" s="87" t="str">
        <f>IF(Extremos!Z32=1,1,IF(Extremos!Y32=1,1,IF(Extremos!X32=1,1,"")))</f>
        <v/>
      </c>
    </row>
    <row r="39" spans="2:24" x14ac:dyDescent="0.2">
      <c r="B39" s="47">
        <v>30</v>
      </c>
      <c r="C39" s="102" t="str">
        <f>IF(SECC1!R40&gt;=25,1,"")</f>
        <v/>
      </c>
      <c r="D39" s="103" t="str">
        <f>IF(SECC1!R40&gt;=30,1,"")</f>
        <v/>
      </c>
      <c r="E39" s="103" t="str">
        <f>IF(SECC1!R40&gt;=35,1,"")</f>
        <v/>
      </c>
      <c r="F39" s="104" t="str">
        <f>IF(SECC1!R40&gt;=40,1,"")</f>
        <v/>
      </c>
      <c r="G39" s="105">
        <f>IF(SECC1!S40&lt;0,1,"")</f>
        <v>1</v>
      </c>
      <c r="H39" s="106">
        <f>IF(SECC1!R40&lt;0,1,"")</f>
        <v>1</v>
      </c>
      <c r="I39" s="103" t="str">
        <f>IF(SECC1!X40&gt;=1,1,"")</f>
        <v/>
      </c>
      <c r="J39" s="103" t="str">
        <f>IF(SECC1!X40&gt;=5,1,"")</f>
        <v/>
      </c>
      <c r="K39" s="103" t="str">
        <f>IF(SECC1!X40&gt;=10,1,"")</f>
        <v/>
      </c>
      <c r="L39" s="103" t="str">
        <f>IF(SECC1!X40&gt;=50,1,"")</f>
        <v/>
      </c>
      <c r="M39" s="103" t="str">
        <f>IF(SECC1!X40&gt;=100,1,"")</f>
        <v/>
      </c>
      <c r="N39" s="390" t="str">
        <f>IF(SECC1!X40&gt;=150,1,"")</f>
        <v/>
      </c>
      <c r="O39" s="50">
        <f>IF(Extremos!AA33&gt;0,1,"")</f>
        <v>1</v>
      </c>
      <c r="P39" s="51">
        <f>IF(Extremos!AA33&gt;=1,1,"")</f>
        <v>1</v>
      </c>
      <c r="Q39" s="51">
        <f>IF(Extremos!AA33&gt;=10,1,"")</f>
        <v>1</v>
      </c>
      <c r="R39" s="394" t="str">
        <f>IF(Extremos!AA33&gt;=50,1,"")</f>
        <v/>
      </c>
      <c r="S39" s="404"/>
      <c r="T39" s="405"/>
      <c r="U39" s="406"/>
      <c r="V39" s="399" t="str">
        <f>IF(Extremos!X33=1,1,"")</f>
        <v/>
      </c>
      <c r="W39" s="86" t="str">
        <f>IF(Extremos!Y33=1,1,IF(Extremos!X33=1,1,""))</f>
        <v/>
      </c>
      <c r="X39" s="87" t="str">
        <f>IF(Extremos!Z33=1,1,IF(Extremos!Y33=1,1,IF(Extremos!X33=1,1,"")))</f>
        <v/>
      </c>
    </row>
    <row r="40" spans="2:24" ht="12" thickBot="1" x14ac:dyDescent="0.25">
      <c r="B40" s="52">
        <v>31</v>
      </c>
      <c r="C40" s="107" t="str">
        <f>IF(SECC1!R41&gt;=25,1,"")</f>
        <v/>
      </c>
      <c r="D40" s="108" t="str">
        <f>IF(SECC1!R41&gt;=30,1,"")</f>
        <v/>
      </c>
      <c r="E40" s="108" t="str">
        <f>IF(SECC1!R41&gt;=35,1,"")</f>
        <v/>
      </c>
      <c r="F40" s="109" t="str">
        <f>IF(SECC1!R41&gt;=40,1,"")</f>
        <v/>
      </c>
      <c r="G40" s="105" t="str">
        <f>IF(SECC1!S41&lt;0,1,"")</f>
        <v/>
      </c>
      <c r="H40" s="106" t="str">
        <f>IF(SECC1!R41&lt;0,1,"")</f>
        <v/>
      </c>
      <c r="I40" s="103" t="str">
        <f>IF(SECC1!X41&gt;=1,1,"")</f>
        <v/>
      </c>
      <c r="J40" s="103" t="str">
        <f>IF(SECC1!X41&gt;=5,1,"")</f>
        <v/>
      </c>
      <c r="K40" s="103" t="str">
        <f>IF(SECC1!X41&gt;=10,1,"")</f>
        <v/>
      </c>
      <c r="L40" s="103" t="str">
        <f>IF(SECC1!X41&gt;=50,1,"")</f>
        <v/>
      </c>
      <c r="M40" s="103" t="str">
        <f>IF(SECC1!X41&gt;=100,1,"")</f>
        <v/>
      </c>
      <c r="N40" s="390" t="str">
        <f>IF(SECC1!X41&gt;=150,1,"")</f>
        <v/>
      </c>
      <c r="O40" s="391" t="str">
        <f>IF(Extremos!AA34&gt;0,1,"")</f>
        <v/>
      </c>
      <c r="P40" s="392" t="str">
        <f>IF(Extremos!AA34&gt;=1,1,"")</f>
        <v/>
      </c>
      <c r="Q40" s="392" t="str">
        <f>IF(Extremos!AA34&gt;=10,1,"")</f>
        <v/>
      </c>
      <c r="R40" s="397" t="str">
        <f>IF(Extremos!AA34&gt;=50,1,"")</f>
        <v/>
      </c>
      <c r="S40" s="407"/>
      <c r="T40" s="408"/>
      <c r="U40" s="409"/>
      <c r="V40" s="400" t="str">
        <f>IF(Extremos!X34=1,1,"")</f>
        <v/>
      </c>
      <c r="W40" s="395" t="str">
        <f>IF(Extremos!Y34=1,1,IF(Extremos!X34=1,1,""))</f>
        <v/>
      </c>
      <c r="X40" s="396" t="str">
        <f>IF(Extremos!Z34=1,1,IF(Extremos!Y34=1,1,IF(Extremos!X34=1,1,"")))</f>
        <v/>
      </c>
    </row>
    <row r="41" spans="2:24" ht="12" thickBot="1" x14ac:dyDescent="0.25">
      <c r="B41" s="53" t="s">
        <v>28</v>
      </c>
      <c r="C41" s="54">
        <f t="shared" ref="C41:N41" si="0">COUNT(C10:C40)</f>
        <v>0</v>
      </c>
      <c r="D41" s="54">
        <f t="shared" si="0"/>
        <v>0</v>
      </c>
      <c r="E41" s="54">
        <f t="shared" si="0"/>
        <v>0</v>
      </c>
      <c r="F41" s="54">
        <f t="shared" si="0"/>
        <v>0</v>
      </c>
      <c r="G41" s="95">
        <f t="shared" si="0"/>
        <v>29</v>
      </c>
      <c r="H41" s="95">
        <f t="shared" si="0"/>
        <v>16</v>
      </c>
      <c r="I41" s="54">
        <f t="shared" si="0"/>
        <v>13</v>
      </c>
      <c r="J41" s="54">
        <f t="shared" si="0"/>
        <v>4</v>
      </c>
      <c r="K41" s="54">
        <f t="shared" si="0"/>
        <v>0</v>
      </c>
      <c r="L41" s="54">
        <f t="shared" si="0"/>
        <v>0</v>
      </c>
      <c r="M41" s="54">
        <f t="shared" si="0"/>
        <v>0</v>
      </c>
      <c r="N41" s="54">
        <f t="shared" si="0"/>
        <v>0</v>
      </c>
      <c r="O41" s="95">
        <f t="shared" ref="O41:X41" si="1">COUNT(O10:O40)</f>
        <v>30</v>
      </c>
      <c r="P41" s="95">
        <f t="shared" si="1"/>
        <v>30</v>
      </c>
      <c r="Q41" s="95">
        <f t="shared" si="1"/>
        <v>21</v>
      </c>
      <c r="R41" s="95">
        <f t="shared" si="1"/>
        <v>0</v>
      </c>
      <c r="S41" s="95">
        <f t="shared" si="1"/>
        <v>10</v>
      </c>
      <c r="T41" s="95">
        <f t="shared" si="1"/>
        <v>0</v>
      </c>
      <c r="U41" s="95">
        <f t="shared" si="1"/>
        <v>0</v>
      </c>
      <c r="V41" s="95">
        <f t="shared" si="1"/>
        <v>0</v>
      </c>
      <c r="W41" s="95">
        <f t="shared" si="1"/>
        <v>0</v>
      </c>
      <c r="X41" s="95">
        <f t="shared" si="1"/>
        <v>6</v>
      </c>
    </row>
    <row r="43" spans="2:24" ht="12.75" x14ac:dyDescent="0.2">
      <c r="B43" s="110" t="s">
        <v>217</v>
      </c>
      <c r="C43" s="111"/>
      <c r="D43" s="111"/>
      <c r="E43" s="111"/>
      <c r="F43" s="111"/>
      <c r="G43" s="111"/>
      <c r="H43" s="111"/>
      <c r="I43" s="111"/>
      <c r="J43" s="111"/>
      <c r="K43" s="111"/>
      <c r="L43" s="94"/>
    </row>
    <row r="44" spans="2:24" ht="12.75" x14ac:dyDescent="0.2">
      <c r="B44" s="112" t="s">
        <v>126</v>
      </c>
      <c r="C44" s="113"/>
      <c r="D44" s="113"/>
      <c r="E44" s="113"/>
      <c r="F44" s="113"/>
      <c r="G44" s="113"/>
      <c r="H44" s="111"/>
      <c r="I44" s="111"/>
      <c r="J44" s="111"/>
      <c r="K44" s="111"/>
      <c r="L44" s="94"/>
    </row>
    <row r="45" spans="2:24" ht="12.75" x14ac:dyDescent="0.2">
      <c r="B45" s="114" t="s">
        <v>216</v>
      </c>
      <c r="C45" s="113"/>
      <c r="D45" s="113"/>
      <c r="E45" s="113"/>
      <c r="F45" s="113"/>
      <c r="G45" s="113"/>
      <c r="H45" s="111"/>
      <c r="I45" s="111"/>
      <c r="J45" s="111"/>
      <c r="K45" s="111"/>
      <c r="L45" s="94"/>
    </row>
    <row r="46" spans="2:24" ht="12.75" x14ac:dyDescent="0.2">
      <c r="B46" s="111" t="s">
        <v>215</v>
      </c>
      <c r="C46" s="111"/>
      <c r="D46" s="111"/>
      <c r="E46" s="111"/>
      <c r="F46" s="111"/>
      <c r="G46" s="111"/>
      <c r="H46" s="111"/>
      <c r="I46" s="111"/>
      <c r="J46" s="111"/>
      <c r="K46" s="111"/>
      <c r="L46" s="94"/>
    </row>
    <row r="47" spans="2:24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</row>
  </sheetData>
  <sheetProtection password="9EAD" sheet="1"/>
  <protectedRanges>
    <protectedRange sqref="S10:U40" name="Rango1"/>
  </protectedRanges>
  <mergeCells count="38">
    <mergeCell ref="R8:R9"/>
    <mergeCell ref="H8:H9"/>
    <mergeCell ref="I8:I9"/>
    <mergeCell ref="X8:X9"/>
    <mergeCell ref="O8:O9"/>
    <mergeCell ref="P8:P9"/>
    <mergeCell ref="Q8:Q9"/>
    <mergeCell ref="V8:V9"/>
    <mergeCell ref="W8:W9"/>
    <mergeCell ref="V1:X1"/>
    <mergeCell ref="S1:T1"/>
    <mergeCell ref="S5:U6"/>
    <mergeCell ref="C1:Q1"/>
    <mergeCell ref="S7:U7"/>
    <mergeCell ref="V5:X6"/>
    <mergeCell ref="V7:X7"/>
    <mergeCell ref="O5:R6"/>
    <mergeCell ref="C7:D7"/>
    <mergeCell ref="E7:F7"/>
    <mergeCell ref="G7:H7"/>
    <mergeCell ref="M7:N7"/>
    <mergeCell ref="O7:P7"/>
    <mergeCell ref="K7:L7"/>
    <mergeCell ref="Q7:R7"/>
    <mergeCell ref="I7:J7"/>
    <mergeCell ref="C8:C9"/>
    <mergeCell ref="L8:L9"/>
    <mergeCell ref="B5:B9"/>
    <mergeCell ref="C5:F6"/>
    <mergeCell ref="I5:N6"/>
    <mergeCell ref="N8:N9"/>
    <mergeCell ref="J8:J9"/>
    <mergeCell ref="K8:K9"/>
    <mergeCell ref="D8:D9"/>
    <mergeCell ref="E8:E9"/>
    <mergeCell ref="M8:M9"/>
    <mergeCell ref="F8:F9"/>
    <mergeCell ref="G8:G9"/>
  </mergeCells>
  <phoneticPr fontId="0" type="noConversion"/>
  <conditionalFormatting sqref="S10:S40">
    <cfRule type="cellIs" dxfId="18" priority="1" stopIfTrue="1" operator="lessThan">
      <formula>T10</formula>
    </cfRule>
    <cfRule type="cellIs" dxfId="17" priority="2" stopIfTrue="1" operator="lessThan">
      <formula>U10</formula>
    </cfRule>
  </conditionalFormatting>
  <conditionalFormatting sqref="T10:T40">
    <cfRule type="cellIs" dxfId="16" priority="3" stopIfTrue="1" operator="greaterThan">
      <formula>S10</formula>
    </cfRule>
    <cfRule type="cellIs" dxfId="15" priority="4" stopIfTrue="1" operator="lessThan">
      <formula>U10</formula>
    </cfRule>
  </conditionalFormatting>
  <conditionalFormatting sqref="U10:U40">
    <cfRule type="cellIs" dxfId="14" priority="5" stopIfTrue="1" operator="greaterThan">
      <formula>S10</formula>
    </cfRule>
    <cfRule type="cellIs" dxfId="13" priority="6" stopIfTrue="1" operator="greaterThan">
      <formula>T10</formula>
    </cfRule>
  </conditionalFormatting>
  <dataValidations count="1">
    <dataValidation type="whole" operator="equal" allowBlank="1" showInputMessage="1" showErrorMessage="1" errorTitle="Velocidad del viento (días)" error="Ingrese un 1 en el casillero correspondiente por cada caso registrado.  Recuerde que para todas las frecuencias de días, cada categoria incluye a las categorias menores." sqref="S10:U40">
      <formula1>1</formula1>
    </dataValidation>
  </dataValidations>
  <pageMargins left="0.74803149606299213" right="0.74803149606299213" top="0.98425196850393704" bottom="0.98425196850393704" header="0" footer="0"/>
  <pageSetup paperSize="9" scale="80" orientation="landscape" r:id="rId1"/>
  <headerFooter alignWithMargins="0"/>
  <ignoredErrors>
    <ignoredError sqref="V1" unlocked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6"/>
  <sheetViews>
    <sheetView topLeftCell="A16" workbookViewId="0">
      <selection activeCell="E28" sqref="E28"/>
    </sheetView>
  </sheetViews>
  <sheetFormatPr baseColWidth="10" defaultRowHeight="11.25" x14ac:dyDescent="0.2"/>
  <cols>
    <col min="1" max="1" width="5.5" customWidth="1"/>
    <col min="3" max="3" width="12.5" customWidth="1"/>
    <col min="4" max="4" width="18.1640625" customWidth="1"/>
    <col min="5" max="5" width="22.1640625" customWidth="1"/>
    <col min="7" max="7" width="15.1640625" bestFit="1" customWidth="1"/>
  </cols>
  <sheetData>
    <row r="1" spans="2:9" x14ac:dyDescent="0.2">
      <c r="B1" s="55"/>
      <c r="C1" s="55"/>
      <c r="D1" s="55"/>
      <c r="E1" s="55"/>
      <c r="F1" s="55"/>
      <c r="G1" s="55"/>
      <c r="H1" s="55"/>
      <c r="I1" s="55"/>
    </row>
    <row r="2" spans="2:9" ht="15" x14ac:dyDescent="0.2">
      <c r="B2" s="58"/>
      <c r="C2" s="58"/>
      <c r="D2" s="58"/>
      <c r="E2" s="58"/>
      <c r="F2" s="58"/>
      <c r="G2" s="58"/>
      <c r="H2" s="58"/>
      <c r="I2" s="55"/>
    </row>
    <row r="3" spans="2:9" ht="15.75" x14ac:dyDescent="0.25">
      <c r="B3" s="753" t="s">
        <v>118</v>
      </c>
      <c r="C3" s="753"/>
      <c r="D3" s="521">
        <f>IF(SECC1!D2="","",SECC1!D2)</f>
        <v>89066</v>
      </c>
      <c r="E3" s="521"/>
      <c r="F3" s="521"/>
      <c r="G3" s="521"/>
      <c r="H3" s="521"/>
      <c r="I3" s="62"/>
    </row>
    <row r="4" spans="2:9" ht="15.75" x14ac:dyDescent="0.25">
      <c r="B4" s="58"/>
      <c r="C4" s="58"/>
      <c r="D4" s="55"/>
      <c r="E4" s="61"/>
      <c r="F4" s="55"/>
      <c r="G4" s="55"/>
      <c r="H4" s="58"/>
      <c r="I4" s="55"/>
    </row>
    <row r="5" spans="2:9" ht="15.75" x14ac:dyDescent="0.25">
      <c r="C5" s="63" t="s">
        <v>0</v>
      </c>
      <c r="D5" s="755">
        <f>IF(SECC1!H2="","",SECC1!H2)</f>
        <v>4</v>
      </c>
      <c r="E5" s="755"/>
      <c r="F5" s="63" t="s">
        <v>108</v>
      </c>
      <c r="G5" s="754">
        <f>IF(SECC1!L2="","",SECC1!L2)</f>
        <v>2017</v>
      </c>
      <c r="H5" s="754"/>
      <c r="I5" s="55"/>
    </row>
    <row r="6" spans="2:9" ht="15" x14ac:dyDescent="0.2">
      <c r="B6" s="58"/>
      <c r="C6" s="58"/>
      <c r="D6" s="58"/>
      <c r="E6" s="58"/>
      <c r="F6" s="58"/>
      <c r="G6" s="58"/>
      <c r="H6" s="58"/>
      <c r="I6" s="55"/>
    </row>
    <row r="7" spans="2:9" ht="15" x14ac:dyDescent="0.2">
      <c r="B7" s="740" t="s">
        <v>75</v>
      </c>
      <c r="C7" s="741"/>
      <c r="D7" s="64" t="s">
        <v>76</v>
      </c>
      <c r="E7" s="58"/>
      <c r="F7" s="756" t="s">
        <v>51</v>
      </c>
      <c r="G7" s="759" t="s">
        <v>77</v>
      </c>
      <c r="H7" s="760"/>
      <c r="I7" s="55"/>
    </row>
    <row r="8" spans="2:9" ht="15" x14ac:dyDescent="0.2">
      <c r="B8" s="736" t="s">
        <v>78</v>
      </c>
      <c r="C8" s="742"/>
      <c r="D8" s="732" t="s">
        <v>79</v>
      </c>
      <c r="E8" s="58"/>
      <c r="F8" s="757"/>
      <c r="G8" s="761" t="s">
        <v>80</v>
      </c>
      <c r="H8" s="761" t="s">
        <v>81</v>
      </c>
      <c r="I8" s="55"/>
    </row>
    <row r="9" spans="2:9" ht="15" x14ac:dyDescent="0.2">
      <c r="B9" s="743"/>
      <c r="C9" s="744"/>
      <c r="D9" s="733"/>
      <c r="E9" s="58"/>
      <c r="F9" s="757"/>
      <c r="G9" s="762"/>
      <c r="H9" s="762"/>
      <c r="I9" s="55"/>
    </row>
    <row r="10" spans="2:9" ht="15" x14ac:dyDescent="0.2">
      <c r="B10" s="65"/>
      <c r="C10" s="66">
        <f>IF(COUNTBLANK(Auxiliar!B4:B34)&gt;Auxiliar!C47,"///",MAX(Auxiliar!B4:B34))</f>
        <v>1.4000000000000001</v>
      </c>
      <c r="D10" s="67">
        <f>IF(C10="///","//",IF(Auxiliar!C41&gt;1,MATCH(C10,Auxiliar!B4:B34,0)+50,MATCH(C10,Auxiliar!B4:B34,0)))</f>
        <v>1</v>
      </c>
      <c r="E10" s="58"/>
      <c r="F10" s="758"/>
      <c r="G10" s="763"/>
      <c r="H10" s="763"/>
      <c r="I10" s="55"/>
    </row>
    <row r="11" spans="2:9" ht="15" x14ac:dyDescent="0.2">
      <c r="B11" s="68"/>
      <c r="C11" s="68"/>
      <c r="D11" s="68"/>
      <c r="E11" s="58"/>
      <c r="F11" s="69">
        <v>1</v>
      </c>
      <c r="G11" s="92"/>
      <c r="H11" s="93"/>
      <c r="I11" s="55"/>
    </row>
    <row r="12" spans="2:9" ht="15" x14ac:dyDescent="0.2">
      <c r="B12" s="740" t="s">
        <v>82</v>
      </c>
      <c r="C12" s="741"/>
      <c r="D12" s="64" t="s">
        <v>83</v>
      </c>
      <c r="E12" s="58"/>
      <c r="F12" s="69">
        <v>2</v>
      </c>
      <c r="G12" s="92"/>
      <c r="H12" s="93"/>
      <c r="I12" s="55"/>
    </row>
    <row r="13" spans="2:9" ht="15" x14ac:dyDescent="0.2">
      <c r="B13" s="736" t="s">
        <v>84</v>
      </c>
      <c r="C13" s="742"/>
      <c r="D13" s="732" t="s">
        <v>79</v>
      </c>
      <c r="E13" s="58"/>
      <c r="F13" s="69">
        <v>3</v>
      </c>
      <c r="G13" s="92"/>
      <c r="H13" s="93"/>
      <c r="I13" s="55"/>
    </row>
    <row r="14" spans="2:9" ht="15" x14ac:dyDescent="0.2">
      <c r="B14" s="743"/>
      <c r="C14" s="744"/>
      <c r="D14" s="733"/>
      <c r="E14" s="58"/>
      <c r="F14" s="69">
        <v>4</v>
      </c>
      <c r="G14" s="92"/>
      <c r="H14" s="93"/>
      <c r="I14" s="55"/>
    </row>
    <row r="15" spans="2:9" ht="15" x14ac:dyDescent="0.2">
      <c r="B15" s="70"/>
      <c r="C15" s="71">
        <f>IF(COUNTBLANK(Auxiliar!B4:B34)&gt;Auxiliar!C47,"///",MIN(Auxiliar!B4:B34))</f>
        <v>-10.4</v>
      </c>
      <c r="D15" s="67">
        <f>IF(C15="///","//",IF(Auxiliar!C42&gt;1,MATCH(C15,Auxiliar!B4:B34,0)+50,MATCH(C15,Auxiliar!B4:B34,0)))</f>
        <v>21</v>
      </c>
      <c r="E15" s="58"/>
      <c r="F15" s="69">
        <v>5</v>
      </c>
      <c r="G15" s="92"/>
      <c r="H15" s="93"/>
      <c r="I15" s="55"/>
    </row>
    <row r="16" spans="2:9" ht="15" x14ac:dyDescent="0.2">
      <c r="B16" s="72"/>
      <c r="C16" s="72"/>
      <c r="D16" s="72"/>
      <c r="E16" s="58"/>
      <c r="F16" s="69">
        <v>6</v>
      </c>
      <c r="G16" s="92"/>
      <c r="H16" s="93"/>
      <c r="I16" s="55"/>
    </row>
    <row r="17" spans="2:9" ht="15" x14ac:dyDescent="0.2">
      <c r="B17" s="734" t="s">
        <v>85</v>
      </c>
      <c r="C17" s="735"/>
      <c r="D17" s="64" t="s">
        <v>86</v>
      </c>
      <c r="E17" s="58"/>
      <c r="F17" s="69">
        <v>7</v>
      </c>
      <c r="G17" s="92"/>
      <c r="H17" s="93"/>
      <c r="I17" s="55"/>
    </row>
    <row r="18" spans="2:9" ht="15" x14ac:dyDescent="0.2">
      <c r="B18" s="736" t="s">
        <v>87</v>
      </c>
      <c r="C18" s="737"/>
      <c r="D18" s="732" t="s">
        <v>79</v>
      </c>
      <c r="E18" s="58"/>
      <c r="F18" s="69">
        <v>8</v>
      </c>
      <c r="G18" s="92"/>
      <c r="H18" s="93"/>
      <c r="I18" s="55"/>
    </row>
    <row r="19" spans="2:9" ht="15" x14ac:dyDescent="0.2">
      <c r="B19" s="738"/>
      <c r="C19" s="739"/>
      <c r="D19" s="733"/>
      <c r="E19" s="58"/>
      <c r="F19" s="69">
        <v>9</v>
      </c>
      <c r="G19" s="92"/>
      <c r="H19" s="93"/>
      <c r="I19" s="55"/>
    </row>
    <row r="20" spans="2:9" ht="15.75" x14ac:dyDescent="0.25">
      <c r="B20" s="73"/>
      <c r="C20" s="66">
        <f>IF(COUNTBLANK(Auxiliar!C4:C34)&gt;Auxiliar!C47,"///",MAX(Auxiliar!C4:C34))</f>
        <v>4.5999999999999996</v>
      </c>
      <c r="D20" s="67">
        <f>IF(C20="///","//",IF(Auxiliar!C43&gt;1,MATCH(C20,Auxiliar!C4:C34,0)+50,MATCH(C20,Auxiliar!C4:C34,0)))</f>
        <v>8</v>
      </c>
      <c r="E20" s="58"/>
      <c r="F20" s="69">
        <v>10</v>
      </c>
      <c r="G20" s="92"/>
      <c r="H20" s="93"/>
      <c r="I20" s="55"/>
    </row>
    <row r="21" spans="2:9" ht="15" x14ac:dyDescent="0.2">
      <c r="B21" s="68"/>
      <c r="C21" s="68"/>
      <c r="D21" s="68"/>
      <c r="E21" s="58"/>
      <c r="F21" s="69">
        <v>11</v>
      </c>
      <c r="G21" s="92"/>
      <c r="H21" s="93"/>
      <c r="I21" s="55"/>
    </row>
    <row r="22" spans="2:9" ht="15" x14ac:dyDescent="0.2">
      <c r="B22" s="734" t="s">
        <v>88</v>
      </c>
      <c r="C22" s="735"/>
      <c r="D22" s="64" t="s">
        <v>89</v>
      </c>
      <c r="E22" s="58"/>
      <c r="F22" s="69">
        <v>12</v>
      </c>
      <c r="G22" s="92"/>
      <c r="H22" s="93"/>
      <c r="I22" s="55"/>
    </row>
    <row r="23" spans="2:9" ht="15" x14ac:dyDescent="0.2">
      <c r="B23" s="736" t="s">
        <v>90</v>
      </c>
      <c r="C23" s="737"/>
      <c r="D23" s="732" t="s">
        <v>79</v>
      </c>
      <c r="E23" s="58"/>
      <c r="F23" s="69">
        <v>13</v>
      </c>
      <c r="G23" s="92"/>
      <c r="H23" s="93"/>
      <c r="I23" s="55"/>
    </row>
    <row r="24" spans="2:9" ht="15" x14ac:dyDescent="0.2">
      <c r="B24" s="738"/>
      <c r="C24" s="739"/>
      <c r="D24" s="733"/>
      <c r="E24" s="58"/>
      <c r="F24" s="69">
        <v>14</v>
      </c>
      <c r="G24" s="92"/>
      <c r="H24" s="93"/>
      <c r="I24" s="55"/>
    </row>
    <row r="25" spans="2:9" ht="15" x14ac:dyDescent="0.2">
      <c r="B25" s="74"/>
      <c r="C25" s="66">
        <f>IF(COUNTBLANK(Auxiliar!D4:D34)&gt;Auxiliar!C47,"///",MIN(Auxiliar!D4:D34))</f>
        <v>-13.5</v>
      </c>
      <c r="D25" s="67">
        <f>IF(C25="///","//",IF(Auxiliar!C44&gt;1,MATCH(C25,Auxiliar!D4:D34,0)+50,MATCH(C25,Auxiliar!D4:D34,0)))</f>
        <v>19</v>
      </c>
      <c r="E25" s="58"/>
      <c r="F25" s="69">
        <v>15</v>
      </c>
      <c r="G25" s="92"/>
      <c r="H25" s="93"/>
      <c r="I25" s="55"/>
    </row>
    <row r="26" spans="2:9" ht="15" x14ac:dyDescent="0.2">
      <c r="B26" s="68"/>
      <c r="C26" s="68"/>
      <c r="D26" s="68"/>
      <c r="E26" s="58"/>
      <c r="F26" s="69">
        <v>16</v>
      </c>
      <c r="G26" s="92"/>
      <c r="H26" s="93"/>
      <c r="I26" s="55"/>
    </row>
    <row r="27" spans="2:9" ht="15" x14ac:dyDescent="0.2">
      <c r="B27" s="734" t="s">
        <v>91</v>
      </c>
      <c r="C27" s="735"/>
      <c r="D27" s="75" t="s">
        <v>92</v>
      </c>
      <c r="E27" s="58"/>
      <c r="F27" s="69">
        <v>17</v>
      </c>
      <c r="G27" s="92"/>
      <c r="H27" s="93"/>
      <c r="I27" s="55"/>
    </row>
    <row r="28" spans="2:9" ht="15" x14ac:dyDescent="0.2">
      <c r="B28" s="736" t="s">
        <v>93</v>
      </c>
      <c r="C28" s="737"/>
      <c r="D28" s="732" t="s">
        <v>79</v>
      </c>
      <c r="E28" s="58"/>
      <c r="F28" s="69">
        <v>18</v>
      </c>
      <c r="G28" s="92"/>
      <c r="H28" s="93"/>
      <c r="I28" s="55"/>
    </row>
    <row r="29" spans="2:9" ht="15" x14ac:dyDescent="0.2">
      <c r="B29" s="738"/>
      <c r="C29" s="739"/>
      <c r="D29" s="733"/>
      <c r="E29" s="58"/>
      <c r="F29" s="69">
        <v>19</v>
      </c>
      <c r="G29" s="92"/>
      <c r="H29" s="93"/>
      <c r="I29" s="55"/>
    </row>
    <row r="30" spans="2:9" ht="15" x14ac:dyDescent="0.2">
      <c r="B30" s="74"/>
      <c r="C30" s="71">
        <f>IF(COUNTBLANK(Auxiliar!E4:E34)=31,"////",MAX(Auxiliar!E4:E34))</f>
        <v>9.9</v>
      </c>
      <c r="D30" s="67">
        <f>IF(C30="////","//",IF(Auxiliar!C45&gt;1,MATCH(C30,Auxiliar!E4:E34,0)+50,MATCH(C30,Auxiliar!E4:E34,0)))</f>
        <v>1</v>
      </c>
      <c r="E30" s="58"/>
      <c r="F30" s="69">
        <v>20</v>
      </c>
      <c r="G30" s="92"/>
      <c r="H30" s="93"/>
      <c r="I30" s="55"/>
    </row>
    <row r="31" spans="2:9" ht="15" x14ac:dyDescent="0.2">
      <c r="B31" s="68"/>
      <c r="C31" s="68"/>
      <c r="D31" s="68"/>
      <c r="E31" s="58"/>
      <c r="F31" s="69">
        <v>21</v>
      </c>
      <c r="G31" s="92"/>
      <c r="H31" s="93"/>
      <c r="I31" s="55"/>
    </row>
    <row r="32" spans="2:9" ht="15" x14ac:dyDescent="0.2">
      <c r="B32" s="379" t="s">
        <v>94</v>
      </c>
      <c r="C32" s="379" t="s">
        <v>95</v>
      </c>
      <c r="D32" s="379" t="s">
        <v>96</v>
      </c>
      <c r="E32" s="58"/>
      <c r="F32" s="69">
        <v>22</v>
      </c>
      <c r="G32" s="92"/>
      <c r="H32" s="93"/>
      <c r="I32" s="55"/>
    </row>
    <row r="33" spans="2:9" ht="15" x14ac:dyDescent="0.2">
      <c r="B33" s="748" t="s">
        <v>97</v>
      </c>
      <c r="C33" s="750" t="s">
        <v>98</v>
      </c>
      <c r="D33" s="750" t="s">
        <v>79</v>
      </c>
      <c r="E33" s="58"/>
      <c r="F33" s="69">
        <v>23</v>
      </c>
      <c r="G33" s="92"/>
      <c r="H33" s="93"/>
      <c r="I33" s="55"/>
    </row>
    <row r="34" spans="2:9" ht="15" x14ac:dyDescent="0.2">
      <c r="B34" s="749"/>
      <c r="C34" s="751"/>
      <c r="D34" s="752"/>
      <c r="E34" s="58"/>
      <c r="F34" s="69">
        <v>24</v>
      </c>
      <c r="G34" s="92"/>
      <c r="H34" s="93"/>
      <c r="I34" s="55"/>
    </row>
    <row r="35" spans="2:9" ht="15" x14ac:dyDescent="0.2">
      <c r="B35" s="380">
        <v>4</v>
      </c>
      <c r="C35" s="388">
        <f>IF(COUNTBLANK(Extremos!W4:W34)=31,"///",MAX(Extremos!W4:W34))</f>
        <v>58</v>
      </c>
      <c r="D35" s="67">
        <f>IF(C35="///","//",IF(Auxiliar!C46&gt;1,MATCH(C35,Extremos!W4:W34,0)+50,MATCH(C35,Extremos!W4:W34,0)))</f>
        <v>8</v>
      </c>
      <c r="E35" s="58"/>
      <c r="F35" s="69">
        <v>25</v>
      </c>
      <c r="G35" s="92"/>
      <c r="H35" s="93"/>
      <c r="I35" s="55"/>
    </row>
    <row r="36" spans="2:9" ht="15" x14ac:dyDescent="0.2">
      <c r="B36" s="68"/>
      <c r="C36" s="68"/>
      <c r="D36" s="68"/>
      <c r="E36" s="58"/>
      <c r="F36" s="69">
        <v>26</v>
      </c>
      <c r="G36" s="92"/>
      <c r="H36" s="93"/>
      <c r="I36" s="55"/>
    </row>
    <row r="37" spans="2:9" ht="15" x14ac:dyDescent="0.2">
      <c r="B37" s="69" t="s">
        <v>99</v>
      </c>
      <c r="C37" s="69" t="s">
        <v>100</v>
      </c>
      <c r="D37" s="69" t="s">
        <v>101</v>
      </c>
      <c r="E37" s="58"/>
      <c r="F37" s="69">
        <v>27</v>
      </c>
      <c r="G37" s="92"/>
      <c r="H37" s="93"/>
      <c r="I37" s="55"/>
    </row>
    <row r="38" spans="2:9" ht="15" x14ac:dyDescent="0.2">
      <c r="B38" s="732" t="s">
        <v>102</v>
      </c>
      <c r="C38" s="732" t="s">
        <v>103</v>
      </c>
      <c r="D38" s="732" t="s">
        <v>104</v>
      </c>
      <c r="E38" s="58"/>
      <c r="F38" s="69">
        <v>28</v>
      </c>
      <c r="G38" s="92"/>
      <c r="H38" s="93"/>
      <c r="I38" s="55"/>
    </row>
    <row r="39" spans="2:9" ht="15" x14ac:dyDescent="0.2">
      <c r="B39" s="746"/>
      <c r="C39" s="746"/>
      <c r="D39" s="746"/>
      <c r="E39" s="58"/>
      <c r="F39" s="69">
        <v>29</v>
      </c>
      <c r="G39" s="92"/>
      <c r="H39" s="93"/>
      <c r="I39" s="55"/>
    </row>
    <row r="40" spans="2:9" ht="15" x14ac:dyDescent="0.2">
      <c r="B40" s="746"/>
      <c r="C40" s="746"/>
      <c r="D40" s="746"/>
      <c r="E40" s="58"/>
      <c r="F40" s="69">
        <v>30</v>
      </c>
      <c r="G40" s="92"/>
      <c r="H40" s="93"/>
      <c r="I40" s="55"/>
    </row>
    <row r="41" spans="2:9" ht="15" x14ac:dyDescent="0.2">
      <c r="B41" s="733"/>
      <c r="C41" s="733"/>
      <c r="D41" s="733"/>
      <c r="E41" s="58"/>
      <c r="F41" s="69">
        <v>31</v>
      </c>
      <c r="G41" s="92"/>
      <c r="H41" s="93"/>
      <c r="I41" s="55"/>
    </row>
    <row r="42" spans="2:9" ht="15" x14ac:dyDescent="0.2">
      <c r="B42" s="76">
        <v>1</v>
      </c>
      <c r="C42" s="76" t="s">
        <v>105</v>
      </c>
      <c r="D42" s="76" t="s">
        <v>106</v>
      </c>
      <c r="E42" s="58"/>
      <c r="F42" s="69" t="s">
        <v>28</v>
      </c>
      <c r="G42" s="76">
        <f>COUNT(G11:G41)</f>
        <v>0</v>
      </c>
      <c r="H42" s="76">
        <f>COUNT(H11:H41)</f>
        <v>0</v>
      </c>
      <c r="I42" s="55"/>
    </row>
    <row r="43" spans="2:9" ht="15" x14ac:dyDescent="0.2">
      <c r="B43" s="58"/>
      <c r="C43" s="58"/>
      <c r="D43" s="58"/>
      <c r="E43" s="58"/>
      <c r="F43" s="58"/>
      <c r="G43" s="58"/>
      <c r="H43" s="58"/>
      <c r="I43" s="55"/>
    </row>
    <row r="44" spans="2:9" ht="12" thickBot="1" x14ac:dyDescent="0.25">
      <c r="B44" s="55"/>
      <c r="C44" s="55"/>
      <c r="D44" s="55"/>
      <c r="E44" s="55"/>
      <c r="F44" s="55"/>
      <c r="G44" s="747"/>
      <c r="H44" s="747"/>
      <c r="I44" s="55"/>
    </row>
    <row r="45" spans="2:9" x14ac:dyDescent="0.2">
      <c r="B45" s="55"/>
      <c r="C45" s="55"/>
      <c r="D45" s="55"/>
      <c r="E45" s="55"/>
      <c r="F45" s="55"/>
      <c r="G45" s="745" t="s">
        <v>107</v>
      </c>
      <c r="H45" s="745"/>
      <c r="I45" s="55"/>
    </row>
    <row r="46" spans="2:9" x14ac:dyDescent="0.2">
      <c r="B46" s="55"/>
      <c r="C46" s="55"/>
      <c r="D46" s="55"/>
      <c r="E46" s="55"/>
      <c r="F46" s="55"/>
      <c r="G46" s="55"/>
      <c r="H46" s="55"/>
      <c r="I46" s="55"/>
    </row>
  </sheetData>
  <sheetProtection password="9EAD" sheet="1"/>
  <protectedRanges>
    <protectedRange sqref="B35" name="Rango2"/>
    <protectedRange sqref="G11:H41" name="Rango3"/>
  </protectedRanges>
  <mergeCells count="31">
    <mergeCell ref="B3:C3"/>
    <mergeCell ref="D3:H3"/>
    <mergeCell ref="G5:H5"/>
    <mergeCell ref="D5:E5"/>
    <mergeCell ref="B7:C7"/>
    <mergeCell ref="F7:F10"/>
    <mergeCell ref="G7:H7"/>
    <mergeCell ref="B8:C9"/>
    <mergeCell ref="D8:D9"/>
    <mergeCell ref="G8:G10"/>
    <mergeCell ref="H8:H10"/>
    <mergeCell ref="B33:B34"/>
    <mergeCell ref="C33:C34"/>
    <mergeCell ref="B17:C17"/>
    <mergeCell ref="D33:D34"/>
    <mergeCell ref="B18:C19"/>
    <mergeCell ref="B23:C24"/>
    <mergeCell ref="D23:D24"/>
    <mergeCell ref="G45:H45"/>
    <mergeCell ref="B38:B41"/>
    <mergeCell ref="C38:C41"/>
    <mergeCell ref="D38:D41"/>
    <mergeCell ref="G44:H44"/>
    <mergeCell ref="D13:D14"/>
    <mergeCell ref="B27:C27"/>
    <mergeCell ref="B28:C29"/>
    <mergeCell ref="B12:C12"/>
    <mergeCell ref="B13:C14"/>
    <mergeCell ref="D18:D19"/>
    <mergeCell ref="B22:C22"/>
    <mergeCell ref="D28:D29"/>
  </mergeCells>
  <phoneticPr fontId="0" type="noConversion"/>
  <conditionalFormatting sqref="B35">
    <cfRule type="cellIs" dxfId="12" priority="1" stopIfTrue="1" operator="equal">
      <formula>2</formula>
    </cfRule>
  </conditionalFormatting>
  <dataValidations count="2">
    <dataValidation type="whole" operator="equal" allowBlank="1" showInputMessage="1" showErrorMessage="1" errorTitle="Días con Tormentas y Granizo" error="Ingrese un 1 en el casillero correspondiente por cada caso registrado." sqref="G11:H41">
      <formula1>1</formula1>
    </dataValidation>
    <dataValidation type="whole" allowBlank="1" showInputMessage="1" showErrorMessage="1" errorTitle="Código instrumental Viento" error="0: Velocidad del viento estimada, en m/s._x000a_1: Velocidad del viento obtenida con un anemómetro, en m/s._x000a_3: Velocidad del viento estimada, en nudos._x000a_4: Velocidad del viento obtenida con un anemómetro, en nudos." sqref="B35">
      <formula1>0</formula1>
      <formula2>4</formula2>
    </dataValidation>
  </dataValidations>
  <pageMargins left="0.74803149606299213" right="0.74803149606299213" top="0.98425196850393704" bottom="0.98425196850393704" header="0" footer="0"/>
  <pageSetup paperSize="9" scale="95" orientation="portrait" horizontalDpi="120" verticalDpi="7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9"/>
  <sheetViews>
    <sheetView workbookViewId="0">
      <pane ySplit="3" topLeftCell="A9" activePane="bottomLeft" state="frozen"/>
      <selection activeCell="J1" sqref="J1"/>
      <selection pane="bottomLeft" activeCell="X33" sqref="X33"/>
    </sheetView>
  </sheetViews>
  <sheetFormatPr baseColWidth="10" defaultRowHeight="11.25" x14ac:dyDescent="0.2"/>
  <cols>
    <col min="1" max="1" width="2.33203125" style="94" customWidth="1"/>
    <col min="2" max="2" width="6" style="94" customWidth="1"/>
    <col min="3" max="7" width="12" style="94"/>
    <col min="8" max="8" width="6.6640625" style="94" customWidth="1"/>
    <col min="9" max="9" width="6.1640625" style="94" customWidth="1"/>
    <col min="10" max="10" width="5.1640625" style="94" customWidth="1"/>
    <col min="11" max="11" width="4.1640625" style="94" bestFit="1" customWidth="1"/>
    <col min="12" max="23" width="10" style="94" customWidth="1"/>
    <col min="24" max="26" width="10.6640625" style="94" customWidth="1"/>
    <col min="27" max="27" width="10" style="94" customWidth="1"/>
    <col min="28" max="28" width="4.1640625" style="94" bestFit="1" customWidth="1"/>
    <col min="29" max="16384" width="12" style="94"/>
  </cols>
  <sheetData>
    <row r="1" spans="1:36" ht="11.25" customHeight="1" thickBot="1" x14ac:dyDescent="0.25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33"/>
      <c r="L1" s="33" t="s">
        <v>164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142"/>
      <c r="AD1" s="141"/>
      <c r="AE1" s="141"/>
      <c r="AF1" s="141"/>
      <c r="AG1" s="141"/>
      <c r="AH1" s="141"/>
      <c r="AI1" s="141"/>
      <c r="AJ1" s="141"/>
    </row>
    <row r="2" spans="1:36" ht="12.75" thickTop="1" thickBot="1" x14ac:dyDescent="0.25">
      <c r="A2" s="141"/>
      <c r="B2" s="143"/>
      <c r="C2" s="144"/>
      <c r="D2" s="144"/>
      <c r="E2" s="144"/>
      <c r="F2" s="144"/>
      <c r="G2" s="144"/>
      <c r="H2" s="144"/>
      <c r="I2" s="145"/>
      <c r="J2" s="141"/>
      <c r="K2" s="89"/>
      <c r="L2" s="764" t="s">
        <v>165</v>
      </c>
      <c r="M2" s="765"/>
      <c r="N2" s="767" t="s">
        <v>199</v>
      </c>
      <c r="O2" s="768"/>
      <c r="P2" s="768"/>
      <c r="Q2" s="768"/>
      <c r="R2" s="768"/>
      <c r="S2" s="768"/>
      <c r="T2" s="768"/>
      <c r="U2" s="769"/>
      <c r="V2" s="770" t="s">
        <v>166</v>
      </c>
      <c r="W2" s="771"/>
      <c r="X2" s="770" t="s">
        <v>167</v>
      </c>
      <c r="Y2" s="772"/>
      <c r="Z2" s="771"/>
      <c r="AA2" s="773" t="s">
        <v>232</v>
      </c>
      <c r="AB2" s="89"/>
      <c r="AC2" s="146"/>
      <c r="AD2" s="141"/>
      <c r="AE2" s="141"/>
      <c r="AF2" s="141"/>
      <c r="AG2" s="141"/>
      <c r="AH2" s="141"/>
      <c r="AI2" s="141"/>
      <c r="AJ2" s="141"/>
    </row>
    <row r="3" spans="1:36" ht="82.5" customHeight="1" thickBot="1" x14ac:dyDescent="0.25">
      <c r="A3" s="141"/>
      <c r="B3" s="147"/>
      <c r="C3" s="372" t="s">
        <v>231</v>
      </c>
      <c r="D3" s="373"/>
      <c r="E3" s="374">
        <f>IF(SECC1!D2="","",SECC1!D2)</f>
        <v>89066</v>
      </c>
      <c r="F3" s="375">
        <f>IF(SECC1!H2="","",SECC1!H2)</f>
        <v>4</v>
      </c>
      <c r="G3" s="376">
        <f>IF(SECC1!L2="","",SECC1!L2)</f>
        <v>2017</v>
      </c>
      <c r="H3" s="377"/>
      <c r="I3" s="378"/>
      <c r="J3" s="141"/>
      <c r="K3" s="150" t="s">
        <v>51</v>
      </c>
      <c r="L3" s="151" t="s">
        <v>168</v>
      </c>
      <c r="M3" s="152" t="s">
        <v>169</v>
      </c>
      <c r="N3" s="153" t="s">
        <v>170</v>
      </c>
      <c r="O3" s="154" t="s">
        <v>171</v>
      </c>
      <c r="P3" s="155" t="s">
        <v>172</v>
      </c>
      <c r="Q3" s="154" t="s">
        <v>173</v>
      </c>
      <c r="R3" s="153" t="s">
        <v>174</v>
      </c>
      <c r="S3" s="154" t="s">
        <v>175</v>
      </c>
      <c r="T3" s="153" t="s">
        <v>176</v>
      </c>
      <c r="U3" s="154" t="s">
        <v>177</v>
      </c>
      <c r="V3" s="431" t="s">
        <v>178</v>
      </c>
      <c r="W3" s="432" t="s">
        <v>179</v>
      </c>
      <c r="X3" s="482" t="s">
        <v>281</v>
      </c>
      <c r="Y3" s="483" t="s">
        <v>282</v>
      </c>
      <c r="Z3" s="480" t="s">
        <v>283</v>
      </c>
      <c r="AA3" s="774"/>
      <c r="AB3" s="150" t="s">
        <v>51</v>
      </c>
      <c r="AC3" s="146"/>
      <c r="AD3" s="141"/>
      <c r="AE3" s="141"/>
      <c r="AF3" s="141"/>
      <c r="AG3" s="141"/>
      <c r="AH3" s="141"/>
      <c r="AI3" s="141"/>
      <c r="AJ3" s="141"/>
    </row>
    <row r="4" spans="1:36" x14ac:dyDescent="0.2">
      <c r="A4" s="141"/>
      <c r="B4" s="156"/>
      <c r="C4" s="148"/>
      <c r="D4" s="148"/>
      <c r="E4" s="148"/>
      <c r="F4" s="148"/>
      <c r="G4" s="148"/>
      <c r="H4" s="148"/>
      <c r="I4" s="149"/>
      <c r="J4" s="141"/>
      <c r="K4" s="157">
        <v>1</v>
      </c>
      <c r="L4" s="494">
        <v>745.2</v>
      </c>
      <c r="M4" s="495">
        <v>729.2</v>
      </c>
      <c r="N4" s="494">
        <v>96</v>
      </c>
      <c r="O4" s="495">
        <v>70</v>
      </c>
      <c r="P4" s="494">
        <v>1.8</v>
      </c>
      <c r="Q4" s="495">
        <v>-1.8</v>
      </c>
      <c r="R4" s="494">
        <v>6.3</v>
      </c>
      <c r="S4" s="495">
        <v>5.0999999999999996</v>
      </c>
      <c r="T4" s="494">
        <v>0.5</v>
      </c>
      <c r="U4" s="495">
        <v>-2.4</v>
      </c>
      <c r="V4" s="496">
        <v>290</v>
      </c>
      <c r="W4" s="495">
        <v>36</v>
      </c>
      <c r="X4" s="158"/>
      <c r="Y4" s="159"/>
      <c r="Z4" s="160">
        <v>1</v>
      </c>
      <c r="AA4" s="369">
        <v>2</v>
      </c>
      <c r="AB4" s="161">
        <v>1</v>
      </c>
      <c r="AC4" s="141"/>
      <c r="AD4" s="141"/>
      <c r="AE4" s="141"/>
      <c r="AF4" s="141"/>
      <c r="AG4" s="141"/>
      <c r="AH4" s="141"/>
      <c r="AI4" s="141"/>
      <c r="AJ4" s="141"/>
    </row>
    <row r="5" spans="1:36" x14ac:dyDescent="0.2">
      <c r="A5" s="141"/>
      <c r="B5" s="162"/>
      <c r="C5" s="163" t="s">
        <v>180</v>
      </c>
      <c r="D5" s="164"/>
      <c r="E5" s="164"/>
      <c r="F5" s="164"/>
      <c r="G5" s="164"/>
      <c r="H5" s="164"/>
      <c r="I5" s="165"/>
      <c r="J5" s="141"/>
      <c r="K5" s="166">
        <v>2</v>
      </c>
      <c r="L5" s="167">
        <v>750.9</v>
      </c>
      <c r="M5" s="168">
        <v>746.4</v>
      </c>
      <c r="N5" s="167">
        <v>98</v>
      </c>
      <c r="O5" s="168">
        <v>75</v>
      </c>
      <c r="P5" s="167">
        <v>-1.2</v>
      </c>
      <c r="Q5" s="168">
        <v>-2.2000000000000002</v>
      </c>
      <c r="R5" s="167">
        <v>5.2</v>
      </c>
      <c r="S5" s="168">
        <v>4.3</v>
      </c>
      <c r="T5" s="167">
        <v>-2.2999999999999998</v>
      </c>
      <c r="U5" s="168">
        <v>-4.5999999999999996</v>
      </c>
      <c r="V5" s="169">
        <v>320</v>
      </c>
      <c r="W5" s="168">
        <v>39</v>
      </c>
      <c r="X5" s="169"/>
      <c r="Y5" s="170"/>
      <c r="Z5" s="171">
        <v>1</v>
      </c>
      <c r="AA5" s="370">
        <v>5</v>
      </c>
      <c r="AB5" s="166">
        <v>2</v>
      </c>
      <c r="AC5" s="141"/>
      <c r="AD5" s="141"/>
      <c r="AE5" s="141"/>
      <c r="AF5" s="141"/>
      <c r="AG5" s="141"/>
      <c r="AH5" s="141"/>
      <c r="AI5" s="141"/>
      <c r="AJ5" s="141"/>
    </row>
    <row r="6" spans="1:36" x14ac:dyDescent="0.2">
      <c r="A6" s="141"/>
      <c r="B6" s="162"/>
      <c r="C6" s="164"/>
      <c r="D6" s="164"/>
      <c r="E6" s="164"/>
      <c r="F6" s="164"/>
      <c r="G6" s="164"/>
      <c r="H6" s="164"/>
      <c r="I6" s="165"/>
      <c r="J6" s="141"/>
      <c r="K6" s="166">
        <v>3</v>
      </c>
      <c r="L6" s="167">
        <v>748.7</v>
      </c>
      <c r="M6" s="168">
        <v>746.8</v>
      </c>
      <c r="N6" s="167">
        <v>95</v>
      </c>
      <c r="O6" s="168">
        <v>84</v>
      </c>
      <c r="P6" s="167">
        <v>-1</v>
      </c>
      <c r="Q6" s="168">
        <v>-4.3</v>
      </c>
      <c r="R6" s="167">
        <v>5.2</v>
      </c>
      <c r="S6" s="168">
        <v>4.0999999999999996</v>
      </c>
      <c r="T6" s="167">
        <v>-2.2000000000000002</v>
      </c>
      <c r="U6" s="168">
        <v>-5.2</v>
      </c>
      <c r="V6" s="169">
        <v>270</v>
      </c>
      <c r="W6" s="168">
        <v>23</v>
      </c>
      <c r="X6" s="169"/>
      <c r="Y6" s="170"/>
      <c r="Z6" s="171"/>
      <c r="AA6" s="370">
        <v>16</v>
      </c>
      <c r="AB6" s="166">
        <v>3</v>
      </c>
      <c r="AC6" s="141"/>
      <c r="AD6" s="141"/>
      <c r="AE6" s="141"/>
      <c r="AF6" s="141"/>
      <c r="AG6" s="141"/>
      <c r="AH6" s="141"/>
      <c r="AI6" s="141"/>
      <c r="AJ6" s="141"/>
    </row>
    <row r="7" spans="1:36" x14ac:dyDescent="0.2">
      <c r="A7" s="141"/>
      <c r="B7" s="162"/>
      <c r="C7" s="164"/>
      <c r="D7" s="164"/>
      <c r="E7" s="164"/>
      <c r="F7" s="172" t="s">
        <v>51</v>
      </c>
      <c r="G7" s="172" t="s">
        <v>181</v>
      </c>
      <c r="H7" s="164"/>
      <c r="I7" s="165"/>
      <c r="J7" s="141"/>
      <c r="K7" s="166">
        <v>4</v>
      </c>
      <c r="L7" s="167">
        <v>748.6</v>
      </c>
      <c r="M7" s="168">
        <v>746.4</v>
      </c>
      <c r="N7" s="167">
        <v>92</v>
      </c>
      <c r="O7" s="168">
        <v>78</v>
      </c>
      <c r="P7" s="167">
        <v>-4.8</v>
      </c>
      <c r="Q7" s="168">
        <v>-8.6999999999999993</v>
      </c>
      <c r="R7" s="167">
        <v>4</v>
      </c>
      <c r="S7" s="168">
        <v>2.8</v>
      </c>
      <c r="T7" s="167">
        <v>-5.8</v>
      </c>
      <c r="U7" s="168">
        <v>-10.4</v>
      </c>
      <c r="V7" s="169">
        <v>90</v>
      </c>
      <c r="W7" s="168">
        <v>18</v>
      </c>
      <c r="X7" s="169"/>
      <c r="Y7" s="170"/>
      <c r="Z7" s="171"/>
      <c r="AA7" s="370">
        <v>15</v>
      </c>
      <c r="AB7" s="166">
        <v>4</v>
      </c>
      <c r="AC7" s="141"/>
      <c r="AD7" s="141"/>
      <c r="AE7" s="141"/>
      <c r="AF7" s="141"/>
      <c r="AG7" s="141"/>
      <c r="AH7" s="141"/>
      <c r="AI7" s="141"/>
      <c r="AJ7" s="141"/>
    </row>
    <row r="8" spans="1:36" x14ac:dyDescent="0.2">
      <c r="A8" s="141"/>
      <c r="B8" s="162"/>
      <c r="C8" s="164" t="s">
        <v>182</v>
      </c>
      <c r="D8" s="164"/>
      <c r="E8" s="173" t="s">
        <v>24</v>
      </c>
      <c r="F8" s="174">
        <f>MATCH(G8,L4:L34,0)</f>
        <v>18</v>
      </c>
      <c r="G8" s="175">
        <f>L35</f>
        <v>765.1</v>
      </c>
      <c r="H8" s="176" t="s">
        <v>183</v>
      </c>
      <c r="I8" s="165"/>
      <c r="J8" s="141"/>
      <c r="K8" s="166">
        <v>5</v>
      </c>
      <c r="L8" s="167">
        <v>747.9</v>
      </c>
      <c r="M8" s="168">
        <v>744.6</v>
      </c>
      <c r="N8" s="167">
        <v>94</v>
      </c>
      <c r="O8" s="168">
        <v>78</v>
      </c>
      <c r="P8" s="167">
        <v>-4.5999999999999996</v>
      </c>
      <c r="Q8" s="168">
        <v>-7</v>
      </c>
      <c r="R8" s="167">
        <v>3.7</v>
      </c>
      <c r="S8" s="168">
        <v>3.2</v>
      </c>
      <c r="T8" s="167">
        <v>-6.7</v>
      </c>
      <c r="U8" s="168">
        <v>-7.9</v>
      </c>
      <c r="V8" s="169">
        <v>320</v>
      </c>
      <c r="W8" s="168">
        <v>22</v>
      </c>
      <c r="X8" s="169"/>
      <c r="Y8" s="170"/>
      <c r="Z8" s="171"/>
      <c r="AA8" s="370">
        <v>12</v>
      </c>
      <c r="AB8" s="166">
        <v>5</v>
      </c>
      <c r="AC8" s="141"/>
      <c r="AD8" s="141"/>
      <c r="AE8" s="141"/>
      <c r="AF8" s="141"/>
      <c r="AG8" s="141"/>
      <c r="AH8" s="141"/>
      <c r="AI8" s="141"/>
      <c r="AJ8" s="141"/>
    </row>
    <row r="9" spans="1:36" x14ac:dyDescent="0.2">
      <c r="A9" s="141"/>
      <c r="B9" s="162"/>
      <c r="C9" s="164" t="s">
        <v>184</v>
      </c>
      <c r="D9" s="164"/>
      <c r="E9" s="173" t="s">
        <v>25</v>
      </c>
      <c r="F9" s="174">
        <f>MATCH(G9,M4:M34,0)</f>
        <v>8</v>
      </c>
      <c r="G9" s="175">
        <f>M35</f>
        <v>725.6</v>
      </c>
      <c r="H9" s="176" t="s">
        <v>183</v>
      </c>
      <c r="I9" s="165"/>
      <c r="J9" s="141"/>
      <c r="K9" s="166">
        <v>6</v>
      </c>
      <c r="L9" s="167">
        <v>749.8</v>
      </c>
      <c r="M9" s="168">
        <v>746.3</v>
      </c>
      <c r="N9" s="167">
        <v>89</v>
      </c>
      <c r="O9" s="168">
        <v>78</v>
      </c>
      <c r="P9" s="167">
        <v>-2.8</v>
      </c>
      <c r="Q9" s="168">
        <v>-7.1</v>
      </c>
      <c r="R9" s="167">
        <v>4.5999999999999996</v>
      </c>
      <c r="S9" s="168">
        <v>3</v>
      </c>
      <c r="T9" s="167">
        <v>-3.9</v>
      </c>
      <c r="U9" s="168">
        <v>-9.1999999999999993</v>
      </c>
      <c r="V9" s="169">
        <v>70</v>
      </c>
      <c r="W9" s="168">
        <v>16</v>
      </c>
      <c r="X9" s="169"/>
      <c r="Y9" s="170"/>
      <c r="Z9" s="171"/>
      <c r="AA9" s="370">
        <v>10</v>
      </c>
      <c r="AB9" s="166">
        <v>6</v>
      </c>
      <c r="AC9" s="141"/>
      <c r="AD9" s="141"/>
      <c r="AE9" s="141"/>
      <c r="AF9" s="141"/>
      <c r="AG9" s="141"/>
      <c r="AH9" s="141"/>
      <c r="AI9" s="141"/>
      <c r="AJ9" s="141"/>
    </row>
    <row r="10" spans="1:36" x14ac:dyDescent="0.2">
      <c r="A10" s="141"/>
      <c r="B10" s="162"/>
      <c r="C10" s="164"/>
      <c r="D10" s="164"/>
      <c r="E10" s="164"/>
      <c r="F10" s="172"/>
      <c r="G10" s="172"/>
      <c r="H10" s="164"/>
      <c r="I10" s="165"/>
      <c r="J10" s="141"/>
      <c r="K10" s="166">
        <v>7</v>
      </c>
      <c r="L10" s="167">
        <v>749.4</v>
      </c>
      <c r="M10" s="168">
        <v>742.1</v>
      </c>
      <c r="N10" s="167">
        <v>95</v>
      </c>
      <c r="O10" s="168">
        <v>80</v>
      </c>
      <c r="P10" s="167">
        <v>-0.4</v>
      </c>
      <c r="Q10" s="168">
        <v>-2.6</v>
      </c>
      <c r="R10" s="167">
        <v>5.6</v>
      </c>
      <c r="S10" s="168">
        <v>4.8</v>
      </c>
      <c r="T10" s="167">
        <v>-1.2</v>
      </c>
      <c r="U10" s="168">
        <v>-3.3</v>
      </c>
      <c r="V10" s="169">
        <v>50</v>
      </c>
      <c r="W10" s="168">
        <v>30</v>
      </c>
      <c r="X10" s="169"/>
      <c r="Y10" s="170"/>
      <c r="Z10" s="171"/>
      <c r="AA10" s="370">
        <v>9</v>
      </c>
      <c r="AB10" s="166">
        <v>7</v>
      </c>
      <c r="AC10" s="141"/>
      <c r="AD10" s="141"/>
      <c r="AE10" s="141"/>
      <c r="AF10" s="141"/>
      <c r="AG10" s="141"/>
      <c r="AH10" s="141"/>
      <c r="AI10" s="141"/>
      <c r="AJ10" s="141"/>
    </row>
    <row r="11" spans="1:36" x14ac:dyDescent="0.2">
      <c r="A11" s="141"/>
      <c r="B11" s="162"/>
      <c r="C11" s="164" t="s">
        <v>185</v>
      </c>
      <c r="D11" s="164"/>
      <c r="E11" s="173" t="s">
        <v>24</v>
      </c>
      <c r="F11" s="174">
        <f>SECC4!D20</f>
        <v>8</v>
      </c>
      <c r="G11" s="175">
        <f>SECC4!C20</f>
        <v>4.5999999999999996</v>
      </c>
      <c r="H11" s="164" t="s">
        <v>186</v>
      </c>
      <c r="I11" s="165"/>
      <c r="J11" s="141"/>
      <c r="K11" s="166">
        <v>8</v>
      </c>
      <c r="L11" s="167">
        <v>739.1</v>
      </c>
      <c r="M11" s="168">
        <v>725.6</v>
      </c>
      <c r="N11" s="167">
        <v>94</v>
      </c>
      <c r="O11" s="168">
        <v>66</v>
      </c>
      <c r="P11" s="167">
        <v>1</v>
      </c>
      <c r="Q11" s="168">
        <v>-4.8</v>
      </c>
      <c r="R11" s="167">
        <v>5.7</v>
      </c>
      <c r="S11" s="168">
        <v>3.8</v>
      </c>
      <c r="T11" s="167">
        <v>-0.8</v>
      </c>
      <c r="U11" s="168">
        <v>-6.3</v>
      </c>
      <c r="V11" s="169">
        <v>70</v>
      </c>
      <c r="W11" s="168">
        <v>58</v>
      </c>
      <c r="X11" s="169"/>
      <c r="Y11" s="170"/>
      <c r="Z11" s="171">
        <v>1</v>
      </c>
      <c r="AA11" s="370">
        <v>8</v>
      </c>
      <c r="AB11" s="166">
        <v>8</v>
      </c>
      <c r="AC11" s="141"/>
      <c r="AD11" s="141"/>
      <c r="AE11" s="141"/>
      <c r="AF11" s="141"/>
      <c r="AG11" s="141"/>
      <c r="AH11" s="141"/>
      <c r="AI11" s="141"/>
      <c r="AJ11" s="141"/>
    </row>
    <row r="12" spans="1:36" x14ac:dyDescent="0.2">
      <c r="A12" s="141"/>
      <c r="B12" s="162"/>
      <c r="C12" s="164"/>
      <c r="D12" s="164"/>
      <c r="E12" s="173" t="s">
        <v>25</v>
      </c>
      <c r="F12" s="174">
        <f>SECC4!D25</f>
        <v>19</v>
      </c>
      <c r="G12" s="175">
        <f>SECC4!C25</f>
        <v>-13.5</v>
      </c>
      <c r="H12" s="164" t="s">
        <v>186</v>
      </c>
      <c r="I12" s="165"/>
      <c r="J12" s="141"/>
      <c r="K12" s="166">
        <v>9</v>
      </c>
      <c r="L12" s="167">
        <v>738.2</v>
      </c>
      <c r="M12" s="168">
        <v>728.3</v>
      </c>
      <c r="N12" s="167">
        <v>89</v>
      </c>
      <c r="O12" s="168">
        <v>80</v>
      </c>
      <c r="P12" s="167">
        <v>-0.4</v>
      </c>
      <c r="Q12" s="168">
        <v>-3.6</v>
      </c>
      <c r="R12" s="167">
        <v>5.5</v>
      </c>
      <c r="S12" s="168">
        <v>4.0999999999999996</v>
      </c>
      <c r="T12" s="167">
        <v>-1.4</v>
      </c>
      <c r="U12" s="168">
        <v>-5.5</v>
      </c>
      <c r="V12" s="169">
        <v>70</v>
      </c>
      <c r="W12" s="168">
        <v>51</v>
      </c>
      <c r="X12" s="169"/>
      <c r="Y12" s="170"/>
      <c r="Z12" s="171"/>
      <c r="AA12" s="370">
        <v>8</v>
      </c>
      <c r="AB12" s="166">
        <v>9</v>
      </c>
      <c r="AC12" s="141"/>
      <c r="AD12" s="141"/>
      <c r="AE12" s="141"/>
      <c r="AF12" s="141"/>
      <c r="AG12" s="141"/>
      <c r="AH12" s="141"/>
      <c r="AI12" s="141"/>
      <c r="AJ12" s="141"/>
    </row>
    <row r="13" spans="1:36" x14ac:dyDescent="0.2">
      <c r="A13" s="141"/>
      <c r="B13" s="162"/>
      <c r="C13" s="164"/>
      <c r="D13" s="164"/>
      <c r="E13" s="164"/>
      <c r="F13" s="172"/>
      <c r="G13" s="172"/>
      <c r="H13" s="164"/>
      <c r="I13" s="165"/>
      <c r="J13" s="141"/>
      <c r="K13" s="166">
        <v>10</v>
      </c>
      <c r="L13" s="167">
        <v>743.8</v>
      </c>
      <c r="M13" s="168">
        <v>738.5</v>
      </c>
      <c r="N13" s="167">
        <v>96</v>
      </c>
      <c r="O13" s="168">
        <v>45</v>
      </c>
      <c r="P13" s="167">
        <v>0</v>
      </c>
      <c r="Q13" s="168">
        <v>-1.8</v>
      </c>
      <c r="R13" s="167">
        <v>5.7</v>
      </c>
      <c r="S13" s="168">
        <v>3.3</v>
      </c>
      <c r="T13" s="167">
        <v>-1</v>
      </c>
      <c r="U13" s="168">
        <v>-8.1</v>
      </c>
      <c r="V13" s="169">
        <v>360</v>
      </c>
      <c r="W13" s="168">
        <v>32</v>
      </c>
      <c r="X13" s="169"/>
      <c r="Y13" s="170"/>
      <c r="Z13" s="171"/>
      <c r="AA13" s="370">
        <v>6</v>
      </c>
      <c r="AB13" s="166">
        <v>10</v>
      </c>
      <c r="AC13" s="141"/>
      <c r="AD13" s="141"/>
      <c r="AE13" s="141"/>
      <c r="AF13" s="141"/>
      <c r="AG13" s="141"/>
      <c r="AH13" s="141"/>
      <c r="AI13" s="141"/>
      <c r="AJ13" s="141"/>
    </row>
    <row r="14" spans="1:36" x14ac:dyDescent="0.2">
      <c r="A14" s="141"/>
      <c r="B14" s="162"/>
      <c r="C14" s="164" t="s">
        <v>187</v>
      </c>
      <c r="D14" s="164"/>
      <c r="E14" s="173" t="s">
        <v>24</v>
      </c>
      <c r="F14" s="174">
        <f>MATCH(G14,P4:P34,0)</f>
        <v>1</v>
      </c>
      <c r="G14" s="175">
        <f>P35</f>
        <v>1.8</v>
      </c>
      <c r="H14" s="164" t="s">
        <v>186</v>
      </c>
      <c r="I14" s="165"/>
      <c r="J14" s="141"/>
      <c r="K14" s="166">
        <v>11</v>
      </c>
      <c r="L14" s="167">
        <v>740.7</v>
      </c>
      <c r="M14" s="168">
        <v>736.1</v>
      </c>
      <c r="N14" s="167">
        <v>100</v>
      </c>
      <c r="O14" s="168">
        <v>61</v>
      </c>
      <c r="P14" s="167">
        <v>0.9</v>
      </c>
      <c r="Q14" s="168">
        <v>-0.8</v>
      </c>
      <c r="R14" s="167">
        <v>6</v>
      </c>
      <c r="S14" s="168">
        <v>4.7</v>
      </c>
      <c r="T14" s="167">
        <v>-0.2</v>
      </c>
      <c r="U14" s="168">
        <v>-3.5</v>
      </c>
      <c r="V14" s="169">
        <v>360</v>
      </c>
      <c r="W14" s="168">
        <v>29</v>
      </c>
      <c r="X14" s="169"/>
      <c r="Y14" s="170"/>
      <c r="Z14" s="171"/>
      <c r="AA14" s="370">
        <v>5</v>
      </c>
      <c r="AB14" s="166">
        <v>11</v>
      </c>
      <c r="AC14" s="141"/>
      <c r="AD14" s="141"/>
      <c r="AE14" s="141"/>
      <c r="AF14" s="141"/>
      <c r="AG14" s="141"/>
      <c r="AH14" s="141"/>
      <c r="AI14" s="141"/>
      <c r="AJ14" s="141"/>
    </row>
    <row r="15" spans="1:36" x14ac:dyDescent="0.2">
      <c r="A15" s="141"/>
      <c r="B15" s="162"/>
      <c r="C15" s="164" t="s">
        <v>188</v>
      </c>
      <c r="D15" s="164"/>
      <c r="E15" s="173" t="s">
        <v>25</v>
      </c>
      <c r="F15" s="174">
        <f>MATCH(G15,Q4:Q34,0)</f>
        <v>21</v>
      </c>
      <c r="G15" s="175">
        <f>Q35</f>
        <v>-12.4</v>
      </c>
      <c r="H15" s="164" t="s">
        <v>186</v>
      </c>
      <c r="I15" s="165"/>
      <c r="J15" s="141"/>
      <c r="K15" s="166">
        <v>12</v>
      </c>
      <c r="L15" s="167">
        <v>740.7</v>
      </c>
      <c r="M15" s="168">
        <v>738.7</v>
      </c>
      <c r="N15" s="167">
        <v>91</v>
      </c>
      <c r="O15" s="168">
        <v>76</v>
      </c>
      <c r="P15" s="167">
        <v>-1.4</v>
      </c>
      <c r="Q15" s="168">
        <v>-4.5999999999999996</v>
      </c>
      <c r="R15" s="167">
        <v>5.2</v>
      </c>
      <c r="S15" s="168">
        <v>4</v>
      </c>
      <c r="T15" s="167">
        <v>-2.2999999999999998</v>
      </c>
      <c r="U15" s="168">
        <v>-5.6</v>
      </c>
      <c r="V15" s="169">
        <v>320</v>
      </c>
      <c r="W15" s="168">
        <v>17</v>
      </c>
      <c r="X15" s="169"/>
      <c r="Y15" s="170"/>
      <c r="Z15" s="171"/>
      <c r="AA15" s="370">
        <v>5</v>
      </c>
      <c r="AB15" s="166">
        <v>12</v>
      </c>
      <c r="AC15" s="141"/>
      <c r="AD15" s="141"/>
      <c r="AE15" s="141"/>
      <c r="AF15" s="141"/>
      <c r="AG15" s="141"/>
      <c r="AH15" s="141"/>
      <c r="AI15" s="141"/>
      <c r="AJ15" s="141"/>
    </row>
    <row r="16" spans="1:36" x14ac:dyDescent="0.2">
      <c r="A16" s="141"/>
      <c r="B16" s="162"/>
      <c r="C16" s="164"/>
      <c r="D16" s="164"/>
      <c r="E16" s="164"/>
      <c r="F16" s="172"/>
      <c r="G16" s="172"/>
      <c r="H16" s="164"/>
      <c r="I16" s="165"/>
      <c r="J16" s="141"/>
      <c r="K16" s="166">
        <v>13</v>
      </c>
      <c r="L16" s="167">
        <v>741</v>
      </c>
      <c r="M16" s="168">
        <v>736.1</v>
      </c>
      <c r="N16" s="167">
        <v>92</v>
      </c>
      <c r="O16" s="168">
        <v>70</v>
      </c>
      <c r="P16" s="167">
        <v>-0.2</v>
      </c>
      <c r="Q16" s="168">
        <v>-2.2000000000000002</v>
      </c>
      <c r="R16" s="167">
        <v>5.5</v>
      </c>
      <c r="S16" s="168">
        <v>4.5</v>
      </c>
      <c r="T16" s="167">
        <v>-1.4</v>
      </c>
      <c r="U16" s="168">
        <v>-4</v>
      </c>
      <c r="V16" s="169">
        <v>360</v>
      </c>
      <c r="W16" s="168">
        <v>26</v>
      </c>
      <c r="X16" s="169"/>
      <c r="Y16" s="170"/>
      <c r="Z16" s="171"/>
      <c r="AA16" s="370">
        <v>6</v>
      </c>
      <c r="AB16" s="166">
        <v>13</v>
      </c>
      <c r="AC16" s="141"/>
      <c r="AD16" s="141"/>
      <c r="AE16" s="141"/>
      <c r="AF16" s="141"/>
      <c r="AG16" s="141"/>
      <c r="AH16" s="141"/>
      <c r="AI16" s="141"/>
      <c r="AJ16" s="141"/>
    </row>
    <row r="17" spans="1:36" x14ac:dyDescent="0.2">
      <c r="A17" s="141"/>
      <c r="B17" s="162"/>
      <c r="C17" s="177" t="s">
        <v>189</v>
      </c>
      <c r="D17" s="164"/>
      <c r="E17" s="173" t="s">
        <v>24</v>
      </c>
      <c r="F17" s="174">
        <f>MATCH(G17,R4:R34,0)</f>
        <v>1</v>
      </c>
      <c r="G17" s="175">
        <f>R35</f>
        <v>6.3</v>
      </c>
      <c r="H17" s="164" t="s">
        <v>190</v>
      </c>
      <c r="I17" s="165"/>
      <c r="J17" s="141"/>
      <c r="K17" s="178">
        <v>14</v>
      </c>
      <c r="L17" s="167">
        <v>745.5</v>
      </c>
      <c r="M17" s="168">
        <v>739.5</v>
      </c>
      <c r="N17" s="167">
        <v>98</v>
      </c>
      <c r="O17" s="168">
        <v>78</v>
      </c>
      <c r="P17" s="167">
        <v>-0.2</v>
      </c>
      <c r="Q17" s="168">
        <v>-1.8</v>
      </c>
      <c r="R17" s="167">
        <v>5.6</v>
      </c>
      <c r="S17" s="168">
        <v>5</v>
      </c>
      <c r="T17" s="167">
        <v>-1.1000000000000001</v>
      </c>
      <c r="U17" s="168">
        <v>-2.8</v>
      </c>
      <c r="V17" s="169">
        <v>340</v>
      </c>
      <c r="W17" s="168">
        <v>31</v>
      </c>
      <c r="X17" s="169"/>
      <c r="Y17" s="170"/>
      <c r="Z17" s="171">
        <v>1</v>
      </c>
      <c r="AA17" s="370">
        <v>16</v>
      </c>
      <c r="AB17" s="166">
        <v>14</v>
      </c>
      <c r="AC17" s="141"/>
      <c r="AD17" s="141"/>
      <c r="AE17" s="141"/>
      <c r="AF17" s="141"/>
      <c r="AG17" s="141"/>
      <c r="AH17" s="141"/>
      <c r="AI17" s="141"/>
      <c r="AJ17" s="141"/>
    </row>
    <row r="18" spans="1:36" x14ac:dyDescent="0.2">
      <c r="A18" s="141"/>
      <c r="B18" s="162"/>
      <c r="C18" s="164"/>
      <c r="D18" s="164"/>
      <c r="E18" s="173" t="s">
        <v>25</v>
      </c>
      <c r="F18" s="174">
        <f>MATCH(G18,S4:S34,0)</f>
        <v>21</v>
      </c>
      <c r="G18" s="175">
        <f>S35</f>
        <v>1.7</v>
      </c>
      <c r="H18" s="164" t="s">
        <v>190</v>
      </c>
      <c r="I18" s="165"/>
      <c r="J18" s="141"/>
      <c r="K18" s="178">
        <v>15</v>
      </c>
      <c r="L18" s="167">
        <v>750</v>
      </c>
      <c r="M18" s="168">
        <v>740</v>
      </c>
      <c r="N18" s="167">
        <v>92</v>
      </c>
      <c r="O18" s="168">
        <v>64</v>
      </c>
      <c r="P18" s="167">
        <v>-0.4</v>
      </c>
      <c r="Q18" s="168">
        <v>-2.6</v>
      </c>
      <c r="R18" s="167">
        <v>5.6</v>
      </c>
      <c r="S18" s="168">
        <v>4.0999999999999996</v>
      </c>
      <c r="T18" s="167">
        <v>-1.1000000000000001</v>
      </c>
      <c r="U18" s="168">
        <v>-5.5</v>
      </c>
      <c r="V18" s="169">
        <v>320</v>
      </c>
      <c r="W18" s="168">
        <v>39</v>
      </c>
      <c r="X18" s="169"/>
      <c r="Y18" s="170"/>
      <c r="Z18" s="171"/>
      <c r="AA18" s="370">
        <v>16</v>
      </c>
      <c r="AB18" s="166">
        <v>15</v>
      </c>
      <c r="AC18" s="141"/>
      <c r="AD18" s="141"/>
      <c r="AE18" s="141"/>
      <c r="AF18" s="141"/>
      <c r="AG18" s="141"/>
      <c r="AH18" s="141"/>
      <c r="AI18" s="141"/>
      <c r="AJ18" s="141"/>
    </row>
    <row r="19" spans="1:36" x14ac:dyDescent="0.2">
      <c r="A19" s="141"/>
      <c r="B19" s="162"/>
      <c r="C19" s="164"/>
      <c r="D19" s="164"/>
      <c r="E19" s="164"/>
      <c r="F19" s="172"/>
      <c r="G19" s="172"/>
      <c r="H19" s="164"/>
      <c r="I19" s="165"/>
      <c r="J19" s="141"/>
      <c r="K19" s="166">
        <v>16</v>
      </c>
      <c r="L19" s="167">
        <v>752.3</v>
      </c>
      <c r="M19" s="168">
        <v>746.9</v>
      </c>
      <c r="N19" s="167">
        <v>93</v>
      </c>
      <c r="O19" s="168">
        <v>78</v>
      </c>
      <c r="P19" s="167">
        <v>-1.5</v>
      </c>
      <c r="Q19" s="168">
        <v>-3.2</v>
      </c>
      <c r="R19" s="167">
        <v>5.2</v>
      </c>
      <c r="S19" s="168">
        <v>4.3</v>
      </c>
      <c r="T19" s="167">
        <v>-2.2000000000000002</v>
      </c>
      <c r="U19" s="168">
        <v>-4.8</v>
      </c>
      <c r="V19" s="169">
        <v>360</v>
      </c>
      <c r="W19" s="168">
        <v>30</v>
      </c>
      <c r="X19" s="169"/>
      <c r="Y19" s="170"/>
      <c r="Z19" s="171"/>
      <c r="AA19" s="370">
        <v>15</v>
      </c>
      <c r="AB19" s="166">
        <v>16</v>
      </c>
      <c r="AC19" s="141"/>
      <c r="AD19" s="141"/>
      <c r="AE19" s="141"/>
      <c r="AF19" s="141"/>
      <c r="AG19" s="141"/>
      <c r="AH19" s="141"/>
      <c r="AI19" s="141"/>
      <c r="AJ19" s="141"/>
    </row>
    <row r="20" spans="1:36" x14ac:dyDescent="0.2">
      <c r="A20" s="141"/>
      <c r="B20" s="162"/>
      <c r="C20" s="164" t="s">
        <v>191</v>
      </c>
      <c r="D20" s="164"/>
      <c r="E20" s="173" t="s">
        <v>24</v>
      </c>
      <c r="F20" s="174">
        <f>MATCH(G20,N4:N34,0)</f>
        <v>11</v>
      </c>
      <c r="G20" s="174">
        <f>N35</f>
        <v>100</v>
      </c>
      <c r="H20" s="164" t="s">
        <v>192</v>
      </c>
      <c r="I20" s="165"/>
      <c r="J20" s="141"/>
      <c r="K20" s="166">
        <v>17</v>
      </c>
      <c r="L20" s="167">
        <v>748.4</v>
      </c>
      <c r="M20" s="168">
        <v>737.7</v>
      </c>
      <c r="N20" s="167">
        <v>96</v>
      </c>
      <c r="O20" s="168">
        <v>71</v>
      </c>
      <c r="P20" s="167">
        <v>-0.4</v>
      </c>
      <c r="Q20" s="168">
        <v>-4.2</v>
      </c>
      <c r="R20" s="167">
        <v>5.8</v>
      </c>
      <c r="S20" s="168">
        <v>3.8</v>
      </c>
      <c r="T20" s="167">
        <v>-0.8</v>
      </c>
      <c r="U20" s="168">
        <v>-6.2</v>
      </c>
      <c r="V20" s="169">
        <v>340</v>
      </c>
      <c r="W20" s="168">
        <v>38</v>
      </c>
      <c r="X20" s="169"/>
      <c r="Y20" s="170"/>
      <c r="Z20" s="171"/>
      <c r="AA20" s="370">
        <v>14</v>
      </c>
      <c r="AB20" s="166">
        <v>17</v>
      </c>
      <c r="AC20" s="141"/>
      <c r="AD20" s="141"/>
      <c r="AE20" s="141"/>
      <c r="AF20" s="141"/>
      <c r="AG20" s="141"/>
      <c r="AH20" s="141"/>
      <c r="AI20" s="141"/>
      <c r="AJ20" s="141"/>
    </row>
    <row r="21" spans="1:36" x14ac:dyDescent="0.2">
      <c r="A21" s="141"/>
      <c r="B21" s="162"/>
      <c r="C21" s="164"/>
      <c r="D21" s="164"/>
      <c r="E21" s="173" t="s">
        <v>25</v>
      </c>
      <c r="F21" s="174">
        <f>MATCH(G21,O4:O34,0)</f>
        <v>10</v>
      </c>
      <c r="G21" s="174">
        <f>O35</f>
        <v>45</v>
      </c>
      <c r="H21" s="164" t="s">
        <v>192</v>
      </c>
      <c r="I21" s="165"/>
      <c r="J21" s="141"/>
      <c r="K21" s="166">
        <v>18</v>
      </c>
      <c r="L21" s="167">
        <v>765.1</v>
      </c>
      <c r="M21" s="168">
        <v>733.5</v>
      </c>
      <c r="N21" s="167">
        <v>100</v>
      </c>
      <c r="O21" s="168">
        <v>64</v>
      </c>
      <c r="P21" s="167">
        <v>-0.4</v>
      </c>
      <c r="Q21" s="168">
        <v>-5.5</v>
      </c>
      <c r="R21" s="167">
        <v>5.9</v>
      </c>
      <c r="S21" s="168">
        <v>3.7</v>
      </c>
      <c r="T21" s="167">
        <v>-0.5</v>
      </c>
      <c r="U21" s="168">
        <v>-6.6</v>
      </c>
      <c r="V21" s="169">
        <v>110</v>
      </c>
      <c r="W21" s="168">
        <v>33</v>
      </c>
      <c r="X21" s="169"/>
      <c r="Y21" s="170"/>
      <c r="Z21" s="171"/>
      <c r="AA21" s="370">
        <v>15</v>
      </c>
      <c r="AB21" s="166">
        <v>18</v>
      </c>
      <c r="AC21" s="141"/>
      <c r="AD21" s="141"/>
      <c r="AE21" s="141"/>
      <c r="AF21" s="141"/>
      <c r="AG21" s="141"/>
      <c r="AH21" s="141"/>
      <c r="AI21" s="141"/>
      <c r="AJ21" s="141"/>
    </row>
    <row r="22" spans="1:36" x14ac:dyDescent="0.2">
      <c r="A22" s="141"/>
      <c r="B22" s="162"/>
      <c r="C22" s="164"/>
      <c r="D22" s="164"/>
      <c r="E22" s="164"/>
      <c r="F22" s="172"/>
      <c r="G22" s="172"/>
      <c r="H22" s="164"/>
      <c r="I22" s="165"/>
      <c r="J22" s="141"/>
      <c r="K22" s="166">
        <v>19</v>
      </c>
      <c r="L22" s="167">
        <v>733.6</v>
      </c>
      <c r="M22" s="168">
        <v>731.8</v>
      </c>
      <c r="N22" s="167">
        <v>90</v>
      </c>
      <c r="O22" s="168">
        <v>86</v>
      </c>
      <c r="P22" s="167">
        <v>-7.4</v>
      </c>
      <c r="Q22" s="168">
        <v>-11.5</v>
      </c>
      <c r="R22" s="167">
        <v>2.2999999999999998</v>
      </c>
      <c r="S22" s="168">
        <v>3.1</v>
      </c>
      <c r="T22" s="167">
        <v>-12.7</v>
      </c>
      <c r="U22" s="168">
        <v>-8</v>
      </c>
      <c r="V22" s="169">
        <v>140</v>
      </c>
      <c r="W22" s="168">
        <v>46</v>
      </c>
      <c r="X22" s="169"/>
      <c r="Y22" s="170"/>
      <c r="Z22" s="171">
        <v>1</v>
      </c>
      <c r="AA22" s="370">
        <v>14</v>
      </c>
      <c r="AB22" s="166">
        <v>19</v>
      </c>
      <c r="AC22" s="141"/>
      <c r="AD22" s="141"/>
      <c r="AE22" s="141"/>
      <c r="AF22" s="141"/>
      <c r="AG22" s="141"/>
      <c r="AH22" s="141"/>
      <c r="AI22" s="141"/>
      <c r="AJ22" s="141"/>
    </row>
    <row r="23" spans="1:36" x14ac:dyDescent="0.2">
      <c r="A23" s="141"/>
      <c r="B23" s="162"/>
      <c r="C23" s="164" t="s">
        <v>193</v>
      </c>
      <c r="D23" s="164"/>
      <c r="E23" s="173" t="s">
        <v>24</v>
      </c>
      <c r="F23" s="174">
        <f>MATCH(G23,T4:T34,0)</f>
        <v>1</v>
      </c>
      <c r="G23" s="175">
        <f>T35</f>
        <v>0.5</v>
      </c>
      <c r="H23" s="164" t="s">
        <v>186</v>
      </c>
      <c r="I23" s="165"/>
      <c r="J23" s="141"/>
      <c r="K23" s="166">
        <v>20</v>
      </c>
      <c r="L23" s="167">
        <v>742.7</v>
      </c>
      <c r="M23" s="168">
        <v>734</v>
      </c>
      <c r="N23" s="167">
        <v>94</v>
      </c>
      <c r="O23" s="168">
        <v>93</v>
      </c>
      <c r="P23" s="167">
        <v>-7.8</v>
      </c>
      <c r="Q23" s="168">
        <v>-11.6</v>
      </c>
      <c r="R23" s="167">
        <v>2.1</v>
      </c>
      <c r="S23" s="168">
        <v>3.2</v>
      </c>
      <c r="T23" s="167">
        <v>-8.4</v>
      </c>
      <c r="U23" s="168">
        <v>-14.1</v>
      </c>
      <c r="V23" s="169">
        <v>90</v>
      </c>
      <c r="W23" s="168">
        <v>35</v>
      </c>
      <c r="X23" s="169"/>
      <c r="Y23" s="170"/>
      <c r="Z23" s="171"/>
      <c r="AA23" s="370">
        <v>14</v>
      </c>
      <c r="AB23" s="166">
        <v>20</v>
      </c>
      <c r="AC23" s="141"/>
      <c r="AD23" s="141"/>
      <c r="AE23" s="141"/>
      <c r="AF23" s="141"/>
      <c r="AG23" s="141"/>
      <c r="AH23" s="141"/>
      <c r="AI23" s="141"/>
      <c r="AJ23" s="141"/>
    </row>
    <row r="24" spans="1:36" x14ac:dyDescent="0.2">
      <c r="A24" s="141"/>
      <c r="B24" s="162"/>
      <c r="C24" s="164"/>
      <c r="D24" s="164"/>
      <c r="E24" s="173" t="s">
        <v>25</v>
      </c>
      <c r="F24" s="174">
        <f>MATCH(G24,U4:U34,0)</f>
        <v>20</v>
      </c>
      <c r="G24" s="175">
        <f>U35</f>
        <v>-14.1</v>
      </c>
      <c r="H24" s="164" t="s">
        <v>186</v>
      </c>
      <c r="I24" s="165"/>
      <c r="J24" s="141"/>
      <c r="K24" s="178">
        <v>21</v>
      </c>
      <c r="L24" s="167">
        <v>749.7</v>
      </c>
      <c r="M24" s="168">
        <v>743.9</v>
      </c>
      <c r="N24" s="167">
        <v>87</v>
      </c>
      <c r="O24" s="168">
        <v>73</v>
      </c>
      <c r="P24" s="167">
        <v>-8.8000000000000007</v>
      </c>
      <c r="Q24" s="168">
        <v>-12.4</v>
      </c>
      <c r="R24" s="167">
        <v>2.8</v>
      </c>
      <c r="S24" s="168">
        <v>1.7</v>
      </c>
      <c r="T24" s="167">
        <v>-12.6</v>
      </c>
      <c r="U24" s="168">
        <v>16.2</v>
      </c>
      <c r="V24" s="169">
        <v>90</v>
      </c>
      <c r="W24" s="168">
        <v>11</v>
      </c>
      <c r="X24" s="169"/>
      <c r="Y24" s="170"/>
      <c r="Z24" s="171"/>
      <c r="AA24" s="370">
        <v>13</v>
      </c>
      <c r="AB24" s="166">
        <v>21</v>
      </c>
      <c r="AC24" s="141"/>
      <c r="AD24" s="141"/>
      <c r="AE24" s="141"/>
      <c r="AF24" s="141"/>
      <c r="AG24" s="141"/>
      <c r="AH24" s="141"/>
      <c r="AI24" s="141"/>
      <c r="AJ24" s="141"/>
    </row>
    <row r="25" spans="1:36" x14ac:dyDescent="0.2">
      <c r="A25" s="141"/>
      <c r="B25" s="162"/>
      <c r="C25" s="164"/>
      <c r="D25" s="164"/>
      <c r="E25" s="164"/>
      <c r="F25" s="172"/>
      <c r="G25" s="172"/>
      <c r="H25" s="164"/>
      <c r="I25" s="165"/>
      <c r="J25" s="141"/>
      <c r="K25" s="178">
        <v>22</v>
      </c>
      <c r="L25" s="167">
        <v>751.3</v>
      </c>
      <c r="M25" s="168">
        <v>749.8</v>
      </c>
      <c r="N25" s="167">
        <v>92</v>
      </c>
      <c r="O25" s="168">
        <v>83</v>
      </c>
      <c r="P25" s="167">
        <v>-7.7</v>
      </c>
      <c r="Q25" s="168">
        <v>-11</v>
      </c>
      <c r="R25" s="167">
        <v>3.4</v>
      </c>
      <c r="S25" s="168">
        <v>2.2000000000000002</v>
      </c>
      <c r="T25" s="167">
        <v>-7.2</v>
      </c>
      <c r="U25" s="168">
        <v>-11</v>
      </c>
      <c r="V25" s="169">
        <v>70</v>
      </c>
      <c r="W25" s="168">
        <v>13</v>
      </c>
      <c r="X25" s="169"/>
      <c r="Y25" s="170"/>
      <c r="Z25" s="171"/>
      <c r="AA25" s="370">
        <v>11</v>
      </c>
      <c r="AB25" s="166">
        <v>22</v>
      </c>
      <c r="AC25" s="141"/>
      <c r="AD25" s="141"/>
      <c r="AE25" s="141"/>
      <c r="AF25" s="141"/>
      <c r="AG25" s="141"/>
      <c r="AH25" s="141"/>
      <c r="AI25" s="141"/>
      <c r="AJ25" s="141"/>
    </row>
    <row r="26" spans="1:36" x14ac:dyDescent="0.2">
      <c r="A26" s="141"/>
      <c r="B26" s="162"/>
      <c r="C26" s="177" t="s">
        <v>194</v>
      </c>
      <c r="D26" s="164"/>
      <c r="E26" s="173" t="s">
        <v>24</v>
      </c>
      <c r="F26" s="174">
        <f>SECC4!D30</f>
        <v>1</v>
      </c>
      <c r="G26" s="175">
        <f>SECC4!C30</f>
        <v>9.9</v>
      </c>
      <c r="H26" s="164" t="s">
        <v>195</v>
      </c>
      <c r="I26" s="165"/>
      <c r="J26" s="141"/>
      <c r="K26" s="178">
        <v>23</v>
      </c>
      <c r="L26" s="167">
        <v>752.1</v>
      </c>
      <c r="M26" s="168">
        <v>751.1</v>
      </c>
      <c r="N26" s="167">
        <v>88</v>
      </c>
      <c r="O26" s="168">
        <v>80</v>
      </c>
      <c r="P26" s="167">
        <v>-6.6</v>
      </c>
      <c r="Q26" s="168">
        <v>-8.5</v>
      </c>
      <c r="R26" s="167">
        <v>3.3</v>
      </c>
      <c r="S26" s="168">
        <v>2.8</v>
      </c>
      <c r="T26" s="167">
        <v>-8.4</v>
      </c>
      <c r="U26" s="168">
        <v>-10.199999999999999</v>
      </c>
      <c r="V26" s="169">
        <v>290</v>
      </c>
      <c r="W26" s="168">
        <v>24</v>
      </c>
      <c r="X26" s="169"/>
      <c r="Y26" s="170"/>
      <c r="Z26" s="171"/>
      <c r="AA26" s="370">
        <v>15</v>
      </c>
      <c r="AB26" s="166">
        <v>23</v>
      </c>
      <c r="AC26" s="141"/>
      <c r="AD26" s="141"/>
      <c r="AE26" s="141"/>
      <c r="AF26" s="141"/>
      <c r="AG26" s="141"/>
      <c r="AH26" s="141"/>
      <c r="AI26" s="141"/>
      <c r="AJ26" s="141"/>
    </row>
    <row r="27" spans="1:36" x14ac:dyDescent="0.2">
      <c r="A27" s="141"/>
      <c r="B27" s="162"/>
      <c r="C27" s="164"/>
      <c r="D27" s="164"/>
      <c r="E27" s="164"/>
      <c r="F27" s="172"/>
      <c r="G27" s="172"/>
      <c r="H27" s="164"/>
      <c r="I27" s="165"/>
      <c r="J27" s="141"/>
      <c r="K27" s="166">
        <v>24</v>
      </c>
      <c r="L27" s="167">
        <v>753.4</v>
      </c>
      <c r="M27" s="168">
        <v>752.9</v>
      </c>
      <c r="N27" s="167">
        <v>98</v>
      </c>
      <c r="O27" s="168">
        <v>84</v>
      </c>
      <c r="P27" s="167">
        <v>-1.8</v>
      </c>
      <c r="Q27" s="168">
        <v>-7.4</v>
      </c>
      <c r="R27" s="167">
        <v>5</v>
      </c>
      <c r="S27" s="168">
        <v>3.2</v>
      </c>
      <c r="T27" s="167">
        <v>-2.9</v>
      </c>
      <c r="U27" s="168">
        <v>-8.6</v>
      </c>
      <c r="V27" s="169">
        <v>90</v>
      </c>
      <c r="W27" s="168">
        <v>19</v>
      </c>
      <c r="X27" s="169"/>
      <c r="Y27" s="170"/>
      <c r="Z27" s="171"/>
      <c r="AA27" s="370">
        <v>10</v>
      </c>
      <c r="AB27" s="166">
        <v>24</v>
      </c>
      <c r="AC27" s="141"/>
      <c r="AD27" s="141"/>
      <c r="AE27" s="141"/>
      <c r="AF27" s="141"/>
      <c r="AG27" s="141"/>
      <c r="AH27" s="141"/>
      <c r="AI27" s="141"/>
      <c r="AJ27" s="141"/>
    </row>
    <row r="28" spans="1:36" x14ac:dyDescent="0.2">
      <c r="A28" s="141"/>
      <c r="B28" s="162"/>
      <c r="C28" s="164" t="s">
        <v>196</v>
      </c>
      <c r="D28" s="164"/>
      <c r="E28" s="164"/>
      <c r="F28" s="179">
        <f>Auxiliar!B67</f>
        <v>2</v>
      </c>
      <c r="G28" s="175">
        <f>Auxiliar!B68</f>
        <v>-2.6</v>
      </c>
      <c r="H28" s="164" t="s">
        <v>186</v>
      </c>
      <c r="I28" s="165"/>
      <c r="J28" s="141"/>
      <c r="K28" s="166">
        <v>25</v>
      </c>
      <c r="L28" s="167">
        <v>753.2</v>
      </c>
      <c r="M28" s="168">
        <v>751</v>
      </c>
      <c r="N28" s="167">
        <v>95</v>
      </c>
      <c r="O28" s="168">
        <v>89</v>
      </c>
      <c r="P28" s="167">
        <v>-1.4</v>
      </c>
      <c r="Q28" s="168">
        <v>-3.2</v>
      </c>
      <c r="R28" s="167">
        <v>5.2</v>
      </c>
      <c r="S28" s="168">
        <v>4.7</v>
      </c>
      <c r="T28" s="167">
        <v>-2.2999999999999998</v>
      </c>
      <c r="U28" s="168">
        <v>-3.6</v>
      </c>
      <c r="V28" s="169">
        <v>320</v>
      </c>
      <c r="W28" s="168">
        <v>23</v>
      </c>
      <c r="X28" s="169"/>
      <c r="Y28" s="170"/>
      <c r="Z28" s="171"/>
      <c r="AA28" s="370">
        <v>20</v>
      </c>
      <c r="AB28" s="166">
        <v>25</v>
      </c>
      <c r="AC28" s="141"/>
      <c r="AD28" s="141"/>
      <c r="AE28" s="141"/>
      <c r="AF28" s="141"/>
      <c r="AG28" s="141"/>
      <c r="AH28" s="141"/>
      <c r="AI28" s="141"/>
      <c r="AJ28" s="141"/>
    </row>
    <row r="29" spans="1:36" x14ac:dyDescent="0.2">
      <c r="A29" s="141"/>
      <c r="B29" s="162"/>
      <c r="C29" s="164" t="s">
        <v>197</v>
      </c>
      <c r="D29" s="164"/>
      <c r="E29" s="164"/>
      <c r="F29" s="179">
        <f>Auxiliar!C67</f>
        <v>30</v>
      </c>
      <c r="G29" s="175">
        <f>Auxiliar!C69</f>
        <v>-10.1</v>
      </c>
      <c r="H29" s="164" t="s">
        <v>186</v>
      </c>
      <c r="I29" s="165"/>
      <c r="J29" s="141"/>
      <c r="K29" s="178">
        <v>26</v>
      </c>
      <c r="L29" s="167">
        <v>750.2</v>
      </c>
      <c r="M29" s="168">
        <v>747.2</v>
      </c>
      <c r="N29" s="167">
        <v>100</v>
      </c>
      <c r="O29" s="168">
        <v>87</v>
      </c>
      <c r="P29" s="167">
        <v>-3.8</v>
      </c>
      <c r="Q29" s="168">
        <v>-5.6</v>
      </c>
      <c r="R29" s="167">
        <v>4.5</v>
      </c>
      <c r="S29" s="168">
        <v>3.9</v>
      </c>
      <c r="T29" s="167">
        <v>-4.3</v>
      </c>
      <c r="U29" s="168">
        <v>-5.9</v>
      </c>
      <c r="V29" s="169">
        <v>90</v>
      </c>
      <c r="W29" s="168">
        <v>30</v>
      </c>
      <c r="X29" s="169"/>
      <c r="Y29" s="170"/>
      <c r="Z29" s="171">
        <v>1</v>
      </c>
      <c r="AA29" s="370">
        <v>18</v>
      </c>
      <c r="AB29" s="166">
        <v>26</v>
      </c>
      <c r="AC29" s="141"/>
      <c r="AD29" s="141"/>
      <c r="AE29" s="141"/>
      <c r="AF29" s="141"/>
      <c r="AG29" s="141"/>
      <c r="AH29" s="141"/>
      <c r="AI29" s="141"/>
      <c r="AJ29" s="141"/>
    </row>
    <row r="30" spans="1:36" x14ac:dyDescent="0.2">
      <c r="A30" s="141"/>
      <c r="B30" s="162"/>
      <c r="C30" s="164"/>
      <c r="D30" s="164"/>
      <c r="E30" s="164"/>
      <c r="F30" s="172"/>
      <c r="G30" s="172"/>
      <c r="H30" s="164"/>
      <c r="I30" s="165"/>
      <c r="J30" s="141"/>
      <c r="K30" s="178">
        <v>27</v>
      </c>
      <c r="L30" s="167">
        <v>748.6</v>
      </c>
      <c r="M30" s="168">
        <v>746.2</v>
      </c>
      <c r="N30" s="167">
        <v>92</v>
      </c>
      <c r="O30" s="168">
        <v>76</v>
      </c>
      <c r="P30" s="167">
        <v>-4.4000000000000004</v>
      </c>
      <c r="Q30" s="168">
        <v>-6.5</v>
      </c>
      <c r="R30" s="167">
        <v>3.9</v>
      </c>
      <c r="S30" s="168">
        <v>3.5</v>
      </c>
      <c r="T30" s="167">
        <v>-6.1</v>
      </c>
      <c r="U30" s="168">
        <v>-7.6</v>
      </c>
      <c r="V30" s="169">
        <v>70</v>
      </c>
      <c r="W30" s="168">
        <v>24</v>
      </c>
      <c r="X30" s="169"/>
      <c r="Y30" s="170"/>
      <c r="Z30" s="171"/>
      <c r="AA30" s="370">
        <v>17</v>
      </c>
      <c r="AB30" s="166">
        <v>27</v>
      </c>
      <c r="AC30" s="141"/>
      <c r="AD30" s="141"/>
      <c r="AE30" s="141"/>
      <c r="AF30" s="141"/>
      <c r="AG30" s="141"/>
      <c r="AH30" s="141"/>
      <c r="AI30" s="141"/>
      <c r="AJ30" s="141"/>
    </row>
    <row r="31" spans="1:36" x14ac:dyDescent="0.2">
      <c r="A31" s="141"/>
      <c r="B31" s="162"/>
      <c r="E31" s="433" t="s">
        <v>51</v>
      </c>
      <c r="F31" s="433" t="s">
        <v>243</v>
      </c>
      <c r="G31" s="434" t="s">
        <v>244</v>
      </c>
      <c r="H31" s="164" t="str">
        <f>IF(SECC4!B35="","",IF(SECC4!B35=0,"m/s",IF(SECC4!B35=1,"m/s",IF(SECC4!B35=3,"kt",IF(SECC4!B35=4,"kt","¿?")))))</f>
        <v>kt</v>
      </c>
      <c r="I31" s="180"/>
      <c r="J31" s="141"/>
      <c r="K31" s="166">
        <v>28</v>
      </c>
      <c r="L31" s="167">
        <v>745.9</v>
      </c>
      <c r="M31" s="168">
        <v>743.6</v>
      </c>
      <c r="N31" s="167">
        <v>90</v>
      </c>
      <c r="O31" s="168">
        <v>84</v>
      </c>
      <c r="P31" s="167">
        <v>-5.8</v>
      </c>
      <c r="Q31" s="168">
        <v>-7.6</v>
      </c>
      <c r="R31" s="167">
        <v>3.8</v>
      </c>
      <c r="S31" s="168">
        <v>3.1</v>
      </c>
      <c r="T31" s="167">
        <v>-6.9</v>
      </c>
      <c r="U31" s="168">
        <v>-8.8000000000000007</v>
      </c>
      <c r="V31" s="169">
        <v>90</v>
      </c>
      <c r="W31" s="168">
        <v>15</v>
      </c>
      <c r="X31" s="169"/>
      <c r="Y31" s="170"/>
      <c r="Z31" s="171"/>
      <c r="AA31" s="370">
        <v>17</v>
      </c>
      <c r="AB31" s="166">
        <v>28</v>
      </c>
      <c r="AC31" s="141"/>
      <c r="AD31" s="141"/>
      <c r="AE31" s="141"/>
      <c r="AF31" s="141"/>
      <c r="AG31" s="141"/>
      <c r="AH31" s="141"/>
      <c r="AI31" s="141"/>
      <c r="AJ31" s="141"/>
    </row>
    <row r="32" spans="1:36" x14ac:dyDescent="0.2">
      <c r="A32" s="141"/>
      <c r="B32" s="162"/>
      <c r="C32" s="164" t="s">
        <v>198</v>
      </c>
      <c r="D32" s="164"/>
      <c r="E32" s="174">
        <f>MATCH(G32,W4:W34,0)</f>
        <v>8</v>
      </c>
      <c r="F32" s="174">
        <f>INDEX(V4:V34,MATCH(G32,W4:W34,0))</f>
        <v>70</v>
      </c>
      <c r="G32" s="175">
        <f>W35</f>
        <v>58</v>
      </c>
      <c r="H32" s="181"/>
      <c r="I32" s="165"/>
      <c r="J32" s="141"/>
      <c r="K32" s="166">
        <v>29</v>
      </c>
      <c r="L32" s="167">
        <v>743.5</v>
      </c>
      <c r="M32" s="168">
        <v>742.6</v>
      </c>
      <c r="N32" s="167">
        <v>94</v>
      </c>
      <c r="O32" s="168">
        <v>84</v>
      </c>
      <c r="P32" s="167">
        <v>-6.2</v>
      </c>
      <c r="Q32" s="168">
        <v>-9.1999999999999993</v>
      </c>
      <c r="R32" s="167">
        <v>3.8</v>
      </c>
      <c r="S32" s="168">
        <v>2</v>
      </c>
      <c r="T32" s="167">
        <v>-7.9</v>
      </c>
      <c r="U32" s="168">
        <v>-9.9</v>
      </c>
      <c r="V32" s="169">
        <v>20</v>
      </c>
      <c r="W32" s="168">
        <v>8</v>
      </c>
      <c r="X32" s="169"/>
      <c r="Y32" s="170"/>
      <c r="Z32" s="171"/>
      <c r="AA32" s="370">
        <v>16</v>
      </c>
      <c r="AB32" s="166">
        <v>29</v>
      </c>
      <c r="AC32" s="141"/>
      <c r="AD32" s="141"/>
      <c r="AE32" s="141"/>
      <c r="AF32" s="141"/>
      <c r="AG32" s="141"/>
      <c r="AH32" s="141"/>
      <c r="AI32" s="141"/>
      <c r="AJ32" s="141"/>
    </row>
    <row r="33" spans="1:36" x14ac:dyDescent="0.2">
      <c r="A33" s="141"/>
      <c r="B33" s="162"/>
      <c r="C33" s="164"/>
      <c r="D33" s="164"/>
      <c r="E33" s="164"/>
      <c r="F33" s="181"/>
      <c r="G33" s="181"/>
      <c r="H33" s="181"/>
      <c r="I33" s="165"/>
      <c r="J33" s="141"/>
      <c r="K33" s="381">
        <v>30</v>
      </c>
      <c r="L33" s="382">
        <v>743.8</v>
      </c>
      <c r="M33" s="383">
        <v>743</v>
      </c>
      <c r="N33" s="382">
        <v>94</v>
      </c>
      <c r="O33" s="383">
        <v>86</v>
      </c>
      <c r="P33" s="382">
        <v>-6.8</v>
      </c>
      <c r="Q33" s="383">
        <v>-3.8</v>
      </c>
      <c r="R33" s="382">
        <v>4.3</v>
      </c>
      <c r="S33" s="383">
        <v>3.4</v>
      </c>
      <c r="T33" s="382">
        <v>-7.7</v>
      </c>
      <c r="U33" s="383">
        <v>-4.7</v>
      </c>
      <c r="V33" s="384">
        <v>110</v>
      </c>
      <c r="W33" s="383">
        <v>12</v>
      </c>
      <c r="X33" s="384"/>
      <c r="Y33" s="385"/>
      <c r="Z33" s="386"/>
      <c r="AA33" s="387">
        <v>17</v>
      </c>
      <c r="AB33" s="381">
        <v>30</v>
      </c>
      <c r="AC33" s="141"/>
      <c r="AD33" s="141"/>
      <c r="AE33" s="141"/>
      <c r="AF33" s="141"/>
      <c r="AG33" s="141"/>
      <c r="AH33" s="141"/>
      <c r="AI33" s="141"/>
      <c r="AJ33" s="141"/>
    </row>
    <row r="34" spans="1:36" ht="12" thickBot="1" x14ac:dyDescent="0.25">
      <c r="A34" s="141"/>
      <c r="B34" s="182"/>
      <c r="C34" s="183"/>
      <c r="D34" s="183"/>
      <c r="E34" s="183"/>
      <c r="F34" s="183"/>
      <c r="G34" s="183"/>
      <c r="H34" s="183"/>
      <c r="I34" s="184"/>
      <c r="J34" s="141"/>
      <c r="K34" s="185">
        <v>31</v>
      </c>
      <c r="L34" s="186"/>
      <c r="M34" s="187"/>
      <c r="N34" s="186"/>
      <c r="O34" s="187"/>
      <c r="P34" s="186"/>
      <c r="Q34" s="187"/>
      <c r="R34" s="186"/>
      <c r="S34" s="187"/>
      <c r="T34" s="186"/>
      <c r="U34" s="187"/>
      <c r="V34" s="188"/>
      <c r="W34" s="187"/>
      <c r="X34" s="188"/>
      <c r="Y34" s="189"/>
      <c r="Z34" s="190"/>
      <c r="AA34" s="371"/>
      <c r="AB34" s="185">
        <v>31</v>
      </c>
      <c r="AC34" s="141"/>
      <c r="AD34" s="141"/>
      <c r="AE34" s="141"/>
      <c r="AF34" s="141"/>
      <c r="AG34" s="141"/>
      <c r="AH34" s="141"/>
      <c r="AI34" s="141"/>
      <c r="AJ34" s="141"/>
    </row>
    <row r="35" spans="1:36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33"/>
      <c r="L35" s="191">
        <f>+MAX(L4:L34)</f>
        <v>765.1</v>
      </c>
      <c r="M35" s="191">
        <f>+MIN(M4:M34)</f>
        <v>725.6</v>
      </c>
      <c r="N35" s="192">
        <f>+MAX(N4:N34)</f>
        <v>100</v>
      </c>
      <c r="O35" s="192">
        <f>+MIN(O4:O34)</f>
        <v>45</v>
      </c>
      <c r="P35" s="193">
        <f>+MAX(P4:P34)</f>
        <v>1.8</v>
      </c>
      <c r="Q35" s="193">
        <f>+MIN(Q4:Q34)</f>
        <v>-12.4</v>
      </c>
      <c r="R35" s="193">
        <f>+MAX(R4:R34)</f>
        <v>6.3</v>
      </c>
      <c r="S35" s="193">
        <f>+MIN(S4:S34)</f>
        <v>1.7</v>
      </c>
      <c r="T35" s="193">
        <f>+MAX(T4:T34)</f>
        <v>0.5</v>
      </c>
      <c r="U35" s="193">
        <f>+MIN(U4:U34)</f>
        <v>-14.1</v>
      </c>
      <c r="V35" s="194"/>
      <c r="W35" s="191">
        <f>MAX(W4:W34)</f>
        <v>58</v>
      </c>
      <c r="X35" s="195"/>
      <c r="Y35" s="195"/>
      <c r="Z35" s="195"/>
      <c r="AA35" s="195"/>
      <c r="AB35" s="195"/>
      <c r="AC35" s="141"/>
      <c r="AD35" s="141"/>
      <c r="AE35" s="141"/>
      <c r="AF35" s="141"/>
      <c r="AG35" s="141"/>
      <c r="AH35" s="141"/>
      <c r="AI35" s="141"/>
      <c r="AJ35" s="141"/>
    </row>
    <row r="36" spans="1:36" ht="12" thickBot="1" x14ac:dyDescent="0.25">
      <c r="A36" s="141"/>
      <c r="B36" s="141"/>
      <c r="C36" s="141"/>
      <c r="D36" s="141"/>
      <c r="E36" s="141"/>
      <c r="F36" s="141"/>
      <c r="G36" s="196"/>
      <c r="H36" s="196"/>
      <c r="I36" s="196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2"/>
      <c r="AD36" s="141"/>
      <c r="AE36" s="141"/>
      <c r="AF36" s="141"/>
      <c r="AG36" s="141"/>
      <c r="AH36" s="141"/>
      <c r="AI36" s="141"/>
      <c r="AJ36" s="141"/>
    </row>
    <row r="37" spans="1:36" ht="12" thickBot="1" x14ac:dyDescent="0.25">
      <c r="A37" s="141"/>
      <c r="B37" s="141"/>
      <c r="C37" s="141"/>
      <c r="D37" s="141"/>
      <c r="E37" s="141"/>
      <c r="F37" s="141"/>
      <c r="G37" s="146"/>
      <c r="H37" s="146"/>
      <c r="I37" s="146"/>
      <c r="J37" s="146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96"/>
      <c r="AA37" s="196"/>
      <c r="AB37" s="196"/>
      <c r="AC37" s="197"/>
      <c r="AD37" s="141"/>
      <c r="AE37" s="141"/>
      <c r="AF37" s="141"/>
      <c r="AG37" s="141"/>
      <c r="AH37" s="141"/>
      <c r="AI37" s="141"/>
      <c r="AJ37" s="141"/>
    </row>
    <row r="38" spans="1:36" x14ac:dyDescent="0.2">
      <c r="A38" s="141"/>
      <c r="B38" s="141"/>
      <c r="C38" s="141"/>
      <c r="D38" s="141"/>
      <c r="E38" s="141"/>
      <c r="F38" s="141"/>
      <c r="G38" s="146"/>
      <c r="H38" s="146"/>
      <c r="I38" s="146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766"/>
      <c r="AA38" s="766"/>
      <c r="AB38" s="766"/>
      <c r="AC38" s="766"/>
      <c r="AD38" s="141"/>
      <c r="AE38" s="141"/>
      <c r="AF38" s="141"/>
      <c r="AG38" s="141"/>
      <c r="AH38" s="141"/>
      <c r="AI38" s="141"/>
      <c r="AJ38" s="141"/>
    </row>
    <row r="39" spans="1:36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766"/>
      <c r="AA39" s="766"/>
      <c r="AB39" s="766"/>
      <c r="AC39" s="766"/>
      <c r="AD39" s="141"/>
      <c r="AE39" s="141"/>
      <c r="AF39" s="141"/>
      <c r="AG39" s="141"/>
      <c r="AH39" s="141"/>
      <c r="AI39" s="141"/>
      <c r="AJ39" s="141"/>
    </row>
  </sheetData>
  <sheetProtection password="9EAD" sheet="1" objects="1" scenarios="1"/>
  <protectedRanges>
    <protectedRange sqref="F28:G29" name="Rango2"/>
    <protectedRange sqref="L4:AA34" name="Rango1"/>
  </protectedRanges>
  <mergeCells count="7">
    <mergeCell ref="L2:M2"/>
    <mergeCell ref="Z38:AC38"/>
    <mergeCell ref="Z39:AC39"/>
    <mergeCell ref="N2:U2"/>
    <mergeCell ref="V2:W2"/>
    <mergeCell ref="X2:Z2"/>
    <mergeCell ref="AA2:AA3"/>
  </mergeCells>
  <phoneticPr fontId="1" type="noConversion"/>
  <dataValidations count="2">
    <dataValidation type="whole" operator="equal" allowBlank="1" showInputMessage="1" showErrorMessage="1" errorTitle="Visibilidad" error="Ingrese un 1 en el casillero correspondiente por cada caso registrado." sqref="X4:Z34">
      <formula1>1</formula1>
    </dataValidation>
    <dataValidation type="decimal" allowBlank="1" showInputMessage="1" showErrorMessage="1" errorTitle="Valor fuera de rango(0.0 a 99.9)" error="Ingrese el valor del viento máximo con el decimal correspondiente (por ejemplo 35.0)._x000a__x000a_" sqref="W4:W34">
      <formula1>0</formula1>
      <formula2>99.9</formula2>
    </dataValidation>
  </dataValidations>
  <pageMargins left="0.39370078740157483" right="0.39370078740157483" top="1.5748031496062993" bottom="0.98425196850393704" header="0" footer="0"/>
  <pageSetup paperSize="5" scale="80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5"/>
  <sheetViews>
    <sheetView topLeftCell="A7" workbookViewId="0">
      <selection activeCell="N32" sqref="N32"/>
    </sheetView>
  </sheetViews>
  <sheetFormatPr baseColWidth="10" defaultRowHeight="11.25" x14ac:dyDescent="0.2"/>
  <cols>
    <col min="2" max="2" width="13" bestFit="1" customWidth="1"/>
    <col min="3" max="12" width="7.5" customWidth="1"/>
  </cols>
  <sheetData>
    <row r="1" spans="2:12" ht="12" thickBot="1" x14ac:dyDescent="0.25"/>
    <row r="2" spans="2:12" ht="14.25" thickTop="1" thickBot="1" x14ac:dyDescent="0.25">
      <c r="C2" s="794" t="s">
        <v>131</v>
      </c>
      <c r="D2" s="796"/>
      <c r="E2" s="794" t="s">
        <v>132</v>
      </c>
      <c r="F2" s="795"/>
      <c r="G2" s="794" t="s">
        <v>133</v>
      </c>
      <c r="H2" s="795"/>
      <c r="I2" s="794" t="s">
        <v>134</v>
      </c>
      <c r="J2" s="795"/>
      <c r="K2" s="794" t="s">
        <v>135</v>
      </c>
      <c r="L2" s="795"/>
    </row>
    <row r="3" spans="2:12" ht="13.5" thickBot="1" x14ac:dyDescent="0.25">
      <c r="B3" s="116" t="s">
        <v>136</v>
      </c>
      <c r="C3" s="117" t="s">
        <v>137</v>
      </c>
      <c r="D3" s="118" t="s">
        <v>138</v>
      </c>
      <c r="E3" s="117" t="s">
        <v>137</v>
      </c>
      <c r="F3" s="119" t="s">
        <v>138</v>
      </c>
      <c r="G3" s="117" t="s">
        <v>137</v>
      </c>
      <c r="H3" s="119" t="s">
        <v>138</v>
      </c>
      <c r="I3" s="117" t="s">
        <v>137</v>
      </c>
      <c r="J3" s="119" t="s">
        <v>138</v>
      </c>
      <c r="K3" s="117" t="s">
        <v>137</v>
      </c>
      <c r="L3" s="119" t="s">
        <v>138</v>
      </c>
    </row>
    <row r="4" spans="2:12" ht="12.75" x14ac:dyDescent="0.2">
      <c r="B4" s="120" t="s">
        <v>139</v>
      </c>
      <c r="C4" s="121"/>
      <c r="D4" s="122"/>
      <c r="E4" s="123"/>
      <c r="F4" s="122"/>
      <c r="G4" s="123"/>
      <c r="H4" s="122"/>
      <c r="I4" s="123"/>
      <c r="J4" s="122"/>
      <c r="K4" s="123"/>
      <c r="L4" s="122"/>
    </row>
    <row r="5" spans="2:12" ht="12.75" x14ac:dyDescent="0.2">
      <c r="B5" s="120" t="s">
        <v>140</v>
      </c>
      <c r="C5" s="124"/>
      <c r="D5" s="125"/>
      <c r="E5" s="126"/>
      <c r="F5" s="125"/>
      <c r="G5" s="126"/>
      <c r="H5" s="125"/>
      <c r="I5" s="126"/>
      <c r="J5" s="125"/>
      <c r="K5" s="126"/>
      <c r="L5" s="125"/>
    </row>
    <row r="6" spans="2:12" ht="12.75" x14ac:dyDescent="0.2">
      <c r="B6" s="120" t="s">
        <v>141</v>
      </c>
      <c r="C6" s="124"/>
      <c r="D6" s="125"/>
      <c r="E6" s="126"/>
      <c r="F6" s="125"/>
      <c r="G6" s="126"/>
      <c r="H6" s="125"/>
      <c r="I6" s="126"/>
      <c r="J6" s="125"/>
      <c r="K6" s="126"/>
      <c r="L6" s="125"/>
    </row>
    <row r="7" spans="2:12" ht="12.75" x14ac:dyDescent="0.2">
      <c r="B7" s="120" t="s">
        <v>142</v>
      </c>
      <c r="C7" s="124"/>
      <c r="D7" s="125"/>
      <c r="E7" s="126"/>
      <c r="F7" s="125"/>
      <c r="G7" s="126"/>
      <c r="H7" s="125"/>
      <c r="I7" s="126"/>
      <c r="J7" s="125"/>
      <c r="K7" s="126"/>
      <c r="L7" s="125"/>
    </row>
    <row r="8" spans="2:12" ht="12.75" x14ac:dyDescent="0.2">
      <c r="B8" s="120" t="s">
        <v>143</v>
      </c>
      <c r="C8" s="124"/>
      <c r="D8" s="125"/>
      <c r="E8" s="126"/>
      <c r="F8" s="125"/>
      <c r="G8" s="126"/>
      <c r="H8" s="125"/>
      <c r="I8" s="126"/>
      <c r="J8" s="125"/>
      <c r="K8" s="126"/>
      <c r="L8" s="125"/>
    </row>
    <row r="9" spans="2:12" ht="12.75" x14ac:dyDescent="0.2">
      <c r="B9" s="120" t="s">
        <v>144</v>
      </c>
      <c r="C9" s="124"/>
      <c r="D9" s="125"/>
      <c r="E9" s="126"/>
      <c r="F9" s="125"/>
      <c r="G9" s="126"/>
      <c r="H9" s="125"/>
      <c r="I9" s="126"/>
      <c r="J9" s="125"/>
      <c r="K9" s="126"/>
      <c r="L9" s="125"/>
    </row>
    <row r="10" spans="2:12" ht="12.75" x14ac:dyDescent="0.2">
      <c r="B10" s="120" t="s">
        <v>145</v>
      </c>
      <c r="C10" s="124"/>
      <c r="D10" s="125"/>
      <c r="E10" s="126"/>
      <c r="F10" s="125"/>
      <c r="G10" s="126"/>
      <c r="H10" s="125"/>
      <c r="I10" s="126"/>
      <c r="J10" s="125"/>
      <c r="K10" s="126"/>
      <c r="L10" s="125"/>
    </row>
    <row r="11" spans="2:12" ht="12.75" x14ac:dyDescent="0.2">
      <c r="B11" s="120" t="s">
        <v>146</v>
      </c>
      <c r="C11" s="124"/>
      <c r="D11" s="125"/>
      <c r="E11" s="126"/>
      <c r="F11" s="125"/>
      <c r="G11" s="126"/>
      <c r="H11" s="125"/>
      <c r="I11" s="126"/>
      <c r="J11" s="125"/>
      <c r="K11" s="126"/>
      <c r="L11" s="125"/>
    </row>
    <row r="12" spans="2:12" ht="12.75" x14ac:dyDescent="0.2">
      <c r="B12" s="120" t="s">
        <v>147</v>
      </c>
      <c r="C12" s="124"/>
      <c r="D12" s="125"/>
      <c r="E12" s="126"/>
      <c r="F12" s="125"/>
      <c r="G12" s="126"/>
      <c r="H12" s="125"/>
      <c r="I12" s="126"/>
      <c r="J12" s="125"/>
      <c r="K12" s="126"/>
      <c r="L12" s="125"/>
    </row>
    <row r="13" spans="2:12" ht="12.75" x14ac:dyDescent="0.2">
      <c r="B13" s="120" t="s">
        <v>148</v>
      </c>
      <c r="C13" s="124"/>
      <c r="D13" s="125"/>
      <c r="E13" s="126"/>
      <c r="F13" s="125"/>
      <c r="G13" s="126"/>
      <c r="H13" s="125"/>
      <c r="I13" s="126"/>
      <c r="J13" s="125"/>
      <c r="K13" s="126"/>
      <c r="L13" s="125"/>
    </row>
    <row r="14" spans="2:12" ht="12.75" x14ac:dyDescent="0.2">
      <c r="B14" s="120" t="s">
        <v>149</v>
      </c>
      <c r="C14" s="124"/>
      <c r="D14" s="125"/>
      <c r="E14" s="126"/>
      <c r="F14" s="125"/>
      <c r="G14" s="126"/>
      <c r="H14" s="125"/>
      <c r="I14" s="126"/>
      <c r="J14" s="125"/>
      <c r="K14" s="126"/>
      <c r="L14" s="125"/>
    </row>
    <row r="15" spans="2:12" ht="13.5" thickBot="1" x14ac:dyDescent="0.25">
      <c r="B15" s="127" t="s">
        <v>150</v>
      </c>
      <c r="C15" s="128"/>
      <c r="D15" s="129"/>
      <c r="E15" s="130"/>
      <c r="F15" s="129"/>
      <c r="G15" s="130"/>
      <c r="H15" s="129"/>
      <c r="I15" s="130"/>
      <c r="J15" s="129"/>
      <c r="K15" s="130"/>
      <c r="L15" s="129"/>
    </row>
    <row r="16" spans="2:12" ht="12" thickBot="1" x14ac:dyDescent="0.25">
      <c r="B16" s="131"/>
      <c r="C16" s="131"/>
      <c r="D16" s="131"/>
    </row>
    <row r="17" spans="2:12" ht="12.75" thickBot="1" x14ac:dyDescent="0.25">
      <c r="B17" s="782" t="s">
        <v>151</v>
      </c>
      <c r="C17" s="783"/>
      <c r="D17" s="783"/>
      <c r="E17" s="783"/>
      <c r="F17" s="783"/>
      <c r="G17" s="783"/>
      <c r="H17" s="783"/>
      <c r="I17" s="783"/>
      <c r="J17" s="783"/>
      <c r="K17" s="783"/>
      <c r="L17" s="784"/>
    </row>
    <row r="18" spans="2:12" ht="12" thickBot="1" x14ac:dyDescent="0.25">
      <c r="B18" s="132"/>
      <c r="C18" s="133"/>
      <c r="D18" s="133"/>
      <c r="E18" s="133"/>
      <c r="F18" s="133"/>
      <c r="G18" s="133"/>
      <c r="H18" s="133"/>
      <c r="I18" s="133"/>
      <c r="J18" s="133"/>
      <c r="K18" s="133"/>
      <c r="L18" s="134"/>
    </row>
    <row r="19" spans="2:12" x14ac:dyDescent="0.2">
      <c r="B19" s="135" t="s">
        <v>152</v>
      </c>
      <c r="C19" s="785" t="s">
        <v>153</v>
      </c>
      <c r="D19" s="785"/>
      <c r="E19" s="785" t="s">
        <v>154</v>
      </c>
      <c r="F19" s="785"/>
      <c r="G19" s="785" t="s">
        <v>155</v>
      </c>
      <c r="H19" s="785"/>
      <c r="I19" s="785" t="s">
        <v>156</v>
      </c>
      <c r="J19" s="785"/>
      <c r="K19" s="785" t="s">
        <v>157</v>
      </c>
      <c r="L19" s="787"/>
    </row>
    <row r="20" spans="2:12" ht="13.5" thickBot="1" x14ac:dyDescent="0.25">
      <c r="B20" s="136"/>
      <c r="C20" s="788"/>
      <c r="D20" s="789"/>
      <c r="E20" s="790"/>
      <c r="F20" s="791"/>
      <c r="G20" s="792"/>
      <c r="H20" s="793"/>
      <c r="I20" s="777"/>
      <c r="J20" s="777"/>
      <c r="K20" s="781"/>
      <c r="L20" s="786"/>
    </row>
    <row r="21" spans="2:12" ht="12" thickBot="1" x14ac:dyDescent="0.25">
      <c r="B21" s="137"/>
      <c r="C21" s="138"/>
      <c r="D21" s="138"/>
      <c r="E21" s="138"/>
      <c r="F21" s="138"/>
      <c r="G21" s="138"/>
      <c r="H21" s="138"/>
      <c r="I21" s="138"/>
      <c r="J21" s="138"/>
      <c r="K21" s="138"/>
      <c r="L21" s="139"/>
    </row>
    <row r="22" spans="2:12" x14ac:dyDescent="0.2">
      <c r="B22" s="135" t="s">
        <v>158</v>
      </c>
      <c r="C22" s="785" t="s">
        <v>159</v>
      </c>
      <c r="D22" s="785"/>
      <c r="E22" s="785" t="s">
        <v>160</v>
      </c>
      <c r="F22" s="785"/>
      <c r="G22" s="785" t="s">
        <v>161</v>
      </c>
      <c r="H22" s="785"/>
      <c r="I22" s="785" t="s">
        <v>162</v>
      </c>
      <c r="J22" s="785"/>
      <c r="K22" s="785" t="s">
        <v>163</v>
      </c>
      <c r="L22" s="787"/>
    </row>
    <row r="23" spans="2:12" ht="13.5" thickBot="1" x14ac:dyDescent="0.25">
      <c r="B23" s="140"/>
      <c r="C23" s="780"/>
      <c r="D23" s="781"/>
      <c r="E23" s="781"/>
      <c r="F23" s="781"/>
      <c r="G23" s="777"/>
      <c r="H23" s="777"/>
      <c r="I23" s="780"/>
      <c r="J23" s="781"/>
      <c r="K23" s="778"/>
      <c r="L23" s="779"/>
    </row>
    <row r="24" spans="2:12" ht="12" thickBot="1" x14ac:dyDescent="0.25"/>
    <row r="25" spans="2:12" ht="12.75" thickBot="1" x14ac:dyDescent="0.25">
      <c r="B25" s="782" t="s">
        <v>241</v>
      </c>
      <c r="C25" s="783"/>
      <c r="D25" s="783"/>
      <c r="E25" s="783"/>
      <c r="F25" s="783"/>
      <c r="G25" s="783"/>
      <c r="H25" s="783"/>
      <c r="I25" s="783"/>
      <c r="J25" s="783"/>
      <c r="K25" s="783"/>
      <c r="L25" s="784"/>
    </row>
    <row r="26" spans="2:12" ht="12" thickBot="1" x14ac:dyDescent="0.25">
      <c r="B26" s="132"/>
      <c r="C26" s="133"/>
      <c r="D26" s="133"/>
      <c r="E26" s="133"/>
      <c r="F26" s="133"/>
      <c r="G26" s="133"/>
      <c r="H26" s="133"/>
      <c r="I26" s="133"/>
      <c r="J26" s="133"/>
      <c r="K26" s="133"/>
      <c r="L26" s="134"/>
    </row>
    <row r="27" spans="2:12" x14ac:dyDescent="0.2">
      <c r="B27" s="135" t="s">
        <v>152</v>
      </c>
      <c r="C27" s="785" t="s">
        <v>153</v>
      </c>
      <c r="D27" s="785"/>
      <c r="E27" s="785" t="s">
        <v>154</v>
      </c>
      <c r="F27" s="785"/>
      <c r="G27" s="785" t="s">
        <v>155</v>
      </c>
      <c r="H27" s="785"/>
      <c r="I27" s="785" t="s">
        <v>156</v>
      </c>
      <c r="J27" s="785"/>
      <c r="K27" s="785" t="s">
        <v>157</v>
      </c>
      <c r="L27" s="787"/>
    </row>
    <row r="28" spans="2:12" ht="13.5" thickBot="1" x14ac:dyDescent="0.25">
      <c r="B28" s="136"/>
      <c r="C28" s="788"/>
      <c r="D28" s="789"/>
      <c r="E28" s="790"/>
      <c r="F28" s="791"/>
      <c r="G28" s="792"/>
      <c r="H28" s="793"/>
      <c r="I28" s="777"/>
      <c r="J28" s="777"/>
      <c r="K28" s="781"/>
      <c r="L28" s="786"/>
    </row>
    <row r="29" spans="2:12" ht="12" thickBot="1" x14ac:dyDescent="0.25">
      <c r="B29" s="137"/>
      <c r="C29" s="138"/>
      <c r="D29" s="138"/>
      <c r="E29" s="138"/>
      <c r="F29" s="138"/>
      <c r="G29" s="138"/>
      <c r="H29" s="138"/>
      <c r="I29" s="138"/>
      <c r="J29" s="138"/>
      <c r="K29" s="138"/>
      <c r="L29" s="139"/>
    </row>
    <row r="30" spans="2:12" x14ac:dyDescent="0.2">
      <c r="B30" s="135" t="s">
        <v>158</v>
      </c>
      <c r="C30" s="785" t="s">
        <v>159</v>
      </c>
      <c r="D30" s="785"/>
      <c r="E30" s="785" t="s">
        <v>160</v>
      </c>
      <c r="F30" s="785"/>
      <c r="G30" s="785" t="s">
        <v>161</v>
      </c>
      <c r="H30" s="785"/>
      <c r="I30" s="785" t="s">
        <v>162</v>
      </c>
      <c r="J30" s="785"/>
      <c r="K30" s="785" t="s">
        <v>163</v>
      </c>
      <c r="L30" s="787"/>
    </row>
    <row r="31" spans="2:12" ht="13.5" thickBot="1" x14ac:dyDescent="0.25">
      <c r="B31" s="140"/>
      <c r="C31" s="780"/>
      <c r="D31" s="781"/>
      <c r="E31" s="781"/>
      <c r="F31" s="781"/>
      <c r="G31" s="777"/>
      <c r="H31" s="777"/>
      <c r="I31" s="780"/>
      <c r="J31" s="781"/>
      <c r="K31" s="778"/>
      <c r="L31" s="779"/>
    </row>
    <row r="34" spans="2:4" ht="12" thickBot="1" x14ac:dyDescent="0.25"/>
    <row r="35" spans="2:4" ht="16.5" thickBot="1" x14ac:dyDescent="0.25">
      <c r="B35" s="450" t="s">
        <v>136</v>
      </c>
      <c r="C35" s="775">
        <f>IF(SECC1!H2="","",SECC1!H2)</f>
        <v>4</v>
      </c>
      <c r="D35" s="776"/>
    </row>
  </sheetData>
  <sheetProtection password="9EAD" sheet="1" objects="1" scenarios="1"/>
  <protectedRanges>
    <protectedRange sqref="B31:L31" name="Rango5"/>
    <protectedRange sqref="B28:L28" name="Rango4"/>
    <protectedRange sqref="B23:L23" name="Rango3"/>
    <protectedRange sqref="B20:L20" name="Rango2"/>
    <protectedRange sqref="C4:L15" name="Rango1"/>
  </protectedRanges>
  <mergeCells count="48">
    <mergeCell ref="K31:L31"/>
    <mergeCell ref="C31:D31"/>
    <mergeCell ref="E31:F31"/>
    <mergeCell ref="G31:H31"/>
    <mergeCell ref="I31:J31"/>
    <mergeCell ref="G27:H27"/>
    <mergeCell ref="I27:J27"/>
    <mergeCell ref="K27:L27"/>
    <mergeCell ref="K28:L28"/>
    <mergeCell ref="K30:L30"/>
    <mergeCell ref="G30:H30"/>
    <mergeCell ref="I30:J30"/>
    <mergeCell ref="C28:D28"/>
    <mergeCell ref="E28:F28"/>
    <mergeCell ref="G28:H28"/>
    <mergeCell ref="I28:J28"/>
    <mergeCell ref="C30:D30"/>
    <mergeCell ref="E30:F30"/>
    <mergeCell ref="C20:D20"/>
    <mergeCell ref="E20:F20"/>
    <mergeCell ref="G20:H20"/>
    <mergeCell ref="I2:J2"/>
    <mergeCell ref="K2:L2"/>
    <mergeCell ref="B17:L17"/>
    <mergeCell ref="C19:D19"/>
    <mergeCell ref="E19:F19"/>
    <mergeCell ref="G19:H19"/>
    <mergeCell ref="I19:J19"/>
    <mergeCell ref="K19:L19"/>
    <mergeCell ref="C2:D2"/>
    <mergeCell ref="E2:F2"/>
    <mergeCell ref="G2:H2"/>
    <mergeCell ref="C35:D35"/>
    <mergeCell ref="I20:J20"/>
    <mergeCell ref="K23:L23"/>
    <mergeCell ref="C23:D23"/>
    <mergeCell ref="E23:F23"/>
    <mergeCell ref="G23:H23"/>
    <mergeCell ref="I23:J23"/>
    <mergeCell ref="B25:L25"/>
    <mergeCell ref="C27:D27"/>
    <mergeCell ref="E27:F27"/>
    <mergeCell ref="K20:L20"/>
    <mergeCell ref="C22:D22"/>
    <mergeCell ref="E22:F22"/>
    <mergeCell ref="G22:H22"/>
    <mergeCell ref="I22:J22"/>
    <mergeCell ref="K22:L22"/>
  </mergeCells>
  <phoneticPr fontId="0" type="noConversion"/>
  <conditionalFormatting sqref="C4:L4 B20 B28">
    <cfRule type="expression" dxfId="11" priority="1" stopIfTrue="1">
      <formula>$C$35=1</formula>
    </cfRule>
  </conditionalFormatting>
  <conditionalFormatting sqref="C5:L5 C20:D20 C28:D28">
    <cfRule type="expression" dxfId="10" priority="2" stopIfTrue="1">
      <formula>$C$35=2</formula>
    </cfRule>
  </conditionalFormatting>
  <conditionalFormatting sqref="C6:L6 E20:F20 E28:F28">
    <cfRule type="expression" dxfId="9" priority="3" stopIfTrue="1">
      <formula>$C$35=3</formula>
    </cfRule>
  </conditionalFormatting>
  <conditionalFormatting sqref="C7:L7 G20:H20 G28:H28">
    <cfRule type="expression" dxfId="8" priority="4" stopIfTrue="1">
      <formula>$C$35=4</formula>
    </cfRule>
  </conditionalFormatting>
  <conditionalFormatting sqref="C9:L9 K20:L20 K28:L28">
    <cfRule type="expression" dxfId="7" priority="5" stopIfTrue="1">
      <formula>$C$35=6</formula>
    </cfRule>
  </conditionalFormatting>
  <conditionalFormatting sqref="C10:L10 B23 B31">
    <cfRule type="expression" dxfId="6" priority="6" stopIfTrue="1">
      <formula>$C$35=7</formula>
    </cfRule>
  </conditionalFormatting>
  <conditionalFormatting sqref="C11:L11 C23:D23 C31:D31">
    <cfRule type="expression" dxfId="5" priority="7" stopIfTrue="1">
      <formula>$C$35=8</formula>
    </cfRule>
  </conditionalFormatting>
  <conditionalFormatting sqref="C12:L12">
    <cfRule type="expression" dxfId="4" priority="8" stopIfTrue="1">
      <formula>$C$35=9</formula>
    </cfRule>
  </conditionalFormatting>
  <conditionalFormatting sqref="C13:L13 G23:H23 G31:H31">
    <cfRule type="expression" dxfId="3" priority="9" stopIfTrue="1">
      <formula>$C$35=10</formula>
    </cfRule>
  </conditionalFormatting>
  <conditionalFormatting sqref="C14:L14 I23:J23 I31:J31">
    <cfRule type="expression" dxfId="2" priority="10" stopIfTrue="1">
      <formula>$C$35=11</formula>
    </cfRule>
  </conditionalFormatting>
  <conditionalFormatting sqref="C15:L15 K23:L23 K31:L31">
    <cfRule type="expression" dxfId="1" priority="11" stopIfTrue="1">
      <formula>$C$35=12</formula>
    </cfRule>
  </conditionalFormatting>
  <conditionalFormatting sqref="C8:L8 I20:J20 I28:J28">
    <cfRule type="expression" dxfId="0" priority="12" stopIfTrue="1">
      <formula>$C$35=5</formula>
    </cfRule>
  </conditionalFormatting>
  <conditionalFormatting sqref="E23:F23 E31:F31">
    <cfRule type="expression" priority="13" stopIfTrue="1">
      <formula>$C$35=9</formula>
    </cfRule>
  </conditionalFormatting>
  <pageMargins left="0.75" right="0.75" top="1" bottom="1" header="0" footer="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C27" sqref="C27"/>
    </sheetView>
  </sheetViews>
  <sheetFormatPr baseColWidth="10" defaultRowHeight="11.25" x14ac:dyDescent="0.2"/>
  <cols>
    <col min="1" max="1" width="3.5" customWidth="1"/>
    <col min="2" max="2" width="18.83203125" bestFit="1" customWidth="1"/>
    <col min="3" max="3" width="7.33203125" customWidth="1"/>
    <col min="4" max="5" width="7.83203125" customWidth="1"/>
    <col min="10" max="10" width="6.1640625" customWidth="1"/>
    <col min="11" max="11" width="7.5" customWidth="1"/>
    <col min="12" max="12" width="6.6640625" customWidth="1"/>
    <col min="13" max="13" width="7.6640625" customWidth="1"/>
    <col min="14" max="14" width="7.83203125" customWidth="1"/>
    <col min="15" max="15" width="3.1640625" bestFit="1" customWidth="1"/>
  </cols>
  <sheetData>
    <row r="1" spans="1:21" x14ac:dyDescent="0.2">
      <c r="B1" s="1" t="s">
        <v>50</v>
      </c>
    </row>
    <row r="2" spans="1:21" ht="12" thickBot="1" x14ac:dyDescent="0.25"/>
    <row r="3" spans="1:21" ht="12" thickBot="1" x14ac:dyDescent="0.25">
      <c r="B3" s="20" t="s">
        <v>38</v>
      </c>
      <c r="C3" s="20" t="s">
        <v>39</v>
      </c>
      <c r="D3" s="20" t="s">
        <v>40</v>
      </c>
      <c r="E3" s="20" t="s">
        <v>41</v>
      </c>
      <c r="F3" s="1"/>
      <c r="G3" s="1"/>
      <c r="H3" s="1"/>
      <c r="I3" s="1"/>
      <c r="J3" s="27" t="s">
        <v>42</v>
      </c>
      <c r="K3" s="27" t="s">
        <v>43</v>
      </c>
      <c r="L3" s="27" t="s">
        <v>44</v>
      </c>
      <c r="M3" s="27" t="s">
        <v>45</v>
      </c>
      <c r="N3" s="27" t="s">
        <v>46</v>
      </c>
      <c r="O3" s="1"/>
    </row>
    <row r="4" spans="1:21" ht="12" x14ac:dyDescent="0.2">
      <c r="A4">
        <v>1</v>
      </c>
      <c r="B4" s="21">
        <f>SECC1!O9</f>
        <v>1.4000000000000001</v>
      </c>
      <c r="C4" s="21">
        <f>IF(SECC1!R9="","",SECC1!R9)</f>
        <v>4.2</v>
      </c>
      <c r="D4" s="21">
        <f>IF(SECC1!S9="","",SECC1!S9)</f>
        <v>0.1</v>
      </c>
      <c r="E4" s="21">
        <f>IF(SECC1!X9="","",SECC1!X9)</f>
        <v>9.9</v>
      </c>
      <c r="F4" s="19" t="s">
        <v>47</v>
      </c>
      <c r="G4" s="2"/>
      <c r="H4" s="23"/>
      <c r="I4" s="24">
        <f>COUNTIF(SECC1!X9:X18,"&gt;=1")</f>
        <v>4</v>
      </c>
      <c r="J4" s="26">
        <f>IF(SECC1!X9&gt;=5,SECC1!X9,"")</f>
        <v>9.9</v>
      </c>
      <c r="K4" s="26" t="str">
        <f>IF(SECC1!X9&gt;=10,SECC1!X9,"")</f>
        <v/>
      </c>
      <c r="L4" s="26" t="str">
        <f>IF(SECC1!X9&gt;=50,SECC1!X9,"")</f>
        <v/>
      </c>
      <c r="M4" s="26" t="str">
        <f>IF(SECC1!X9&gt;=100,SECC1!X9,"")</f>
        <v/>
      </c>
      <c r="N4" s="26" t="str">
        <f>IF(SECC1!X9&gt;=150,SECC1!X9,"")</f>
        <v/>
      </c>
      <c r="O4">
        <v>1</v>
      </c>
    </row>
    <row r="5" spans="1:21" ht="12" x14ac:dyDescent="0.2">
      <c r="A5">
        <v>2</v>
      </c>
      <c r="B5" s="21">
        <f>SECC1!O10</f>
        <v>-1</v>
      </c>
      <c r="C5" s="21">
        <f>IF(SECC1!R10="","",SECC1!R10)</f>
        <v>0.7</v>
      </c>
      <c r="D5" s="21">
        <f>IF(SECC1!S10="","",SECC1!S10)</f>
        <v>-2.6</v>
      </c>
      <c r="E5" s="21">
        <f>IF(SECC1!X10="","",SECC1!X10)</f>
        <v>4.4000000000000004</v>
      </c>
      <c r="F5" s="19" t="s">
        <v>48</v>
      </c>
      <c r="G5" s="2"/>
      <c r="H5" s="22"/>
      <c r="I5" s="24">
        <f>COUNTIF(SECC1!X20:X29,"&gt;=1")</f>
        <v>7</v>
      </c>
      <c r="J5" s="21" t="str">
        <f>IF(SECC1!X10&gt;=5,SECC1!X10,"")</f>
        <v/>
      </c>
      <c r="K5" s="21" t="str">
        <f>IF(SECC1!X10&gt;=10,SECC1!X10,"")</f>
        <v/>
      </c>
      <c r="L5" s="21" t="str">
        <f>IF(SECC1!X10&gt;=50,SECC1!X10,"")</f>
        <v/>
      </c>
      <c r="M5" s="21" t="str">
        <f>IF(SECC1!X10&gt;=100,SECC1!X10,"")</f>
        <v/>
      </c>
      <c r="N5" s="21" t="str">
        <f>IF(SECC1!X10&gt;=150,SECC1!X10,"")</f>
        <v/>
      </c>
      <c r="O5">
        <v>2</v>
      </c>
    </row>
    <row r="6" spans="1:21" ht="12" x14ac:dyDescent="0.2">
      <c r="A6">
        <v>3</v>
      </c>
      <c r="B6" s="21">
        <f>SECC1!O11</f>
        <v>-2.2250000000000001</v>
      </c>
      <c r="C6" s="21">
        <f>IF(SECC1!R11="","",SECC1!R11)</f>
        <v>0.2</v>
      </c>
      <c r="D6" s="21">
        <f>IF(SECC1!S11="","",SECC1!S11)</f>
        <v>-3.9</v>
      </c>
      <c r="E6" s="21">
        <f>IF(SECC1!X11="","",SECC1!X11)</f>
        <v>0</v>
      </c>
      <c r="F6" s="19" t="s">
        <v>49</v>
      </c>
      <c r="G6" s="2"/>
      <c r="H6" s="23"/>
      <c r="I6" s="24">
        <f>COUNTIF(SECC1!X31:X41,"&gt;=1")</f>
        <v>2</v>
      </c>
      <c r="J6" s="21" t="str">
        <f>IF(SECC1!X11&gt;=5,SECC1!X11,"")</f>
        <v/>
      </c>
      <c r="K6" s="21" t="str">
        <f>IF(SECC1!X11&gt;=10,SECC1!X11,"")</f>
        <v/>
      </c>
      <c r="L6" s="21" t="str">
        <f>IF(SECC1!X11&gt;=50,SECC1!X11,"")</f>
        <v/>
      </c>
      <c r="M6" s="21" t="str">
        <f>IF(SECC1!X11&gt;=100,SECC1!X11,"")</f>
        <v/>
      </c>
      <c r="N6" s="21" t="str">
        <f>IF(SECC1!X11&gt;=150,SECC1!X11,"")</f>
        <v/>
      </c>
      <c r="O6">
        <v>3</v>
      </c>
    </row>
    <row r="7" spans="1:21" x14ac:dyDescent="0.2">
      <c r="A7">
        <v>4</v>
      </c>
      <c r="B7" s="21">
        <f>SECC1!O12</f>
        <v>-6.5</v>
      </c>
      <c r="C7" s="21">
        <f>IF(SECC1!R12="","",SECC1!R12)</f>
        <v>-3.6</v>
      </c>
      <c r="D7" s="21">
        <f>IF(SECC1!S12="","",SECC1!S12)</f>
        <v>-10.1</v>
      </c>
      <c r="E7" s="21" t="str">
        <f>IF(SECC1!X12="","",SECC1!X12)</f>
        <v/>
      </c>
      <c r="I7" s="25">
        <f>SUM(I4:I6)</f>
        <v>13</v>
      </c>
      <c r="J7" s="21" t="str">
        <f>IF(SECC1!X12&gt;=5,SECC1!X12,"")</f>
        <v/>
      </c>
      <c r="K7" s="21" t="str">
        <f>IF(SECC1!X12&gt;=10,SECC1!X12,"")</f>
        <v/>
      </c>
      <c r="L7" s="21" t="str">
        <f>IF(SECC1!X12&gt;=50,SECC1!X12,"")</f>
        <v/>
      </c>
      <c r="M7" s="21" t="str">
        <f>IF(SECC1!X12&gt;=100,SECC1!X12,"")</f>
        <v/>
      </c>
      <c r="N7" s="21" t="str">
        <f>IF(SECC1!X12&gt;=150,SECC1!X12,"")</f>
        <v/>
      </c>
      <c r="O7">
        <v>4</v>
      </c>
    </row>
    <row r="8" spans="1:21" x14ac:dyDescent="0.2">
      <c r="A8">
        <v>5</v>
      </c>
      <c r="B8" s="21">
        <f>SECC1!O13</f>
        <v>-5.55</v>
      </c>
      <c r="C8" s="21">
        <f>IF(SECC1!R13="","",SECC1!R13)</f>
        <v>-3.8</v>
      </c>
      <c r="D8" s="21">
        <f>IF(SECC1!S13="","",SECC1!S13)</f>
        <v>-9.3000000000000007</v>
      </c>
      <c r="E8" s="21" t="str">
        <f>IF(SECC1!X13="","",SECC1!X13)</f>
        <v/>
      </c>
      <c r="J8" s="21" t="str">
        <f>IF(SECC1!X13&gt;=5,SECC1!X13,"")</f>
        <v/>
      </c>
      <c r="K8" s="21" t="str">
        <f>IF(SECC1!X13&gt;=10,SECC1!X13,"")</f>
        <v/>
      </c>
      <c r="L8" s="21" t="str">
        <f>IF(SECC1!X13&gt;=50,SECC1!X13,"")</f>
        <v/>
      </c>
      <c r="M8" s="21" t="str">
        <f>IF(SECC1!X13&gt;=100,SECC1!X13,"")</f>
        <v/>
      </c>
      <c r="N8" s="21" t="str">
        <f>IF(SECC1!X13&gt;=150,SECC1!X13,"")</f>
        <v/>
      </c>
      <c r="O8">
        <v>5</v>
      </c>
    </row>
    <row r="9" spans="1:21" ht="11.25" customHeight="1" x14ac:dyDescent="0.2">
      <c r="A9">
        <v>6</v>
      </c>
      <c r="B9" s="21">
        <f>SECC1!O14</f>
        <v>-4.3</v>
      </c>
      <c r="C9" s="21">
        <f>IF(SECC1!R14="","",SECC1!R14)</f>
        <v>-2.2000000000000002</v>
      </c>
      <c r="D9" s="21">
        <f>IF(SECC1!S14="","",SECC1!S14)</f>
        <v>-8.6999999999999993</v>
      </c>
      <c r="E9" s="21">
        <f>IF(SECC1!X14="","",SECC1!X14)</f>
        <v>0</v>
      </c>
      <c r="G9" s="797" t="s">
        <v>284</v>
      </c>
      <c r="H9" s="797"/>
      <c r="J9" s="21" t="str">
        <f>IF(SECC1!X14&gt;=5,SECC1!X14,"")</f>
        <v/>
      </c>
      <c r="K9" s="21" t="str">
        <f>IF(SECC1!X14&gt;=10,SECC1!X14,"")</f>
        <v/>
      </c>
      <c r="L9" s="21" t="str">
        <f>IF(SECC1!X14&gt;=50,SECC1!X14,"")</f>
        <v/>
      </c>
      <c r="M9" s="21" t="str">
        <f>IF(SECC1!X14&gt;=100,SECC1!X14,"")</f>
        <v/>
      </c>
      <c r="N9" s="21" t="str">
        <f>IF(SECC1!X14&gt;=150,SECC1!X14,"")</f>
        <v/>
      </c>
      <c r="O9">
        <v>6</v>
      </c>
      <c r="R9" s="484"/>
      <c r="S9" s="484"/>
      <c r="T9" s="484"/>
      <c r="U9" s="484"/>
    </row>
    <row r="10" spans="1:21" ht="11.25" customHeight="1" x14ac:dyDescent="0.2">
      <c r="A10">
        <v>7</v>
      </c>
      <c r="B10" s="21">
        <f>SECC1!O15</f>
        <v>-0.5</v>
      </c>
      <c r="C10" s="21">
        <f>IF(SECC1!R15="","",SECC1!R15)</f>
        <v>1.2</v>
      </c>
      <c r="D10" s="21">
        <f>IF(SECC1!S15="","",SECC1!S15)</f>
        <v>-3.7</v>
      </c>
      <c r="E10" s="21">
        <f>IF(SECC1!X15="","",SECC1!X15)</f>
        <v>1</v>
      </c>
      <c r="G10" s="797"/>
      <c r="H10" s="797"/>
      <c r="J10" s="21" t="str">
        <f>IF(SECC1!X15&gt;=5,SECC1!X15,"")</f>
        <v/>
      </c>
      <c r="K10" s="21" t="str">
        <f>IF(SECC1!X15&gt;=10,SECC1!X15,"")</f>
        <v/>
      </c>
      <c r="L10" s="21" t="str">
        <f>IF(SECC1!X15&gt;=50,SECC1!X15,"")</f>
        <v/>
      </c>
      <c r="M10" s="21" t="str">
        <f>IF(SECC1!X15&gt;=100,SECC1!X15,"")</f>
        <v/>
      </c>
      <c r="N10" s="21" t="str">
        <f>IF(SECC1!X15&gt;=150,SECC1!X15,"")</f>
        <v/>
      </c>
      <c r="O10">
        <v>7</v>
      </c>
      <c r="R10" s="484"/>
      <c r="S10" s="484"/>
      <c r="T10" s="484"/>
      <c r="U10" s="484"/>
    </row>
    <row r="11" spans="1:21" ht="11.25" customHeight="1" x14ac:dyDescent="0.2">
      <c r="A11">
        <v>8</v>
      </c>
      <c r="B11" s="21">
        <f>SECC1!O16</f>
        <v>0.39999999999999991</v>
      </c>
      <c r="C11" s="21">
        <f>IF(SECC1!R16="","",SECC1!R16)</f>
        <v>4.5999999999999996</v>
      </c>
      <c r="D11" s="21">
        <f>IF(SECC1!S16="","",SECC1!S16)</f>
        <v>-3.8</v>
      </c>
      <c r="E11" s="21" t="str">
        <f>IF(SECC1!X16="","",SECC1!X16)</f>
        <v/>
      </c>
      <c r="G11" s="797"/>
      <c r="H11" s="797"/>
      <c r="J11" s="21" t="str">
        <f>IF(SECC1!X16&gt;=5,SECC1!X16,"")</f>
        <v/>
      </c>
      <c r="K11" s="21" t="str">
        <f>IF(SECC1!X16&gt;=10,SECC1!X16,"")</f>
        <v/>
      </c>
      <c r="L11" s="21" t="str">
        <f>IF(SECC1!X16&gt;=50,SECC1!X16,"")</f>
        <v/>
      </c>
      <c r="M11" s="21" t="str">
        <f>IF(SECC1!X16&gt;=100,SECC1!X16,"")</f>
        <v/>
      </c>
      <c r="N11" s="21" t="str">
        <f>IF(SECC1!X16&gt;=150,SECC1!X16,"")</f>
        <v/>
      </c>
      <c r="O11">
        <v>8</v>
      </c>
      <c r="R11" s="484"/>
      <c r="S11" s="484"/>
      <c r="T11" s="484"/>
      <c r="U11" s="484"/>
    </row>
    <row r="12" spans="1:21" ht="11.25" customHeight="1" x14ac:dyDescent="0.2">
      <c r="A12">
        <v>9</v>
      </c>
      <c r="B12" s="21">
        <f>SECC1!O17</f>
        <v>-1.2249999999999999</v>
      </c>
      <c r="C12" s="21">
        <f>IF(SECC1!R17="","",SECC1!R17)</f>
        <v>0.8</v>
      </c>
      <c r="D12" s="21">
        <f>IF(SECC1!S17="","",SECC1!S17)</f>
        <v>-5.0999999999999996</v>
      </c>
      <c r="E12" s="21" t="str">
        <f>IF(SECC1!X17="","",SECC1!X17)</f>
        <v/>
      </c>
      <c r="G12" s="797"/>
      <c r="H12" s="797"/>
      <c r="J12" s="21" t="str">
        <f>IF(SECC1!X17&gt;=5,SECC1!X17,"")</f>
        <v/>
      </c>
      <c r="K12" s="21" t="str">
        <f>IF(SECC1!X17&gt;=10,SECC1!X17,"")</f>
        <v/>
      </c>
      <c r="L12" s="21" t="str">
        <f>IF(SECC1!X17&gt;=50,SECC1!X17,"")</f>
        <v/>
      </c>
      <c r="M12" s="21" t="str">
        <f>IF(SECC1!X17&gt;=100,SECC1!X17,"")</f>
        <v/>
      </c>
      <c r="N12" s="21" t="str">
        <f>IF(SECC1!X17&gt;=150,SECC1!X17,"")</f>
        <v/>
      </c>
      <c r="O12">
        <v>9</v>
      </c>
      <c r="R12" s="484"/>
      <c r="S12" s="484"/>
      <c r="T12" s="484"/>
      <c r="U12" s="484"/>
    </row>
    <row r="13" spans="1:21" ht="11.25" customHeight="1" x14ac:dyDescent="0.2">
      <c r="A13">
        <v>10</v>
      </c>
      <c r="B13" s="21">
        <f>SECC1!O18</f>
        <v>0.5</v>
      </c>
      <c r="C13" s="21">
        <f>IF(SECC1!R18="","",SECC1!R18)</f>
        <v>2.6</v>
      </c>
      <c r="D13" s="21">
        <f>IF(SECC1!S18="","",SECC1!S18)</f>
        <v>-2.7</v>
      </c>
      <c r="E13" s="21">
        <f>IF(SECC1!X18="","",SECC1!X18)</f>
        <v>1.1000000000000001</v>
      </c>
      <c r="G13" s="797"/>
      <c r="H13" s="797"/>
      <c r="J13" s="21" t="str">
        <f>IF(SECC1!X18&gt;=5,SECC1!X18,"")</f>
        <v/>
      </c>
      <c r="K13" s="21" t="str">
        <f>IF(SECC1!X18&gt;=10,SECC1!X18,"")</f>
        <v/>
      </c>
      <c r="L13" s="21" t="str">
        <f>IF(SECC1!X18&gt;=50,SECC1!X18,"")</f>
        <v/>
      </c>
      <c r="M13" s="21" t="str">
        <f>IF(SECC1!X18&gt;=100,SECC1!X18,"")</f>
        <v/>
      </c>
      <c r="N13" s="21" t="str">
        <f>IF(SECC1!X18&gt;=150,SECC1!X18,"")</f>
        <v/>
      </c>
      <c r="O13">
        <v>10</v>
      </c>
      <c r="R13" s="484"/>
      <c r="S13" s="484"/>
      <c r="T13" s="484"/>
      <c r="U13" s="484"/>
    </row>
    <row r="14" spans="1:21" ht="11.25" customHeight="1" x14ac:dyDescent="0.2">
      <c r="A14">
        <v>11</v>
      </c>
      <c r="B14" s="21">
        <f>SECC1!O20</f>
        <v>1.0999999999999999</v>
      </c>
      <c r="C14" s="21">
        <f>IF(SECC1!R20="","",SECC1!R20)</f>
        <v>3.6</v>
      </c>
      <c r="D14" s="21">
        <f>IF(SECC1!S20="","",SECC1!S20)</f>
        <v>-1.1000000000000001</v>
      </c>
      <c r="E14" s="21">
        <f>IF(SECC1!X20="","",SECC1!X20)</f>
        <v>0</v>
      </c>
      <c r="G14" s="797"/>
      <c r="H14" s="797"/>
      <c r="J14" s="21" t="str">
        <f>IF(SECC1!X20&gt;=5,SECC1!X20,"")</f>
        <v/>
      </c>
      <c r="K14" s="21" t="str">
        <f>IF(SECC1!X20&gt;=10,SECC1!X20,"")</f>
        <v/>
      </c>
      <c r="L14" s="21" t="str">
        <f>IF(SECC1!X20&gt;=50,SECC1!X20,"")</f>
        <v/>
      </c>
      <c r="M14" s="21" t="str">
        <f>IF(SECC1!X20&gt;=100,SECC1!X20,"")</f>
        <v/>
      </c>
      <c r="N14" s="21" t="str">
        <f>IF(SECC1!X20&gt;=150,SECC1!X20,"")</f>
        <v/>
      </c>
      <c r="O14">
        <v>11</v>
      </c>
      <c r="R14" s="484"/>
      <c r="S14" s="484"/>
      <c r="T14" s="484"/>
      <c r="U14" s="484"/>
    </row>
    <row r="15" spans="1:21" ht="11.25" customHeight="1" x14ac:dyDescent="0.2">
      <c r="A15">
        <v>12</v>
      </c>
      <c r="B15" s="21">
        <f>SECC1!O21</f>
        <v>-2.4750000000000001</v>
      </c>
      <c r="C15" s="21">
        <f>IF(SECC1!R21="","",SECC1!R21)</f>
        <v>0.5</v>
      </c>
      <c r="D15" s="21">
        <f>IF(SECC1!S21="","",SECC1!S21)</f>
        <v>-5.0999999999999996</v>
      </c>
      <c r="E15" s="21">
        <f>IF(SECC1!X21="","",SECC1!X21)</f>
        <v>3.5</v>
      </c>
      <c r="G15" s="797"/>
      <c r="H15" s="797"/>
      <c r="J15" s="21" t="str">
        <f>IF(SECC1!X21&gt;=5,SECC1!X21,"")</f>
        <v/>
      </c>
      <c r="K15" s="21" t="str">
        <f>IF(SECC1!X21&gt;=10,SECC1!X21,"")</f>
        <v/>
      </c>
      <c r="L15" s="21" t="str">
        <f>IF(SECC1!X21&gt;=50,SECC1!X21,"")</f>
        <v/>
      </c>
      <c r="M15" s="21" t="str">
        <f>IF(SECC1!X21&gt;=100,SECC1!X21,"")</f>
        <v/>
      </c>
      <c r="N15" s="21" t="str">
        <f>IF(SECC1!X21&gt;=150,SECC1!X21,"")</f>
        <v/>
      </c>
      <c r="O15">
        <v>12</v>
      </c>
      <c r="R15" s="484"/>
      <c r="S15" s="484"/>
      <c r="T15" s="484"/>
      <c r="U15" s="484"/>
    </row>
    <row r="16" spans="1:21" ht="11.25" customHeight="1" x14ac:dyDescent="0.2">
      <c r="A16">
        <v>13</v>
      </c>
      <c r="B16" s="21">
        <f>SECC1!O22</f>
        <v>-0.59999999999999987</v>
      </c>
      <c r="C16" s="21">
        <f>IF(SECC1!R22="","",SECC1!R22)</f>
        <v>2.7</v>
      </c>
      <c r="D16" s="21">
        <f>IF(SECC1!S22="","",SECC1!S22)</f>
        <v>-3.4</v>
      </c>
      <c r="E16" s="21">
        <f>IF(SECC1!X22="","",SECC1!X22)</f>
        <v>7.4</v>
      </c>
      <c r="G16" s="797"/>
      <c r="H16" s="797"/>
      <c r="J16" s="21">
        <f>IF(SECC1!X22&gt;=5,SECC1!X22,"")</f>
        <v>7.4</v>
      </c>
      <c r="K16" s="21" t="str">
        <f>IF(SECC1!X22&gt;=10,SECC1!X22,"")</f>
        <v/>
      </c>
      <c r="L16" s="21" t="str">
        <f>IF(SECC1!X22&gt;=50,SECC1!X22,"")</f>
        <v/>
      </c>
      <c r="M16" s="21" t="str">
        <f>IF(SECC1!X22&gt;=100,SECC1!X22,"")</f>
        <v/>
      </c>
      <c r="N16" s="21" t="str">
        <f>IF(SECC1!X22&gt;=150,SECC1!X22,"")</f>
        <v/>
      </c>
      <c r="O16">
        <v>13</v>
      </c>
      <c r="R16" s="484"/>
      <c r="S16" s="484"/>
      <c r="T16" s="484"/>
      <c r="U16" s="484"/>
    </row>
    <row r="17" spans="1:21" ht="11.25" customHeight="1" x14ac:dyDescent="0.2">
      <c r="A17">
        <v>14</v>
      </c>
      <c r="B17" s="21">
        <f>SECC1!O23</f>
        <v>-0.35</v>
      </c>
      <c r="C17" s="21">
        <f>IF(SECC1!R23="","",SECC1!R23)</f>
        <v>1.5</v>
      </c>
      <c r="D17" s="21">
        <f>IF(SECC1!S23="","",SECC1!S23)</f>
        <v>-2.4</v>
      </c>
      <c r="E17" s="21">
        <f>IF(SECC1!X23="","",SECC1!X23)</f>
        <v>4</v>
      </c>
      <c r="G17" s="797"/>
      <c r="H17" s="797"/>
      <c r="J17" s="21" t="str">
        <f>IF(SECC1!X23&gt;=5,SECC1!X23,"")</f>
        <v/>
      </c>
      <c r="K17" s="21" t="str">
        <f>IF(SECC1!X23&gt;=10,SECC1!X23,"")</f>
        <v/>
      </c>
      <c r="L17" s="21" t="str">
        <f>IF(SECC1!X23&gt;=50,SECC1!X23,"")</f>
        <v/>
      </c>
      <c r="M17" s="21" t="str">
        <f>IF(SECC1!X23&gt;=100,SECC1!X23,"")</f>
        <v/>
      </c>
      <c r="N17" s="21" t="str">
        <f>IF(SECC1!X23&gt;=150,SECC1!X23,"")</f>
        <v/>
      </c>
      <c r="O17">
        <v>14</v>
      </c>
      <c r="R17" s="484"/>
      <c r="S17" s="484"/>
      <c r="T17" s="484"/>
      <c r="U17" s="484"/>
    </row>
    <row r="18" spans="1:21" ht="11.25" customHeight="1" x14ac:dyDescent="0.2">
      <c r="A18">
        <v>15</v>
      </c>
      <c r="B18" s="21">
        <f>SECC1!O24</f>
        <v>-0.15</v>
      </c>
      <c r="C18" s="21">
        <f>IF(SECC1!R24="","",SECC1!R24)</f>
        <v>1.5</v>
      </c>
      <c r="D18" s="21">
        <f>IF(SECC1!S24="","",SECC1!S24)</f>
        <v>-2.1</v>
      </c>
      <c r="E18" s="21">
        <f>IF(SECC1!X24="","",SECC1!X24)</f>
        <v>0</v>
      </c>
      <c r="G18" s="797"/>
      <c r="H18" s="797"/>
      <c r="J18" s="21" t="str">
        <f>IF(SECC1!X24&gt;=5,SECC1!X24,"")</f>
        <v/>
      </c>
      <c r="K18" s="21" t="str">
        <f>IF(SECC1!X24&gt;=10,SECC1!X24,"")</f>
        <v/>
      </c>
      <c r="L18" s="21" t="str">
        <f>IF(SECC1!X24&gt;=50,SECC1!X24,"")</f>
        <v/>
      </c>
      <c r="M18" s="21" t="str">
        <f>IF(SECC1!X24&gt;=100,SECC1!X24,"")</f>
        <v/>
      </c>
      <c r="N18" s="21" t="str">
        <f>IF(SECC1!X24&gt;=150,SECC1!X24,"")</f>
        <v/>
      </c>
      <c r="O18">
        <v>15</v>
      </c>
      <c r="R18" s="484"/>
      <c r="S18" s="484"/>
      <c r="T18" s="484"/>
      <c r="U18" s="484"/>
    </row>
    <row r="19" spans="1:21" ht="11.25" customHeight="1" x14ac:dyDescent="0.2">
      <c r="A19">
        <v>16</v>
      </c>
      <c r="B19" s="21">
        <f>SECC1!O25</f>
        <v>-1.5</v>
      </c>
      <c r="C19" s="21">
        <f>IF(SECC1!R25="","",SECC1!R25)</f>
        <v>-1</v>
      </c>
      <c r="D19" s="21">
        <f>IF(SECC1!S25="","",SECC1!S25)</f>
        <v>-3.7</v>
      </c>
      <c r="E19" s="21">
        <f>IF(SECC1!X25="","",SECC1!X25)</f>
        <v>7.3</v>
      </c>
      <c r="G19" s="797"/>
      <c r="H19" s="797"/>
      <c r="J19" s="21">
        <f>IF(SECC1!X25&gt;=5,SECC1!X25,"")</f>
        <v>7.3</v>
      </c>
      <c r="K19" s="21" t="str">
        <f>IF(SECC1!X25&gt;=10,SECC1!X25,"")</f>
        <v/>
      </c>
      <c r="L19" s="21" t="str">
        <f>IF(SECC1!X25&gt;=50,SECC1!X25,"")</f>
        <v/>
      </c>
      <c r="M19" s="21" t="str">
        <f>IF(SECC1!X25&gt;=100,SECC1!X25,"")</f>
        <v/>
      </c>
      <c r="N19" s="21" t="str">
        <f>IF(SECC1!X25&gt;=150,SECC1!X25,"")</f>
        <v/>
      </c>
      <c r="O19">
        <v>16</v>
      </c>
      <c r="R19" s="484"/>
      <c r="S19" s="484"/>
      <c r="T19" s="485"/>
      <c r="U19" s="486"/>
    </row>
    <row r="20" spans="1:21" ht="11.25" customHeight="1" x14ac:dyDescent="0.2">
      <c r="A20">
        <v>17</v>
      </c>
      <c r="B20" s="21">
        <f>SECC1!O26</f>
        <v>-1.5249999999999999</v>
      </c>
      <c r="C20" s="21">
        <f>IF(SECC1!R26="","",SECC1!R26)</f>
        <v>0.5</v>
      </c>
      <c r="D20" s="21">
        <f>IF(SECC1!S26="","",SECC1!S26)</f>
        <v>-3.6</v>
      </c>
      <c r="E20" s="21">
        <f>IF(SECC1!X26="","",SECC1!X26)</f>
        <v>3.5</v>
      </c>
      <c r="G20" s="797"/>
      <c r="H20" s="797"/>
      <c r="J20" s="21" t="str">
        <f>IF(SECC1!X26&gt;=5,SECC1!X26,"")</f>
        <v/>
      </c>
      <c r="K20" s="21" t="str">
        <f>IF(SECC1!X26&gt;=10,SECC1!X26,"")</f>
        <v/>
      </c>
      <c r="L20" s="21" t="str">
        <f>IF(SECC1!X26&gt;=50,SECC1!X26,"")</f>
        <v/>
      </c>
      <c r="M20" s="21" t="str">
        <f>IF(SECC1!X26&gt;=100,SECC1!X26,"")</f>
        <v/>
      </c>
      <c r="N20" s="21" t="str">
        <f>IF(SECC1!X26&gt;=150,SECC1!X26,"")</f>
        <v/>
      </c>
      <c r="O20">
        <v>17</v>
      </c>
      <c r="R20" s="484"/>
      <c r="S20" s="484"/>
      <c r="T20" s="485"/>
      <c r="U20" s="486"/>
    </row>
    <row r="21" spans="1:21" ht="11.25" customHeight="1" x14ac:dyDescent="0.2">
      <c r="A21">
        <v>18</v>
      </c>
      <c r="B21" s="21">
        <f>SECC1!O27</f>
        <v>-0.55000000000000004</v>
      </c>
      <c r="C21" s="21">
        <f>IF(SECC1!R27="","",SECC1!R27)</f>
        <v>0.6</v>
      </c>
      <c r="D21" s="21">
        <f>IF(SECC1!S27="","",SECC1!S27)</f>
        <v>-4.0999999999999996</v>
      </c>
      <c r="E21" s="21">
        <f>IF(SECC1!X27="","",SECC1!X27)</f>
        <v>2.8</v>
      </c>
      <c r="G21" s="797"/>
      <c r="H21" s="797"/>
      <c r="J21" s="21" t="str">
        <f>IF(SECC1!X27&gt;=5,SECC1!X27,"")</f>
        <v/>
      </c>
      <c r="K21" s="21" t="str">
        <f>IF(SECC1!X27&gt;=10,SECC1!X27,"")</f>
        <v/>
      </c>
      <c r="L21" s="21" t="str">
        <f>IF(SECC1!X27&gt;=50,SECC1!X27,"")</f>
        <v/>
      </c>
      <c r="M21" s="21" t="str">
        <f>IF(SECC1!X27&gt;=100,SECC1!X27,"")</f>
        <v/>
      </c>
      <c r="N21" s="21" t="str">
        <f>IF(SECC1!X27&gt;=150,SECC1!X27,"")</f>
        <v/>
      </c>
      <c r="O21">
        <v>18</v>
      </c>
      <c r="R21" s="484"/>
      <c r="S21" s="484"/>
      <c r="T21" s="485"/>
      <c r="U21" s="486"/>
    </row>
    <row r="22" spans="1:21" ht="11.25" customHeight="1" x14ac:dyDescent="0.2">
      <c r="A22">
        <v>19</v>
      </c>
      <c r="B22" s="21">
        <f>SECC1!O28</f>
        <v>-9.0500000000000007</v>
      </c>
      <c r="C22" s="21">
        <f>IF(SECC1!R28="","",SECC1!R28)</f>
        <v>-0.8</v>
      </c>
      <c r="D22" s="21">
        <f>IF(SECC1!S28="","",SECC1!S28)</f>
        <v>-13.5</v>
      </c>
      <c r="E22" s="21">
        <f>IF(SECC1!X28="","",SECC1!X28)</f>
        <v>1.4</v>
      </c>
      <c r="G22" s="797"/>
      <c r="H22" s="797"/>
      <c r="J22" s="21" t="str">
        <f>IF(SECC1!X28&gt;=5,SECC1!X28,"")</f>
        <v/>
      </c>
      <c r="K22" s="21" t="str">
        <f>IF(SECC1!X28&gt;=10,SECC1!X28,"")</f>
        <v/>
      </c>
      <c r="L22" s="21" t="str">
        <f>IF(SECC1!X28&gt;=50,SECC1!X28,"")</f>
        <v/>
      </c>
      <c r="M22" s="21" t="str">
        <f>IF(SECC1!X28&gt;=100,SECC1!X28,"")</f>
        <v/>
      </c>
      <c r="N22" s="21" t="str">
        <f>IF(SECC1!X28&gt;=150,SECC1!X28,"")</f>
        <v/>
      </c>
      <c r="O22">
        <v>19</v>
      </c>
      <c r="R22" s="484"/>
      <c r="S22" s="484"/>
      <c r="T22" s="485"/>
      <c r="U22" s="486"/>
    </row>
    <row r="23" spans="1:21" ht="11.25" customHeight="1" x14ac:dyDescent="0.2">
      <c r="A23">
        <v>20</v>
      </c>
      <c r="B23" s="21">
        <f>SECC1!O29</f>
        <v>-9.0500000000000007</v>
      </c>
      <c r="C23" s="21">
        <f>IF(SECC1!R29="","",SECC1!R29)</f>
        <v>-6.5</v>
      </c>
      <c r="D23" s="21">
        <f>IF(SECC1!S29="","",SECC1!S29)</f>
        <v>-12.7</v>
      </c>
      <c r="E23" s="21" t="str">
        <f>IF(SECC1!X29="","",SECC1!X29)</f>
        <v/>
      </c>
      <c r="G23" s="797"/>
      <c r="H23" s="797"/>
      <c r="J23" s="21" t="str">
        <f>IF(SECC1!X29&gt;=5,SECC1!X29,"")</f>
        <v/>
      </c>
      <c r="K23" s="21" t="str">
        <f>IF(SECC1!X29&gt;=10,SECC1!X29,"")</f>
        <v/>
      </c>
      <c r="L23" s="21" t="str">
        <f>IF(SECC1!X29&gt;=50,SECC1!X29,"")</f>
        <v/>
      </c>
      <c r="M23" s="21" t="str">
        <f>IF(SECC1!X29&gt;=100,SECC1!X29,"")</f>
        <v/>
      </c>
      <c r="N23" s="21" t="str">
        <f>IF(SECC1!X29&gt;=150,SECC1!X29,"")</f>
        <v/>
      </c>
      <c r="O23">
        <v>20</v>
      </c>
      <c r="R23" s="484"/>
      <c r="S23" s="484"/>
      <c r="T23" s="486"/>
      <c r="U23" s="486"/>
    </row>
    <row r="24" spans="1:21" ht="11.25" customHeight="1" x14ac:dyDescent="0.2">
      <c r="A24">
        <v>21</v>
      </c>
      <c r="B24" s="21">
        <f>SECC1!O31</f>
        <v>-10.4</v>
      </c>
      <c r="C24" s="21">
        <f>IF(SECC1!R31="","",SECC1!R31)</f>
        <v>-7.6</v>
      </c>
      <c r="D24" s="21">
        <f>IF(SECC1!S31="","",SECC1!S31)</f>
        <v>-13.4</v>
      </c>
      <c r="E24" s="21" t="str">
        <f>IF(SECC1!X31="","",SECC1!X31)</f>
        <v/>
      </c>
      <c r="G24" s="797"/>
      <c r="H24" s="797"/>
      <c r="J24" s="21" t="str">
        <f>IF(SECC1!X31&gt;=5,SECC1!X31,"")</f>
        <v/>
      </c>
      <c r="K24" s="21" t="str">
        <f>IF(SECC1!X31&gt;=10,SECC1!X31,"")</f>
        <v/>
      </c>
      <c r="L24" s="21" t="str">
        <f>IF(SECC1!X31&gt;=50,SECC1!X31,"")</f>
        <v/>
      </c>
      <c r="M24" s="21" t="str">
        <f>IF(SECC1!X31&gt;=100,SECC1!X31,"")</f>
        <v/>
      </c>
      <c r="N24" s="21" t="str">
        <f>IF(SECC1!X31&gt;=150,SECC1!X31,"")</f>
        <v/>
      </c>
      <c r="O24">
        <v>21</v>
      </c>
      <c r="R24" s="484"/>
      <c r="S24" s="484"/>
      <c r="T24" s="486"/>
      <c r="U24" s="486"/>
    </row>
    <row r="25" spans="1:21" ht="11.25" customHeight="1" x14ac:dyDescent="0.2">
      <c r="A25">
        <v>22</v>
      </c>
      <c r="B25" s="21">
        <f>SECC1!O32</f>
        <v>-8.6750000000000007</v>
      </c>
      <c r="C25" s="21">
        <f>IF(SECC1!R32="","",SECC1!R32)</f>
        <v>-6.4</v>
      </c>
      <c r="D25" s="21">
        <f>IF(SECC1!S32="","",SECC1!S32)</f>
        <v>-12.1</v>
      </c>
      <c r="E25" s="21">
        <f>IF(SECC1!X32="","",SECC1!X32)</f>
        <v>1.2</v>
      </c>
      <c r="G25" s="797"/>
      <c r="H25" s="797"/>
      <c r="J25" s="21" t="str">
        <f>IF(SECC1!X32&gt;=5,SECC1!X32,"")</f>
        <v/>
      </c>
      <c r="K25" s="21" t="str">
        <f>IF(SECC1!X32&gt;=10,SECC1!X32,"")</f>
        <v/>
      </c>
      <c r="L25" s="21" t="str">
        <f>IF(SECC1!X32&gt;=50,SECC1!X32,"")</f>
        <v/>
      </c>
      <c r="M25" s="21" t="str">
        <f>IF(SECC1!X32&gt;=100,SECC1!X32,"")</f>
        <v/>
      </c>
      <c r="N25" s="21" t="str">
        <f>IF(SECC1!X32&gt;=150,SECC1!X32,"")</f>
        <v/>
      </c>
      <c r="O25">
        <v>22</v>
      </c>
      <c r="R25" s="484"/>
      <c r="S25" s="484"/>
      <c r="T25" s="486"/>
      <c r="U25" s="486"/>
    </row>
    <row r="26" spans="1:21" ht="11.25" customHeight="1" x14ac:dyDescent="0.2">
      <c r="A26">
        <v>23</v>
      </c>
      <c r="B26" s="21">
        <f>SECC1!O33</f>
        <v>-7.125</v>
      </c>
      <c r="C26" s="21">
        <f>IF(SECC1!R33="","",SECC1!R33)</f>
        <v>-6.3</v>
      </c>
      <c r="D26" s="21">
        <f>IF(SECC1!S33="","",SECC1!S33)</f>
        <v>-9.6999999999999993</v>
      </c>
      <c r="E26" s="21">
        <f>IF(SECC1!X33="","",SECC1!X33)</f>
        <v>0</v>
      </c>
      <c r="G26" s="797"/>
      <c r="H26" s="797"/>
      <c r="J26" s="21" t="str">
        <f>IF(SECC1!X33&gt;=5,SECC1!X33,"")</f>
        <v/>
      </c>
      <c r="K26" s="21" t="str">
        <f>IF(SECC1!X33&gt;=10,SECC1!X33,"")</f>
        <v/>
      </c>
      <c r="L26" s="21" t="str">
        <f>IF(SECC1!X33&gt;=50,SECC1!X33,"")</f>
        <v/>
      </c>
      <c r="M26" s="21" t="str">
        <f>IF(SECC1!X33&gt;=100,SECC1!X33,"")</f>
        <v/>
      </c>
      <c r="N26" s="21" t="str">
        <f>IF(SECC1!X33&gt;=150,SECC1!X33,"")</f>
        <v/>
      </c>
      <c r="O26">
        <v>23</v>
      </c>
      <c r="R26" s="484"/>
      <c r="S26" s="484"/>
      <c r="T26" s="486"/>
      <c r="U26" s="486"/>
    </row>
    <row r="27" spans="1:21" ht="11.25" customHeight="1" x14ac:dyDescent="0.2">
      <c r="A27">
        <v>24</v>
      </c>
      <c r="B27" s="21">
        <f>SECC1!O34</f>
        <v>-3.85</v>
      </c>
      <c r="C27" s="21">
        <f>IF(SECC1!R34="","",SECC1!R34)</f>
        <v>-1.6</v>
      </c>
      <c r="D27" s="21">
        <f>IF(SECC1!S34="","",SECC1!S34)</f>
        <v>-8.1</v>
      </c>
      <c r="E27" s="21">
        <f>IF(SECC1!X34="","",SECC1!X34)</f>
        <v>5.7</v>
      </c>
      <c r="G27" s="797"/>
      <c r="H27" s="797"/>
      <c r="J27" s="21">
        <f>IF(SECC1!X34&gt;=5,SECC1!X34,"")</f>
        <v>5.7</v>
      </c>
      <c r="K27" s="21" t="str">
        <f>IF(SECC1!X34&gt;=10,SECC1!X34,"")</f>
        <v/>
      </c>
      <c r="L27" s="21" t="str">
        <f>IF(SECC1!X34&gt;=50,SECC1!X34,"")</f>
        <v/>
      </c>
      <c r="M27" s="21" t="str">
        <f>IF(SECC1!X34&gt;=100,SECC1!X34,"")</f>
        <v/>
      </c>
      <c r="N27" s="21" t="str">
        <f>IF(SECC1!X34&gt;=150,SECC1!X34,"")</f>
        <v/>
      </c>
      <c r="O27">
        <v>24</v>
      </c>
      <c r="R27" s="484"/>
      <c r="S27" s="484"/>
      <c r="T27" s="486"/>
      <c r="U27" s="486"/>
    </row>
    <row r="28" spans="1:21" ht="11.25" customHeight="1" x14ac:dyDescent="0.2">
      <c r="A28">
        <v>25</v>
      </c>
      <c r="B28" s="21">
        <f>SECC1!O35</f>
        <v>-2</v>
      </c>
      <c r="C28" s="21">
        <f>IF(SECC1!R35="","",SECC1!R35)</f>
        <v>-0.5</v>
      </c>
      <c r="D28" s="21">
        <f>IF(SECC1!S35="","",SECC1!S35)</f>
        <v>-3.7</v>
      </c>
      <c r="E28" s="21">
        <f>IF(SECC1!X35="","",SECC1!X35)</f>
        <v>0.4</v>
      </c>
      <c r="G28" s="797"/>
      <c r="H28" s="797"/>
      <c r="J28" s="21" t="str">
        <f>IF(SECC1!X35&gt;=5,SECC1!X35,"")</f>
        <v/>
      </c>
      <c r="K28" s="21" t="str">
        <f>IF(SECC1!X35&gt;=10,SECC1!X35,"")</f>
        <v/>
      </c>
      <c r="L28" s="21" t="str">
        <f>IF(SECC1!X35&gt;=50,SECC1!X35,"")</f>
        <v/>
      </c>
      <c r="M28" s="21" t="str">
        <f>IF(SECC1!X35&gt;=100,SECC1!X35,"")</f>
        <v/>
      </c>
      <c r="N28" s="21" t="str">
        <f>IF(SECC1!X35&gt;=150,SECC1!X35,"")</f>
        <v/>
      </c>
      <c r="O28">
        <v>25</v>
      </c>
      <c r="R28" s="484"/>
      <c r="S28" s="484"/>
      <c r="T28" s="486"/>
      <c r="U28" s="486"/>
    </row>
    <row r="29" spans="1:21" ht="11.25" customHeight="1" x14ac:dyDescent="0.2">
      <c r="A29">
        <v>26</v>
      </c>
      <c r="B29" s="21">
        <f>SECC1!O36</f>
        <v>-4.9000000000000004</v>
      </c>
      <c r="C29" s="21">
        <f>IF(SECC1!R36="","",SECC1!R36)</f>
        <v>-2.6</v>
      </c>
      <c r="D29" s="21">
        <f>IF(SECC1!S36="","",SECC1!S36)</f>
        <v>-7.6</v>
      </c>
      <c r="E29" s="21" t="str">
        <f>IF(SECC1!X36="","",SECC1!X36)</f>
        <v/>
      </c>
      <c r="G29" s="797"/>
      <c r="H29" s="797"/>
      <c r="J29" s="21" t="str">
        <f>IF(SECC1!X36&gt;=5,SECC1!X36,"")</f>
        <v/>
      </c>
      <c r="K29" s="21" t="str">
        <f>IF(SECC1!X36&gt;=10,SECC1!X36,"")</f>
        <v/>
      </c>
      <c r="L29" s="21" t="str">
        <f>IF(SECC1!X36&gt;=50,SECC1!X36,"")</f>
        <v/>
      </c>
      <c r="M29" s="21" t="str">
        <f>IF(SECC1!X36&gt;=100,SECC1!X36,"")</f>
        <v/>
      </c>
      <c r="N29" s="21" t="str">
        <f>IF(SECC1!X36&gt;=150,SECC1!X36,"")</f>
        <v/>
      </c>
      <c r="O29">
        <v>26</v>
      </c>
      <c r="R29" s="484"/>
      <c r="S29" s="484"/>
      <c r="T29" s="486"/>
      <c r="U29" s="486"/>
    </row>
    <row r="30" spans="1:21" ht="11.25" customHeight="1" x14ac:dyDescent="0.2">
      <c r="A30">
        <v>27</v>
      </c>
      <c r="B30" s="21">
        <f>SECC1!O37</f>
        <v>-4.3</v>
      </c>
      <c r="C30" s="21">
        <f>IF(SECC1!R37="","",SECC1!R37)</f>
        <v>-2.5</v>
      </c>
      <c r="D30" s="21">
        <f>IF(SECC1!S37="","",SECC1!S37)</f>
        <v>-7.9</v>
      </c>
      <c r="E30" s="21" t="str">
        <f>IF(SECC1!X37="","",SECC1!X37)</f>
        <v/>
      </c>
      <c r="G30" s="797"/>
      <c r="H30" s="797"/>
      <c r="J30" s="21" t="str">
        <f>IF(SECC1!X37&gt;=5,SECC1!X37,"")</f>
        <v/>
      </c>
      <c r="K30" s="21" t="str">
        <f>IF(SECC1!X37&gt;=10,SECC1!X37,"")</f>
        <v/>
      </c>
      <c r="L30" s="21" t="str">
        <f>IF(SECC1!X37&gt;=50,SECC1!X37,"")</f>
        <v/>
      </c>
      <c r="M30" s="21" t="str">
        <f>IF(SECC1!X37&gt;=100,SECC1!X37,"")</f>
        <v/>
      </c>
      <c r="N30" s="21" t="str">
        <f>IF(SECC1!X37&gt;=150,SECC1!X37,"")</f>
        <v/>
      </c>
      <c r="O30">
        <v>27</v>
      </c>
    </row>
    <row r="31" spans="1:21" x14ac:dyDescent="0.2">
      <c r="A31">
        <v>28</v>
      </c>
      <c r="B31" s="21">
        <f>SECC1!O38</f>
        <v>-5.65</v>
      </c>
      <c r="C31" s="21">
        <f>IF(SECC1!R38="","",SECC1!R38)</f>
        <v>-4</v>
      </c>
      <c r="D31" s="21">
        <f>IF(SECC1!S38="","",SECC1!S38)</f>
        <v>-7</v>
      </c>
      <c r="E31" s="21" t="str">
        <f>IF(SECC1!X38="","",SECC1!X38)</f>
        <v/>
      </c>
      <c r="G31" s="797"/>
      <c r="H31" s="797"/>
      <c r="J31" s="21" t="str">
        <f>IF(SECC1!X38&gt;=5,SECC1!X38,"")</f>
        <v/>
      </c>
      <c r="K31" s="21" t="str">
        <f>IF(SECC1!X38&gt;=10,SECC1!X38,"")</f>
        <v/>
      </c>
      <c r="L31" s="21" t="str">
        <f>IF(SECC1!X38&gt;=50,SECC1!X38,"")</f>
        <v/>
      </c>
      <c r="M31" s="21" t="str">
        <f>IF(SECC1!X38&gt;=100,SECC1!X38,"")</f>
        <v/>
      </c>
      <c r="N31" s="21" t="str">
        <f>IF(SECC1!X38&gt;=150,SECC1!X38,"")</f>
        <v/>
      </c>
      <c r="O31">
        <v>28</v>
      </c>
    </row>
    <row r="32" spans="1:21" x14ac:dyDescent="0.2">
      <c r="A32">
        <v>29</v>
      </c>
      <c r="B32" s="21">
        <f>SECC1!O39</f>
        <v>-6.6749999999999989</v>
      </c>
      <c r="C32" s="21">
        <f>IF(SECC1!R39="","",SECC1!R39)</f>
        <v>-5.4</v>
      </c>
      <c r="D32" s="21">
        <f>IF(SECC1!S39="","",SECC1!S39)</f>
        <v>-9.8000000000000007</v>
      </c>
      <c r="E32" s="21">
        <f>IF(SECC1!X39="","",SECC1!X39)</f>
        <v>0.4</v>
      </c>
      <c r="G32" s="797"/>
      <c r="H32" s="797"/>
      <c r="J32" s="21" t="str">
        <f>IF(SECC1!X39&gt;=5,SECC1!X39,"")</f>
        <v/>
      </c>
      <c r="K32" s="21" t="str">
        <f>IF(SECC1!X39&gt;=10,SECC1!X39,"")</f>
        <v/>
      </c>
      <c r="L32" s="21" t="str">
        <f>IF(SECC1!X39&gt;=50,SECC1!X39,"")</f>
        <v/>
      </c>
      <c r="M32" s="21" t="str">
        <f>IF(SECC1!X39&gt;=100,SECC1!X39,"")</f>
        <v/>
      </c>
      <c r="N32" s="21" t="str">
        <f>IF(SECC1!X39&gt;=150,SECC1!X39,"")</f>
        <v/>
      </c>
      <c r="O32">
        <v>29</v>
      </c>
    </row>
    <row r="33" spans="1:15" x14ac:dyDescent="0.2">
      <c r="A33">
        <v>30</v>
      </c>
      <c r="B33" s="21">
        <f>SECC1!O40</f>
        <v>-4.9749999999999996</v>
      </c>
      <c r="C33" s="21">
        <f>IF(SECC1!R40="","",SECC1!R40)</f>
        <v>-3.4</v>
      </c>
      <c r="D33" s="21">
        <f>IF(SECC1!S40="","",SECC1!S40)</f>
        <v>-10.1</v>
      </c>
      <c r="E33" s="21" t="str">
        <f>IF(SECC1!X40="","",SECC1!X40)</f>
        <v/>
      </c>
      <c r="G33" s="797"/>
      <c r="H33" s="797"/>
      <c r="J33" s="21" t="str">
        <f>IF(SECC1!X40&gt;=5,SECC1!X40,"")</f>
        <v/>
      </c>
      <c r="K33" s="21" t="str">
        <f>IF(SECC1!X40&gt;=10,SECC1!X40,"")</f>
        <v/>
      </c>
      <c r="L33" s="21" t="str">
        <f>IF(SECC1!X40&gt;=50,SECC1!X40,"")</f>
        <v/>
      </c>
      <c r="M33" s="21" t="str">
        <f>IF(SECC1!X40&gt;=100,SECC1!X40,"")</f>
        <v/>
      </c>
      <c r="N33" s="21" t="str">
        <f>IF(SECC1!X40&gt;=150,SECC1!X40,"")</f>
        <v/>
      </c>
      <c r="O33">
        <v>30</v>
      </c>
    </row>
    <row r="34" spans="1:15" ht="12" thickBot="1" x14ac:dyDescent="0.25">
      <c r="A34">
        <v>31</v>
      </c>
      <c r="B34" s="21" t="str">
        <f>SECC1!O41</f>
        <v/>
      </c>
      <c r="C34" s="21" t="str">
        <f>IF(SECC1!R41="","",SECC1!R41)</f>
        <v/>
      </c>
      <c r="D34" s="21" t="str">
        <f>IF(SECC1!S41="","",SECC1!S41)</f>
        <v/>
      </c>
      <c r="E34" s="21" t="str">
        <f>IF(SECC1!X41="","",SECC1!X41)</f>
        <v/>
      </c>
      <c r="G34" s="797"/>
      <c r="H34" s="797"/>
      <c r="J34" s="28" t="str">
        <f>IF(SECC1!X41&gt;=5,SECC1!X41,"")</f>
        <v/>
      </c>
      <c r="K34" s="28" t="str">
        <f>IF(SECC1!X41&gt;=10,SECC1!X41,"")</f>
        <v/>
      </c>
      <c r="L34" s="28" t="str">
        <f>IF(SECC1!X41&gt;=50,SECC1!X41,"")</f>
        <v/>
      </c>
      <c r="M34" s="28" t="str">
        <f>IF(SECC1!X41&gt;=100,SECC1!X41,"")</f>
        <v/>
      </c>
      <c r="N34" s="28" t="str">
        <f>IF(SECC1!X41&gt;=150,SECC1!X41,"")</f>
        <v/>
      </c>
      <c r="O34">
        <v>31</v>
      </c>
    </row>
    <row r="35" spans="1:15" ht="12" thickBot="1" x14ac:dyDescent="0.25">
      <c r="J35" s="29">
        <f>COUNT(J4:J34)</f>
        <v>4</v>
      </c>
      <c r="K35" s="32">
        <f>COUNT(K4:K34)</f>
        <v>0</v>
      </c>
      <c r="L35" s="30">
        <f>COUNT(L4:L34)</f>
        <v>0</v>
      </c>
      <c r="M35" s="32">
        <f>COUNT(M4:M34)</f>
        <v>0</v>
      </c>
      <c r="N35" s="31">
        <f>COUNT(N4:N34)</f>
        <v>0</v>
      </c>
    </row>
    <row r="39" spans="1:15" x14ac:dyDescent="0.2">
      <c r="B39" t="s">
        <v>218</v>
      </c>
    </row>
    <row r="41" spans="1:15" x14ac:dyDescent="0.2">
      <c r="B41" t="s">
        <v>219</v>
      </c>
      <c r="C41">
        <f>COUNTIF((B4:B34),SECC4!C10)</f>
        <v>1</v>
      </c>
    </row>
    <row r="42" spans="1:15" x14ac:dyDescent="0.2">
      <c r="B42" t="s">
        <v>220</v>
      </c>
      <c r="C42">
        <f>COUNTIF((B4:B34),SECC4!C15)</f>
        <v>1</v>
      </c>
    </row>
    <row r="43" spans="1:15" x14ac:dyDescent="0.2">
      <c r="B43" t="s">
        <v>221</v>
      </c>
      <c r="C43">
        <f>COUNTIF((C4:C34),SECC4!C20)</f>
        <v>1</v>
      </c>
    </row>
    <row r="44" spans="1:15" x14ac:dyDescent="0.2">
      <c r="B44" t="s">
        <v>222</v>
      </c>
      <c r="C44">
        <f>COUNTIF((D4:D34),SECC4!C25)</f>
        <v>1</v>
      </c>
    </row>
    <row r="45" spans="1:15" x14ac:dyDescent="0.2">
      <c r="B45" t="s">
        <v>223</v>
      </c>
      <c r="C45">
        <f>COUNTIF((E4:E34),SECC4!C30)</f>
        <v>1</v>
      </c>
    </row>
    <row r="46" spans="1:15" x14ac:dyDescent="0.2">
      <c r="B46" t="s">
        <v>233</v>
      </c>
      <c r="C46">
        <f>COUNTIF(Extremos!W4:W34,SECC4!C35)</f>
        <v>1</v>
      </c>
    </row>
    <row r="47" spans="1:15" x14ac:dyDescent="0.2">
      <c r="B47" t="s">
        <v>228</v>
      </c>
      <c r="C47">
        <f>IF(SECC1!H2=2,8,IF(OR(SECC1!H2=1,SECC1!H2=3,SECC1!H2=5,SECC1!H2=7,SECC1!H2=8,SECC1!H2=10,SECC1!H2=12),5,6))</f>
        <v>6</v>
      </c>
    </row>
    <row r="51" spans="2:10" x14ac:dyDescent="0.2">
      <c r="E51" s="440" t="s">
        <v>267</v>
      </c>
    </row>
    <row r="52" spans="2:10" x14ac:dyDescent="0.2">
      <c r="B52" s="133"/>
      <c r="C52" s="133"/>
      <c r="D52" s="133"/>
    </row>
    <row r="53" spans="2:10" x14ac:dyDescent="0.2">
      <c r="B53" s="133"/>
      <c r="C53" s="133"/>
      <c r="D53" s="448"/>
      <c r="E53">
        <v>1</v>
      </c>
      <c r="F53" s="3">
        <f>IF(D4="",99,D4)</f>
        <v>0.1</v>
      </c>
      <c r="G53">
        <f>IF(F53&lt;=0,-1,0)</f>
        <v>0</v>
      </c>
      <c r="H53">
        <v>31</v>
      </c>
      <c r="I53" s="3">
        <f>F83</f>
        <v>99</v>
      </c>
      <c r="J53">
        <f>IF(I53&lt;=0,-1,0)</f>
        <v>0</v>
      </c>
    </row>
    <row r="54" spans="2:10" x14ac:dyDescent="0.2">
      <c r="B54" s="449"/>
      <c r="C54" s="133"/>
      <c r="D54" s="448"/>
      <c r="E54">
        <v>2</v>
      </c>
      <c r="F54" s="3">
        <f t="shared" ref="F54:F83" si="0">IF(D5="",99,D5)</f>
        <v>-2.6</v>
      </c>
      <c r="G54">
        <f>IF(G53=0,IF(F54&lt;=0,-1,0),0)</f>
        <v>-1</v>
      </c>
      <c r="H54">
        <v>30</v>
      </c>
      <c r="I54" s="3">
        <f>F82</f>
        <v>-10.1</v>
      </c>
      <c r="J54">
        <f>IF(J53=0,IF(I54&lt;=0,-1,0),0)</f>
        <v>-1</v>
      </c>
    </row>
    <row r="55" spans="2:10" x14ac:dyDescent="0.2">
      <c r="B55" s="449"/>
      <c r="C55" s="133"/>
      <c r="D55" s="448"/>
      <c r="E55">
        <v>3</v>
      </c>
      <c r="F55" s="3">
        <f t="shared" si="0"/>
        <v>-3.9</v>
      </c>
      <c r="G55">
        <f t="shared" ref="G55:G83" si="1">IF(G54=0,IF(F55&lt;=0,-1,0),0)</f>
        <v>0</v>
      </c>
      <c r="H55">
        <v>29</v>
      </c>
      <c r="I55" s="3">
        <f>F81</f>
        <v>-9.8000000000000007</v>
      </c>
      <c r="J55">
        <f t="shared" ref="J55:J83" si="2">IF(J54=0,IF(I55&lt;=0,-1,0),0)</f>
        <v>0</v>
      </c>
    </row>
    <row r="56" spans="2:10" x14ac:dyDescent="0.2">
      <c r="B56" s="133"/>
      <c r="C56" s="133"/>
      <c r="D56" s="133"/>
      <c r="E56">
        <v>4</v>
      </c>
      <c r="F56" s="3">
        <f t="shared" si="0"/>
        <v>-10.1</v>
      </c>
      <c r="G56">
        <f t="shared" si="1"/>
        <v>-1</v>
      </c>
      <c r="H56">
        <v>28</v>
      </c>
      <c r="I56" s="3">
        <f>F80</f>
        <v>-7</v>
      </c>
      <c r="J56">
        <f t="shared" si="2"/>
        <v>-1</v>
      </c>
    </row>
    <row r="57" spans="2:10" x14ac:dyDescent="0.2">
      <c r="B57" s="133"/>
      <c r="C57" s="133"/>
      <c r="D57" s="133"/>
      <c r="E57">
        <v>5</v>
      </c>
      <c r="F57" s="3">
        <f t="shared" si="0"/>
        <v>-9.3000000000000007</v>
      </c>
      <c r="G57">
        <f t="shared" si="1"/>
        <v>0</v>
      </c>
      <c r="H57">
        <v>27</v>
      </c>
      <c r="I57" s="3">
        <f>F79</f>
        <v>-7.9</v>
      </c>
      <c r="J57">
        <f t="shared" si="2"/>
        <v>0</v>
      </c>
    </row>
    <row r="58" spans="2:10" x14ac:dyDescent="0.2">
      <c r="B58" s="133"/>
      <c r="C58" s="133"/>
      <c r="D58" s="133"/>
      <c r="E58">
        <v>6</v>
      </c>
      <c r="F58" s="3">
        <f t="shared" si="0"/>
        <v>-8.6999999999999993</v>
      </c>
      <c r="G58">
        <f t="shared" si="1"/>
        <v>-1</v>
      </c>
      <c r="H58">
        <v>26</v>
      </c>
      <c r="I58" s="3">
        <f>F78</f>
        <v>-7.6</v>
      </c>
      <c r="J58">
        <f t="shared" si="2"/>
        <v>-1</v>
      </c>
    </row>
    <row r="59" spans="2:10" x14ac:dyDescent="0.2">
      <c r="E59">
        <v>7</v>
      </c>
      <c r="F59" s="3">
        <f t="shared" si="0"/>
        <v>-3.7</v>
      </c>
      <c r="G59">
        <f t="shared" si="1"/>
        <v>0</v>
      </c>
      <c r="H59">
        <v>25</v>
      </c>
      <c r="I59" s="3">
        <f>F77</f>
        <v>-3.7</v>
      </c>
      <c r="J59">
        <f t="shared" si="2"/>
        <v>0</v>
      </c>
    </row>
    <row r="60" spans="2:10" x14ac:dyDescent="0.2">
      <c r="E60">
        <v>8</v>
      </c>
      <c r="F60" s="3">
        <f t="shared" si="0"/>
        <v>-3.8</v>
      </c>
      <c r="G60">
        <f t="shared" si="1"/>
        <v>-1</v>
      </c>
      <c r="H60">
        <v>24</v>
      </c>
      <c r="I60" s="3">
        <f>F76</f>
        <v>-8.1</v>
      </c>
      <c r="J60">
        <f t="shared" si="2"/>
        <v>-1</v>
      </c>
    </row>
    <row r="61" spans="2:10" x14ac:dyDescent="0.2">
      <c r="E61">
        <v>9</v>
      </c>
      <c r="F61" s="3">
        <f t="shared" si="0"/>
        <v>-5.0999999999999996</v>
      </c>
      <c r="G61">
        <f t="shared" si="1"/>
        <v>0</v>
      </c>
      <c r="H61">
        <v>23</v>
      </c>
      <c r="I61" s="3">
        <f>F75</f>
        <v>-9.6999999999999993</v>
      </c>
      <c r="J61">
        <f t="shared" si="2"/>
        <v>0</v>
      </c>
    </row>
    <row r="62" spans="2:10" ht="12.75" x14ac:dyDescent="0.2">
      <c r="E62" s="441">
        <v>10</v>
      </c>
      <c r="F62" s="3">
        <f t="shared" si="0"/>
        <v>-2.7</v>
      </c>
      <c r="G62">
        <f t="shared" si="1"/>
        <v>-1</v>
      </c>
      <c r="H62">
        <v>22</v>
      </c>
      <c r="I62" s="3">
        <f>F74</f>
        <v>-12.1</v>
      </c>
      <c r="J62">
        <f t="shared" si="2"/>
        <v>-1</v>
      </c>
    </row>
    <row r="63" spans="2:10" x14ac:dyDescent="0.2">
      <c r="E63">
        <v>11</v>
      </c>
      <c r="F63" s="3">
        <f t="shared" si="0"/>
        <v>-1.1000000000000001</v>
      </c>
      <c r="G63">
        <f t="shared" si="1"/>
        <v>0</v>
      </c>
      <c r="H63">
        <v>21</v>
      </c>
      <c r="I63" s="3">
        <f>F73</f>
        <v>-13.4</v>
      </c>
      <c r="J63">
        <f t="shared" si="2"/>
        <v>0</v>
      </c>
    </row>
    <row r="64" spans="2:10" ht="12.75" x14ac:dyDescent="0.2">
      <c r="E64">
        <v>12</v>
      </c>
      <c r="F64" s="3">
        <f t="shared" si="0"/>
        <v>-5.0999999999999996</v>
      </c>
      <c r="G64">
        <f t="shared" si="1"/>
        <v>-1</v>
      </c>
      <c r="H64" s="441">
        <v>20</v>
      </c>
      <c r="I64" s="3">
        <f>F72</f>
        <v>-12.7</v>
      </c>
      <c r="J64">
        <f t="shared" si="2"/>
        <v>-1</v>
      </c>
    </row>
    <row r="65" spans="2:10" x14ac:dyDescent="0.2">
      <c r="E65">
        <v>13</v>
      </c>
      <c r="F65" s="3">
        <f t="shared" si="0"/>
        <v>-3.4</v>
      </c>
      <c r="G65">
        <f t="shared" si="1"/>
        <v>0</v>
      </c>
      <c r="H65">
        <v>19</v>
      </c>
      <c r="I65" s="3">
        <f>F71</f>
        <v>-13.5</v>
      </c>
      <c r="J65">
        <f t="shared" si="2"/>
        <v>0</v>
      </c>
    </row>
    <row r="66" spans="2:10" ht="12.75" x14ac:dyDescent="0.2">
      <c r="B66" s="442" t="s">
        <v>268</v>
      </c>
      <c r="C66" s="443" t="s">
        <v>269</v>
      </c>
      <c r="E66">
        <v>14</v>
      </c>
      <c r="F66" s="3">
        <f t="shared" si="0"/>
        <v>-2.4</v>
      </c>
      <c r="G66">
        <f t="shared" si="1"/>
        <v>-1</v>
      </c>
      <c r="H66">
        <v>18</v>
      </c>
      <c r="I66" s="3">
        <f>F70</f>
        <v>-4.0999999999999996</v>
      </c>
      <c r="J66">
        <f t="shared" si="2"/>
        <v>-1</v>
      </c>
    </row>
    <row r="67" spans="2:10" x14ac:dyDescent="0.2">
      <c r="B67" s="444">
        <f>MATCH(-1,G53:G83,0)</f>
        <v>2</v>
      </c>
      <c r="C67" s="444">
        <f>32-MATCH(-1,J53:J83,0)</f>
        <v>30</v>
      </c>
      <c r="E67">
        <v>15</v>
      </c>
      <c r="F67" s="3">
        <f t="shared" si="0"/>
        <v>-2.1</v>
      </c>
      <c r="G67">
        <f t="shared" si="1"/>
        <v>0</v>
      </c>
      <c r="H67">
        <v>17</v>
      </c>
      <c r="I67" s="3">
        <f>F69</f>
        <v>-3.6</v>
      </c>
      <c r="J67">
        <f t="shared" si="2"/>
        <v>0</v>
      </c>
    </row>
    <row r="68" spans="2:10" x14ac:dyDescent="0.2">
      <c r="B68" s="444">
        <f>IF(B67&lt;16,CHOOSE(B67,F53,F54,F55,F56,F57,F58,F59,F60,F61,F62,F63,F64,F65,F66,F67),CHOOSE((B67-15),F68,F69,F70,F71,F72,F73,F74,F75,F76,F77,F78,F79,F80,F81,F82,F83))</f>
        <v>-2.6</v>
      </c>
      <c r="C68" s="444">
        <f>MATCH(-1,J53:J83,0)</f>
        <v>2</v>
      </c>
      <c r="E68">
        <v>16</v>
      </c>
      <c r="F68" s="3">
        <f t="shared" si="0"/>
        <v>-3.7</v>
      </c>
      <c r="G68">
        <f t="shared" si="1"/>
        <v>-1</v>
      </c>
      <c r="H68">
        <v>16</v>
      </c>
      <c r="I68" s="3">
        <f>F68</f>
        <v>-3.7</v>
      </c>
      <c r="J68">
        <f t="shared" si="2"/>
        <v>-1</v>
      </c>
    </row>
    <row r="69" spans="2:10" x14ac:dyDescent="0.2">
      <c r="B69" s="445"/>
      <c r="C69" s="446">
        <f>IF(C68&lt;16,CHOOSE(C68,I53,I54,I55,I56,I57,I58,I59,I60,I61,I62,I63,I64,I65,I66,I67),CHOOSE((C68-15),I68,I69,I70,I71,I72,I73,I74,I75,I76,I77,I78,I79,I80,I81,I82,I83))</f>
        <v>-10.1</v>
      </c>
      <c r="E69">
        <v>17</v>
      </c>
      <c r="F69" s="3">
        <f t="shared" si="0"/>
        <v>-3.6</v>
      </c>
      <c r="G69">
        <f t="shared" si="1"/>
        <v>0</v>
      </c>
      <c r="H69">
        <v>15</v>
      </c>
      <c r="I69" s="3">
        <f>F67</f>
        <v>-2.1</v>
      </c>
      <c r="J69">
        <f t="shared" si="2"/>
        <v>0</v>
      </c>
    </row>
    <row r="70" spans="2:10" x14ac:dyDescent="0.2">
      <c r="E70">
        <v>18</v>
      </c>
      <c r="F70" s="3">
        <f t="shared" si="0"/>
        <v>-4.0999999999999996</v>
      </c>
      <c r="G70">
        <f t="shared" si="1"/>
        <v>-1</v>
      </c>
      <c r="H70">
        <v>14</v>
      </c>
      <c r="I70" s="3">
        <f>F66</f>
        <v>-2.4</v>
      </c>
      <c r="J70">
        <f t="shared" si="2"/>
        <v>-1</v>
      </c>
    </row>
    <row r="71" spans="2:10" x14ac:dyDescent="0.2">
      <c r="E71">
        <v>19</v>
      </c>
      <c r="F71" s="3">
        <f t="shared" si="0"/>
        <v>-13.5</v>
      </c>
      <c r="G71">
        <f t="shared" si="1"/>
        <v>0</v>
      </c>
      <c r="H71">
        <v>13</v>
      </c>
      <c r="I71" s="3">
        <f>F65</f>
        <v>-3.4</v>
      </c>
      <c r="J71">
        <f t="shared" si="2"/>
        <v>0</v>
      </c>
    </row>
    <row r="72" spans="2:10" ht="12.75" x14ac:dyDescent="0.2">
      <c r="E72" s="447">
        <v>20</v>
      </c>
      <c r="F72" s="3">
        <f t="shared" si="0"/>
        <v>-12.7</v>
      </c>
      <c r="G72">
        <f t="shared" si="1"/>
        <v>-1</v>
      </c>
      <c r="H72">
        <v>12</v>
      </c>
      <c r="I72" s="3">
        <f>F64</f>
        <v>-5.0999999999999996</v>
      </c>
      <c r="J72">
        <f t="shared" si="2"/>
        <v>-1</v>
      </c>
    </row>
    <row r="73" spans="2:10" x14ac:dyDescent="0.2">
      <c r="E73">
        <v>21</v>
      </c>
      <c r="F73" s="3">
        <f t="shared" si="0"/>
        <v>-13.4</v>
      </c>
      <c r="G73">
        <f t="shared" si="1"/>
        <v>0</v>
      </c>
      <c r="H73">
        <v>11</v>
      </c>
      <c r="I73" s="3">
        <f>F63</f>
        <v>-1.1000000000000001</v>
      </c>
      <c r="J73">
        <f t="shared" si="2"/>
        <v>0</v>
      </c>
    </row>
    <row r="74" spans="2:10" ht="12.75" x14ac:dyDescent="0.2">
      <c r="E74">
        <v>22</v>
      </c>
      <c r="F74" s="3">
        <f t="shared" si="0"/>
        <v>-12.1</v>
      </c>
      <c r="G74">
        <f t="shared" si="1"/>
        <v>-1</v>
      </c>
      <c r="H74" s="441">
        <v>10</v>
      </c>
      <c r="I74" s="3">
        <f>F62</f>
        <v>-2.7</v>
      </c>
      <c r="J74">
        <f t="shared" si="2"/>
        <v>-1</v>
      </c>
    </row>
    <row r="75" spans="2:10" x14ac:dyDescent="0.2">
      <c r="E75">
        <v>23</v>
      </c>
      <c r="F75" s="3">
        <f t="shared" si="0"/>
        <v>-9.6999999999999993</v>
      </c>
      <c r="G75">
        <f t="shared" si="1"/>
        <v>0</v>
      </c>
      <c r="H75">
        <v>9</v>
      </c>
      <c r="I75" s="3">
        <f>F61</f>
        <v>-5.0999999999999996</v>
      </c>
      <c r="J75">
        <f t="shared" si="2"/>
        <v>0</v>
      </c>
    </row>
    <row r="76" spans="2:10" x14ac:dyDescent="0.2">
      <c r="E76">
        <v>24</v>
      </c>
      <c r="F76" s="3">
        <f t="shared" si="0"/>
        <v>-8.1</v>
      </c>
      <c r="G76">
        <f t="shared" si="1"/>
        <v>-1</v>
      </c>
      <c r="H76">
        <v>8</v>
      </c>
      <c r="I76" s="3">
        <f>F60</f>
        <v>-3.8</v>
      </c>
      <c r="J76">
        <f t="shared" si="2"/>
        <v>-1</v>
      </c>
    </row>
    <row r="77" spans="2:10" x14ac:dyDescent="0.2">
      <c r="E77">
        <v>25</v>
      </c>
      <c r="F77" s="3">
        <f t="shared" si="0"/>
        <v>-3.7</v>
      </c>
      <c r="G77">
        <f>IF(G76=0,IF(F77&lt;=0,-1,0),0)</f>
        <v>0</v>
      </c>
      <c r="H77">
        <v>7</v>
      </c>
      <c r="I77" s="3">
        <f>F59</f>
        <v>-3.7</v>
      </c>
      <c r="J77">
        <f t="shared" si="2"/>
        <v>0</v>
      </c>
    </row>
    <row r="78" spans="2:10" x14ac:dyDescent="0.2">
      <c r="E78">
        <v>26</v>
      </c>
      <c r="F78" s="3">
        <f t="shared" si="0"/>
        <v>-7.6</v>
      </c>
      <c r="G78">
        <f t="shared" si="1"/>
        <v>-1</v>
      </c>
      <c r="H78">
        <v>6</v>
      </c>
      <c r="I78" s="3">
        <f>F58</f>
        <v>-8.6999999999999993</v>
      </c>
      <c r="J78">
        <f t="shared" si="2"/>
        <v>-1</v>
      </c>
    </row>
    <row r="79" spans="2:10" x14ac:dyDescent="0.2">
      <c r="E79">
        <v>27</v>
      </c>
      <c r="F79" s="3">
        <f t="shared" si="0"/>
        <v>-7.9</v>
      </c>
      <c r="G79">
        <f t="shared" si="1"/>
        <v>0</v>
      </c>
      <c r="H79">
        <v>5</v>
      </c>
      <c r="I79" s="3">
        <f>F57</f>
        <v>-9.3000000000000007</v>
      </c>
      <c r="J79">
        <f t="shared" si="2"/>
        <v>0</v>
      </c>
    </row>
    <row r="80" spans="2:10" x14ac:dyDescent="0.2">
      <c r="E80">
        <v>28</v>
      </c>
      <c r="F80" s="3">
        <f t="shared" si="0"/>
        <v>-7</v>
      </c>
      <c r="G80">
        <f t="shared" si="1"/>
        <v>-1</v>
      </c>
      <c r="H80">
        <v>4</v>
      </c>
      <c r="I80" s="3">
        <f>F56</f>
        <v>-10.1</v>
      </c>
      <c r="J80">
        <f t="shared" si="2"/>
        <v>-1</v>
      </c>
    </row>
    <row r="81" spans="5:10" x14ac:dyDescent="0.2">
      <c r="E81">
        <v>29</v>
      </c>
      <c r="F81" s="3">
        <f t="shared" si="0"/>
        <v>-9.8000000000000007</v>
      </c>
      <c r="G81">
        <f t="shared" si="1"/>
        <v>0</v>
      </c>
      <c r="H81">
        <v>3</v>
      </c>
      <c r="I81" s="3">
        <f>F55</f>
        <v>-3.9</v>
      </c>
      <c r="J81">
        <f t="shared" si="2"/>
        <v>0</v>
      </c>
    </row>
    <row r="82" spans="5:10" x14ac:dyDescent="0.2">
      <c r="E82">
        <v>30</v>
      </c>
      <c r="F82" s="3">
        <f t="shared" si="0"/>
        <v>-10.1</v>
      </c>
      <c r="G82">
        <f t="shared" si="1"/>
        <v>-1</v>
      </c>
      <c r="H82">
        <v>2</v>
      </c>
      <c r="I82" s="3">
        <f>F54</f>
        <v>-2.6</v>
      </c>
      <c r="J82">
        <f t="shared" si="2"/>
        <v>-1</v>
      </c>
    </row>
    <row r="83" spans="5:10" x14ac:dyDescent="0.2">
      <c r="E83">
        <v>31</v>
      </c>
      <c r="F83" s="3">
        <f t="shared" si="0"/>
        <v>99</v>
      </c>
      <c r="G83">
        <f t="shared" si="1"/>
        <v>0</v>
      </c>
      <c r="H83">
        <v>1</v>
      </c>
      <c r="I83" s="3">
        <f>F53</f>
        <v>0.1</v>
      </c>
      <c r="J83">
        <f t="shared" si="2"/>
        <v>0</v>
      </c>
    </row>
  </sheetData>
  <sheetProtection password="9EAD" sheet="1"/>
  <mergeCells count="1">
    <mergeCell ref="G9:H34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Ayuda</vt:lpstr>
      <vt:lpstr>Mensaje</vt:lpstr>
      <vt:lpstr>SECC1</vt:lpstr>
      <vt:lpstr>SECC3</vt:lpstr>
      <vt:lpstr>SECC4</vt:lpstr>
      <vt:lpstr>Extremos</vt:lpstr>
      <vt:lpstr>Quintil-Heliofanía-Corrección</vt:lpstr>
      <vt:lpstr>Auxiliar</vt:lpstr>
    </vt:vector>
  </TitlesOfParts>
  <Company>SMN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CLIMAT</dc:title>
  <dc:creator>Climatología</dc:creator>
  <cp:lastModifiedBy>Base San Martin</cp:lastModifiedBy>
  <cp:lastPrinted>2010-11-02T13:18:25Z</cp:lastPrinted>
  <dcterms:created xsi:type="dcterms:W3CDTF">2005-10-18T10:44:41Z</dcterms:created>
  <dcterms:modified xsi:type="dcterms:W3CDTF">2017-10-09T16:50:58Z</dcterms:modified>
</cp:coreProperties>
</file>