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3\Turma L3\"/>
    </mc:Choice>
  </mc:AlternateContent>
  <xr:revisionPtr revIDLastSave="7" documentId="8_{B0A70338-FF7C-4324-A456-B370E6F01415}" xr6:coauthVersionLast="36" xr6:coauthVersionMax="36" xr10:uidLastSave="{C6F00529-3B3E-4728-93AA-1DF2077EB7CE}"/>
  <bookViews>
    <workbookView xWindow="0" yWindow="0" windowWidth="20490" windowHeight="7245" tabRatio="814" xr2:uid="{00000000-000D-0000-FFFF-FFFF00000000}"/>
  </bookViews>
  <sheets>
    <sheet name="ROL_DRamos_Folhas" sheetId="17" r:id="rId1"/>
    <sheet name="Dados" sheetId="24" r:id="rId2"/>
    <sheet name="Idade" sheetId="4" r:id="rId3"/>
    <sheet name="Medidas 1" sheetId="6" state="hidden" r:id="rId4"/>
    <sheet name="Medidas 2" sheetId="15" state="hidden" r:id="rId5"/>
  </sheets>
  <calcPr calcId="191028"/>
</workbook>
</file>

<file path=xl/calcChain.xml><?xml version="1.0" encoding="utf-8"?>
<calcChain xmlns="http://schemas.openxmlformats.org/spreadsheetml/2006/main">
  <c r="H9" i="4" l="1"/>
  <c r="H8" i="4"/>
  <c r="H7" i="4"/>
  <c r="H6" i="4"/>
  <c r="H5" i="4"/>
  <c r="H4" i="4"/>
  <c r="B1" i="4"/>
  <c r="B4" i="4"/>
  <c r="B2" i="4"/>
  <c r="E86" i="24"/>
  <c r="E85" i="24"/>
  <c r="E84" i="24"/>
  <c r="E83" i="24"/>
  <c r="E82" i="24"/>
  <c r="E81" i="24"/>
  <c r="E80" i="24"/>
  <c r="E79" i="24"/>
  <c r="E78" i="24"/>
  <c r="E77" i="24"/>
  <c r="E76" i="24"/>
  <c r="E75" i="24"/>
  <c r="E74" i="24"/>
  <c r="E73" i="24"/>
  <c r="E72" i="24"/>
  <c r="E71" i="24"/>
  <c r="E70" i="24"/>
  <c r="E69" i="24"/>
  <c r="E68" i="24"/>
  <c r="E67" i="24"/>
  <c r="E66" i="24"/>
  <c r="E65" i="24"/>
  <c r="E64" i="24"/>
  <c r="E63" i="24"/>
  <c r="E62" i="24"/>
  <c r="E61" i="24"/>
  <c r="E60" i="24"/>
  <c r="E59" i="24"/>
  <c r="E58" i="24"/>
  <c r="E57" i="24"/>
  <c r="E56" i="24"/>
  <c r="E55" i="24"/>
  <c r="E54" i="24"/>
  <c r="E53" i="24"/>
  <c r="E52" i="24"/>
  <c r="E51" i="24"/>
  <c r="E50" i="24"/>
  <c r="E49" i="24"/>
  <c r="E48" i="24"/>
  <c r="E47" i="24"/>
  <c r="E46" i="24"/>
  <c r="E45" i="24"/>
  <c r="E44" i="24"/>
  <c r="E43" i="24"/>
  <c r="E42" i="24"/>
  <c r="E41" i="24"/>
  <c r="E40" i="24"/>
  <c r="E39" i="24"/>
  <c r="E38" i="24"/>
  <c r="E37" i="24"/>
  <c r="E36" i="24"/>
  <c r="E35" i="24"/>
  <c r="E34" i="24"/>
  <c r="E33" i="24"/>
  <c r="E32" i="24"/>
  <c r="E31" i="24"/>
  <c r="E30" i="24"/>
  <c r="E29" i="24"/>
  <c r="E28" i="24"/>
  <c r="E27" i="24"/>
  <c r="E26" i="24"/>
  <c r="E25" i="24"/>
  <c r="E24" i="24"/>
  <c r="E23" i="24"/>
  <c r="E22" i="24"/>
  <c r="E21" i="24"/>
  <c r="E20" i="24"/>
  <c r="E19" i="24"/>
  <c r="E18" i="24"/>
  <c r="E17" i="24"/>
  <c r="E16" i="24"/>
  <c r="E15" i="24"/>
  <c r="E14" i="24"/>
  <c r="E13" i="24"/>
  <c r="E12" i="24"/>
  <c r="E11" i="24"/>
  <c r="E10" i="24"/>
  <c r="E9" i="24"/>
  <c r="E8" i="24"/>
  <c r="E7" i="24"/>
  <c r="E6" i="24"/>
  <c r="E5" i="24"/>
  <c r="E4" i="24"/>
  <c r="E3" i="24"/>
  <c r="E2" i="24"/>
  <c r="B5" i="4" l="1"/>
  <c r="B3" i="4"/>
  <c r="B9" i="4" s="1"/>
  <c r="C9" i="4" s="1"/>
  <c r="P6" i="17"/>
  <c r="L5" i="17"/>
  <c r="L2" i="17"/>
  <c r="P2" i="17" s="1"/>
  <c r="L3" i="17"/>
  <c r="L4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" i="17"/>
  <c r="B8" i="4" l="1"/>
  <c r="C8" i="4" s="1"/>
  <c r="E4" i="4"/>
  <c r="G4" i="4" s="1"/>
  <c r="B11" i="4"/>
  <c r="C11" i="4" s="1"/>
  <c r="B7" i="4"/>
  <c r="C7" i="4" s="1"/>
  <c r="H10" i="4"/>
  <c r="J7" i="4" s="1"/>
  <c r="B10" i="4"/>
  <c r="C10" i="4" s="1"/>
  <c r="I4" i="4"/>
  <c r="I5" i="4" s="1"/>
  <c r="I6" i="4" s="1"/>
  <c r="I7" i="4" s="1"/>
  <c r="I8" i="4" s="1"/>
  <c r="I9" i="4" s="1"/>
  <c r="H7" i="6"/>
  <c r="H6" i="6"/>
  <c r="H5" i="6"/>
  <c r="H4" i="6"/>
  <c r="H3" i="6"/>
  <c r="H2" i="6"/>
  <c r="E15" i="6"/>
  <c r="E14" i="6"/>
  <c r="E13" i="6"/>
  <c r="E12" i="6"/>
  <c r="E11" i="6"/>
  <c r="E10" i="6"/>
  <c r="E9" i="6"/>
  <c r="E8" i="6"/>
  <c r="E7" i="6"/>
  <c r="E6" i="6"/>
  <c r="E4" i="6"/>
  <c r="E5" i="6"/>
  <c r="E5" i="4" l="1"/>
  <c r="G5" i="4" s="1"/>
  <c r="J5" i="4"/>
  <c r="J9" i="4"/>
  <c r="J6" i="4"/>
  <c r="J4" i="4"/>
  <c r="E6" i="4"/>
  <c r="J8" i="4"/>
  <c r="B13" i="6"/>
  <c r="B12" i="6"/>
  <c r="B11" i="6"/>
  <c r="B6" i="6" a="1"/>
  <c r="B6" i="6" s="1"/>
  <c r="B5" i="6"/>
  <c r="B4" i="6"/>
  <c r="G6" i="4" l="1"/>
  <c r="E7" i="4"/>
  <c r="J10" i="4"/>
  <c r="K4" i="4"/>
  <c r="K5" i="4" s="1"/>
  <c r="K6" i="4" s="1"/>
  <c r="K7" i="4" s="1"/>
  <c r="K8" i="4" s="1"/>
  <c r="K9" i="4" s="1"/>
  <c r="B9" i="6"/>
  <c r="B8" i="6"/>
  <c r="B7" i="6"/>
  <c r="E8" i="4" l="1"/>
  <c r="G7" i="4"/>
  <c r="E3" i="6"/>
  <c r="E9" i="4" l="1"/>
  <c r="G9" i="4" s="1"/>
  <c r="G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7D49250F-6BD8-4FAB-B5B0-FF93B4439FE6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H3" authorId="0" shapeId="0" xr:uid="{777BE716-5208-4CAB-83FC-85C2013C4CF0}">
      <text>
        <r>
          <rPr>
            <sz val="9"/>
            <color indexed="81"/>
            <rFont val="Segoe UI"/>
            <family val="2"/>
          </rPr>
          <t xml:space="preserve">Frequência absoluta
</t>
        </r>
      </text>
    </comment>
    <comment ref="I3" authorId="0" shapeId="0" xr:uid="{59A9AA10-D72E-4B35-BB29-C91B48003409}">
      <text>
        <r>
          <rPr>
            <sz val="9"/>
            <color indexed="81"/>
            <rFont val="Segoe UI"/>
            <family val="2"/>
          </rPr>
          <t xml:space="preserve">Frequência absoluta acumulada
</t>
        </r>
      </text>
    </comment>
    <comment ref="J3" authorId="0" shapeId="0" xr:uid="{20B0F8C8-C71E-4917-B9B6-3314C4591182}">
      <text>
        <r>
          <rPr>
            <sz val="9"/>
            <color indexed="81"/>
            <rFont val="Segoe UI"/>
            <family val="2"/>
          </rPr>
          <t xml:space="preserve">Frequência relativa
</t>
        </r>
      </text>
    </comment>
    <comment ref="K3" authorId="0" shapeId="0" xr:uid="{59179D6E-FA7D-442E-9F62-91087A3A4033}">
      <text>
        <r>
          <rPr>
            <sz val="9"/>
            <color indexed="81"/>
            <rFont val="Segoe UI"/>
            <family val="2"/>
          </rPr>
          <t xml:space="preserve">Frequência relativa acumulada
</t>
        </r>
      </text>
    </comment>
    <comment ref="A6" authorId="0" shapeId="0" xr:uid="{13874738-1912-4CBE-8C2C-A1210A0AA260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Classes</t>
        </r>
      </text>
    </comment>
    <comment ref="B6" authorId="0" shapeId="0" xr:uid="{4ED43687-6403-4DBA-8BD4-595CAEDB2090}">
      <text>
        <r>
          <rPr>
            <sz val="9"/>
            <color indexed="81"/>
            <rFont val="Segoe UI"/>
            <family val="2"/>
          </rPr>
          <t xml:space="preserve">Intervalos:
I=(AT+1)/C
</t>
        </r>
      </text>
    </comment>
    <comment ref="C6" authorId="0" shapeId="0" xr:uid="{64CCBD04-4ECB-4880-9014-F51090A6DAE4}">
      <text>
        <r>
          <rPr>
            <sz val="9"/>
            <color indexed="81"/>
            <rFont val="Segoe UI"/>
            <family val="2"/>
          </rPr>
          <t xml:space="preserve">Restos:
R=C.I-(AT+1)
</t>
        </r>
      </text>
    </comment>
  </commentList>
</comments>
</file>

<file path=xl/sharedStrings.xml><?xml version="1.0" encoding="utf-8"?>
<sst xmlns="http://schemas.openxmlformats.org/spreadsheetml/2006/main" count="1132" uniqueCount="165">
  <si>
    <t>Nº</t>
  </si>
  <si>
    <t>ROL</t>
  </si>
  <si>
    <t>Ramo</t>
  </si>
  <si>
    <t>Folhas</t>
  </si>
  <si>
    <t>Diagrama</t>
  </si>
  <si>
    <t>Valor Mínimo</t>
  </si>
  <si>
    <t>Valor Máximo</t>
  </si>
  <si>
    <t>fa</t>
  </si>
  <si>
    <t>fA</t>
  </si>
  <si>
    <t>fr</t>
  </si>
  <si>
    <t>fR</t>
  </si>
  <si>
    <t>Amplitude Total (AT)</t>
  </si>
  <si>
    <t>-</t>
  </si>
  <si>
    <t>Número de indivíduos (N)</t>
  </si>
  <si>
    <t>C</t>
  </si>
  <si>
    <t>Total</t>
  </si>
  <si>
    <t>Sexo</t>
  </si>
  <si>
    <t>Idade</t>
  </si>
  <si>
    <t>Peso</t>
  </si>
  <si>
    <t>Altura</t>
  </si>
  <si>
    <t>IMC</t>
  </si>
  <si>
    <t>Cintura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</si>
  <si>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</si>
  <si>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</si>
  <si>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</si>
  <si>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</si>
  <si>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</si>
  <si>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</si>
  <si>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</si>
  <si>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</si>
  <si>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</si>
  <si>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</si>
  <si>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</si>
  <si>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</si>
  <si>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</si>
  <si>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</si>
  <si>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</si>
  <si>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</si>
  <si>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</si>
  <si>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</si>
  <si>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</si>
  <si>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</si>
  <si>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</si>
  <si>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</si>
  <si>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</si>
  <si>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</si>
  <si>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</si>
  <si>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</si>
  <si>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</si>
  <si>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</si>
  <si>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</si>
  <si>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</si>
  <si>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</si>
  <si>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</si>
  <si>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</si>
  <si>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</si>
  <si>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</si>
  <si>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</si>
  <si>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</si>
  <si>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</si>
  <si>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</si>
  <si>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</si>
  <si>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</si>
  <si>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</si>
  <si>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</si>
  <si>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</si>
  <si>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</si>
  <si>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</si>
  <si>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</si>
  <si>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</si>
  <si>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</si>
  <si>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</si>
  <si>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</si>
  <si>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</si>
  <si>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</si>
  <si>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</si>
  <si>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</si>
  <si>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</si>
  <si>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</si>
  <si>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</si>
  <si>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</si>
  <si>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</si>
  <si>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</si>
  <si>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</si>
  <si>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</si>
  <si>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</si>
  <si>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</si>
  <si>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</si>
  <si>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</si>
  <si>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</si>
  <si>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</si>
  <si>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</si>
  <si>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</si>
  <si>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</si>
  <si>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</si>
  <si>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</si>
  <si>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</si>
  <si>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</si>
  <si>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</si>
  <si>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</si>
  <si>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</si>
  <si>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</si>
  <si>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</si>
  <si>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</si>
  <si>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</si>
  <si>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</si>
  <si>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</si>
  <si>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</si>
  <si>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</si>
  <si>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</si>
  <si>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</si>
  <si>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</si>
  <si>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</si>
  <si>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</si>
  <si>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</si>
  <si>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</si>
  <si>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</si>
  <si>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</si>
  <si>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</si>
  <si>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</si>
  <si>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</si>
  <si>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I</t>
  </si>
  <si>
    <t>R</t>
  </si>
  <si>
    <t>Tabela 3 - Idade, em anos, de 85 amigos e parentes dos alunos de Estatística do Inatel em 2018</t>
  </si>
  <si>
    <t>Idade
[anos]</t>
  </si>
  <si>
    <t>Variável:</t>
  </si>
  <si>
    <t>Medidas Características</t>
  </si>
  <si>
    <t>Separatrizes</t>
  </si>
  <si>
    <t>Percentil P1</t>
  </si>
  <si>
    <t>kg</t>
  </si>
  <si>
    <t>Medidas de tendência central</t>
  </si>
  <si>
    <t>Mediana</t>
  </si>
  <si>
    <t>P5</t>
  </si>
  <si>
    <t>Média</t>
  </si>
  <si>
    <t>Quartil - Q1</t>
  </si>
  <si>
    <t>P20</t>
  </si>
  <si>
    <t>Q2</t>
  </si>
  <si>
    <t>P37</t>
  </si>
  <si>
    <t>Moda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</si>
  <si>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</si>
  <si>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</si>
  <si>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</si>
  <si>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</si>
  <si>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</si>
  <si>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</si>
  <si>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</si>
  <si>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</si>
  <si>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</si>
  <si>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</si>
  <si>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</si>
  <si>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t>kg2</t>
  </si>
  <si>
    <t>D6</t>
  </si>
  <si>
    <t>Desvio padrão</t>
  </si>
  <si>
    <t>D7</t>
  </si>
  <si>
    <t>D8</t>
  </si>
  <si>
    <t>D9</t>
  </si>
  <si>
    <t>9</t>
  </si>
  <si>
    <t>0</t>
  </si>
  <si>
    <t>2</t>
  </si>
  <si>
    <t>4</t>
  </si>
  <si>
    <t>5</t>
  </si>
  <si>
    <t>6</t>
  </si>
  <si>
    <t>8</t>
  </si>
  <si>
    <t>1</t>
  </si>
  <si>
    <t>Fórmula de Sturges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</si>
</sst>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/>
    </xf>
    <xf numFmtId="164" fontId="0" fillId="0" borderId="0" xfId="0" applyNumberFormat="1"/>
    <xf numFmtId="2" fontId="0" fillId="0" borderId="0" xfId="0" applyNumberFormat="1"/>
    <xf numFmtId="0" fontId="0" fillId="6" borderId="1" xfId="0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11" borderId="1" xfId="0" applyFill="1" applyBorder="1"/>
    <xf numFmtId="0" fontId="0" fillId="2" borderId="1" xfId="0" applyFill="1" applyBorder="1"/>
    <xf numFmtId="0" fontId="0" fillId="10" borderId="1" xfId="0" applyFill="1" applyBorder="1"/>
    <xf numFmtId="2" fontId="6" fillId="11" borderId="1" xfId="0" applyNumberFormat="1" applyFont="1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9" fillId="11" borderId="1" xfId="0" applyFont="1" applyFill="1" applyBorder="1"/>
    <xf numFmtId="164" fontId="0" fillId="10" borderId="1" xfId="0" applyNumberFormat="1" applyFill="1" applyBorder="1"/>
    <xf numFmtId="0" fontId="0" fillId="10" borderId="2" xfId="0" applyFill="1" applyBorder="1"/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6" borderId="7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colors>
    <mruColors>
      <color rgb="FF9BFF9B"/>
      <color rgb="FF00FF00"/>
      <color rgb="FFFCF6F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00"/>
              <a:t>Figura 6 - Peso [kg] de 85 amigos e paentes dos alunos de Estatística do Inatel em 2018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6"/>
          </c:marker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C8-4D9F-A50D-E1F3B915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77792"/>
        <c:axId val="233379328"/>
      </c:scatterChart>
      <c:valAx>
        <c:axId val="233377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33379328"/>
        <c:crosses val="autoZero"/>
        <c:crossBetween val="midCat"/>
        <c:majorUnit val="5"/>
      </c:valAx>
      <c:valAx>
        <c:axId val="233379328"/>
        <c:scaling>
          <c:orientation val="minMax"/>
          <c:min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Peso [kg]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3377792"/>
        <c:crosses val="autoZero"/>
        <c:crossBetween val="midCat"/>
        <c:majorUnit val="5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292100</xdr:colOff>
      <xdr:row>1</xdr:row>
      <xdr:rowOff>25400</xdr:rowOff>
    </xdr:from>
    <xdr:to>
      <xdr:col>14</xdr:col>
      <xdr:colOff>590550</xdr:colOff>
      <xdr:row>16</xdr:row>
      <xdr:rowOff>25400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5245100" y="215900"/>
          <a:ext cx="3956050" cy="2857500"/>
          <a:chOff x="2374900" y="209550"/>
          <a:chExt cx="3956050" cy="2857500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GraphicFramePr>
            <a:graphicFrameLocks/>
          </xdr:cNvGraphicFramePr>
        </xdr:nvGraphicFramePr>
        <xdr:xfrm>
          <a:off x="2374900" y="209550"/>
          <a:ext cx="3956050" cy="28575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>
            <a:off x="3022600" y="1803400"/>
            <a:ext cx="319405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" name="Grupo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GrpSpPr/>
        </xdr:nvGrpSpPr>
        <xdr:grpSpPr>
          <a:xfrm>
            <a:off x="3035300" y="1751127"/>
            <a:ext cx="3194050" cy="9297"/>
            <a:chOff x="5149850" y="3662477"/>
            <a:chExt cx="3194050" cy="9297"/>
          </a:xfrm>
        </xdr:grpSpPr>
        <xdr:cxnSp macro="">
          <xdr:nvCxnSpPr>
            <xdr:cNvPr id="7" name="Conector reto 6">
              <a:extLst>
                <a:ext uri="{FF2B5EF4-FFF2-40B4-BE49-F238E27FC236}">
                  <a16:creationId xmlns:a16="http://schemas.microsoft.com/office/drawing/2014/main" id="{00000000-0008-0000-0700-000007000000}"/>
                </a:ext>
              </a:extLst>
            </xdr:cNvPr>
            <xdr:cNvCxnSpPr/>
          </xdr:nvCxnSpPr>
          <xdr:spPr>
            <a:xfrm>
              <a:off x="5219700" y="3670300"/>
              <a:ext cx="3124200" cy="0"/>
            </a:xfrm>
            <a:prstGeom prst="line">
              <a:avLst/>
            </a:prstGeom>
            <a:ln w="19050">
              <a:solidFill>
                <a:srgbClr val="FFC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Conector reto 7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CxnSpPr/>
          </xdr:nvCxnSpPr>
          <xdr:spPr>
            <a:xfrm>
              <a:off x="5149850" y="3662477"/>
              <a:ext cx="3181350" cy="9297"/>
            </a:xfrm>
            <a:prstGeom prst="line">
              <a:avLst/>
            </a:prstGeom>
            <a:ln w="19050">
              <a:solidFill>
                <a:srgbClr val="00B0F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E6A8D-284D-49CA-9BB7-21797826A59C}" name="Tabela2" displayName="Tabela2" ref="A1:V86" totalsRowShown="0">
  <autoFilter ref="A1:V86" xr:uid="{00000000-0009-0000-0100-000002000000}"/>
  <tableColumns count="22">
    <tableColumn id="1" xr3:uid="{75A4E584-5697-49D9-B386-8D9229B24027}" name="Sexo"/>
    <tableColumn id="2" xr3:uid="{7B4A5BA9-6D5A-4A2B-A682-98731A2B4D11}" name="Idade"/>
    <tableColumn id="3" xr3:uid="{608FF31F-52D2-4C4B-AD7D-BC2A6D1C8173}" name="Peso"/>
    <tableColumn id="4" xr3:uid="{12046F3D-284F-4690-9423-9CAC48D9427B}" name="Altura" dataDxfId="1"/>
    <tableColumn id="23" xr3:uid="{7B50FA04-94E0-48AD-A24E-E30EE6BF0AD1}" name="IMC" dataDxfId="0">
      <calculatedColumnFormula>Tabela2[[#This Row],[Peso]]/Tabela2[[#This Row],[Altura]]^2</calculatedColumnFormula>
    </tableColumn>
    <tableColumn id="5" xr3:uid="{CDFC0EFA-26C0-4C18-83F1-73425CB4C9EA}" name="Cintura"/>
    <tableColumn id="6" xr3:uid="{67684CFA-613E-4A2B-AA7A-8129197CCD43}" name="Cidade"/>
    <tableColumn id="7" xr3:uid="{3FB158EB-1FA6-4FEE-A9DD-F3C84C49970A}" name="Estado"/>
    <tableColumn id="8" xr3:uid="{021EBAC7-2EDD-4101-A255-C9037CE1D1D9}" name="Sangue"/>
    <tableColumn id="9" xr3:uid="{8B5EF4EB-6E5D-4C9D-B7CB-DC1B13EC8F57}" name="Óculo"/>
    <tableColumn id="10" xr3:uid="{49C40F44-0081-4EAA-86F1-47FAD505FE09}" name="Miopia"/>
    <tableColumn id="11" xr3:uid="{8F9EB33E-AFA9-43D9-8CC6-093E69D05359}" name="Hiperm"/>
    <tableColumn id="12" xr3:uid="{9227A314-ABD7-4C2C-92B4-E09665C4285C}" name="Astig"/>
    <tableColumn id="13" xr3:uid="{22A77A1B-03F0-4FF2-87D1-20CA25F8659F}" name="Outros"/>
    <tableColumn id="14" xr3:uid="{113711E6-F505-4C51-9208-CB2BF80867F3}" name="Alimentação"/>
    <tableColumn id="15" xr3:uid="{89ABA0F7-CE97-4EA4-92A0-5A2C07CFAE9E}" name="Fumo"/>
    <tableColumn id="16" xr3:uid="{6A8F824D-C4D6-4954-A7A3-40B8D55B0620}" name="Álcool"/>
    <tableColumn id="17" xr3:uid="{59ED23A2-DAA3-402D-A424-B5ED4F074C4D}" name="Prato"/>
    <tableColumn id="18" xr3:uid="{06222FDE-88A6-47CB-8E9C-E067FCAC332A}" name="Bebida na comida"/>
    <tableColumn id="19" xr3:uid="{470610EC-2DC6-4FFF-871D-C4E06F6EA2A5}" name="Esporte"/>
    <tableColumn id="20" xr3:uid="{343AFC10-F0CC-44BB-BED9-10655EC65528}" name="Qual"/>
    <tableColumn id="21" xr3:uid="{2F058A2F-0BE8-4B70-B1E1-E1E42F53D200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04C3-0EA0-47E8-A656-0AE38175D37E}">
  <dimension ref="A1:Y21"/>
  <sheetViews>
    <sheetView showGridLines="0" tabSelected="1" zoomScaleNormal="100" workbookViewId="0"/>
  </sheetViews>
  <sheetFormatPr defaultRowHeight="15" x14ac:dyDescent="0.25"/>
  <cols>
    <col min="1" max="2" width="4.42578125" style="23" bestFit="1" customWidth="1"/>
    <col min="3" max="10" width="4" style="23" bestFit="1" customWidth="1"/>
    <col min="11" max="11" width="6" style="23" bestFit="1" customWidth="1"/>
    <col min="12" max="12" width="6.7109375" style="23" bestFit="1" customWidth="1"/>
    <col min="13" max="13" width="5.140625" style="23" customWidth="1"/>
    <col min="14" max="14" width="9.140625" style="23"/>
    <col min="15" max="15" width="9.28515625" style="23" bestFit="1" customWidth="1"/>
    <col min="16" max="25" width="2" style="23" bestFit="1" customWidth="1"/>
    <col min="26" max="16384" width="9.140625" style="23"/>
  </cols>
  <sheetData>
    <row r="1" spans="1:25" x14ac:dyDescent="0.25">
      <c r="A1" s="23" t="s">
        <v>0</v>
      </c>
      <c r="B1" s="23" t="s">
        <v>1</v>
      </c>
      <c r="K1" s="23" t="s">
        <v>2</v>
      </c>
      <c r="L1" s="23" t="s">
        <v>3</v>
      </c>
      <c r="O1" s="23" t="s">
        <v>4</v>
      </c>
    </row>
    <row r="2" spans="1:25" x14ac:dyDescent="0.25">
      <c r="A2" s="23">
        <v>1</v>
      </c>
      <c r="B2" s="23">
        <v>159</v>
      </c>
      <c r="K2" s="23" t="str">
        <f>MID(B2,1,2)</f>
        <v>15</v>
      </c>
      <c r="L2" s="23" t="str">
        <f>MID(B2,3,1)</f>
        <v>9</v>
      </c>
      <c r="M2" s="23" t="s">
        <v>156</v>
      </c>
      <c r="O2" s="28">
        <v>15</v>
      </c>
      <c r="P2" s="23" t="str">
        <f>L2</f>
        <v>9</v>
      </c>
    </row>
    <row r="3" spans="1:25" x14ac:dyDescent="0.25">
      <c r="A3" s="23">
        <v>2</v>
      </c>
      <c r="B3" s="23">
        <v>160</v>
      </c>
      <c r="K3" s="23" t="str">
        <f t="shared" ref="K3:K21" si="0">MID(B3,1,2)</f>
        <v>16</v>
      </c>
      <c r="L3" s="23" t="str">
        <f t="shared" ref="L3:L21" si="1">MID(B3,3,1)</f>
        <v>0</v>
      </c>
      <c r="M3" s="23">
        <v>0</v>
      </c>
      <c r="O3" s="28">
        <v>16</v>
      </c>
      <c r="P3" s="23">
        <v>0</v>
      </c>
      <c r="Q3" s="23">
        <v>0</v>
      </c>
      <c r="R3" s="23" t="s">
        <v>158</v>
      </c>
      <c r="S3" s="23" t="s">
        <v>159</v>
      </c>
      <c r="T3" s="23" t="s">
        <v>160</v>
      </c>
      <c r="U3" s="23" t="s">
        <v>161</v>
      </c>
      <c r="V3" s="23" t="s">
        <v>162</v>
      </c>
      <c r="W3" s="23" t="s">
        <v>162</v>
      </c>
      <c r="X3" s="23" t="s">
        <v>162</v>
      </c>
      <c r="Y3" s="23" t="s">
        <v>156</v>
      </c>
    </row>
    <row r="4" spans="1:25" x14ac:dyDescent="0.25">
      <c r="A4" s="23">
        <v>3</v>
      </c>
      <c r="B4" s="23">
        <v>160</v>
      </c>
      <c r="K4" s="23" t="str">
        <f t="shared" si="0"/>
        <v>16</v>
      </c>
      <c r="L4" s="23" t="str">
        <f t="shared" si="1"/>
        <v>0</v>
      </c>
      <c r="M4" s="23">
        <v>0</v>
      </c>
      <c r="O4" s="28">
        <v>17</v>
      </c>
      <c r="P4" s="23" t="s">
        <v>157</v>
      </c>
      <c r="Q4" s="23" t="s">
        <v>157</v>
      </c>
      <c r="R4" s="23" t="s">
        <v>163</v>
      </c>
      <c r="S4" s="23" t="s">
        <v>158</v>
      </c>
      <c r="T4" s="23" t="s">
        <v>160</v>
      </c>
      <c r="U4" s="23" t="s">
        <v>162</v>
      </c>
    </row>
    <row r="5" spans="1:25" x14ac:dyDescent="0.25">
      <c r="A5" s="23">
        <v>4</v>
      </c>
      <c r="B5" s="23">
        <v>162</v>
      </c>
      <c r="K5" s="23" t="str">
        <f t="shared" si="0"/>
        <v>16</v>
      </c>
      <c r="L5" s="23" t="str">
        <f>MID(B5,3,1)</f>
        <v>2</v>
      </c>
      <c r="M5" s="23" t="s">
        <v>158</v>
      </c>
      <c r="O5" s="28">
        <v>18</v>
      </c>
      <c r="P5" s="23" t="s">
        <v>157</v>
      </c>
      <c r="Q5" s="23" t="s">
        <v>157</v>
      </c>
    </row>
    <row r="6" spans="1:25" x14ac:dyDescent="0.25">
      <c r="A6" s="23">
        <v>5</v>
      </c>
      <c r="B6" s="23">
        <v>164</v>
      </c>
      <c r="K6" s="23" t="str">
        <f t="shared" si="0"/>
        <v>16</v>
      </c>
      <c r="L6" s="23" t="str">
        <f t="shared" si="1"/>
        <v>4</v>
      </c>
      <c r="M6" s="23" t="s">
        <v>159</v>
      </c>
      <c r="O6" s="28">
        <v>19</v>
      </c>
      <c r="P6" s="23" t="str">
        <f>M21</f>
        <v>5</v>
      </c>
    </row>
    <row r="7" spans="1:25" x14ac:dyDescent="0.25">
      <c r="A7" s="23">
        <v>6</v>
      </c>
      <c r="B7" s="23">
        <v>165</v>
      </c>
      <c r="K7" s="23" t="str">
        <f t="shared" si="0"/>
        <v>16</v>
      </c>
      <c r="L7" s="23" t="str">
        <f t="shared" si="1"/>
        <v>5</v>
      </c>
      <c r="M7" s="23" t="s">
        <v>160</v>
      </c>
    </row>
    <row r="8" spans="1:25" x14ac:dyDescent="0.25">
      <c r="A8" s="23">
        <v>7</v>
      </c>
      <c r="B8" s="23">
        <v>166</v>
      </c>
      <c r="K8" s="23" t="str">
        <f t="shared" si="0"/>
        <v>16</v>
      </c>
      <c r="L8" s="23" t="str">
        <f t="shared" si="1"/>
        <v>6</v>
      </c>
      <c r="M8" s="23" t="s">
        <v>161</v>
      </c>
    </row>
    <row r="9" spans="1:25" x14ac:dyDescent="0.25">
      <c r="A9" s="23">
        <v>8</v>
      </c>
      <c r="B9" s="23">
        <v>168</v>
      </c>
      <c r="K9" s="23" t="str">
        <f t="shared" si="0"/>
        <v>16</v>
      </c>
      <c r="L9" s="23" t="str">
        <f t="shared" si="1"/>
        <v>8</v>
      </c>
      <c r="M9" s="23" t="s">
        <v>162</v>
      </c>
    </row>
    <row r="10" spans="1:25" x14ac:dyDescent="0.25">
      <c r="A10" s="23">
        <v>9</v>
      </c>
      <c r="B10" s="23">
        <v>168</v>
      </c>
      <c r="K10" s="23" t="str">
        <f t="shared" si="0"/>
        <v>16</v>
      </c>
      <c r="L10" s="23" t="str">
        <f t="shared" si="1"/>
        <v>8</v>
      </c>
      <c r="M10" s="23" t="s">
        <v>162</v>
      </c>
    </row>
    <row r="11" spans="1:25" x14ac:dyDescent="0.25">
      <c r="A11" s="23">
        <v>10</v>
      </c>
      <c r="B11" s="23">
        <v>168</v>
      </c>
      <c r="K11" s="23" t="str">
        <f t="shared" si="0"/>
        <v>16</v>
      </c>
      <c r="L11" s="23" t="str">
        <f t="shared" si="1"/>
        <v>8</v>
      </c>
      <c r="M11" s="23" t="s">
        <v>162</v>
      </c>
    </row>
    <row r="12" spans="1:25" x14ac:dyDescent="0.25">
      <c r="A12" s="23">
        <v>11</v>
      </c>
      <c r="B12" s="23">
        <v>169</v>
      </c>
      <c r="K12" s="23" t="str">
        <f t="shared" si="0"/>
        <v>16</v>
      </c>
      <c r="L12" s="23" t="str">
        <f t="shared" si="1"/>
        <v>9</v>
      </c>
      <c r="M12" s="23" t="s">
        <v>156</v>
      </c>
    </row>
    <row r="13" spans="1:25" x14ac:dyDescent="0.25">
      <c r="A13" s="23">
        <v>12</v>
      </c>
      <c r="B13" s="23">
        <v>170</v>
      </c>
      <c r="K13" s="23" t="str">
        <f t="shared" si="0"/>
        <v>17</v>
      </c>
      <c r="L13" s="23" t="str">
        <f t="shared" si="1"/>
        <v>0</v>
      </c>
      <c r="M13" s="23" t="s">
        <v>157</v>
      </c>
    </row>
    <row r="14" spans="1:25" x14ac:dyDescent="0.25">
      <c r="A14" s="23">
        <v>13</v>
      </c>
      <c r="B14" s="23">
        <v>170</v>
      </c>
      <c r="K14" s="23" t="str">
        <f t="shared" si="0"/>
        <v>17</v>
      </c>
      <c r="L14" s="23" t="str">
        <f t="shared" si="1"/>
        <v>0</v>
      </c>
      <c r="M14" s="23" t="s">
        <v>157</v>
      </c>
    </row>
    <row r="15" spans="1:25" x14ac:dyDescent="0.25">
      <c r="A15" s="23">
        <v>14</v>
      </c>
      <c r="B15" s="23">
        <v>171</v>
      </c>
      <c r="K15" s="23" t="str">
        <f t="shared" si="0"/>
        <v>17</v>
      </c>
      <c r="L15" s="23" t="str">
        <f t="shared" si="1"/>
        <v>1</v>
      </c>
      <c r="M15" s="23" t="s">
        <v>163</v>
      </c>
    </row>
    <row r="16" spans="1:25" x14ac:dyDescent="0.25">
      <c r="A16" s="23">
        <v>15</v>
      </c>
      <c r="B16" s="23">
        <v>172</v>
      </c>
      <c r="K16" s="23" t="str">
        <f t="shared" si="0"/>
        <v>17</v>
      </c>
      <c r="L16" s="23" t="str">
        <f t="shared" si="1"/>
        <v>2</v>
      </c>
      <c r="M16" s="23" t="s">
        <v>158</v>
      </c>
    </row>
    <row r="17" spans="1:13" x14ac:dyDescent="0.25">
      <c r="A17" s="23">
        <v>16</v>
      </c>
      <c r="B17" s="23">
        <v>175</v>
      </c>
      <c r="K17" s="23" t="str">
        <f t="shared" si="0"/>
        <v>17</v>
      </c>
      <c r="L17" s="23" t="str">
        <f t="shared" si="1"/>
        <v>5</v>
      </c>
      <c r="M17" s="23" t="s">
        <v>160</v>
      </c>
    </row>
    <row r="18" spans="1:13" x14ac:dyDescent="0.25">
      <c r="A18" s="23">
        <v>17</v>
      </c>
      <c r="B18" s="23">
        <v>178</v>
      </c>
      <c r="K18" s="23" t="str">
        <f t="shared" si="0"/>
        <v>17</v>
      </c>
      <c r="L18" s="23" t="str">
        <f t="shared" si="1"/>
        <v>8</v>
      </c>
      <c r="M18" s="23" t="s">
        <v>162</v>
      </c>
    </row>
    <row r="19" spans="1:13" x14ac:dyDescent="0.25">
      <c r="A19" s="23">
        <v>18</v>
      </c>
      <c r="B19" s="23">
        <v>180</v>
      </c>
      <c r="K19" s="23" t="str">
        <f t="shared" si="0"/>
        <v>18</v>
      </c>
      <c r="L19" s="23" t="str">
        <f t="shared" si="1"/>
        <v>0</v>
      </c>
      <c r="M19" s="23" t="s">
        <v>157</v>
      </c>
    </row>
    <row r="20" spans="1:13" x14ac:dyDescent="0.25">
      <c r="A20" s="23">
        <v>19</v>
      </c>
      <c r="B20" s="23">
        <v>180</v>
      </c>
      <c r="K20" s="23" t="str">
        <f t="shared" si="0"/>
        <v>18</v>
      </c>
      <c r="L20" s="23" t="str">
        <f t="shared" si="1"/>
        <v>0</v>
      </c>
      <c r="M20" s="23" t="s">
        <v>157</v>
      </c>
    </row>
    <row r="21" spans="1:13" x14ac:dyDescent="0.25">
      <c r="A21" s="23">
        <v>20</v>
      </c>
      <c r="B21" s="23">
        <v>195</v>
      </c>
      <c r="K21" s="23" t="str">
        <f t="shared" si="0"/>
        <v>19</v>
      </c>
      <c r="L21" s="23" t="str">
        <f t="shared" si="1"/>
        <v>5</v>
      </c>
      <c r="M21" s="23" t="s">
        <v>160</v>
      </c>
    </row>
  </sheetData>
  <sortState ref="B2:B21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  <ignoredErrors>
    <ignoredError sqref="M2 M5:M21 R3:Y3 P4:U4 P5:Q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567A-8705-4B44-A3DE-63B36F4643CA}">
  <dimension ref="A1:V86"/>
  <sheetViews>
    <sheetView zoomScale="120" zoomScaleNormal="120" workbookViewId="0">
      <pane ySplit="1" topLeftCell="A70" activePane="bottomLeft" state="frozen"/>
      <selection pane="bottomLeft"/>
    </sheetView>
  </sheetViews>
  <sheetFormatPr defaultRowHeight="15" x14ac:dyDescent="0.25"/>
  <cols>
    <col min="1" max="1" width="10.140625" customWidth="1"/>
    <col min="7" max="7" width="22.7109375" bestFit="1" customWidth="1"/>
    <col min="15" max="15" width="14.42578125" bestFit="1" customWidth="1"/>
    <col min="16" max="16" width="14" bestFit="1" customWidth="1"/>
    <col min="17" max="17" width="16.28515625" bestFit="1" customWidth="1"/>
    <col min="21" max="21" width="25.5703125" bestFit="1" customWidth="1"/>
  </cols>
  <sheetData>
    <row r="1" spans="1:2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25">
      <c r="A2" t="s">
        <v>38</v>
      </c>
      <c r="B2">
        <v>22</v>
      </c>
      <c r="C2">
        <v>53</v>
      </c>
      <c r="D2" s="7">
        <v>1.72</v>
      </c>
      <c r="E2" s="6">
        <f>Tabela2[[#This Row],[Peso]]/Tabela2[[#This Row],[Altura]]^2</f>
        <v>17.915089237425637</v>
      </c>
      <c r="F2">
        <v>74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43</v>
      </c>
      <c r="O2" t="s">
        <v>44</v>
      </c>
      <c r="P2" t="s">
        <v>45</v>
      </c>
      <c r="Q2" t="s">
        <v>46</v>
      </c>
      <c r="R2">
        <v>300</v>
      </c>
      <c r="S2" t="s">
        <v>47</v>
      </c>
      <c r="T2" t="s">
        <v>42</v>
      </c>
      <c r="U2" t="s">
        <v>48</v>
      </c>
      <c r="V2">
        <v>2</v>
      </c>
    </row>
    <row r="3" spans="1:22" x14ac:dyDescent="0.25">
      <c r="A3" t="s">
        <v>38</v>
      </c>
      <c r="B3">
        <v>58</v>
      </c>
      <c r="C3">
        <v>60</v>
      </c>
      <c r="D3" s="7">
        <v>1.58</v>
      </c>
      <c r="E3" s="6">
        <f>Tabela2[[#This Row],[Peso]]/Tabela2[[#This Row],[Altura]]^2</f>
        <v>24.034609838166958</v>
      </c>
      <c r="F3">
        <v>90</v>
      </c>
      <c r="G3" t="s">
        <v>49</v>
      </c>
      <c r="H3" t="s">
        <v>40</v>
      </c>
      <c r="I3" t="s">
        <v>50</v>
      </c>
      <c r="J3" t="s">
        <v>42</v>
      </c>
      <c r="K3" t="s">
        <v>43</v>
      </c>
      <c r="M3" t="s">
        <v>43</v>
      </c>
      <c r="O3" t="s">
        <v>44</v>
      </c>
      <c r="P3" t="s">
        <v>45</v>
      </c>
      <c r="Q3" t="s">
        <v>46</v>
      </c>
      <c r="R3">
        <v>250</v>
      </c>
      <c r="S3" t="s">
        <v>51</v>
      </c>
      <c r="T3" t="s">
        <v>42</v>
      </c>
      <c r="U3" t="s">
        <v>52</v>
      </c>
      <c r="V3">
        <v>3</v>
      </c>
    </row>
    <row r="4" spans="1:22" x14ac:dyDescent="0.25">
      <c r="A4" t="s">
        <v>53</v>
      </c>
      <c r="B4">
        <v>51</v>
      </c>
      <c r="C4">
        <v>88</v>
      </c>
      <c r="D4" s="7">
        <v>1.74</v>
      </c>
      <c r="E4" s="6">
        <f>Tabela2[[#This Row],[Peso]]/Tabela2[[#This Row],[Altura]]^2</f>
        <v>29.065926806711587</v>
      </c>
      <c r="F4">
        <v>109</v>
      </c>
      <c r="G4" t="s">
        <v>54</v>
      </c>
      <c r="H4" t="s">
        <v>55</v>
      </c>
      <c r="I4" t="s">
        <v>50</v>
      </c>
      <c r="J4" t="s">
        <v>42</v>
      </c>
      <c r="N4" t="s">
        <v>43</v>
      </c>
      <c r="O4" t="s">
        <v>44</v>
      </c>
      <c r="P4" t="s">
        <v>56</v>
      </c>
      <c r="Q4" t="s">
        <v>57</v>
      </c>
      <c r="R4">
        <v>350</v>
      </c>
      <c r="S4" t="s">
        <v>51</v>
      </c>
      <c r="T4" t="s">
        <v>58</v>
      </c>
      <c r="V4">
        <v>0</v>
      </c>
    </row>
    <row r="5" spans="1:22" x14ac:dyDescent="0.25">
      <c r="A5" t="s">
        <v>38</v>
      </c>
      <c r="B5">
        <v>21</v>
      </c>
      <c r="C5">
        <v>51</v>
      </c>
      <c r="D5" s="7">
        <v>1.53</v>
      </c>
      <c r="E5" s="6">
        <f>Tabela2[[#This Row],[Peso]]/Tabela2[[#This Row],[Altura]]^2</f>
        <v>21.786492374727668</v>
      </c>
      <c r="F5">
        <v>70</v>
      </c>
      <c r="G5" t="s">
        <v>39</v>
      </c>
      <c r="H5" t="s">
        <v>40</v>
      </c>
      <c r="I5" t="s">
        <v>50</v>
      </c>
      <c r="J5" t="s">
        <v>42</v>
      </c>
      <c r="K5" t="s">
        <v>43</v>
      </c>
      <c r="M5" t="s">
        <v>43</v>
      </c>
      <c r="O5" t="s">
        <v>44</v>
      </c>
      <c r="P5" t="s">
        <v>45</v>
      </c>
      <c r="Q5" t="s">
        <v>46</v>
      </c>
      <c r="R5">
        <v>250</v>
      </c>
      <c r="S5" t="s">
        <v>59</v>
      </c>
      <c r="T5" t="s">
        <v>42</v>
      </c>
      <c r="U5" t="s">
        <v>48</v>
      </c>
      <c r="V5">
        <v>3</v>
      </c>
    </row>
    <row r="6" spans="1:22" x14ac:dyDescent="0.25">
      <c r="A6" t="s">
        <v>38</v>
      </c>
      <c r="B6">
        <v>52</v>
      </c>
      <c r="C6">
        <v>65</v>
      </c>
      <c r="D6" s="7">
        <v>1.5</v>
      </c>
      <c r="E6" s="6">
        <f>Tabela2[[#This Row],[Peso]]/Tabela2[[#This Row],[Altura]]^2</f>
        <v>28.888888888888889</v>
      </c>
      <c r="F6">
        <v>60</v>
      </c>
      <c r="G6" t="s">
        <v>39</v>
      </c>
      <c r="H6" t="s">
        <v>40</v>
      </c>
      <c r="I6" t="s">
        <v>60</v>
      </c>
      <c r="J6" t="s">
        <v>58</v>
      </c>
      <c r="O6" t="s">
        <v>44</v>
      </c>
      <c r="P6" t="s">
        <v>45</v>
      </c>
      <c r="Q6" t="s">
        <v>45</v>
      </c>
      <c r="R6">
        <v>500</v>
      </c>
      <c r="S6" t="s">
        <v>51</v>
      </c>
      <c r="T6" t="s">
        <v>58</v>
      </c>
      <c r="V6">
        <v>0</v>
      </c>
    </row>
    <row r="7" spans="1:22" x14ac:dyDescent="0.25">
      <c r="A7" t="s">
        <v>53</v>
      </c>
      <c r="B7">
        <v>25</v>
      </c>
      <c r="C7">
        <v>78</v>
      </c>
      <c r="D7" s="7">
        <v>1.8</v>
      </c>
      <c r="E7" s="6">
        <f>Tabela2[[#This Row],[Peso]]/Tabela2[[#This Row],[Altura]]^2</f>
        <v>24.074074074074073</v>
      </c>
      <c r="F7">
        <v>70</v>
      </c>
      <c r="G7" t="s">
        <v>61</v>
      </c>
      <c r="H7" t="s">
        <v>62</v>
      </c>
      <c r="I7" t="s">
        <v>41</v>
      </c>
      <c r="J7" t="s">
        <v>58</v>
      </c>
      <c r="O7" t="s">
        <v>44</v>
      </c>
      <c r="P7" t="s">
        <v>45</v>
      </c>
      <c r="Q7" t="s">
        <v>46</v>
      </c>
      <c r="R7">
        <v>1000</v>
      </c>
      <c r="S7" t="s">
        <v>59</v>
      </c>
      <c r="T7" t="s">
        <v>42</v>
      </c>
      <c r="U7" t="s">
        <v>63</v>
      </c>
      <c r="V7">
        <v>2</v>
      </c>
    </row>
    <row r="8" spans="1:22" x14ac:dyDescent="0.25">
      <c r="A8" t="s">
        <v>38</v>
      </c>
      <c r="B8">
        <v>18</v>
      </c>
      <c r="C8">
        <v>50</v>
      </c>
      <c r="D8" s="7">
        <v>1.56</v>
      </c>
      <c r="E8" s="6">
        <f>Tabela2[[#This Row],[Peso]]/Tabela2[[#This Row],[Altura]]^2</f>
        <v>20.5456936226167</v>
      </c>
      <c r="F8">
        <v>52</v>
      </c>
      <c r="G8" t="s">
        <v>39</v>
      </c>
      <c r="H8" t="s">
        <v>40</v>
      </c>
      <c r="I8" t="s">
        <v>50</v>
      </c>
      <c r="J8" t="s">
        <v>42</v>
      </c>
      <c r="K8" t="s">
        <v>43</v>
      </c>
      <c r="O8" t="s">
        <v>64</v>
      </c>
      <c r="P8" t="s">
        <v>45</v>
      </c>
      <c r="Q8" t="s">
        <v>46</v>
      </c>
      <c r="R8">
        <v>350</v>
      </c>
      <c r="S8" t="s">
        <v>47</v>
      </c>
      <c r="T8" t="s">
        <v>58</v>
      </c>
      <c r="V8">
        <v>0</v>
      </c>
    </row>
    <row r="9" spans="1:22" x14ac:dyDescent="0.25">
      <c r="A9" t="s">
        <v>38</v>
      </c>
      <c r="B9">
        <v>20</v>
      </c>
      <c r="C9">
        <v>47</v>
      </c>
      <c r="D9" s="7">
        <v>1.56</v>
      </c>
      <c r="E9" s="6">
        <f>Tabela2[[#This Row],[Peso]]/Tabela2[[#This Row],[Altura]]^2</f>
        <v>19.312952005259696</v>
      </c>
      <c r="F9">
        <v>60</v>
      </c>
      <c r="G9" t="s">
        <v>49</v>
      </c>
      <c r="H9" t="s">
        <v>40</v>
      </c>
      <c r="I9" t="s">
        <v>60</v>
      </c>
      <c r="J9" t="s">
        <v>42</v>
      </c>
      <c r="K9" t="s">
        <v>43</v>
      </c>
      <c r="M9" t="s">
        <v>43</v>
      </c>
      <c r="O9" t="s">
        <v>44</v>
      </c>
      <c r="P9" t="s">
        <v>45</v>
      </c>
      <c r="Q9" t="s">
        <v>45</v>
      </c>
      <c r="R9">
        <v>300</v>
      </c>
      <c r="S9" t="s">
        <v>47</v>
      </c>
      <c r="T9" t="s">
        <v>58</v>
      </c>
      <c r="V9">
        <v>0</v>
      </c>
    </row>
    <row r="10" spans="1:22" x14ac:dyDescent="0.25">
      <c r="A10" t="s">
        <v>38</v>
      </c>
      <c r="B10">
        <v>25</v>
      </c>
      <c r="C10">
        <v>65</v>
      </c>
      <c r="D10" s="7">
        <v>1.63</v>
      </c>
      <c r="E10" s="6">
        <f>Tabela2[[#This Row],[Peso]]/Tabela2[[#This Row],[Altura]]^2</f>
        <v>24.464601603372351</v>
      </c>
      <c r="F10">
        <v>83</v>
      </c>
      <c r="G10" t="s">
        <v>49</v>
      </c>
      <c r="H10" t="s">
        <v>40</v>
      </c>
      <c r="I10" t="s">
        <v>50</v>
      </c>
      <c r="J10" t="s">
        <v>42</v>
      </c>
      <c r="K10" t="s">
        <v>43</v>
      </c>
      <c r="O10" t="s">
        <v>44</v>
      </c>
      <c r="P10" t="s">
        <v>45</v>
      </c>
      <c r="Q10" t="s">
        <v>45</v>
      </c>
      <c r="R10">
        <v>300</v>
      </c>
      <c r="S10" t="s">
        <v>51</v>
      </c>
      <c r="T10" t="s">
        <v>42</v>
      </c>
      <c r="U10" t="s">
        <v>65</v>
      </c>
      <c r="V10">
        <v>2</v>
      </c>
    </row>
    <row r="11" spans="1:22" x14ac:dyDescent="0.25">
      <c r="A11" t="s">
        <v>38</v>
      </c>
      <c r="B11">
        <v>21</v>
      </c>
      <c r="C11">
        <v>55</v>
      </c>
      <c r="D11" s="7">
        <v>1.65</v>
      </c>
      <c r="E11" s="6">
        <f>Tabela2[[#This Row],[Peso]]/Tabela2[[#This Row],[Altura]]^2</f>
        <v>20.202020202020204</v>
      </c>
      <c r="F11">
        <v>67</v>
      </c>
      <c r="G11" t="s">
        <v>66</v>
      </c>
      <c r="H11" t="s">
        <v>40</v>
      </c>
      <c r="I11" t="s">
        <v>41</v>
      </c>
      <c r="J11" t="s">
        <v>42</v>
      </c>
      <c r="K11" t="s">
        <v>43</v>
      </c>
      <c r="M11" t="s">
        <v>43</v>
      </c>
      <c r="O11" t="s">
        <v>44</v>
      </c>
      <c r="P11" t="s">
        <v>67</v>
      </c>
      <c r="Q11" t="s">
        <v>57</v>
      </c>
      <c r="R11">
        <v>300</v>
      </c>
      <c r="S11" t="s">
        <v>47</v>
      </c>
      <c r="T11" t="s">
        <v>42</v>
      </c>
      <c r="U11" t="s">
        <v>68</v>
      </c>
      <c r="V11">
        <v>2</v>
      </c>
    </row>
    <row r="12" spans="1:22" x14ac:dyDescent="0.25">
      <c r="A12" t="s">
        <v>38</v>
      </c>
      <c r="B12">
        <v>41</v>
      </c>
      <c r="C12">
        <v>92</v>
      </c>
      <c r="D12" s="7">
        <v>1.7</v>
      </c>
      <c r="E12" s="6">
        <f>Tabela2[[#This Row],[Peso]]/Tabela2[[#This Row],[Altura]]^2</f>
        <v>31.833910034602081</v>
      </c>
      <c r="F12">
        <v>90</v>
      </c>
      <c r="G12" t="s">
        <v>66</v>
      </c>
      <c r="H12" t="s">
        <v>40</v>
      </c>
      <c r="I12" t="s">
        <v>41</v>
      </c>
      <c r="J12" t="s">
        <v>58</v>
      </c>
      <c r="O12" t="s">
        <v>44</v>
      </c>
      <c r="P12" t="s">
        <v>45</v>
      </c>
      <c r="Q12" t="s">
        <v>45</v>
      </c>
      <c r="R12">
        <v>300</v>
      </c>
      <c r="S12" t="s">
        <v>47</v>
      </c>
      <c r="T12" t="s">
        <v>58</v>
      </c>
      <c r="V12">
        <v>0</v>
      </c>
    </row>
    <row r="13" spans="1:22" x14ac:dyDescent="0.25">
      <c r="A13" t="s">
        <v>53</v>
      </c>
      <c r="B13">
        <v>70</v>
      </c>
      <c r="C13">
        <v>70</v>
      </c>
      <c r="D13" s="7">
        <v>1.69</v>
      </c>
      <c r="E13" s="6">
        <f>Tabela2[[#This Row],[Peso]]/Tabela2[[#This Row],[Altura]]^2</f>
        <v>24.508945765204302</v>
      </c>
      <c r="F13">
        <v>70</v>
      </c>
      <c r="G13" t="s">
        <v>69</v>
      </c>
      <c r="H13" t="s">
        <v>40</v>
      </c>
      <c r="I13" t="s">
        <v>41</v>
      </c>
      <c r="J13" t="s">
        <v>42</v>
      </c>
      <c r="K13" t="s">
        <v>43</v>
      </c>
      <c r="M13" t="s">
        <v>43</v>
      </c>
      <c r="O13" t="s">
        <v>44</v>
      </c>
      <c r="P13" t="s">
        <v>70</v>
      </c>
      <c r="Q13" t="s">
        <v>45</v>
      </c>
      <c r="R13">
        <v>350</v>
      </c>
      <c r="S13" t="s">
        <v>47</v>
      </c>
      <c r="T13" t="s">
        <v>58</v>
      </c>
      <c r="V13">
        <v>0</v>
      </c>
    </row>
    <row r="14" spans="1:22" x14ac:dyDescent="0.25">
      <c r="A14" t="s">
        <v>53</v>
      </c>
      <c r="B14">
        <v>21</v>
      </c>
      <c r="C14">
        <v>72</v>
      </c>
      <c r="D14" s="7">
        <v>1.7</v>
      </c>
      <c r="E14" s="6">
        <f>Tabela2[[#This Row],[Peso]]/Tabela2[[#This Row],[Altura]]^2</f>
        <v>24.913494809688583</v>
      </c>
      <c r="F14">
        <v>105</v>
      </c>
      <c r="G14" t="s">
        <v>71</v>
      </c>
      <c r="H14" t="s">
        <v>40</v>
      </c>
      <c r="I14" t="s">
        <v>41</v>
      </c>
      <c r="J14" t="s">
        <v>42</v>
      </c>
      <c r="K14" t="s">
        <v>43</v>
      </c>
      <c r="O14" t="s">
        <v>44</v>
      </c>
      <c r="P14" t="s">
        <v>45</v>
      </c>
      <c r="Q14" t="s">
        <v>46</v>
      </c>
      <c r="R14">
        <v>450</v>
      </c>
      <c r="S14" t="s">
        <v>47</v>
      </c>
      <c r="T14" t="s">
        <v>58</v>
      </c>
      <c r="V14">
        <v>0</v>
      </c>
    </row>
    <row r="15" spans="1:22" x14ac:dyDescent="0.25">
      <c r="A15" t="s">
        <v>53</v>
      </c>
      <c r="B15">
        <v>22</v>
      </c>
      <c r="C15">
        <v>61</v>
      </c>
      <c r="D15" s="7">
        <v>1.73</v>
      </c>
      <c r="E15" s="6">
        <f>Tabela2[[#This Row],[Peso]]/Tabela2[[#This Row],[Altura]]^2</f>
        <v>20.381569714992146</v>
      </c>
      <c r="F15">
        <v>60</v>
      </c>
      <c r="G15" t="s">
        <v>39</v>
      </c>
      <c r="H15" t="s">
        <v>40</v>
      </c>
      <c r="I15" t="s">
        <v>50</v>
      </c>
      <c r="J15" t="s">
        <v>58</v>
      </c>
      <c r="O15" t="s">
        <v>44</v>
      </c>
      <c r="P15" t="s">
        <v>67</v>
      </c>
      <c r="Q15" t="s">
        <v>57</v>
      </c>
      <c r="R15">
        <v>500</v>
      </c>
      <c r="S15" t="s">
        <v>47</v>
      </c>
      <c r="T15" t="s">
        <v>58</v>
      </c>
      <c r="V15">
        <v>0</v>
      </c>
    </row>
    <row r="16" spans="1:22" x14ac:dyDescent="0.25">
      <c r="A16" t="s">
        <v>53</v>
      </c>
      <c r="B16">
        <v>25</v>
      </c>
      <c r="C16">
        <v>92</v>
      </c>
      <c r="D16" s="7">
        <v>1.78</v>
      </c>
      <c r="E16" s="6">
        <f>Tabela2[[#This Row],[Peso]]/Tabela2[[#This Row],[Altura]]^2</f>
        <v>29.036737785633125</v>
      </c>
      <c r="F16">
        <v>92</v>
      </c>
      <c r="G16" t="s">
        <v>69</v>
      </c>
      <c r="H16" t="s">
        <v>40</v>
      </c>
      <c r="I16" t="s">
        <v>41</v>
      </c>
      <c r="J16" t="s">
        <v>58</v>
      </c>
      <c r="O16" t="s">
        <v>44</v>
      </c>
      <c r="P16" t="s">
        <v>72</v>
      </c>
      <c r="Q16" t="s">
        <v>73</v>
      </c>
      <c r="R16">
        <v>700</v>
      </c>
      <c r="S16" t="s">
        <v>47</v>
      </c>
      <c r="T16" t="s">
        <v>42</v>
      </c>
      <c r="U16" t="s">
        <v>65</v>
      </c>
      <c r="V16">
        <v>1</v>
      </c>
    </row>
    <row r="17" spans="1:22" x14ac:dyDescent="0.25">
      <c r="A17" t="s">
        <v>38</v>
      </c>
      <c r="B17">
        <v>20</v>
      </c>
      <c r="C17">
        <v>62</v>
      </c>
      <c r="D17" s="7">
        <v>1.62</v>
      </c>
      <c r="E17" s="6">
        <f>Tabela2[[#This Row],[Peso]]/Tabela2[[#This Row],[Altura]]^2</f>
        <v>23.624447492760247</v>
      </c>
      <c r="F17">
        <v>74</v>
      </c>
      <c r="G17" t="s">
        <v>39</v>
      </c>
      <c r="H17" t="s">
        <v>40</v>
      </c>
      <c r="I17" t="s">
        <v>60</v>
      </c>
      <c r="J17" t="s">
        <v>42</v>
      </c>
      <c r="K17" t="s">
        <v>43</v>
      </c>
      <c r="M17" t="s">
        <v>43</v>
      </c>
      <c r="O17" t="s">
        <v>44</v>
      </c>
      <c r="P17" t="s">
        <v>45</v>
      </c>
      <c r="Q17" t="s">
        <v>45</v>
      </c>
      <c r="R17">
        <v>150</v>
      </c>
      <c r="S17" t="s">
        <v>74</v>
      </c>
      <c r="T17" t="s">
        <v>42</v>
      </c>
      <c r="U17" t="s">
        <v>75</v>
      </c>
      <c r="V17">
        <v>2</v>
      </c>
    </row>
    <row r="18" spans="1:22" x14ac:dyDescent="0.25">
      <c r="A18" t="s">
        <v>38</v>
      </c>
      <c r="B18">
        <v>58</v>
      </c>
      <c r="C18">
        <v>78</v>
      </c>
      <c r="D18" s="7">
        <v>1.65</v>
      </c>
      <c r="E18" s="6">
        <f>Tabela2[[#This Row],[Peso]]/Tabela2[[#This Row],[Altura]]^2</f>
        <v>28.650137741046834</v>
      </c>
      <c r="F18">
        <v>98</v>
      </c>
      <c r="G18" t="s">
        <v>39</v>
      </c>
      <c r="H18" t="s">
        <v>40</v>
      </c>
      <c r="I18" t="s">
        <v>60</v>
      </c>
      <c r="J18" t="s">
        <v>42</v>
      </c>
      <c r="K18" t="s">
        <v>43</v>
      </c>
      <c r="O18" t="s">
        <v>44</v>
      </c>
      <c r="P18" t="s">
        <v>70</v>
      </c>
      <c r="Q18" t="s">
        <v>57</v>
      </c>
      <c r="R18">
        <v>200</v>
      </c>
      <c r="S18" t="s">
        <v>47</v>
      </c>
      <c r="T18" t="s">
        <v>58</v>
      </c>
      <c r="V18">
        <v>0</v>
      </c>
    </row>
    <row r="19" spans="1:22" x14ac:dyDescent="0.25">
      <c r="A19" t="s">
        <v>53</v>
      </c>
      <c r="B19">
        <v>24</v>
      </c>
      <c r="C19">
        <v>68</v>
      </c>
      <c r="D19" s="7">
        <v>1.72</v>
      </c>
      <c r="E19" s="6">
        <f>Tabela2[[#This Row],[Peso]]/Tabela2[[#This Row],[Altura]]^2</f>
        <v>22.985397512168742</v>
      </c>
      <c r="F19">
        <v>75</v>
      </c>
      <c r="G19" t="s">
        <v>39</v>
      </c>
      <c r="H19" t="s">
        <v>40</v>
      </c>
      <c r="I19" t="s">
        <v>41</v>
      </c>
      <c r="J19" t="s">
        <v>58</v>
      </c>
      <c r="O19" t="s">
        <v>44</v>
      </c>
      <c r="P19" t="s">
        <v>45</v>
      </c>
      <c r="Q19" t="s">
        <v>46</v>
      </c>
      <c r="R19">
        <v>500</v>
      </c>
      <c r="S19" t="s">
        <v>51</v>
      </c>
      <c r="T19" t="s">
        <v>58</v>
      </c>
      <c r="V19">
        <v>0</v>
      </c>
    </row>
    <row r="20" spans="1:22" x14ac:dyDescent="0.25">
      <c r="A20" t="s">
        <v>38</v>
      </c>
      <c r="B20">
        <v>21</v>
      </c>
      <c r="C20">
        <v>45</v>
      </c>
      <c r="D20" s="7">
        <v>1.57</v>
      </c>
      <c r="E20" s="6">
        <f>Tabela2[[#This Row],[Peso]]/Tabela2[[#This Row],[Altura]]^2</f>
        <v>18.25631871475516</v>
      </c>
      <c r="F20">
        <v>65</v>
      </c>
      <c r="G20" t="s">
        <v>39</v>
      </c>
      <c r="H20" t="s">
        <v>40</v>
      </c>
      <c r="I20" t="s">
        <v>41</v>
      </c>
      <c r="J20" t="s">
        <v>58</v>
      </c>
      <c r="O20" t="s">
        <v>44</v>
      </c>
      <c r="P20" t="s">
        <v>45</v>
      </c>
      <c r="Q20" t="s">
        <v>46</v>
      </c>
      <c r="R20">
        <v>400</v>
      </c>
      <c r="S20" t="s">
        <v>51</v>
      </c>
      <c r="T20" t="s">
        <v>58</v>
      </c>
      <c r="V20">
        <v>0</v>
      </c>
    </row>
    <row r="21" spans="1:22" x14ac:dyDescent="0.25">
      <c r="A21" t="s">
        <v>53</v>
      </c>
      <c r="B21">
        <v>40</v>
      </c>
      <c r="C21">
        <v>70</v>
      </c>
      <c r="D21" s="7">
        <v>1.7</v>
      </c>
      <c r="E21" s="6">
        <f>Tabela2[[#This Row],[Peso]]/Tabela2[[#This Row],[Altura]]^2</f>
        <v>24.221453287197235</v>
      </c>
      <c r="F21">
        <v>70</v>
      </c>
      <c r="G21" t="s">
        <v>39</v>
      </c>
      <c r="H21" t="s">
        <v>40</v>
      </c>
      <c r="I21" t="s">
        <v>41</v>
      </c>
      <c r="J21" t="s">
        <v>58</v>
      </c>
      <c r="O21" t="s">
        <v>44</v>
      </c>
      <c r="P21" t="s">
        <v>45</v>
      </c>
      <c r="Q21" t="s">
        <v>45</v>
      </c>
      <c r="R21">
        <v>500</v>
      </c>
      <c r="S21" t="s">
        <v>47</v>
      </c>
      <c r="T21" t="s">
        <v>58</v>
      </c>
      <c r="V21">
        <v>0</v>
      </c>
    </row>
    <row r="22" spans="1:22" x14ac:dyDescent="0.25">
      <c r="A22" t="s">
        <v>38</v>
      </c>
      <c r="B22">
        <v>21</v>
      </c>
      <c r="C22">
        <v>45</v>
      </c>
      <c r="D22" s="7">
        <v>1.56</v>
      </c>
      <c r="E22" s="6">
        <f>Tabela2[[#This Row],[Peso]]/Tabela2[[#This Row],[Altura]]^2</f>
        <v>18.491124260355029</v>
      </c>
      <c r="F22">
        <v>63</v>
      </c>
      <c r="G22" t="s">
        <v>39</v>
      </c>
      <c r="H22" t="s">
        <v>40</v>
      </c>
      <c r="I22" t="s">
        <v>41</v>
      </c>
      <c r="J22" t="s">
        <v>42</v>
      </c>
      <c r="L22" t="s">
        <v>43</v>
      </c>
      <c r="M22" t="s">
        <v>43</v>
      </c>
      <c r="O22" t="s">
        <v>64</v>
      </c>
      <c r="P22" t="s">
        <v>67</v>
      </c>
      <c r="Q22" t="s">
        <v>46</v>
      </c>
      <c r="R22">
        <v>500</v>
      </c>
      <c r="S22" t="s">
        <v>51</v>
      </c>
      <c r="T22" t="s">
        <v>42</v>
      </c>
      <c r="U22" t="s">
        <v>76</v>
      </c>
      <c r="V22">
        <v>3</v>
      </c>
    </row>
    <row r="23" spans="1:22" x14ac:dyDescent="0.25">
      <c r="A23" t="s">
        <v>38</v>
      </c>
      <c r="B23">
        <v>51</v>
      </c>
      <c r="C23">
        <v>56</v>
      </c>
      <c r="D23" s="7">
        <v>1.53</v>
      </c>
      <c r="E23" s="6">
        <f>Tabela2[[#This Row],[Peso]]/Tabela2[[#This Row],[Altura]]^2</f>
        <v>23.92242299970097</v>
      </c>
      <c r="F23">
        <v>78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O23" t="s">
        <v>44</v>
      </c>
      <c r="P23" t="s">
        <v>45</v>
      </c>
      <c r="Q23" t="s">
        <v>45</v>
      </c>
      <c r="R23">
        <v>300</v>
      </c>
      <c r="S23" t="s">
        <v>47</v>
      </c>
      <c r="T23" t="s">
        <v>58</v>
      </c>
      <c r="V23">
        <v>0</v>
      </c>
    </row>
    <row r="24" spans="1:22" x14ac:dyDescent="0.25">
      <c r="A24" t="s">
        <v>53</v>
      </c>
      <c r="B24">
        <v>22</v>
      </c>
      <c r="C24">
        <v>90</v>
      </c>
      <c r="D24" s="7">
        <v>1.9</v>
      </c>
      <c r="E24" s="6">
        <f>Tabela2[[#This Row],[Peso]]/Tabela2[[#This Row],[Altura]]^2</f>
        <v>24.930747922437675</v>
      </c>
      <c r="F24">
        <v>90</v>
      </c>
      <c r="G24" t="s">
        <v>39</v>
      </c>
      <c r="H24" t="s">
        <v>40</v>
      </c>
      <c r="I24" t="s">
        <v>50</v>
      </c>
      <c r="J24" t="s">
        <v>58</v>
      </c>
      <c r="O24" t="s">
        <v>44</v>
      </c>
      <c r="P24" t="s">
        <v>45</v>
      </c>
      <c r="Q24" t="s">
        <v>46</v>
      </c>
      <c r="R24">
        <v>1000</v>
      </c>
      <c r="S24" t="s">
        <v>47</v>
      </c>
      <c r="T24" t="s">
        <v>42</v>
      </c>
      <c r="U24" t="s">
        <v>77</v>
      </c>
      <c r="V24">
        <v>5</v>
      </c>
    </row>
    <row r="25" spans="1:22" x14ac:dyDescent="0.25">
      <c r="A25" t="s">
        <v>53</v>
      </c>
      <c r="B25">
        <v>68</v>
      </c>
      <c r="C25">
        <v>75</v>
      </c>
      <c r="D25" s="7">
        <v>1.75</v>
      </c>
      <c r="E25" s="6">
        <f>Tabela2[[#This Row],[Peso]]/Tabela2[[#This Row],[Altura]]^2</f>
        <v>24.489795918367346</v>
      </c>
      <c r="F25">
        <v>70</v>
      </c>
      <c r="G25" t="s">
        <v>78</v>
      </c>
      <c r="H25" t="s">
        <v>40</v>
      </c>
      <c r="I25" t="s">
        <v>50</v>
      </c>
      <c r="J25" t="s">
        <v>58</v>
      </c>
      <c r="O25" t="s">
        <v>44</v>
      </c>
      <c r="P25" t="s">
        <v>72</v>
      </c>
      <c r="Q25" t="s">
        <v>46</v>
      </c>
      <c r="R25">
        <v>500</v>
      </c>
      <c r="S25" t="s">
        <v>47</v>
      </c>
      <c r="T25" t="s">
        <v>58</v>
      </c>
      <c r="V25">
        <v>0</v>
      </c>
    </row>
    <row r="26" spans="1:22" x14ac:dyDescent="0.25">
      <c r="A26" t="s">
        <v>38</v>
      </c>
      <c r="B26">
        <v>23</v>
      </c>
      <c r="C26">
        <v>75</v>
      </c>
      <c r="D26" s="7">
        <v>1.53</v>
      </c>
      <c r="E26" s="6">
        <f>Tabela2[[#This Row],[Peso]]/Tabela2[[#This Row],[Altura]]^2</f>
        <v>32.038959374599514</v>
      </c>
      <c r="F26">
        <v>86</v>
      </c>
      <c r="G26" t="s">
        <v>79</v>
      </c>
      <c r="H26" t="s">
        <v>62</v>
      </c>
      <c r="I26" t="s">
        <v>50</v>
      </c>
      <c r="J26" t="s">
        <v>42</v>
      </c>
      <c r="K26" t="s">
        <v>43</v>
      </c>
      <c r="M26" t="s">
        <v>43</v>
      </c>
      <c r="O26" t="s">
        <v>44</v>
      </c>
      <c r="P26" t="s">
        <v>45</v>
      </c>
      <c r="Q26" t="s">
        <v>57</v>
      </c>
      <c r="R26">
        <v>300</v>
      </c>
      <c r="S26" t="s">
        <v>47</v>
      </c>
      <c r="T26" t="s">
        <v>42</v>
      </c>
      <c r="U26" t="s">
        <v>80</v>
      </c>
      <c r="V26">
        <v>3</v>
      </c>
    </row>
    <row r="27" spans="1:22" x14ac:dyDescent="0.25">
      <c r="A27" t="s">
        <v>38</v>
      </c>
      <c r="B27">
        <v>51</v>
      </c>
      <c r="C27">
        <v>80</v>
      </c>
      <c r="D27" s="7">
        <v>1.73</v>
      </c>
      <c r="E27" s="6">
        <f>Tabela2[[#This Row],[Peso]]/Tabela2[[#This Row],[Altura]]^2</f>
        <v>26.729927495071667</v>
      </c>
      <c r="F27">
        <v>110</v>
      </c>
      <c r="G27" t="s">
        <v>81</v>
      </c>
      <c r="H27" t="s">
        <v>62</v>
      </c>
      <c r="I27" t="s">
        <v>60</v>
      </c>
      <c r="J27" t="s">
        <v>42</v>
      </c>
      <c r="K27" t="s">
        <v>43</v>
      </c>
      <c r="M27" t="s">
        <v>43</v>
      </c>
      <c r="O27" t="s">
        <v>44</v>
      </c>
      <c r="P27" t="s">
        <v>45</v>
      </c>
      <c r="Q27" t="s">
        <v>57</v>
      </c>
      <c r="R27">
        <v>300</v>
      </c>
      <c r="S27" t="s">
        <v>47</v>
      </c>
      <c r="T27" t="s">
        <v>58</v>
      </c>
      <c r="V27">
        <v>0</v>
      </c>
    </row>
    <row r="28" spans="1:22" x14ac:dyDescent="0.25">
      <c r="A28" t="s">
        <v>53</v>
      </c>
      <c r="B28">
        <v>22</v>
      </c>
      <c r="C28">
        <v>89</v>
      </c>
      <c r="D28" s="7">
        <v>1.89</v>
      </c>
      <c r="E28" s="6">
        <f>Tabela2[[#This Row],[Peso]]/Tabela2[[#This Row],[Altura]]^2</f>
        <v>24.915315920606925</v>
      </c>
      <c r="F28">
        <v>100</v>
      </c>
      <c r="G28" t="s">
        <v>82</v>
      </c>
      <c r="H28" t="s">
        <v>62</v>
      </c>
      <c r="I28" t="s">
        <v>60</v>
      </c>
      <c r="J28" t="s">
        <v>42</v>
      </c>
      <c r="K28" t="s">
        <v>43</v>
      </c>
      <c r="O28" t="s">
        <v>44</v>
      </c>
      <c r="P28" t="s">
        <v>67</v>
      </c>
      <c r="Q28" t="s">
        <v>57</v>
      </c>
      <c r="R28">
        <v>500</v>
      </c>
      <c r="S28" t="s">
        <v>59</v>
      </c>
      <c r="T28" t="s">
        <v>42</v>
      </c>
      <c r="U28" t="s">
        <v>83</v>
      </c>
      <c r="V28">
        <v>2</v>
      </c>
    </row>
    <row r="29" spans="1:22" x14ac:dyDescent="0.25">
      <c r="A29" t="s">
        <v>53</v>
      </c>
      <c r="B29">
        <v>21</v>
      </c>
      <c r="C29">
        <v>75</v>
      </c>
      <c r="D29" s="7">
        <v>1.72</v>
      </c>
      <c r="E29" s="6">
        <f>Tabela2[[#This Row],[Peso]]/Tabela2[[#This Row],[Altura]]^2</f>
        <v>25.351541373715524</v>
      </c>
      <c r="F29">
        <v>60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O29" t="s">
        <v>44</v>
      </c>
      <c r="P29" t="s">
        <v>67</v>
      </c>
      <c r="Q29" t="s">
        <v>46</v>
      </c>
      <c r="R29">
        <v>700</v>
      </c>
      <c r="S29" t="s">
        <v>74</v>
      </c>
      <c r="T29" t="s">
        <v>42</v>
      </c>
      <c r="U29" t="s">
        <v>48</v>
      </c>
      <c r="V29">
        <v>4</v>
      </c>
    </row>
    <row r="30" spans="1:22" x14ac:dyDescent="0.25">
      <c r="A30" t="s">
        <v>53</v>
      </c>
      <c r="B30">
        <v>52</v>
      </c>
      <c r="C30">
        <v>90</v>
      </c>
      <c r="D30" s="7">
        <v>1.82</v>
      </c>
      <c r="E30" s="6">
        <f>Tabela2[[#This Row],[Peso]]/Tabela2[[#This Row],[Altura]]^2</f>
        <v>27.170631566235961</v>
      </c>
      <c r="F30">
        <v>100</v>
      </c>
      <c r="G30" t="s">
        <v>66</v>
      </c>
      <c r="H30" t="s">
        <v>40</v>
      </c>
      <c r="I30" t="s">
        <v>84</v>
      </c>
      <c r="J30" t="s">
        <v>42</v>
      </c>
      <c r="L30" t="s">
        <v>43</v>
      </c>
      <c r="O30" t="s">
        <v>44</v>
      </c>
      <c r="P30" t="s">
        <v>70</v>
      </c>
      <c r="Q30" t="s">
        <v>57</v>
      </c>
      <c r="R30">
        <v>500</v>
      </c>
      <c r="S30" t="s">
        <v>47</v>
      </c>
      <c r="T30" t="s">
        <v>58</v>
      </c>
      <c r="V30">
        <v>0</v>
      </c>
    </row>
    <row r="31" spans="1:22" x14ac:dyDescent="0.25">
      <c r="A31" t="s">
        <v>38</v>
      </c>
      <c r="B31">
        <v>21</v>
      </c>
      <c r="C31">
        <v>60</v>
      </c>
      <c r="D31" s="7">
        <v>1.63</v>
      </c>
      <c r="E31" s="6">
        <f>Tabela2[[#This Row],[Peso]]/Tabela2[[#This Row],[Altura]]^2</f>
        <v>22.582709172343712</v>
      </c>
      <c r="F31">
        <v>60</v>
      </c>
      <c r="G31" t="s">
        <v>66</v>
      </c>
      <c r="H31" t="s">
        <v>40</v>
      </c>
      <c r="I31" t="s">
        <v>85</v>
      </c>
      <c r="J31" t="s">
        <v>58</v>
      </c>
      <c r="O31" t="s">
        <v>44</v>
      </c>
      <c r="P31" t="s">
        <v>67</v>
      </c>
      <c r="Q31" t="s">
        <v>46</v>
      </c>
      <c r="R31">
        <v>400</v>
      </c>
      <c r="S31" t="s">
        <v>47</v>
      </c>
      <c r="T31" t="s">
        <v>42</v>
      </c>
      <c r="U31" t="s">
        <v>86</v>
      </c>
      <c r="V31">
        <v>1</v>
      </c>
    </row>
    <row r="32" spans="1:22" x14ac:dyDescent="0.25">
      <c r="A32" t="s">
        <v>38</v>
      </c>
      <c r="B32">
        <v>45</v>
      </c>
      <c r="C32">
        <v>60</v>
      </c>
      <c r="D32" s="7">
        <v>1.6</v>
      </c>
      <c r="E32" s="6">
        <f>Tabela2[[#This Row],[Peso]]/Tabela2[[#This Row],[Altura]]^2</f>
        <v>23.437499999999996</v>
      </c>
      <c r="F32">
        <v>68</v>
      </c>
      <c r="G32" t="s">
        <v>87</v>
      </c>
      <c r="H32" t="s">
        <v>40</v>
      </c>
      <c r="I32" t="s">
        <v>50</v>
      </c>
      <c r="J32" t="s">
        <v>42</v>
      </c>
      <c r="K32" t="s">
        <v>43</v>
      </c>
      <c r="M32" t="s">
        <v>43</v>
      </c>
      <c r="O32" t="s">
        <v>44</v>
      </c>
      <c r="P32" t="s">
        <v>45</v>
      </c>
      <c r="Q32" t="s">
        <v>45</v>
      </c>
      <c r="R32">
        <v>350</v>
      </c>
      <c r="S32" t="s">
        <v>47</v>
      </c>
      <c r="T32" t="s">
        <v>42</v>
      </c>
      <c r="U32" t="s">
        <v>48</v>
      </c>
      <c r="V32">
        <v>7</v>
      </c>
    </row>
    <row r="33" spans="1:22" x14ac:dyDescent="0.25">
      <c r="A33" t="s">
        <v>53</v>
      </c>
      <c r="B33">
        <v>18</v>
      </c>
      <c r="C33">
        <v>70</v>
      </c>
      <c r="D33" s="7">
        <v>1.72</v>
      </c>
      <c r="E33" s="6">
        <f>Tabela2[[#This Row],[Peso]]/Tabela2[[#This Row],[Altura]]^2</f>
        <v>23.661438615467823</v>
      </c>
      <c r="F33">
        <v>72</v>
      </c>
      <c r="G33" t="s">
        <v>66</v>
      </c>
      <c r="H33" t="s">
        <v>40</v>
      </c>
      <c r="I33" t="s">
        <v>50</v>
      </c>
      <c r="J33" t="s">
        <v>58</v>
      </c>
      <c r="O33" t="s">
        <v>44</v>
      </c>
      <c r="P33" t="s">
        <v>56</v>
      </c>
      <c r="Q33" t="s">
        <v>57</v>
      </c>
      <c r="R33">
        <v>500</v>
      </c>
      <c r="S33" t="s">
        <v>47</v>
      </c>
      <c r="T33" t="s">
        <v>42</v>
      </c>
      <c r="U33" t="s">
        <v>65</v>
      </c>
      <c r="V33">
        <v>1</v>
      </c>
    </row>
    <row r="34" spans="1:22" x14ac:dyDescent="0.25">
      <c r="A34" t="s">
        <v>38</v>
      </c>
      <c r="B34">
        <v>22</v>
      </c>
      <c r="C34">
        <v>58</v>
      </c>
      <c r="D34" s="7">
        <v>1.66</v>
      </c>
      <c r="E34" s="6">
        <f>Tabela2[[#This Row],[Peso]]/Tabela2[[#This Row],[Altura]]^2</f>
        <v>21.048047612135289</v>
      </c>
      <c r="F34">
        <v>68</v>
      </c>
      <c r="G34" t="s">
        <v>39</v>
      </c>
      <c r="H34" t="s">
        <v>40</v>
      </c>
      <c r="I34" t="s">
        <v>50</v>
      </c>
      <c r="J34" t="s">
        <v>42</v>
      </c>
      <c r="K34" t="s">
        <v>43</v>
      </c>
      <c r="O34" t="s">
        <v>44</v>
      </c>
      <c r="P34" t="s">
        <v>45</v>
      </c>
      <c r="Q34" t="s">
        <v>57</v>
      </c>
      <c r="R34">
        <v>350</v>
      </c>
      <c r="S34" t="s">
        <v>51</v>
      </c>
      <c r="T34" t="s">
        <v>42</v>
      </c>
      <c r="U34" t="s">
        <v>83</v>
      </c>
      <c r="V34">
        <v>1</v>
      </c>
    </row>
    <row r="35" spans="1:22" x14ac:dyDescent="0.25">
      <c r="A35" t="s">
        <v>38</v>
      </c>
      <c r="B35">
        <v>21</v>
      </c>
      <c r="C35">
        <v>63</v>
      </c>
      <c r="D35" s="7">
        <v>1.58</v>
      </c>
      <c r="E35" s="6">
        <f>Tabela2[[#This Row],[Peso]]/Tabela2[[#This Row],[Altura]]^2</f>
        <v>25.236340330075304</v>
      </c>
      <c r="F35">
        <v>76</v>
      </c>
      <c r="G35" t="s">
        <v>39</v>
      </c>
      <c r="H35" t="s">
        <v>40</v>
      </c>
      <c r="I35" t="s">
        <v>60</v>
      </c>
      <c r="J35" t="s">
        <v>58</v>
      </c>
      <c r="O35" t="s">
        <v>44</v>
      </c>
      <c r="P35" t="s">
        <v>45</v>
      </c>
      <c r="Q35" t="s">
        <v>46</v>
      </c>
      <c r="R35">
        <v>500</v>
      </c>
      <c r="S35" t="s">
        <v>74</v>
      </c>
      <c r="T35" t="s">
        <v>58</v>
      </c>
      <c r="V35">
        <v>0</v>
      </c>
    </row>
    <row r="36" spans="1:22" x14ac:dyDescent="0.25">
      <c r="A36" t="s">
        <v>53</v>
      </c>
      <c r="B36">
        <v>59</v>
      </c>
      <c r="C36">
        <v>76</v>
      </c>
      <c r="D36" s="7">
        <v>1.55</v>
      </c>
      <c r="E36" s="6">
        <f>Tabela2[[#This Row],[Peso]]/Tabela2[[#This Row],[Altura]]^2</f>
        <v>31.633714880332981</v>
      </c>
      <c r="F36">
        <v>90</v>
      </c>
      <c r="G36" t="s">
        <v>39</v>
      </c>
      <c r="H36" t="s">
        <v>40</v>
      </c>
      <c r="I36" t="s">
        <v>60</v>
      </c>
      <c r="J36" t="s">
        <v>42</v>
      </c>
      <c r="M36" t="s">
        <v>43</v>
      </c>
      <c r="O36" t="s">
        <v>44</v>
      </c>
      <c r="P36" t="s">
        <v>45</v>
      </c>
      <c r="Q36" t="s">
        <v>45</v>
      </c>
      <c r="R36">
        <v>500</v>
      </c>
      <c r="S36" t="s">
        <v>74</v>
      </c>
      <c r="T36" t="s">
        <v>42</v>
      </c>
      <c r="U36" t="s">
        <v>88</v>
      </c>
      <c r="V36">
        <v>3</v>
      </c>
    </row>
    <row r="37" spans="1:22" x14ac:dyDescent="0.25">
      <c r="A37" t="s">
        <v>53</v>
      </c>
      <c r="B37">
        <v>19</v>
      </c>
      <c r="C37">
        <v>70</v>
      </c>
      <c r="D37" s="7">
        <v>1.7</v>
      </c>
      <c r="E37" s="6">
        <f>Tabela2[[#This Row],[Peso]]/Tabela2[[#This Row],[Altura]]^2</f>
        <v>24.221453287197235</v>
      </c>
      <c r="F37">
        <v>74</v>
      </c>
      <c r="G37" t="s">
        <v>89</v>
      </c>
      <c r="H37" t="s">
        <v>40</v>
      </c>
      <c r="I37" t="s">
        <v>50</v>
      </c>
      <c r="J37" t="s">
        <v>58</v>
      </c>
      <c r="O37" t="s">
        <v>44</v>
      </c>
      <c r="P37" t="s">
        <v>67</v>
      </c>
      <c r="Q37" t="s">
        <v>46</v>
      </c>
      <c r="R37">
        <v>800</v>
      </c>
      <c r="S37" t="s">
        <v>51</v>
      </c>
      <c r="T37" t="s">
        <v>42</v>
      </c>
      <c r="U37" t="s">
        <v>90</v>
      </c>
      <c r="V37">
        <v>7</v>
      </c>
    </row>
    <row r="38" spans="1:22" x14ac:dyDescent="0.25">
      <c r="A38" t="s">
        <v>38</v>
      </c>
      <c r="B38">
        <v>22</v>
      </c>
      <c r="C38">
        <v>51</v>
      </c>
      <c r="D38" s="7">
        <v>1.55</v>
      </c>
      <c r="E38" s="6">
        <f>Tabela2[[#This Row],[Peso]]/Tabela2[[#This Row],[Altura]]^2</f>
        <v>21.227887617065555</v>
      </c>
      <c r="F38">
        <v>65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O38" t="s">
        <v>44</v>
      </c>
      <c r="P38" t="s">
        <v>67</v>
      </c>
      <c r="Q38" t="s">
        <v>57</v>
      </c>
      <c r="R38">
        <v>450</v>
      </c>
      <c r="S38" t="s">
        <v>47</v>
      </c>
      <c r="T38" t="s">
        <v>42</v>
      </c>
      <c r="U38" t="s">
        <v>48</v>
      </c>
      <c r="V38">
        <v>5</v>
      </c>
    </row>
    <row r="39" spans="1:22" x14ac:dyDescent="0.25">
      <c r="A39" t="s">
        <v>38</v>
      </c>
      <c r="B39">
        <v>20</v>
      </c>
      <c r="C39">
        <v>77</v>
      </c>
      <c r="D39" s="7">
        <v>1.64</v>
      </c>
      <c r="E39" s="6">
        <f>Tabela2[[#This Row],[Peso]]/Tabela2[[#This Row],[Altura]]^2</f>
        <v>28.628792385484836</v>
      </c>
      <c r="F39">
        <v>80</v>
      </c>
      <c r="G39" t="s">
        <v>39</v>
      </c>
      <c r="H39" t="s">
        <v>40</v>
      </c>
      <c r="I39" t="s">
        <v>50</v>
      </c>
      <c r="J39" t="s">
        <v>42</v>
      </c>
      <c r="K39" t="s">
        <v>43</v>
      </c>
      <c r="M39" t="s">
        <v>43</v>
      </c>
      <c r="O39" t="s">
        <v>44</v>
      </c>
      <c r="P39" t="s">
        <v>67</v>
      </c>
      <c r="Q39" t="s">
        <v>57</v>
      </c>
      <c r="R39">
        <v>300</v>
      </c>
      <c r="S39" t="s">
        <v>74</v>
      </c>
      <c r="T39" t="s">
        <v>58</v>
      </c>
      <c r="V39">
        <v>0</v>
      </c>
    </row>
    <row r="40" spans="1:22" x14ac:dyDescent="0.25">
      <c r="A40" t="s">
        <v>38</v>
      </c>
      <c r="B40">
        <v>20</v>
      </c>
      <c r="C40">
        <v>67</v>
      </c>
      <c r="D40" s="7">
        <v>1.74</v>
      </c>
      <c r="E40" s="6">
        <f>Tabela2[[#This Row],[Peso]]/Tabela2[[#This Row],[Altura]]^2</f>
        <v>22.129739727837229</v>
      </c>
      <c r="F40">
        <v>70</v>
      </c>
      <c r="G40" t="s">
        <v>39</v>
      </c>
      <c r="H40" t="s">
        <v>40</v>
      </c>
      <c r="I40" t="s">
        <v>91</v>
      </c>
      <c r="J40" t="s">
        <v>42</v>
      </c>
      <c r="K40" t="s">
        <v>43</v>
      </c>
      <c r="M40" t="s">
        <v>43</v>
      </c>
      <c r="O40" t="s">
        <v>44</v>
      </c>
      <c r="P40" t="s">
        <v>45</v>
      </c>
      <c r="Q40" t="s">
        <v>45</v>
      </c>
      <c r="R40">
        <v>200</v>
      </c>
      <c r="S40" t="s">
        <v>47</v>
      </c>
      <c r="T40" t="s">
        <v>42</v>
      </c>
      <c r="U40" t="s">
        <v>92</v>
      </c>
      <c r="V40">
        <v>2</v>
      </c>
    </row>
    <row r="41" spans="1:22" x14ac:dyDescent="0.25">
      <c r="A41" t="s">
        <v>38</v>
      </c>
      <c r="B41">
        <v>21</v>
      </c>
      <c r="C41">
        <v>58</v>
      </c>
      <c r="D41" s="7">
        <v>1.63</v>
      </c>
      <c r="E41" s="6">
        <f>Tabela2[[#This Row],[Peso]]/Tabela2[[#This Row],[Altura]]^2</f>
        <v>21.829952199932254</v>
      </c>
      <c r="F41">
        <v>75</v>
      </c>
      <c r="G41" t="s">
        <v>93</v>
      </c>
      <c r="H41" t="s">
        <v>40</v>
      </c>
      <c r="I41" t="s">
        <v>50</v>
      </c>
      <c r="J41" t="s">
        <v>42</v>
      </c>
      <c r="K41" t="s">
        <v>43</v>
      </c>
      <c r="O41" t="s">
        <v>44</v>
      </c>
      <c r="P41" t="s">
        <v>45</v>
      </c>
      <c r="Q41" t="s">
        <v>46</v>
      </c>
      <c r="R41">
        <v>280</v>
      </c>
      <c r="S41" t="s">
        <v>47</v>
      </c>
      <c r="T41" t="s">
        <v>42</v>
      </c>
      <c r="U41" t="s">
        <v>94</v>
      </c>
      <c r="V41">
        <v>2</v>
      </c>
    </row>
    <row r="42" spans="1:22" x14ac:dyDescent="0.25">
      <c r="A42" t="s">
        <v>53</v>
      </c>
      <c r="B42">
        <v>26</v>
      </c>
      <c r="C42">
        <v>93</v>
      </c>
      <c r="D42" s="7">
        <v>1.83</v>
      </c>
      <c r="E42" s="6">
        <f>Tabela2[[#This Row],[Peso]]/Tabela2[[#This Row],[Altura]]^2</f>
        <v>27.77031263997133</v>
      </c>
      <c r="F42">
        <v>94</v>
      </c>
      <c r="G42" t="s">
        <v>93</v>
      </c>
      <c r="H42" t="s">
        <v>40</v>
      </c>
      <c r="I42" t="s">
        <v>50</v>
      </c>
      <c r="J42" t="s">
        <v>58</v>
      </c>
      <c r="O42" t="s">
        <v>44</v>
      </c>
      <c r="P42" t="s">
        <v>45</v>
      </c>
      <c r="Q42" t="s">
        <v>57</v>
      </c>
      <c r="R42">
        <v>400</v>
      </c>
      <c r="S42" t="s">
        <v>59</v>
      </c>
      <c r="T42" t="s">
        <v>42</v>
      </c>
      <c r="U42" t="s">
        <v>65</v>
      </c>
      <c r="V42">
        <v>1</v>
      </c>
    </row>
    <row r="43" spans="1:22" x14ac:dyDescent="0.25">
      <c r="A43" t="s">
        <v>38</v>
      </c>
      <c r="B43">
        <v>26</v>
      </c>
      <c r="C43">
        <v>80</v>
      </c>
      <c r="D43" s="7">
        <v>1.73</v>
      </c>
      <c r="E43" s="6">
        <f>Tabela2[[#This Row],[Peso]]/Tabela2[[#This Row],[Altura]]^2</f>
        <v>26.729927495071667</v>
      </c>
      <c r="F43">
        <v>80</v>
      </c>
      <c r="G43" t="s">
        <v>66</v>
      </c>
      <c r="H43" t="s">
        <v>40</v>
      </c>
      <c r="I43" t="s">
        <v>41</v>
      </c>
      <c r="J43" t="s">
        <v>42</v>
      </c>
      <c r="M43" t="s">
        <v>43</v>
      </c>
      <c r="O43" t="s">
        <v>44</v>
      </c>
      <c r="P43" t="s">
        <v>67</v>
      </c>
      <c r="Q43" t="s">
        <v>57</v>
      </c>
      <c r="R43">
        <v>500</v>
      </c>
      <c r="S43" t="s">
        <v>47</v>
      </c>
      <c r="T43" t="s">
        <v>42</v>
      </c>
      <c r="U43" t="s">
        <v>92</v>
      </c>
      <c r="V43">
        <v>2</v>
      </c>
    </row>
    <row r="44" spans="1:22" x14ac:dyDescent="0.25">
      <c r="A44" t="s">
        <v>53</v>
      </c>
      <c r="B44">
        <v>19</v>
      </c>
      <c r="C44">
        <v>81</v>
      </c>
      <c r="D44" s="7">
        <v>1.82</v>
      </c>
      <c r="E44" s="6">
        <f>Tabela2[[#This Row],[Peso]]/Tabela2[[#This Row],[Altura]]^2</f>
        <v>24.453568409612362</v>
      </c>
      <c r="F44">
        <v>92</v>
      </c>
      <c r="G44" t="s">
        <v>95</v>
      </c>
      <c r="H44" t="s">
        <v>40</v>
      </c>
      <c r="I44" t="s">
        <v>60</v>
      </c>
      <c r="J44" t="s">
        <v>58</v>
      </c>
      <c r="O44" t="s">
        <v>29</v>
      </c>
      <c r="P44" t="s">
        <v>67</v>
      </c>
      <c r="Q44" t="s">
        <v>73</v>
      </c>
      <c r="R44">
        <v>600</v>
      </c>
      <c r="S44" t="s">
        <v>74</v>
      </c>
      <c r="T44" t="s">
        <v>42</v>
      </c>
      <c r="U44" t="s">
        <v>96</v>
      </c>
      <c r="V44">
        <v>7</v>
      </c>
    </row>
    <row r="45" spans="1:22" x14ac:dyDescent="0.25">
      <c r="A45" t="s">
        <v>53</v>
      </c>
      <c r="B45">
        <v>25</v>
      </c>
      <c r="C45">
        <v>90</v>
      </c>
      <c r="D45" s="7">
        <v>1.81</v>
      </c>
      <c r="E45" s="6">
        <f>Tabela2[[#This Row],[Peso]]/Tabela2[[#This Row],[Altura]]^2</f>
        <v>27.471688898385274</v>
      </c>
      <c r="F45">
        <v>90</v>
      </c>
      <c r="G45" t="s">
        <v>97</v>
      </c>
      <c r="H45" t="s">
        <v>40</v>
      </c>
      <c r="I45" t="s">
        <v>98</v>
      </c>
      <c r="J45" t="s">
        <v>58</v>
      </c>
      <c r="O45" t="s">
        <v>44</v>
      </c>
      <c r="P45" t="s">
        <v>45</v>
      </c>
      <c r="Q45" t="s">
        <v>45</v>
      </c>
      <c r="R45">
        <v>280</v>
      </c>
      <c r="S45" t="s">
        <v>74</v>
      </c>
      <c r="T45" t="s">
        <v>42</v>
      </c>
      <c r="U45" t="s">
        <v>48</v>
      </c>
      <c r="V45">
        <v>3</v>
      </c>
    </row>
    <row r="46" spans="1:22" x14ac:dyDescent="0.25">
      <c r="A46" t="s">
        <v>38</v>
      </c>
      <c r="B46">
        <v>22</v>
      </c>
      <c r="C46">
        <v>71</v>
      </c>
      <c r="D46" s="7">
        <v>1.61</v>
      </c>
      <c r="E46" s="6">
        <f>Tabela2[[#This Row],[Peso]]/Tabela2[[#This Row],[Altura]]^2</f>
        <v>27.390918560240728</v>
      </c>
      <c r="F46">
        <v>74</v>
      </c>
      <c r="G46" t="s">
        <v>39</v>
      </c>
      <c r="H46" t="s">
        <v>40</v>
      </c>
      <c r="I46" t="s">
        <v>60</v>
      </c>
      <c r="J46" t="s">
        <v>58</v>
      </c>
      <c r="O46" t="s">
        <v>44</v>
      </c>
      <c r="P46" t="s">
        <v>45</v>
      </c>
      <c r="Q46" t="s">
        <v>46</v>
      </c>
      <c r="R46">
        <v>400</v>
      </c>
      <c r="S46" t="s">
        <v>47</v>
      </c>
      <c r="T46" t="s">
        <v>58</v>
      </c>
      <c r="V46">
        <v>0</v>
      </c>
    </row>
    <row r="47" spans="1:22" x14ac:dyDescent="0.25">
      <c r="A47" t="s">
        <v>53</v>
      </c>
      <c r="B47">
        <v>50</v>
      </c>
      <c r="C47">
        <v>80</v>
      </c>
      <c r="D47" s="7">
        <v>1.7</v>
      </c>
      <c r="E47" s="6">
        <f>Tabela2[[#This Row],[Peso]]/Tabela2[[#This Row],[Altura]]^2</f>
        <v>27.681660899653981</v>
      </c>
      <c r="F47">
        <v>95</v>
      </c>
      <c r="G47" t="s">
        <v>39</v>
      </c>
      <c r="H47" t="s">
        <v>40</v>
      </c>
      <c r="I47" t="s">
        <v>91</v>
      </c>
      <c r="J47" t="s">
        <v>42</v>
      </c>
      <c r="N47" t="s">
        <v>43</v>
      </c>
      <c r="O47" t="s">
        <v>44</v>
      </c>
      <c r="P47" t="s">
        <v>56</v>
      </c>
      <c r="Q47" t="s">
        <v>57</v>
      </c>
      <c r="R47">
        <v>400</v>
      </c>
      <c r="S47" t="s">
        <v>47</v>
      </c>
      <c r="T47" t="s">
        <v>42</v>
      </c>
      <c r="U47" t="s">
        <v>99</v>
      </c>
      <c r="V47">
        <v>2</v>
      </c>
    </row>
    <row r="48" spans="1:22" x14ac:dyDescent="0.25">
      <c r="A48" t="s">
        <v>38</v>
      </c>
      <c r="B48">
        <v>22</v>
      </c>
      <c r="C48">
        <v>52</v>
      </c>
      <c r="D48" s="7">
        <v>1.58</v>
      </c>
      <c r="E48" s="6">
        <f>Tabela2[[#This Row],[Peso]]/Tabela2[[#This Row],[Altura]]^2</f>
        <v>20.82999519307803</v>
      </c>
      <c r="F48">
        <v>56</v>
      </c>
      <c r="G48" t="s">
        <v>39</v>
      </c>
      <c r="H48" t="s">
        <v>40</v>
      </c>
      <c r="I48" t="s">
        <v>60</v>
      </c>
      <c r="J48" t="s">
        <v>42</v>
      </c>
      <c r="K48" t="s">
        <v>43</v>
      </c>
      <c r="O48" t="s">
        <v>44</v>
      </c>
      <c r="P48" t="s">
        <v>45</v>
      </c>
      <c r="Q48" t="s">
        <v>57</v>
      </c>
      <c r="R48">
        <v>450</v>
      </c>
      <c r="S48" t="s">
        <v>47</v>
      </c>
      <c r="T48" t="s">
        <v>42</v>
      </c>
      <c r="U48" t="s">
        <v>94</v>
      </c>
      <c r="V48">
        <v>3</v>
      </c>
    </row>
    <row r="49" spans="1:22" x14ac:dyDescent="0.25">
      <c r="A49" t="s">
        <v>53</v>
      </c>
      <c r="B49">
        <v>47</v>
      </c>
      <c r="C49">
        <v>70</v>
      </c>
      <c r="D49" s="7">
        <v>1.71</v>
      </c>
      <c r="E49" s="6">
        <f>Tabela2[[#This Row],[Peso]]/Tabela2[[#This Row],[Altura]]^2</f>
        <v>23.938989774631512</v>
      </c>
      <c r="F49">
        <v>71</v>
      </c>
      <c r="G49" t="s">
        <v>39</v>
      </c>
      <c r="H49" t="s">
        <v>40</v>
      </c>
      <c r="I49" t="s">
        <v>50</v>
      </c>
      <c r="J49" t="s">
        <v>58</v>
      </c>
      <c r="O49" t="s">
        <v>44</v>
      </c>
      <c r="P49" t="s">
        <v>67</v>
      </c>
      <c r="Q49" t="s">
        <v>57</v>
      </c>
      <c r="R49">
        <v>500</v>
      </c>
      <c r="S49" t="s">
        <v>47</v>
      </c>
      <c r="T49" t="s">
        <v>42</v>
      </c>
      <c r="U49" t="s">
        <v>100</v>
      </c>
      <c r="V49">
        <v>3</v>
      </c>
    </row>
    <row r="50" spans="1:22" x14ac:dyDescent="0.25">
      <c r="A50" t="s">
        <v>38</v>
      </c>
      <c r="B50">
        <v>45</v>
      </c>
      <c r="C50">
        <v>56</v>
      </c>
      <c r="D50" s="7">
        <v>1.55</v>
      </c>
      <c r="E50" s="6">
        <f>Tabela2[[#This Row],[Peso]]/Tabela2[[#This Row],[Altura]]^2</f>
        <v>23.309053069719038</v>
      </c>
      <c r="F50">
        <v>60</v>
      </c>
      <c r="G50" t="s">
        <v>39</v>
      </c>
      <c r="H50" t="s">
        <v>40</v>
      </c>
      <c r="I50" t="s">
        <v>50</v>
      </c>
      <c r="J50" t="s">
        <v>42</v>
      </c>
      <c r="K50" t="s">
        <v>43</v>
      </c>
      <c r="L50" t="s">
        <v>43</v>
      </c>
      <c r="O50" t="s">
        <v>44</v>
      </c>
      <c r="P50" t="s">
        <v>45</v>
      </c>
      <c r="Q50" t="s">
        <v>46</v>
      </c>
      <c r="R50">
        <v>400</v>
      </c>
      <c r="S50" t="s">
        <v>47</v>
      </c>
      <c r="T50" t="s">
        <v>58</v>
      </c>
      <c r="V50">
        <v>0</v>
      </c>
    </row>
    <row r="51" spans="1:22" x14ac:dyDescent="0.25">
      <c r="A51" t="s">
        <v>38</v>
      </c>
      <c r="B51">
        <v>21</v>
      </c>
      <c r="C51">
        <v>81</v>
      </c>
      <c r="D51" s="7">
        <v>1.69</v>
      </c>
      <c r="E51" s="6">
        <f>Tabela2[[#This Row],[Peso]]/Tabela2[[#This Row],[Altura]]^2</f>
        <v>28.360351528307834</v>
      </c>
      <c r="F51">
        <v>92</v>
      </c>
      <c r="G51" t="s">
        <v>39</v>
      </c>
      <c r="H51" t="s">
        <v>40</v>
      </c>
      <c r="I51" t="s">
        <v>85</v>
      </c>
      <c r="J51" t="s">
        <v>58</v>
      </c>
      <c r="O51" t="s">
        <v>44</v>
      </c>
      <c r="P51" t="s">
        <v>45</v>
      </c>
      <c r="Q51" t="s">
        <v>57</v>
      </c>
      <c r="R51">
        <v>350</v>
      </c>
      <c r="S51" t="s">
        <v>59</v>
      </c>
      <c r="T51" t="s">
        <v>58</v>
      </c>
      <c r="V51">
        <v>0</v>
      </c>
    </row>
    <row r="52" spans="1:22" x14ac:dyDescent="0.25">
      <c r="A52" t="s">
        <v>38</v>
      </c>
      <c r="B52">
        <v>62</v>
      </c>
      <c r="C52">
        <v>68</v>
      </c>
      <c r="D52" s="7">
        <v>1.65</v>
      </c>
      <c r="E52" s="6">
        <f>Tabela2[[#This Row],[Peso]]/Tabela2[[#This Row],[Altura]]^2</f>
        <v>24.977043158861342</v>
      </c>
      <c r="F52">
        <v>63</v>
      </c>
      <c r="G52" t="s">
        <v>39</v>
      </c>
      <c r="H52" t="s">
        <v>40</v>
      </c>
      <c r="I52" t="s">
        <v>98</v>
      </c>
      <c r="J52" t="s">
        <v>42</v>
      </c>
      <c r="K52" t="s">
        <v>101</v>
      </c>
      <c r="O52" t="s">
        <v>44</v>
      </c>
      <c r="P52" t="s">
        <v>56</v>
      </c>
      <c r="Q52" t="s">
        <v>45</v>
      </c>
      <c r="R52">
        <v>300</v>
      </c>
      <c r="S52" t="s">
        <v>74</v>
      </c>
      <c r="T52" t="s">
        <v>58</v>
      </c>
      <c r="V52">
        <v>0</v>
      </c>
    </row>
    <row r="53" spans="1:22" x14ac:dyDescent="0.25">
      <c r="A53" t="s">
        <v>53</v>
      </c>
      <c r="B53">
        <v>26</v>
      </c>
      <c r="C53">
        <v>78</v>
      </c>
      <c r="D53" s="7">
        <v>1.73</v>
      </c>
      <c r="E53" s="6">
        <f>Tabela2[[#This Row],[Peso]]/Tabela2[[#This Row],[Altura]]^2</f>
        <v>26.061679307694877</v>
      </c>
      <c r="F53">
        <v>69</v>
      </c>
      <c r="G53" t="s">
        <v>39</v>
      </c>
      <c r="H53" t="s">
        <v>40</v>
      </c>
      <c r="I53" t="s">
        <v>50</v>
      </c>
      <c r="J53" t="s">
        <v>58</v>
      </c>
      <c r="O53" t="s">
        <v>44</v>
      </c>
      <c r="P53" t="s">
        <v>67</v>
      </c>
      <c r="Q53" t="s">
        <v>46</v>
      </c>
      <c r="R53">
        <v>500</v>
      </c>
      <c r="S53" t="s">
        <v>51</v>
      </c>
      <c r="T53" t="s">
        <v>42</v>
      </c>
      <c r="U53" t="s">
        <v>65</v>
      </c>
      <c r="V53">
        <v>1</v>
      </c>
    </row>
    <row r="54" spans="1:22" x14ac:dyDescent="0.25">
      <c r="A54" t="s">
        <v>38</v>
      </c>
      <c r="B54">
        <v>24</v>
      </c>
      <c r="C54">
        <v>54</v>
      </c>
      <c r="D54" s="7">
        <v>1.53</v>
      </c>
      <c r="E54" s="6">
        <f>Tabela2[[#This Row],[Peso]]/Tabela2[[#This Row],[Altura]]^2</f>
        <v>23.068050749711649</v>
      </c>
      <c r="F54">
        <v>73</v>
      </c>
      <c r="G54" t="s">
        <v>39</v>
      </c>
      <c r="H54" t="s">
        <v>40</v>
      </c>
      <c r="I54" t="s">
        <v>91</v>
      </c>
      <c r="J54" t="s">
        <v>42</v>
      </c>
      <c r="L54" t="s">
        <v>101</v>
      </c>
      <c r="O54" t="s">
        <v>44</v>
      </c>
      <c r="P54" t="s">
        <v>45</v>
      </c>
      <c r="Q54" t="s">
        <v>57</v>
      </c>
      <c r="R54">
        <v>350</v>
      </c>
      <c r="S54" t="s">
        <v>47</v>
      </c>
      <c r="T54" t="s">
        <v>42</v>
      </c>
      <c r="U54" t="s">
        <v>48</v>
      </c>
      <c r="V54">
        <v>4</v>
      </c>
    </row>
    <row r="55" spans="1:22" x14ac:dyDescent="0.25">
      <c r="A55" t="s">
        <v>38</v>
      </c>
      <c r="B55">
        <v>29</v>
      </c>
      <c r="C55">
        <v>54</v>
      </c>
      <c r="D55" s="7">
        <v>1.55</v>
      </c>
      <c r="E55" s="6">
        <f>Tabela2[[#This Row],[Peso]]/Tabela2[[#This Row],[Altura]]^2</f>
        <v>22.476586888657646</v>
      </c>
      <c r="F55">
        <v>61</v>
      </c>
      <c r="G55" t="s">
        <v>102</v>
      </c>
      <c r="H55" t="s">
        <v>103</v>
      </c>
      <c r="I55" t="s">
        <v>41</v>
      </c>
      <c r="J55" t="s">
        <v>42</v>
      </c>
      <c r="K55" t="s">
        <v>101</v>
      </c>
      <c r="M55" t="s">
        <v>101</v>
      </c>
      <c r="O55" t="s">
        <v>44</v>
      </c>
      <c r="P55" t="s">
        <v>45</v>
      </c>
      <c r="Q55" t="s">
        <v>46</v>
      </c>
      <c r="R55">
        <v>350</v>
      </c>
      <c r="S55" t="s">
        <v>47</v>
      </c>
      <c r="T55" t="s">
        <v>42</v>
      </c>
      <c r="U55" t="s">
        <v>48</v>
      </c>
      <c r="V55">
        <v>5</v>
      </c>
    </row>
    <row r="56" spans="1:22" x14ac:dyDescent="0.25">
      <c r="A56" t="s">
        <v>53</v>
      </c>
      <c r="B56">
        <v>18</v>
      </c>
      <c r="C56">
        <v>75</v>
      </c>
      <c r="D56" s="7">
        <v>1.8</v>
      </c>
      <c r="E56" s="6">
        <f>Tabela2[[#This Row],[Peso]]/Tabela2[[#This Row],[Altura]]^2</f>
        <v>23.148148148148145</v>
      </c>
      <c r="F56">
        <v>80</v>
      </c>
      <c r="G56" t="s">
        <v>39</v>
      </c>
      <c r="H56" t="s">
        <v>40</v>
      </c>
      <c r="I56" t="s">
        <v>41</v>
      </c>
      <c r="J56" t="s">
        <v>58</v>
      </c>
      <c r="O56" t="s">
        <v>44</v>
      </c>
      <c r="P56" t="s">
        <v>45</v>
      </c>
      <c r="Q56" t="s">
        <v>57</v>
      </c>
      <c r="R56">
        <v>400</v>
      </c>
      <c r="S56" t="s">
        <v>59</v>
      </c>
      <c r="T56" t="s">
        <v>42</v>
      </c>
      <c r="U56" t="s">
        <v>104</v>
      </c>
      <c r="V56">
        <v>3</v>
      </c>
    </row>
    <row r="57" spans="1:22" x14ac:dyDescent="0.25">
      <c r="A57" t="s">
        <v>38</v>
      </c>
      <c r="B57">
        <v>21</v>
      </c>
      <c r="C57">
        <v>58</v>
      </c>
      <c r="D57" s="7">
        <v>1.6</v>
      </c>
      <c r="E57" s="6">
        <f>Tabela2[[#This Row],[Peso]]/Tabela2[[#This Row],[Altura]]^2</f>
        <v>22.656249999999996</v>
      </c>
      <c r="F57">
        <v>70</v>
      </c>
      <c r="G57" t="s">
        <v>66</v>
      </c>
      <c r="H57" t="s">
        <v>40</v>
      </c>
      <c r="I57" t="s">
        <v>60</v>
      </c>
      <c r="J57" t="s">
        <v>42</v>
      </c>
      <c r="K57" t="s">
        <v>101</v>
      </c>
      <c r="M57" t="s">
        <v>101</v>
      </c>
      <c r="O57" t="s">
        <v>44</v>
      </c>
      <c r="P57" t="s">
        <v>45</v>
      </c>
      <c r="Q57" t="s">
        <v>57</v>
      </c>
      <c r="R57">
        <v>400</v>
      </c>
      <c r="S57" t="s">
        <v>51</v>
      </c>
      <c r="T57" t="s">
        <v>42</v>
      </c>
      <c r="U57" t="s">
        <v>86</v>
      </c>
      <c r="V57">
        <v>1</v>
      </c>
    </row>
    <row r="58" spans="1:22" x14ac:dyDescent="0.25">
      <c r="A58" t="s">
        <v>38</v>
      </c>
      <c r="B58">
        <v>22</v>
      </c>
      <c r="C58">
        <v>56</v>
      </c>
      <c r="D58" s="7">
        <v>1.63</v>
      </c>
      <c r="E58" s="6">
        <f>Tabela2[[#This Row],[Peso]]/Tabela2[[#This Row],[Altura]]^2</f>
        <v>21.077195227520797</v>
      </c>
      <c r="F58">
        <v>75</v>
      </c>
      <c r="G58" t="s">
        <v>66</v>
      </c>
      <c r="H58" t="s">
        <v>40</v>
      </c>
      <c r="I58" t="s">
        <v>60</v>
      </c>
      <c r="J58" t="s">
        <v>42</v>
      </c>
      <c r="K58" t="s">
        <v>101</v>
      </c>
      <c r="L58" t="s">
        <v>101</v>
      </c>
      <c r="M58" t="s">
        <v>101</v>
      </c>
      <c r="O58" t="s">
        <v>44</v>
      </c>
      <c r="P58" t="s">
        <v>45</v>
      </c>
      <c r="Q58" t="s">
        <v>57</v>
      </c>
      <c r="R58">
        <v>350</v>
      </c>
      <c r="S58" t="s">
        <v>51</v>
      </c>
      <c r="T58" t="s">
        <v>58</v>
      </c>
      <c r="V58">
        <v>0</v>
      </c>
    </row>
    <row r="59" spans="1:22" x14ac:dyDescent="0.25">
      <c r="A59" t="s">
        <v>38</v>
      </c>
      <c r="B59">
        <v>53</v>
      </c>
      <c r="C59">
        <v>84</v>
      </c>
      <c r="D59" s="7">
        <v>1.67</v>
      </c>
      <c r="E59" s="6">
        <f>Tabela2[[#This Row],[Peso]]/Tabela2[[#This Row],[Altura]]^2</f>
        <v>30.119401914733409</v>
      </c>
      <c r="F59">
        <v>90</v>
      </c>
      <c r="G59" t="s">
        <v>66</v>
      </c>
      <c r="H59" t="s">
        <v>40</v>
      </c>
      <c r="I59" t="s">
        <v>50</v>
      </c>
      <c r="J59" t="s">
        <v>42</v>
      </c>
      <c r="K59" t="s">
        <v>101</v>
      </c>
      <c r="O59" t="s">
        <v>44</v>
      </c>
      <c r="P59" t="s">
        <v>72</v>
      </c>
      <c r="Q59" t="s">
        <v>57</v>
      </c>
      <c r="R59">
        <v>350</v>
      </c>
      <c r="S59" t="s">
        <v>47</v>
      </c>
      <c r="T59" t="s">
        <v>58</v>
      </c>
      <c r="V59">
        <v>0</v>
      </c>
    </row>
    <row r="60" spans="1:22" x14ac:dyDescent="0.25">
      <c r="A60" t="s">
        <v>38</v>
      </c>
      <c r="B60">
        <v>21</v>
      </c>
      <c r="C60">
        <v>50</v>
      </c>
      <c r="D60" s="7">
        <v>1.75</v>
      </c>
      <c r="E60" s="6">
        <f>Tabela2[[#This Row],[Peso]]/Tabela2[[#This Row],[Altura]]^2</f>
        <v>16.326530612244898</v>
      </c>
      <c r="F60">
        <v>65</v>
      </c>
      <c r="G60" t="s">
        <v>105</v>
      </c>
      <c r="H60" t="s">
        <v>106</v>
      </c>
      <c r="I60" t="s">
        <v>50</v>
      </c>
      <c r="J60" t="s">
        <v>42</v>
      </c>
      <c r="K60" t="s">
        <v>101</v>
      </c>
      <c r="O60" t="s">
        <v>44</v>
      </c>
      <c r="P60" t="s">
        <v>45</v>
      </c>
      <c r="Q60" t="s">
        <v>57</v>
      </c>
      <c r="R60">
        <v>400</v>
      </c>
      <c r="S60" t="s">
        <v>47</v>
      </c>
      <c r="T60" t="s">
        <v>58</v>
      </c>
      <c r="V60">
        <v>0</v>
      </c>
    </row>
    <row r="61" spans="1:22" x14ac:dyDescent="0.25">
      <c r="A61" t="s">
        <v>53</v>
      </c>
      <c r="B61">
        <v>24</v>
      </c>
      <c r="C61">
        <v>80</v>
      </c>
      <c r="D61" s="7">
        <v>1.71</v>
      </c>
      <c r="E61" s="6">
        <f>Tabela2[[#This Row],[Peso]]/Tabela2[[#This Row],[Altura]]^2</f>
        <v>27.358845456721728</v>
      </c>
      <c r="F61">
        <v>90</v>
      </c>
      <c r="G61" t="s">
        <v>39</v>
      </c>
      <c r="H61" t="s">
        <v>40</v>
      </c>
      <c r="I61" t="s">
        <v>60</v>
      </c>
      <c r="J61" t="s">
        <v>58</v>
      </c>
      <c r="O61" t="s">
        <v>44</v>
      </c>
      <c r="P61" t="s">
        <v>45</v>
      </c>
      <c r="Q61" t="s">
        <v>46</v>
      </c>
      <c r="R61">
        <v>350</v>
      </c>
      <c r="S61" t="s">
        <v>47</v>
      </c>
      <c r="T61" t="s">
        <v>42</v>
      </c>
      <c r="U61" t="s">
        <v>107</v>
      </c>
      <c r="V61">
        <v>1</v>
      </c>
    </row>
    <row r="62" spans="1:22" x14ac:dyDescent="0.25">
      <c r="A62" t="s">
        <v>53</v>
      </c>
      <c r="B62">
        <v>26</v>
      </c>
      <c r="C62">
        <v>83</v>
      </c>
      <c r="D62" s="7">
        <v>1.79</v>
      </c>
      <c r="E62" s="6">
        <f>Tabela2[[#This Row],[Peso]]/Tabela2[[#This Row],[Altura]]^2</f>
        <v>25.904310102680942</v>
      </c>
      <c r="F62">
        <v>75</v>
      </c>
      <c r="G62" t="s">
        <v>108</v>
      </c>
      <c r="H62" t="s">
        <v>40</v>
      </c>
      <c r="I62" t="s">
        <v>60</v>
      </c>
      <c r="J62" t="s">
        <v>58</v>
      </c>
      <c r="O62" t="s">
        <v>44</v>
      </c>
      <c r="P62" t="s">
        <v>56</v>
      </c>
      <c r="Q62" t="s">
        <v>57</v>
      </c>
      <c r="R62">
        <v>500</v>
      </c>
      <c r="S62" t="s">
        <v>51</v>
      </c>
      <c r="T62" t="s">
        <v>42</v>
      </c>
      <c r="U62" t="s">
        <v>48</v>
      </c>
      <c r="V62">
        <v>5</v>
      </c>
    </row>
    <row r="63" spans="1:22" x14ac:dyDescent="0.25">
      <c r="A63" t="s">
        <v>53</v>
      </c>
      <c r="B63">
        <v>27</v>
      </c>
      <c r="C63">
        <v>75</v>
      </c>
      <c r="D63" s="7">
        <v>1.76</v>
      </c>
      <c r="E63" s="6">
        <f>Tabela2[[#This Row],[Peso]]/Tabela2[[#This Row],[Altura]]^2</f>
        <v>24.212293388429753</v>
      </c>
      <c r="F63">
        <v>75</v>
      </c>
      <c r="G63" t="s">
        <v>97</v>
      </c>
      <c r="H63" t="s">
        <v>40</v>
      </c>
      <c r="I63" t="s">
        <v>41</v>
      </c>
      <c r="J63" t="s">
        <v>58</v>
      </c>
      <c r="O63" t="s">
        <v>44</v>
      </c>
      <c r="P63" t="s">
        <v>70</v>
      </c>
      <c r="Q63" t="s">
        <v>57</v>
      </c>
      <c r="R63">
        <v>600</v>
      </c>
      <c r="S63" t="s">
        <v>51</v>
      </c>
      <c r="T63" t="s">
        <v>42</v>
      </c>
      <c r="U63" t="s">
        <v>48</v>
      </c>
      <c r="V63">
        <v>5</v>
      </c>
    </row>
    <row r="64" spans="1:22" x14ac:dyDescent="0.25">
      <c r="A64" t="s">
        <v>53</v>
      </c>
      <c r="B64">
        <v>21</v>
      </c>
      <c r="C64">
        <v>75</v>
      </c>
      <c r="D64" s="7">
        <v>1.85</v>
      </c>
      <c r="E64" s="6">
        <f>Tabela2[[#This Row],[Peso]]/Tabela2[[#This Row],[Altura]]^2</f>
        <v>21.913805697589478</v>
      </c>
      <c r="F64">
        <v>70</v>
      </c>
      <c r="G64" t="s">
        <v>39</v>
      </c>
      <c r="H64" t="s">
        <v>40</v>
      </c>
      <c r="I64" t="s">
        <v>109</v>
      </c>
      <c r="J64" t="s">
        <v>58</v>
      </c>
      <c r="O64" t="s">
        <v>44</v>
      </c>
      <c r="P64" t="s">
        <v>56</v>
      </c>
      <c r="Q64" t="s">
        <v>73</v>
      </c>
      <c r="R64">
        <v>500</v>
      </c>
      <c r="S64" t="s">
        <v>59</v>
      </c>
      <c r="T64" t="s">
        <v>42</v>
      </c>
      <c r="U64" t="s">
        <v>94</v>
      </c>
      <c r="V64">
        <v>7</v>
      </c>
    </row>
    <row r="65" spans="1:22" x14ac:dyDescent="0.25">
      <c r="A65" t="s">
        <v>38</v>
      </c>
      <c r="B65">
        <v>45</v>
      </c>
      <c r="C65">
        <v>54</v>
      </c>
      <c r="D65" s="7">
        <v>1.5</v>
      </c>
      <c r="E65" s="6">
        <f>Tabela2[[#This Row],[Peso]]/Tabela2[[#This Row],[Altura]]^2</f>
        <v>24</v>
      </c>
      <c r="F65">
        <v>60</v>
      </c>
      <c r="G65" t="s">
        <v>110</v>
      </c>
      <c r="H65" t="s">
        <v>111</v>
      </c>
      <c r="I65" t="s">
        <v>50</v>
      </c>
      <c r="J65" t="s">
        <v>58</v>
      </c>
      <c r="O65" t="s">
        <v>44</v>
      </c>
      <c r="P65" t="s">
        <v>56</v>
      </c>
      <c r="Q65" t="s">
        <v>46</v>
      </c>
      <c r="R65">
        <v>350</v>
      </c>
      <c r="S65" t="s">
        <v>47</v>
      </c>
      <c r="T65" t="s">
        <v>58</v>
      </c>
      <c r="V65">
        <v>0</v>
      </c>
    </row>
    <row r="66" spans="1:22" x14ac:dyDescent="0.25">
      <c r="A66" t="s">
        <v>53</v>
      </c>
      <c r="B66">
        <v>21</v>
      </c>
      <c r="C66">
        <v>68</v>
      </c>
      <c r="D66" s="7">
        <v>1.75</v>
      </c>
      <c r="E66" s="6">
        <f>Tabela2[[#This Row],[Peso]]/Tabela2[[#This Row],[Altura]]^2</f>
        <v>22.204081632653061</v>
      </c>
      <c r="F66">
        <v>74</v>
      </c>
      <c r="G66" t="s">
        <v>39</v>
      </c>
      <c r="H66" t="s">
        <v>40</v>
      </c>
      <c r="I66" t="s">
        <v>50</v>
      </c>
      <c r="J66" t="s">
        <v>42</v>
      </c>
      <c r="K66" t="s">
        <v>101</v>
      </c>
      <c r="O66" t="s">
        <v>44</v>
      </c>
      <c r="P66" t="s">
        <v>70</v>
      </c>
      <c r="Q66" t="s">
        <v>73</v>
      </c>
      <c r="R66">
        <v>520</v>
      </c>
      <c r="S66" t="s">
        <v>51</v>
      </c>
      <c r="T66" t="s">
        <v>42</v>
      </c>
      <c r="U66" t="s">
        <v>112</v>
      </c>
      <c r="V66">
        <v>3</v>
      </c>
    </row>
    <row r="67" spans="1:22" x14ac:dyDescent="0.25">
      <c r="A67" t="s">
        <v>53</v>
      </c>
      <c r="B67">
        <v>21</v>
      </c>
      <c r="C67">
        <v>75</v>
      </c>
      <c r="D67" s="7">
        <v>1.85</v>
      </c>
      <c r="E67" s="6">
        <f>Tabela2[[#This Row],[Peso]]/Tabela2[[#This Row],[Altura]]^2</f>
        <v>21.913805697589478</v>
      </c>
      <c r="F67">
        <v>70</v>
      </c>
      <c r="G67" t="s">
        <v>39</v>
      </c>
      <c r="H67" t="s">
        <v>40</v>
      </c>
      <c r="I67" t="s">
        <v>50</v>
      </c>
      <c r="J67" t="s">
        <v>58</v>
      </c>
      <c r="O67" t="s">
        <v>44</v>
      </c>
      <c r="P67" t="s">
        <v>70</v>
      </c>
      <c r="Q67" t="s">
        <v>57</v>
      </c>
      <c r="R67">
        <v>600</v>
      </c>
      <c r="S67" t="s">
        <v>47</v>
      </c>
      <c r="T67" t="s">
        <v>58</v>
      </c>
      <c r="V67">
        <v>0</v>
      </c>
    </row>
    <row r="68" spans="1:22" x14ac:dyDescent="0.25">
      <c r="A68" t="s">
        <v>38</v>
      </c>
      <c r="B68">
        <v>21</v>
      </c>
      <c r="C68">
        <v>42</v>
      </c>
      <c r="D68" s="7">
        <v>1.58</v>
      </c>
      <c r="E68" s="6">
        <f>Tabela2[[#This Row],[Peso]]/Tabela2[[#This Row],[Altura]]^2</f>
        <v>16.824226886716868</v>
      </c>
      <c r="F68">
        <v>60</v>
      </c>
      <c r="G68" t="s">
        <v>39</v>
      </c>
      <c r="H68" t="s">
        <v>40</v>
      </c>
      <c r="I68" t="s">
        <v>91</v>
      </c>
      <c r="J68" t="s">
        <v>58</v>
      </c>
      <c r="O68" t="s">
        <v>44</v>
      </c>
      <c r="P68" t="s">
        <v>72</v>
      </c>
      <c r="Q68" t="s">
        <v>57</v>
      </c>
      <c r="R68">
        <v>400</v>
      </c>
      <c r="S68" t="s">
        <v>51</v>
      </c>
      <c r="T68" t="s">
        <v>42</v>
      </c>
      <c r="U68" t="s">
        <v>48</v>
      </c>
      <c r="V68">
        <v>4</v>
      </c>
    </row>
    <row r="69" spans="1:22" x14ac:dyDescent="0.25">
      <c r="A69" t="s">
        <v>53</v>
      </c>
      <c r="B69">
        <v>51</v>
      </c>
      <c r="C69">
        <v>92</v>
      </c>
      <c r="D69" s="7">
        <v>1.71</v>
      </c>
      <c r="E69" s="6">
        <f>Tabela2[[#This Row],[Peso]]/Tabela2[[#This Row],[Altura]]^2</f>
        <v>31.462672275229988</v>
      </c>
      <c r="F69">
        <v>93</v>
      </c>
      <c r="G69" t="s">
        <v>39</v>
      </c>
      <c r="H69" t="s">
        <v>40</v>
      </c>
      <c r="I69" t="s">
        <v>50</v>
      </c>
      <c r="J69" t="s">
        <v>42</v>
      </c>
      <c r="M69" t="s">
        <v>101</v>
      </c>
      <c r="O69" t="s">
        <v>44</v>
      </c>
      <c r="P69" t="s">
        <v>70</v>
      </c>
      <c r="Q69" t="s">
        <v>57</v>
      </c>
      <c r="R69">
        <v>650</v>
      </c>
      <c r="S69" t="s">
        <v>51</v>
      </c>
      <c r="T69" t="s">
        <v>42</v>
      </c>
      <c r="U69" t="s">
        <v>94</v>
      </c>
      <c r="V69">
        <v>5</v>
      </c>
    </row>
    <row r="70" spans="1:22" x14ac:dyDescent="0.25">
      <c r="A70" t="s">
        <v>38</v>
      </c>
      <c r="B70">
        <v>21</v>
      </c>
      <c r="C70">
        <v>50</v>
      </c>
      <c r="D70" s="7">
        <v>1.58</v>
      </c>
      <c r="E70" s="6">
        <f>Tabela2[[#This Row],[Peso]]/Tabela2[[#This Row],[Altura]]^2</f>
        <v>20.028841531805796</v>
      </c>
      <c r="F70">
        <v>64</v>
      </c>
      <c r="G70" t="s">
        <v>39</v>
      </c>
      <c r="H70" t="s">
        <v>113</v>
      </c>
      <c r="I70" t="s">
        <v>60</v>
      </c>
      <c r="J70" t="s">
        <v>42</v>
      </c>
      <c r="K70" t="s">
        <v>101</v>
      </c>
      <c r="O70" t="s">
        <v>44</v>
      </c>
      <c r="P70" t="s">
        <v>45</v>
      </c>
      <c r="Q70" t="s">
        <v>57</v>
      </c>
      <c r="R70">
        <v>350</v>
      </c>
      <c r="S70" t="s">
        <v>47</v>
      </c>
      <c r="T70" t="s">
        <v>58</v>
      </c>
      <c r="V70">
        <v>0</v>
      </c>
    </row>
    <row r="71" spans="1:22" x14ac:dyDescent="0.25">
      <c r="A71" t="s">
        <v>53</v>
      </c>
      <c r="B71">
        <v>21</v>
      </c>
      <c r="C71">
        <v>60</v>
      </c>
      <c r="D71" s="7">
        <v>1.67</v>
      </c>
      <c r="E71" s="6">
        <f>Tabela2[[#This Row],[Peso]]/Tabela2[[#This Row],[Altura]]^2</f>
        <v>21.513858510523864</v>
      </c>
      <c r="F71">
        <v>70</v>
      </c>
      <c r="G71" t="s">
        <v>39</v>
      </c>
      <c r="H71" t="s">
        <v>40</v>
      </c>
      <c r="I71" t="s">
        <v>60</v>
      </c>
      <c r="J71" t="s">
        <v>58</v>
      </c>
      <c r="O71" t="s">
        <v>44</v>
      </c>
      <c r="P71" t="s">
        <v>70</v>
      </c>
      <c r="Q71" t="s">
        <v>57</v>
      </c>
      <c r="R71">
        <v>700</v>
      </c>
      <c r="S71" t="s">
        <v>59</v>
      </c>
      <c r="T71" t="s">
        <v>58</v>
      </c>
      <c r="V71">
        <v>0</v>
      </c>
    </row>
    <row r="72" spans="1:22" x14ac:dyDescent="0.25">
      <c r="A72" t="s">
        <v>38</v>
      </c>
      <c r="B72">
        <v>20</v>
      </c>
      <c r="C72">
        <v>46</v>
      </c>
      <c r="D72" s="7">
        <v>1.6</v>
      </c>
      <c r="E72" s="6">
        <f>Tabela2[[#This Row],[Peso]]/Tabela2[[#This Row],[Altura]]^2</f>
        <v>17.968749999999996</v>
      </c>
      <c r="F72">
        <v>65</v>
      </c>
      <c r="G72" t="s">
        <v>114</v>
      </c>
      <c r="H72" t="s">
        <v>40</v>
      </c>
      <c r="I72" t="s">
        <v>41</v>
      </c>
      <c r="J72" t="s">
        <v>42</v>
      </c>
      <c r="K72" t="s">
        <v>101</v>
      </c>
      <c r="O72" t="s">
        <v>44</v>
      </c>
      <c r="P72" t="s">
        <v>45</v>
      </c>
      <c r="Q72" t="s">
        <v>46</v>
      </c>
      <c r="R72">
        <v>350</v>
      </c>
      <c r="S72" t="s">
        <v>51</v>
      </c>
      <c r="T72" t="s">
        <v>58</v>
      </c>
      <c r="V72">
        <v>0</v>
      </c>
    </row>
    <row r="73" spans="1:22" x14ac:dyDescent="0.25">
      <c r="A73" t="s">
        <v>38</v>
      </c>
      <c r="B73">
        <v>26</v>
      </c>
      <c r="C73">
        <v>96</v>
      </c>
      <c r="D73" s="7">
        <v>1.68</v>
      </c>
      <c r="E73" s="6">
        <f>Tabela2[[#This Row],[Peso]]/Tabela2[[#This Row],[Altura]]^2</f>
        <v>34.013605442176875</v>
      </c>
      <c r="F73">
        <v>107</v>
      </c>
      <c r="G73" t="s">
        <v>39</v>
      </c>
      <c r="H73" t="s">
        <v>40</v>
      </c>
      <c r="I73" t="s">
        <v>60</v>
      </c>
      <c r="J73" t="s">
        <v>58</v>
      </c>
      <c r="O73" t="s">
        <v>44</v>
      </c>
      <c r="P73" t="s">
        <v>45</v>
      </c>
      <c r="Q73" t="s">
        <v>57</v>
      </c>
      <c r="R73">
        <v>300</v>
      </c>
      <c r="S73" t="s">
        <v>47</v>
      </c>
      <c r="T73" t="s">
        <v>42</v>
      </c>
      <c r="U73" t="s">
        <v>86</v>
      </c>
      <c r="V73">
        <v>3</v>
      </c>
    </row>
    <row r="74" spans="1:22" x14ac:dyDescent="0.25">
      <c r="A74" t="s">
        <v>53</v>
      </c>
      <c r="B74">
        <v>64</v>
      </c>
      <c r="C74">
        <v>67</v>
      </c>
      <c r="D74" s="7">
        <v>1.86</v>
      </c>
      <c r="E74" s="6">
        <f>Tabela2[[#This Row],[Peso]]/Tabela2[[#This Row],[Altura]]^2</f>
        <v>19.366400739969936</v>
      </c>
      <c r="F74">
        <v>73</v>
      </c>
      <c r="G74" t="s">
        <v>66</v>
      </c>
      <c r="H74" t="s">
        <v>40</v>
      </c>
      <c r="I74" t="s">
        <v>60</v>
      </c>
      <c r="J74" t="s">
        <v>42</v>
      </c>
      <c r="K74" t="s">
        <v>101</v>
      </c>
      <c r="L74" t="s">
        <v>101</v>
      </c>
      <c r="O74" t="s">
        <v>64</v>
      </c>
      <c r="P74" t="s">
        <v>45</v>
      </c>
      <c r="Q74" t="s">
        <v>46</v>
      </c>
      <c r="R74">
        <v>500</v>
      </c>
      <c r="S74" t="s">
        <v>51</v>
      </c>
      <c r="T74" t="s">
        <v>42</v>
      </c>
      <c r="U74" t="s">
        <v>99</v>
      </c>
      <c r="V74">
        <v>2</v>
      </c>
    </row>
    <row r="75" spans="1:22" x14ac:dyDescent="0.25">
      <c r="A75" t="s">
        <v>53</v>
      </c>
      <c r="B75">
        <v>29</v>
      </c>
      <c r="C75">
        <v>70</v>
      </c>
      <c r="D75" s="7">
        <v>1.7</v>
      </c>
      <c r="E75" s="6">
        <f>Tabela2[[#This Row],[Peso]]/Tabela2[[#This Row],[Altura]]^2</f>
        <v>24.221453287197235</v>
      </c>
      <c r="F75">
        <v>75</v>
      </c>
      <c r="G75" t="s">
        <v>39</v>
      </c>
      <c r="H75" t="s">
        <v>40</v>
      </c>
      <c r="I75" t="s">
        <v>60</v>
      </c>
      <c r="J75" t="s">
        <v>42</v>
      </c>
      <c r="K75" t="s">
        <v>101</v>
      </c>
      <c r="O75" t="s">
        <v>44</v>
      </c>
      <c r="P75" t="s">
        <v>70</v>
      </c>
      <c r="Q75" t="s">
        <v>46</v>
      </c>
      <c r="R75">
        <v>450</v>
      </c>
      <c r="S75" t="s">
        <v>74</v>
      </c>
      <c r="T75" t="s">
        <v>58</v>
      </c>
      <c r="V75">
        <v>0</v>
      </c>
    </row>
    <row r="76" spans="1:22" x14ac:dyDescent="0.25">
      <c r="A76" t="s">
        <v>38</v>
      </c>
      <c r="B76">
        <v>21</v>
      </c>
      <c r="C76">
        <v>45</v>
      </c>
      <c r="D76" s="7">
        <v>1.62</v>
      </c>
      <c r="E76" s="6">
        <f>Tabela2[[#This Row],[Peso]]/Tabela2[[#This Row],[Altura]]^2</f>
        <v>17.146776406035663</v>
      </c>
      <c r="F76">
        <v>65</v>
      </c>
      <c r="G76" t="s">
        <v>39</v>
      </c>
      <c r="H76" t="s">
        <v>40</v>
      </c>
      <c r="I76" t="s">
        <v>60</v>
      </c>
      <c r="J76" t="s">
        <v>42</v>
      </c>
      <c r="K76" t="s">
        <v>101</v>
      </c>
      <c r="M76" t="s">
        <v>101</v>
      </c>
      <c r="O76" t="s">
        <v>44</v>
      </c>
      <c r="P76" t="s">
        <v>45</v>
      </c>
      <c r="Q76" t="s">
        <v>45</v>
      </c>
      <c r="R76">
        <v>350</v>
      </c>
      <c r="S76" t="s">
        <v>59</v>
      </c>
      <c r="T76" t="s">
        <v>58</v>
      </c>
      <c r="V76">
        <v>0</v>
      </c>
    </row>
    <row r="77" spans="1:22" x14ac:dyDescent="0.25">
      <c r="A77" t="s">
        <v>38</v>
      </c>
      <c r="B77">
        <v>59</v>
      </c>
      <c r="C77">
        <v>88</v>
      </c>
      <c r="D77" s="7">
        <v>1.67</v>
      </c>
      <c r="E77" s="6">
        <f>Tabela2[[#This Row],[Peso]]/Tabela2[[#This Row],[Altura]]^2</f>
        <v>31.553659148768332</v>
      </c>
      <c r="F77">
        <v>96</v>
      </c>
      <c r="G77" t="s">
        <v>115</v>
      </c>
      <c r="H77" t="s">
        <v>40</v>
      </c>
      <c r="I77" t="s">
        <v>50</v>
      </c>
      <c r="J77" t="s">
        <v>42</v>
      </c>
      <c r="K77" t="s">
        <v>101</v>
      </c>
      <c r="M77" t="s">
        <v>101</v>
      </c>
      <c r="O77" t="s">
        <v>44</v>
      </c>
      <c r="P77" t="s">
        <v>70</v>
      </c>
      <c r="Q77" t="s">
        <v>46</v>
      </c>
      <c r="R77">
        <v>350</v>
      </c>
      <c r="S77" t="s">
        <v>74</v>
      </c>
      <c r="T77" t="s">
        <v>58</v>
      </c>
      <c r="V77">
        <v>0</v>
      </c>
    </row>
    <row r="78" spans="1:22" x14ac:dyDescent="0.25">
      <c r="A78" t="s">
        <v>38</v>
      </c>
      <c r="B78">
        <v>21</v>
      </c>
      <c r="C78">
        <v>78</v>
      </c>
      <c r="D78" s="7">
        <v>1.64</v>
      </c>
      <c r="E78" s="6">
        <f>Tabela2[[#This Row],[Peso]]/Tabela2[[#This Row],[Altura]]^2</f>
        <v>29.000594883997625</v>
      </c>
      <c r="F78">
        <v>88</v>
      </c>
      <c r="G78" t="s">
        <v>49</v>
      </c>
      <c r="H78" t="s">
        <v>40</v>
      </c>
      <c r="I78" t="s">
        <v>50</v>
      </c>
      <c r="J78" t="s">
        <v>42</v>
      </c>
      <c r="K78" t="s">
        <v>101</v>
      </c>
      <c r="M78" t="s">
        <v>101</v>
      </c>
      <c r="O78" t="s">
        <v>44</v>
      </c>
      <c r="P78" t="s">
        <v>45</v>
      </c>
      <c r="Q78" t="s">
        <v>57</v>
      </c>
      <c r="R78">
        <v>450</v>
      </c>
      <c r="S78" t="s">
        <v>47</v>
      </c>
      <c r="T78" t="s">
        <v>42</v>
      </c>
      <c r="U78" t="s">
        <v>116</v>
      </c>
      <c r="V78">
        <v>3</v>
      </c>
    </row>
    <row r="79" spans="1:22" x14ac:dyDescent="0.25">
      <c r="A79" t="s">
        <v>38</v>
      </c>
      <c r="B79">
        <v>20</v>
      </c>
      <c r="C79">
        <v>53</v>
      </c>
      <c r="D79" s="7">
        <v>1.67</v>
      </c>
      <c r="E79" s="6">
        <f>Tabela2[[#This Row],[Peso]]/Tabela2[[#This Row],[Altura]]^2</f>
        <v>19.003908350962746</v>
      </c>
      <c r="F79">
        <v>62</v>
      </c>
      <c r="G79" t="s">
        <v>66</v>
      </c>
      <c r="H79" t="s">
        <v>40</v>
      </c>
      <c r="I79" t="s">
        <v>60</v>
      </c>
      <c r="J79" t="s">
        <v>58</v>
      </c>
      <c r="O79" t="s">
        <v>44</v>
      </c>
      <c r="P79" t="s">
        <v>70</v>
      </c>
      <c r="Q79" t="s">
        <v>57</v>
      </c>
      <c r="R79">
        <v>600</v>
      </c>
      <c r="S79" t="s">
        <v>47</v>
      </c>
      <c r="T79" t="s">
        <v>42</v>
      </c>
      <c r="U79" t="s">
        <v>86</v>
      </c>
      <c r="V79">
        <v>4</v>
      </c>
    </row>
    <row r="80" spans="1:22" x14ac:dyDescent="0.25">
      <c r="A80" t="s">
        <v>38</v>
      </c>
      <c r="B80">
        <v>20</v>
      </c>
      <c r="C80">
        <v>69</v>
      </c>
      <c r="D80" s="7">
        <v>1.7</v>
      </c>
      <c r="E80" s="6">
        <f>Tabela2[[#This Row],[Peso]]/Tabela2[[#This Row],[Altura]]^2</f>
        <v>23.87543252595156</v>
      </c>
      <c r="F80">
        <v>77</v>
      </c>
      <c r="G80" t="s">
        <v>117</v>
      </c>
      <c r="H80" t="s">
        <v>40</v>
      </c>
      <c r="I80" t="s">
        <v>91</v>
      </c>
      <c r="J80" t="s">
        <v>42</v>
      </c>
      <c r="K80" t="s">
        <v>101</v>
      </c>
      <c r="O80" t="s">
        <v>44</v>
      </c>
      <c r="P80" t="s">
        <v>45</v>
      </c>
      <c r="Q80" t="s">
        <v>57</v>
      </c>
      <c r="R80">
        <v>600</v>
      </c>
      <c r="S80" t="s">
        <v>51</v>
      </c>
      <c r="T80" t="s">
        <v>42</v>
      </c>
      <c r="U80" t="s">
        <v>116</v>
      </c>
      <c r="V80">
        <v>4</v>
      </c>
    </row>
    <row r="81" spans="1:22" x14ac:dyDescent="0.25">
      <c r="A81" t="s">
        <v>38</v>
      </c>
      <c r="B81">
        <v>21</v>
      </c>
      <c r="C81">
        <v>69</v>
      </c>
      <c r="D81" s="7">
        <v>1.66</v>
      </c>
      <c r="E81" s="6">
        <f>Tabela2[[#This Row],[Peso]]/Tabela2[[#This Row],[Altura]]^2</f>
        <v>25.039918710988534</v>
      </c>
      <c r="F81">
        <v>78</v>
      </c>
      <c r="G81" t="s">
        <v>49</v>
      </c>
      <c r="H81" t="s">
        <v>40</v>
      </c>
      <c r="I81" t="s">
        <v>91</v>
      </c>
      <c r="J81" t="s">
        <v>42</v>
      </c>
      <c r="K81" t="s">
        <v>101</v>
      </c>
      <c r="M81" t="s">
        <v>101</v>
      </c>
      <c r="O81" t="s">
        <v>44</v>
      </c>
      <c r="P81" t="s">
        <v>70</v>
      </c>
      <c r="Q81" t="s">
        <v>73</v>
      </c>
      <c r="R81">
        <v>500</v>
      </c>
      <c r="S81" t="s">
        <v>51</v>
      </c>
      <c r="T81" t="s">
        <v>42</v>
      </c>
      <c r="U81" t="s">
        <v>92</v>
      </c>
      <c r="V81">
        <v>5</v>
      </c>
    </row>
    <row r="82" spans="1:22" x14ac:dyDescent="0.25">
      <c r="A82" t="s">
        <v>53</v>
      </c>
      <c r="B82">
        <v>25</v>
      </c>
      <c r="C82">
        <v>92</v>
      </c>
      <c r="D82" s="7">
        <v>1.86</v>
      </c>
      <c r="E82" s="6">
        <f>Tabela2[[#This Row],[Peso]]/Tabela2[[#This Row],[Altura]]^2</f>
        <v>26.592669672794539</v>
      </c>
      <c r="F82">
        <v>94</v>
      </c>
      <c r="G82" t="s">
        <v>118</v>
      </c>
      <c r="H82" t="s">
        <v>40</v>
      </c>
      <c r="I82" t="s">
        <v>98</v>
      </c>
      <c r="J82" t="s">
        <v>42</v>
      </c>
      <c r="K82" t="s">
        <v>101</v>
      </c>
      <c r="L82" t="s">
        <v>101</v>
      </c>
      <c r="M82" t="s">
        <v>101</v>
      </c>
      <c r="O82" t="s">
        <v>44</v>
      </c>
      <c r="P82" t="s">
        <v>70</v>
      </c>
      <c r="Q82" t="s">
        <v>57</v>
      </c>
      <c r="R82">
        <v>600</v>
      </c>
      <c r="S82" t="s">
        <v>47</v>
      </c>
      <c r="T82" t="s">
        <v>42</v>
      </c>
      <c r="U82" t="s">
        <v>65</v>
      </c>
      <c r="V82">
        <v>1</v>
      </c>
    </row>
    <row r="83" spans="1:22" x14ac:dyDescent="0.25">
      <c r="A83" t="s">
        <v>53</v>
      </c>
      <c r="B83">
        <v>29</v>
      </c>
      <c r="C83">
        <v>65</v>
      </c>
      <c r="D83" s="7">
        <v>1.78</v>
      </c>
      <c r="E83" s="6">
        <f>Tabela2[[#This Row],[Peso]]/Tabela2[[#This Row],[Altura]]^2</f>
        <v>20.515086478979924</v>
      </c>
      <c r="F83">
        <v>73</v>
      </c>
      <c r="G83" t="s">
        <v>66</v>
      </c>
      <c r="H83" t="s">
        <v>40</v>
      </c>
      <c r="I83" t="s">
        <v>60</v>
      </c>
      <c r="J83" t="s">
        <v>58</v>
      </c>
      <c r="O83" t="s">
        <v>64</v>
      </c>
      <c r="P83" t="s">
        <v>56</v>
      </c>
      <c r="Q83" t="s">
        <v>57</v>
      </c>
      <c r="R83">
        <v>600</v>
      </c>
      <c r="S83" t="s">
        <v>51</v>
      </c>
      <c r="T83" t="s">
        <v>42</v>
      </c>
      <c r="U83" t="s">
        <v>119</v>
      </c>
      <c r="V83">
        <v>3</v>
      </c>
    </row>
    <row r="84" spans="1:22" x14ac:dyDescent="0.25">
      <c r="A84" t="s">
        <v>38</v>
      </c>
      <c r="B84">
        <v>23</v>
      </c>
      <c r="C84">
        <v>55</v>
      </c>
      <c r="D84" s="7">
        <v>1.67</v>
      </c>
      <c r="E84" s="6">
        <f>Tabela2[[#This Row],[Peso]]/Tabela2[[#This Row],[Altura]]^2</f>
        <v>19.721036967980208</v>
      </c>
      <c r="F84">
        <v>68</v>
      </c>
      <c r="G84" t="s">
        <v>66</v>
      </c>
      <c r="H84" t="s">
        <v>40</v>
      </c>
      <c r="I84" t="s">
        <v>60</v>
      </c>
      <c r="J84" t="s">
        <v>58</v>
      </c>
      <c r="O84" t="s">
        <v>64</v>
      </c>
      <c r="P84" t="s">
        <v>56</v>
      </c>
      <c r="Q84" t="s">
        <v>46</v>
      </c>
      <c r="R84">
        <v>500</v>
      </c>
      <c r="S84" t="s">
        <v>51</v>
      </c>
      <c r="T84" t="s">
        <v>42</v>
      </c>
      <c r="U84" t="s">
        <v>119</v>
      </c>
      <c r="V84">
        <v>1</v>
      </c>
    </row>
    <row r="85" spans="1:22" x14ac:dyDescent="0.25">
      <c r="A85" t="s">
        <v>53</v>
      </c>
      <c r="B85">
        <v>22</v>
      </c>
      <c r="C85">
        <v>90</v>
      </c>
      <c r="D85" s="7">
        <v>1.94</v>
      </c>
      <c r="E85" s="6">
        <f>Tabela2[[#This Row],[Peso]]/Tabela2[[#This Row],[Altura]]^2</f>
        <v>23.913274524391539</v>
      </c>
      <c r="F85">
        <v>87</v>
      </c>
      <c r="G85" t="s">
        <v>120</v>
      </c>
      <c r="H85" t="s">
        <v>40</v>
      </c>
      <c r="I85" t="s">
        <v>41</v>
      </c>
      <c r="J85" t="s">
        <v>42</v>
      </c>
      <c r="K85" t="s">
        <v>101</v>
      </c>
      <c r="M85" t="s">
        <v>101</v>
      </c>
      <c r="O85" t="s">
        <v>44</v>
      </c>
      <c r="P85" t="s">
        <v>45</v>
      </c>
      <c r="Q85" t="s">
        <v>57</v>
      </c>
      <c r="R85">
        <v>500</v>
      </c>
      <c r="S85" t="s">
        <v>51</v>
      </c>
      <c r="T85" t="s">
        <v>42</v>
      </c>
      <c r="U85" t="s">
        <v>48</v>
      </c>
      <c r="V85">
        <v>5</v>
      </c>
    </row>
    <row r="86" spans="1:22" x14ac:dyDescent="0.25">
      <c r="A86" t="s">
        <v>38</v>
      </c>
      <c r="B86">
        <v>20</v>
      </c>
      <c r="C86">
        <v>49</v>
      </c>
      <c r="D86" s="7">
        <v>1.6</v>
      </c>
      <c r="E86" s="6">
        <f>Tabela2[[#This Row],[Peso]]/Tabela2[[#This Row],[Altura]]^2</f>
        <v>19.140624999999996</v>
      </c>
      <c r="F86">
        <v>66</v>
      </c>
      <c r="G86" t="s">
        <v>39</v>
      </c>
      <c r="H86" t="s">
        <v>40</v>
      </c>
      <c r="I86" t="s">
        <v>60</v>
      </c>
      <c r="J86" t="s">
        <v>58</v>
      </c>
      <c r="O86" t="s">
        <v>44</v>
      </c>
      <c r="P86" t="s">
        <v>45</v>
      </c>
      <c r="Q86" t="s">
        <v>46</v>
      </c>
      <c r="R86">
        <v>350</v>
      </c>
      <c r="S86" t="s">
        <v>51</v>
      </c>
      <c r="T86" t="s">
        <v>42</v>
      </c>
      <c r="U86" t="s">
        <v>48</v>
      </c>
      <c r="V86">
        <v>5</v>
      </c>
    </row>
  </sheetData>
  <dataValidations count="12">
    <dataValidation type="list" allowBlank="1" showInputMessage="1" showErrorMessage="1" sqref="T2:T86" xr:uid="{249E50DB-1B08-48B5-B4D9-638FDD57CAD9}">
      <formula1>"Sim,Não"</formula1>
    </dataValidation>
    <dataValidation type="whole" allowBlank="1" showInputMessage="1" showErrorMessage="1" sqref="V2:V86" xr:uid="{3C228F07-508E-438C-A361-DD3BCE5DA800}">
      <formula1>0</formula1>
      <formula2>7</formula2>
    </dataValidation>
    <dataValidation type="list" allowBlank="1" showInputMessage="1" showErrorMessage="1" sqref="S2:S86" xr:uid="{80DE60F7-E863-4DFC-8C9F-D1F093C0382C}">
      <formula1>"Nada,Água,Suco,Refri,Outros"</formula1>
    </dataValidation>
    <dataValidation type="whole" allowBlank="1" showInputMessage="1" showErrorMessage="1" sqref="R2:R86" xr:uid="{CD3D31CE-315D-41BC-8DC0-2B4C50B1633A}">
      <formula1>100</formula1>
      <formula2>1700</formula2>
    </dataValidation>
    <dataValidation type="list" allowBlank="1" showInputMessage="1" showErrorMessage="1" sqref="Q2:Q86" xr:uid="{FD738C21-B9D8-46D6-B1D8-420EF5A32094}">
      <formula1>"Nunca,Raramente,Frequentemente,Sempre"</formula1>
    </dataValidation>
    <dataValidation type="list" allowBlank="1" showInputMessage="1" showErrorMessage="1" sqref="P2:P86" xr:uid="{2FF538A1-12BC-4B4F-B202-7CA20C811462}">
      <formula1>"Nunca,Parou,As vezes,De 1-10/dia,Mais de 10/dia"</formula1>
    </dataValidation>
    <dataValidation type="list" allowBlank="1" showInputMessage="1" showErrorMessage="1" sqref="O2:O86" xr:uid="{7997A4E0-9AEE-442C-81C5-381492170639}">
      <formula1>"Onívoro,Vegetariano,Vegano,Outros"</formula1>
    </dataValidation>
    <dataValidation type="list" allowBlank="1" showInputMessage="1" showErrorMessage="1" sqref="I2:I86" xr:uid="{193AFDCA-A8D9-4F20-8E23-94FA986D65F1}">
      <formula1>"A+,A-,B+,B-,AB+, AB-,O+,O-"</formula1>
    </dataValidation>
    <dataValidation type="whole" allowBlank="1" showInputMessage="1" showErrorMessage="1" sqref="F2:F86" xr:uid="{85748CF4-EFB4-41AC-A831-A21C48B994BF}">
      <formula1>45</formula1>
      <formula2>130</formula2>
    </dataValidation>
    <dataValidation type="decimal" allowBlank="1" showInputMessage="1" showErrorMessage="1" sqref="D2:D86" xr:uid="{83FAE2FE-819F-4F04-BB88-1BF829BDF205}">
      <formula1>1.4</formula1>
      <formula2>2.2</formula2>
    </dataValidation>
    <dataValidation type="whole" allowBlank="1" showInputMessage="1" showErrorMessage="1" sqref="C2:C86" xr:uid="{E276D2EE-0F6D-459B-8A65-D24ABAE55CB6}">
      <formula1>40</formula1>
      <formula2>140</formula2>
    </dataValidation>
    <dataValidation type="list" allowBlank="1" showInputMessage="1" showErrorMessage="1" errorTitle="ERRO" error="Dado inválido" promptTitle="Sexo" prompt="F - Feminino_x000a_M - Masculino" sqref="A2:A86" xr:uid="{81647BF0-D13C-43AE-B46A-A5FA3DCC6397}">
      <formula1>"F,M"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showGridLines="0" zoomScaleNormal="100" workbookViewId="0">
      <selection activeCell="G15" sqref="G15"/>
    </sheetView>
  </sheetViews>
  <sheetFormatPr defaultRowHeight="15" x14ac:dyDescent="0.25"/>
  <cols>
    <col min="1" max="1" width="24.28515625" bestFit="1" customWidth="1"/>
    <col min="4" max="4" width="7.7109375" customWidth="1"/>
    <col min="5" max="5" width="4.140625" customWidth="1"/>
    <col min="6" max="6" width="2.5703125" customWidth="1"/>
    <col min="7" max="7" width="4" customWidth="1"/>
  </cols>
  <sheetData>
    <row r="1" spans="1:14" x14ac:dyDescent="0.25">
      <c r="A1" s="13" t="s">
        <v>5</v>
      </c>
      <c r="B1" s="24">
        <f>MIN(Tabela2[Idade])</f>
        <v>18</v>
      </c>
    </row>
    <row r="2" spans="1:14" ht="28.5" customHeight="1" x14ac:dyDescent="0.25">
      <c r="A2" s="13" t="s">
        <v>6</v>
      </c>
      <c r="B2" s="24">
        <f>MAX(Tabela2[Idade])</f>
        <v>70</v>
      </c>
      <c r="E2" s="31" t="s">
        <v>123</v>
      </c>
      <c r="F2" s="32"/>
      <c r="G2" s="32"/>
      <c r="H2" s="32"/>
      <c r="I2" s="32"/>
      <c r="J2" s="32"/>
      <c r="K2" s="32"/>
      <c r="M2" s="27"/>
      <c r="N2" s="27"/>
    </row>
    <row r="3" spans="1:14" ht="30.75" customHeight="1" x14ac:dyDescent="0.25">
      <c r="A3" s="13" t="s">
        <v>11</v>
      </c>
      <c r="B3" s="24">
        <f>B2-B1</f>
        <v>52</v>
      </c>
      <c r="E3" s="33" t="s">
        <v>124</v>
      </c>
      <c r="F3" s="34"/>
      <c r="G3" s="34"/>
      <c r="H3" s="9" t="s">
        <v>7</v>
      </c>
      <c r="I3" s="9" t="s">
        <v>8</v>
      </c>
      <c r="J3" s="9" t="s">
        <v>9</v>
      </c>
      <c r="K3" s="10" t="s">
        <v>10</v>
      </c>
    </row>
    <row r="4" spans="1:14" ht="15.75" x14ac:dyDescent="0.25">
      <c r="A4" s="8" t="s">
        <v>13</v>
      </c>
      <c r="B4" s="24">
        <f>COUNT(Tabela2[Idade])</f>
        <v>85</v>
      </c>
      <c r="E4" s="4">
        <f>B1</f>
        <v>18</v>
      </c>
      <c r="F4" s="4" t="s">
        <v>12</v>
      </c>
      <c r="G4" s="3">
        <f>E4+($B$9-1)</f>
        <v>26</v>
      </c>
      <c r="H4" s="1">
        <f>COUNTIF(Tabela2[Idade],"&lt;=26")</f>
        <v>59</v>
      </c>
      <c r="I4" s="1">
        <f>H4</f>
        <v>59</v>
      </c>
      <c r="J4" s="2">
        <f>H4/$H$10</f>
        <v>0.69411764705882351</v>
      </c>
      <c r="K4" s="5">
        <f>J4</f>
        <v>0.69411764705882351</v>
      </c>
    </row>
    <row r="5" spans="1:14" ht="15.75" x14ac:dyDescent="0.25">
      <c r="A5" s="29" t="s">
        <v>164</v>
      </c>
      <c r="B5" s="42">
        <f>ROUNDDOWN(1+3.33*LOG10(B4),0)</f>
        <v>7</v>
      </c>
      <c r="E5" s="4">
        <f>E4+$B$9</f>
        <v>27</v>
      </c>
      <c r="F5" s="4" t="s">
        <v>12</v>
      </c>
      <c r="G5" s="3">
        <f t="shared" ref="G5:G9" si="0">E5+($B$9-1)</f>
        <v>35</v>
      </c>
      <c r="H5" s="1">
        <f>COUNTIFS(Tabela2[Idade],"&gt;=27",Tabela2[Idade],"&lt;=35")</f>
        <v>4</v>
      </c>
      <c r="I5" s="1">
        <f>I4+H5</f>
        <v>63</v>
      </c>
      <c r="J5" s="2">
        <f>H5/$H$10</f>
        <v>4.7058823529411764E-2</v>
      </c>
      <c r="K5" s="5">
        <f>K4+J5</f>
        <v>0.74117647058823533</v>
      </c>
    </row>
    <row r="6" spans="1:14" ht="15.75" x14ac:dyDescent="0.25">
      <c r="A6" s="26" t="s">
        <v>14</v>
      </c>
      <c r="B6" s="26" t="s">
        <v>121</v>
      </c>
      <c r="C6" s="26" t="s">
        <v>122</v>
      </c>
      <c r="E6" s="4">
        <f>E5+$B$9</f>
        <v>36</v>
      </c>
      <c r="F6" s="4" t="s">
        <v>12</v>
      </c>
      <c r="G6" s="3">
        <f t="shared" si="0"/>
        <v>44</v>
      </c>
      <c r="H6" s="1">
        <f>COUNTIFS(Tabela2[Idade],"&gt;=36",Tabela2[Idade],"&lt;=44")</f>
        <v>2</v>
      </c>
      <c r="I6" s="1">
        <f>I5+H6</f>
        <v>65</v>
      </c>
      <c r="J6" s="2">
        <f t="shared" ref="J6:J9" si="1">H6/$H$10</f>
        <v>2.3529411764705882E-2</v>
      </c>
      <c r="K6" s="5">
        <f>K5+J6</f>
        <v>0.76470588235294124</v>
      </c>
    </row>
    <row r="7" spans="1:14" ht="15.75" x14ac:dyDescent="0.25">
      <c r="A7" s="25">
        <v>4</v>
      </c>
      <c r="B7" s="25">
        <f>ROUNDUP(($B$3+1)/A7,0)</f>
        <v>14</v>
      </c>
      <c r="C7" s="25">
        <f>A7*B7-($B$3+1)</f>
        <v>3</v>
      </c>
      <c r="E7" s="4">
        <f t="shared" ref="E7:E9" si="2">E6+$B$9</f>
        <v>45</v>
      </c>
      <c r="F7" s="4" t="s">
        <v>12</v>
      </c>
      <c r="G7" s="3">
        <f t="shared" si="0"/>
        <v>53</v>
      </c>
      <c r="H7" s="1">
        <f>COUNTIFS(Tabela2[Idade],"&gt;=45",Tabela2[Idade],"&lt;=53")</f>
        <v>12</v>
      </c>
      <c r="I7" s="1">
        <f>I6+H7</f>
        <v>77</v>
      </c>
      <c r="J7" s="2">
        <f t="shared" si="1"/>
        <v>0.14117647058823529</v>
      </c>
      <c r="K7" s="5">
        <f>K6+J7</f>
        <v>0.90588235294117658</v>
      </c>
    </row>
    <row r="8" spans="1:14" ht="15.75" x14ac:dyDescent="0.25">
      <c r="A8" s="25">
        <v>5</v>
      </c>
      <c r="B8" s="25">
        <f t="shared" ref="B8:B11" si="3">ROUNDUP(($B$3+1)/A8,0)</f>
        <v>11</v>
      </c>
      <c r="C8" s="25">
        <f t="shared" ref="C8:C11" si="4">A8*B8-($B$3+1)</f>
        <v>2</v>
      </c>
      <c r="E8" s="4">
        <f t="shared" si="2"/>
        <v>54</v>
      </c>
      <c r="F8" s="4" t="s">
        <v>12</v>
      </c>
      <c r="G8" s="3">
        <f t="shared" si="0"/>
        <v>62</v>
      </c>
      <c r="H8" s="1">
        <f>COUNTIFS(Tabela2[Idade],"&gt;=54",Tabela2[Idade],"&lt;=62")</f>
        <v>5</v>
      </c>
      <c r="I8" s="1">
        <f>I7+H8</f>
        <v>82</v>
      </c>
      <c r="J8" s="2">
        <f t="shared" si="1"/>
        <v>5.8823529411764705E-2</v>
      </c>
      <c r="K8" s="5">
        <f>K7+J8</f>
        <v>0.9647058823529413</v>
      </c>
    </row>
    <row r="9" spans="1:14" ht="15.75" x14ac:dyDescent="0.25">
      <c r="A9" s="30">
        <v>6</v>
      </c>
      <c r="B9" s="30">
        <f t="shared" si="3"/>
        <v>9</v>
      </c>
      <c r="C9" s="30">
        <f t="shared" si="4"/>
        <v>1</v>
      </c>
      <c r="E9" s="4">
        <f t="shared" si="2"/>
        <v>63</v>
      </c>
      <c r="F9" s="4" t="s">
        <v>12</v>
      </c>
      <c r="G9" s="3">
        <f t="shared" si="0"/>
        <v>71</v>
      </c>
      <c r="H9" s="1">
        <f>COUNTIFS(Tabela2[Idade],"&gt;=63",Tabela2[Idade],"&lt;=71")</f>
        <v>3</v>
      </c>
      <c r="I9" s="1">
        <f>I8+H9</f>
        <v>85</v>
      </c>
      <c r="J9" s="2">
        <f t="shared" si="1"/>
        <v>3.5294117647058823E-2</v>
      </c>
      <c r="K9" s="5">
        <f>K8+J9</f>
        <v>1.0000000000000002</v>
      </c>
    </row>
    <row r="10" spans="1:14" ht="15.75" x14ac:dyDescent="0.25">
      <c r="A10" s="25">
        <v>7</v>
      </c>
      <c r="B10" s="25">
        <f t="shared" si="3"/>
        <v>8</v>
      </c>
      <c r="C10" s="25">
        <f t="shared" si="4"/>
        <v>3</v>
      </c>
      <c r="E10" s="34" t="s">
        <v>15</v>
      </c>
      <c r="F10" s="34"/>
      <c r="G10" s="34"/>
      <c r="H10" s="9">
        <f>SUM(H4:H9)</f>
        <v>85</v>
      </c>
      <c r="I10" s="9" t="s">
        <v>12</v>
      </c>
      <c r="J10" s="11">
        <f>SUM(J4:J9)</f>
        <v>1.0000000000000002</v>
      </c>
      <c r="K10" s="12" t="s">
        <v>12</v>
      </c>
    </row>
    <row r="11" spans="1:14" x14ac:dyDescent="0.25">
      <c r="A11" s="25">
        <v>8</v>
      </c>
      <c r="B11" s="25">
        <f t="shared" si="3"/>
        <v>7</v>
      </c>
      <c r="C11" s="25">
        <f t="shared" si="4"/>
        <v>3</v>
      </c>
    </row>
  </sheetData>
  <mergeCells count="3">
    <mergeCell ref="E3:G3"/>
    <mergeCell ref="E10:G10"/>
    <mergeCell ref="E2:K2"/>
  </mergeCells>
  <pageMargins left="0.511811024" right="0.511811024" top="0.78740157499999996" bottom="0.78740157499999996" header="0.31496062000000002" footer="0.31496062000000002"/>
  <ignoredErrors>
    <ignoredError sqref="J4:J9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I15"/>
  <sheetViews>
    <sheetView zoomScale="150" zoomScaleNormal="150" workbookViewId="0">
      <selection activeCell="E8" sqref="E8"/>
    </sheetView>
  </sheetViews>
  <sheetFormatPr defaultRowHeight="15" x14ac:dyDescent="0.25"/>
  <cols>
    <col min="1" max="1" width="15.28515625" customWidth="1"/>
    <col min="2" max="2" width="11" customWidth="1"/>
    <col min="3" max="3" width="3.7109375" customWidth="1"/>
    <col min="4" max="4" width="11.5703125" customWidth="1"/>
    <col min="6" max="6" width="4.140625" customWidth="1"/>
    <col min="7" max="7" width="10.28515625" customWidth="1"/>
  </cols>
  <sheetData>
    <row r="1" spans="1:9" x14ac:dyDescent="0.25">
      <c r="A1" t="s">
        <v>125</v>
      </c>
      <c r="B1" t="s">
        <v>18</v>
      </c>
    </row>
    <row r="2" spans="1:9" x14ac:dyDescent="0.25">
      <c r="A2" s="38" t="s">
        <v>126</v>
      </c>
      <c r="B2" s="38"/>
      <c r="D2" s="40" t="s">
        <v>127</v>
      </c>
      <c r="E2" s="41"/>
      <c r="G2" s="16" t="s">
        <v>128</v>
      </c>
      <c r="H2" s="21" t="e">
        <f>_xlfn.PERCENTILE.INC(#REF!,0.01)</f>
        <v>#REF!</v>
      </c>
      <c r="I2" t="s">
        <v>129</v>
      </c>
    </row>
    <row r="3" spans="1:9" x14ac:dyDescent="0.25">
      <c r="A3" s="35" t="s">
        <v>130</v>
      </c>
      <c r="B3" s="35"/>
      <c r="D3" s="16" t="s">
        <v>131</v>
      </c>
      <c r="E3" s="16" t="e">
        <f>MEDIAN(#REF!)</f>
        <v>#REF!</v>
      </c>
      <c r="F3" t="s">
        <v>129</v>
      </c>
      <c r="G3" s="16" t="s">
        <v>132</v>
      </c>
      <c r="H3" s="16" t="e">
        <f>_xlfn.PERCENTILE.INC(#REF!,0.05)</f>
        <v>#REF!</v>
      </c>
      <c r="I3" t="s">
        <v>129</v>
      </c>
    </row>
    <row r="4" spans="1:9" x14ac:dyDescent="0.25">
      <c r="A4" s="14" t="s">
        <v>133</v>
      </c>
      <c r="B4" s="17" t="e">
        <f>ROUND(AVERAGE(#REF!),2)</f>
        <v>#REF!</v>
      </c>
      <c r="C4" t="s">
        <v>129</v>
      </c>
      <c r="D4" s="16" t="s">
        <v>134</v>
      </c>
      <c r="E4" s="16" t="e">
        <f>_xlfn.QUARTILE.INC(#REF!,1)</f>
        <v>#REF!</v>
      </c>
      <c r="F4" t="s">
        <v>129</v>
      </c>
      <c r="G4" s="16" t="s">
        <v>135</v>
      </c>
      <c r="H4" s="16" t="e">
        <f>_xlfn.PERCENTILE.INC(#REF!,0.2)</f>
        <v>#REF!</v>
      </c>
      <c r="I4" t="s">
        <v>129</v>
      </c>
    </row>
    <row r="5" spans="1:9" x14ac:dyDescent="0.25">
      <c r="A5" s="14" t="s">
        <v>131</v>
      </c>
      <c r="B5" s="18" t="e">
        <f>MEDIAN(#REF!)</f>
        <v>#REF!</v>
      </c>
      <c r="C5" t="s">
        <v>129</v>
      </c>
      <c r="D5" s="16" t="s">
        <v>136</v>
      </c>
      <c r="E5" s="16" t="e">
        <f>_xlfn.QUARTILE.INC(#REF!,2)</f>
        <v>#REF!</v>
      </c>
      <c r="F5" t="s">
        <v>129</v>
      </c>
      <c r="G5" s="16" t="s">
        <v>137</v>
      </c>
      <c r="H5" s="16" t="e">
        <f>_xlfn.PERCENTILE.INC(#REF!,0.37)</f>
        <v>#REF!</v>
      </c>
      <c r="I5" t="s">
        <v>129</v>
      </c>
    </row>
    <row r="6" spans="1:9" x14ac:dyDescent="0.25">
      <c r="A6" s="14" t="s">
        <v>138</v>
      </c>
      <c r="B6" s="19" t="e">
        <f t="array" ref="B6:B9">_xlfn.MODE.MULT(#REF!)</f>
        <v>#REF!</v>
      </c>
      <c r="C6" t="s">
        <v>129</v>
      </c>
      <c r="D6" s="16" t="s">
        <v>139</v>
      </c>
      <c r="E6" s="16" t="e">
        <f>_xlfn.QUARTILE.INC(#REF!,3)</f>
        <v>#REF!</v>
      </c>
      <c r="F6" t="s">
        <v>129</v>
      </c>
      <c r="G6" s="16" t="s">
        <v>140</v>
      </c>
      <c r="H6" s="16" t="e">
        <f>_xlfn.PERCENTILE.INC(#REF!,0.78)</f>
        <v>#REF!</v>
      </c>
      <c r="I6" t="s">
        <v>129</v>
      </c>
    </row>
    <row r="7" spans="1:9" x14ac:dyDescent="0.25">
      <c r="A7" s="14"/>
      <c r="B7" s="19" t="e">
        <v>#REF!</v>
      </c>
      <c r="C7" t="s">
        <v>129</v>
      </c>
      <c r="D7" s="16" t="s">
        <v>141</v>
      </c>
      <c r="E7" s="21" t="e">
        <f>_xlfn.PERCENTILE.INC(#REF!,0.1)</f>
        <v>#REF!</v>
      </c>
      <c r="F7" t="s">
        <v>129</v>
      </c>
      <c r="G7" s="16" t="s">
        <v>142</v>
      </c>
      <c r="H7" s="16" t="e">
        <f>_xlfn.PERCENTILE.INC(#REF!,0.95)</f>
        <v>#REF!</v>
      </c>
      <c r="I7" t="s">
        <v>129</v>
      </c>
    </row>
    <row r="8" spans="1:9" x14ac:dyDescent="0.25">
      <c r="A8" s="14"/>
      <c r="B8" s="19" t="e">
        <v>#REF!</v>
      </c>
      <c r="C8" t="s">
        <v>129</v>
      </c>
      <c r="D8" s="16" t="s">
        <v>143</v>
      </c>
      <c r="E8" s="16" t="e">
        <f>_xlfn.PERCENTILE.INC(#REF!,0.2)</f>
        <v>#REF!</v>
      </c>
      <c r="F8" t="s">
        <v>129</v>
      </c>
    </row>
    <row r="9" spans="1:9" x14ac:dyDescent="0.25">
      <c r="A9" s="14"/>
      <c r="B9" s="20" t="e">
        <v>#REF!</v>
      </c>
      <c r="C9" t="s">
        <v>129</v>
      </c>
      <c r="D9" s="16" t="s">
        <v>144</v>
      </c>
      <c r="E9" s="16" t="e">
        <f>_xlfn.PERCENTILE.INC(#REF!,0.3)</f>
        <v>#REF!</v>
      </c>
      <c r="F9" t="s">
        <v>129</v>
      </c>
    </row>
    <row r="10" spans="1:9" x14ac:dyDescent="0.25">
      <c r="A10" s="36" t="s">
        <v>145</v>
      </c>
      <c r="B10" s="37"/>
      <c r="D10" s="16" t="s">
        <v>146</v>
      </c>
      <c r="E10" s="16" t="e">
        <f>_xlfn.PERCENTILE.INC(#REF!,0.4)</f>
        <v>#REF!</v>
      </c>
      <c r="F10" t="s">
        <v>129</v>
      </c>
    </row>
    <row r="11" spans="1:9" x14ac:dyDescent="0.25">
      <c r="A11" s="15" t="s">
        <v>147</v>
      </c>
      <c r="B11" s="15" t="e">
        <f>MAX(#REF!)-MIN(#REF!)</f>
        <v>#REF!</v>
      </c>
      <c r="C11" t="s">
        <v>129</v>
      </c>
      <c r="D11" s="16" t="s">
        <v>148</v>
      </c>
      <c r="E11" s="16" t="e">
        <f>_xlfn.PERCENTILE.INC(#REF!,0.5)</f>
        <v>#REF!</v>
      </c>
      <c r="F11" t="s">
        <v>129</v>
      </c>
    </row>
    <row r="12" spans="1:9" x14ac:dyDescent="0.25">
      <c r="A12" s="15" t="s">
        <v>149</v>
      </c>
      <c r="B12" s="15" t="e">
        <f>_xlfn.VAR.S(#REF!)</f>
        <v>#REF!</v>
      </c>
      <c r="C12" t="s">
        <v>150</v>
      </c>
      <c r="D12" s="16" t="s">
        <v>151</v>
      </c>
      <c r="E12" s="16" t="e">
        <f>_xlfn.PERCENTILE.INC(#REF!,0.6)</f>
        <v>#REF!</v>
      </c>
      <c r="F12" t="s">
        <v>129</v>
      </c>
    </row>
    <row r="13" spans="1:9" x14ac:dyDescent="0.25">
      <c r="A13" s="15" t="s">
        <v>152</v>
      </c>
      <c r="B13" s="15" t="e">
        <f>_xlfn.STDEV.S(#REF!)</f>
        <v>#REF!</v>
      </c>
      <c r="C13" t="s">
        <v>129</v>
      </c>
      <c r="D13" s="16" t="s">
        <v>153</v>
      </c>
      <c r="E13" s="16" t="e">
        <f>_xlfn.PERCENTILE.INC(#REF!,0.7)</f>
        <v>#REF!</v>
      </c>
      <c r="F13" t="s">
        <v>129</v>
      </c>
    </row>
    <row r="14" spans="1:9" x14ac:dyDescent="0.25">
      <c r="A14" s="39"/>
      <c r="B14" s="39"/>
      <c r="D14" s="22" t="s">
        <v>154</v>
      </c>
      <c r="E14" s="16" t="e">
        <f>_xlfn.PERCENTILE.INC(#REF!,0.8)</f>
        <v>#REF!</v>
      </c>
      <c r="F14" t="s">
        <v>129</v>
      </c>
    </row>
    <row r="15" spans="1:9" x14ac:dyDescent="0.25">
      <c r="D15" s="22" t="s">
        <v>155</v>
      </c>
      <c r="E15" s="16" t="e">
        <f>_xlfn.PERCENTILE.INC(#REF!,0.9)</f>
        <v>#REF!</v>
      </c>
      <c r="F15" t="s">
        <v>129</v>
      </c>
    </row>
  </sheetData>
  <mergeCells count="5">
    <mergeCell ref="A3:B3"/>
    <mergeCell ref="A10:B10"/>
    <mergeCell ref="A2:B2"/>
    <mergeCell ref="A14:B14"/>
    <mergeCell ref="D2:E2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B13"/>
  <sheetViews>
    <sheetView zoomScale="130" zoomScaleNormal="13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125</v>
      </c>
      <c r="B1" t="s">
        <v>21</v>
      </c>
    </row>
    <row r="2" spans="1:2" x14ac:dyDescent="0.25">
      <c r="A2" s="38" t="s">
        <v>126</v>
      </c>
      <c r="B2" s="38"/>
    </row>
    <row r="3" spans="1:2" x14ac:dyDescent="0.25">
      <c r="A3" s="35" t="s">
        <v>130</v>
      </c>
      <c r="B3" s="35"/>
    </row>
    <row r="4" spans="1:2" x14ac:dyDescent="0.25">
      <c r="A4" s="14" t="s">
        <v>133</v>
      </c>
      <c r="B4" s="17"/>
    </row>
    <row r="5" spans="1:2" x14ac:dyDescent="0.25">
      <c r="A5" s="14" t="s">
        <v>131</v>
      </c>
      <c r="B5" s="18"/>
    </row>
    <row r="6" spans="1:2" x14ac:dyDescent="0.25">
      <c r="A6" s="14" t="s">
        <v>138</v>
      </c>
      <c r="B6" s="19"/>
    </row>
    <row r="7" spans="1:2" x14ac:dyDescent="0.25">
      <c r="A7" s="14"/>
      <c r="B7" s="19"/>
    </row>
    <row r="8" spans="1:2" x14ac:dyDescent="0.25">
      <c r="A8" s="14"/>
      <c r="B8" s="19"/>
    </row>
    <row r="9" spans="1:2" x14ac:dyDescent="0.25">
      <c r="A9" s="14"/>
      <c r="B9" s="20"/>
    </row>
    <row r="10" spans="1:2" x14ac:dyDescent="0.25">
      <c r="A10" s="36" t="s">
        <v>145</v>
      </c>
      <c r="B10" s="37"/>
    </row>
    <row r="11" spans="1:2" x14ac:dyDescent="0.25">
      <c r="A11" s="15" t="s">
        <v>147</v>
      </c>
      <c r="B11" s="15"/>
    </row>
    <row r="12" spans="1:2" x14ac:dyDescent="0.25">
      <c r="A12" s="15" t="s">
        <v>149</v>
      </c>
      <c r="B12" s="15"/>
    </row>
    <row r="13" spans="1:2" x14ac:dyDescent="0.25">
      <c r="A13" s="15" t="s">
        <v>152</v>
      </c>
      <c r="B13" s="15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CE77A7E89F64BBBD0B26FC89FA76D" ma:contentTypeVersion="14" ma:contentTypeDescription="Create a new document." ma:contentTypeScope="" ma:versionID="d16e821ef9c8cfb55af23a2ad8353de0">
  <xsd:schema xmlns:xsd="http://www.w3.org/2001/XMLSchema" xmlns:xs="http://www.w3.org/2001/XMLSchema" xmlns:p="http://schemas.microsoft.com/office/2006/metadata/properties" xmlns:ns3="bd5e7e67-6a42-4719-a78c-b2ab916164a2" xmlns:ns4="52668049-c48e-41c3-b455-55389fa56155" targetNamespace="http://schemas.microsoft.com/office/2006/metadata/properties" ma:root="true" ma:fieldsID="51c0161513cc7d58201cb9fabb2b31a5" ns3:_="" ns4:_="">
    <xsd:import namespace="bd5e7e67-6a42-4719-a78c-b2ab916164a2"/>
    <xsd:import namespace="52668049-c48e-41c3-b455-55389fa5615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e7e67-6a42-4719-a78c-b2ab916164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68049-c48e-41c3-b455-55389fa56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452F4C-5E94-41BC-815A-B131238AE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2C08C9-DBED-42B6-9707-7A22C2583A90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52668049-c48e-41c3-b455-55389fa56155"/>
    <ds:schemaRef ds:uri="bd5e7e67-6a42-4719-a78c-b2ab916164a2"/>
  </ds:schemaRefs>
</ds:datastoreItem>
</file>

<file path=customXml/itemProps3.xml><?xml version="1.0" encoding="utf-8"?>
<ds:datastoreItem xmlns:ds="http://schemas.openxmlformats.org/officeDocument/2006/customXml" ds:itemID="{91B1BF52-E799-4BCD-B6A1-64792511E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5e7e67-6a42-4719-a78c-b2ab916164a2"/>
    <ds:schemaRef ds:uri="52668049-c48e-41c3-b455-55389fa56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ROL_DRamos_Folhas</vt:lpstr>
      <vt:lpstr>Dados</vt:lpstr>
      <vt:lpstr>Idade</vt:lpstr>
      <vt:lpstr>Medidas 1</vt:lpstr>
      <vt:lpstr>Medidas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Rosimara</dc:creator>
  <cp:keywords/>
  <dc:description/>
  <cp:lastModifiedBy>Rosimara Beatriz Arci Salgado</cp:lastModifiedBy>
  <cp:revision/>
  <dcterms:created xsi:type="dcterms:W3CDTF">2019-02-19T20:36:33Z</dcterms:created>
  <dcterms:modified xsi:type="dcterms:W3CDTF">2022-03-08T20:12:37Z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0x010100590CE77A7E89F64BBBD0B26FC89FA76D</vt:lpwstr>
  </property>
</Properties>
</file>