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xf\Desktop\porfolio_completo\proyectos_portfolio\Evaluación de Proyecto\"/>
    </mc:Choice>
  </mc:AlternateContent>
  <bookViews>
    <workbookView xWindow="0" yWindow="0" windowWidth="22260" windowHeight="12648" activeTab="1"/>
  </bookViews>
  <sheets>
    <sheet name="Flujo Cap.Propio" sheetId="1" r:id="rId1"/>
    <sheet name="Flujo con Financiacion" sheetId="2" r:id="rId2"/>
  </sheets>
  <calcPr calcId="162913"/>
</workbook>
</file>

<file path=xl/calcChain.xml><?xml version="1.0" encoding="utf-8"?>
<calcChain xmlns="http://schemas.openxmlformats.org/spreadsheetml/2006/main">
  <c r="D3" i="2" l="1"/>
  <c r="E3" i="2" s="1"/>
  <c r="F3" i="2" s="1"/>
  <c r="G3" i="2" s="1"/>
  <c r="H3" i="2" s="1"/>
  <c r="I3" i="2" s="1"/>
  <c r="J3" i="2" s="1"/>
  <c r="K3" i="2" s="1"/>
  <c r="L3" i="2" s="1"/>
  <c r="C6" i="2" l="1"/>
  <c r="C6" i="1"/>
  <c r="M31" i="2" l="1"/>
  <c r="N31" i="2" s="1"/>
  <c r="K31" i="2"/>
  <c r="G31" i="1"/>
  <c r="F31" i="1" s="1"/>
  <c r="E31" i="1" s="1"/>
  <c r="D31" i="1" s="1"/>
  <c r="H32" i="1"/>
  <c r="O31" i="2" l="1"/>
  <c r="J31" i="2"/>
  <c r="I31" i="2" l="1"/>
  <c r="H31" i="2" l="1"/>
  <c r="C9" i="1" l="1"/>
  <c r="C20" i="2" l="1"/>
  <c r="D20" i="2" s="1"/>
  <c r="E20" i="2" s="1"/>
  <c r="F20" i="2" s="1"/>
  <c r="G20" i="2" s="1"/>
  <c r="B18" i="2"/>
  <c r="B17" i="2"/>
  <c r="B19" i="2" s="1"/>
  <c r="B32" i="2" s="1"/>
  <c r="W13" i="2"/>
  <c r="L11" i="2"/>
  <c r="K11" i="2"/>
  <c r="J11" i="2"/>
  <c r="I11" i="2"/>
  <c r="H11" i="2"/>
  <c r="G11" i="2"/>
  <c r="F11" i="2"/>
  <c r="E11" i="2"/>
  <c r="D11" i="2"/>
  <c r="C11" i="2"/>
  <c r="O10" i="2"/>
  <c r="O11" i="2" s="1"/>
  <c r="N13" i="2" s="1"/>
  <c r="C8" i="2"/>
  <c r="C9" i="2" s="1"/>
  <c r="C5" i="2"/>
  <c r="D4" i="2"/>
  <c r="G32" i="1"/>
  <c r="F32" i="1"/>
  <c r="E32" i="1"/>
  <c r="D32" i="1"/>
  <c r="I31" i="1"/>
  <c r="I32" i="1" s="1"/>
  <c r="B18" i="1"/>
  <c r="B17" i="1"/>
  <c r="Q13" i="1"/>
  <c r="T11" i="1"/>
  <c r="T13" i="1" s="1"/>
  <c r="L11" i="1"/>
  <c r="K11" i="1"/>
  <c r="J11" i="1"/>
  <c r="I11" i="1"/>
  <c r="H11" i="1"/>
  <c r="G11" i="1"/>
  <c r="F11" i="1"/>
  <c r="E11" i="1"/>
  <c r="D11" i="1"/>
  <c r="C11" i="1"/>
  <c r="X10" i="1"/>
  <c r="X11" i="1" s="1"/>
  <c r="X13" i="1" s="1"/>
  <c r="W10" i="1"/>
  <c r="W11" i="1" s="1"/>
  <c r="W13" i="1" s="1"/>
  <c r="V10" i="1"/>
  <c r="V11" i="1" s="1"/>
  <c r="V13" i="1" s="1"/>
  <c r="U10" i="1"/>
  <c r="U11" i="1" s="1"/>
  <c r="U13" i="1" s="1"/>
  <c r="T10" i="1"/>
  <c r="S10" i="1"/>
  <c r="S11" i="1" s="1"/>
  <c r="S13" i="1" s="1"/>
  <c r="R10" i="1"/>
  <c r="R11" i="1" s="1"/>
  <c r="R13" i="1" s="1"/>
  <c r="Q10" i="1"/>
  <c r="Q11" i="1" s="1"/>
  <c r="P10" i="1"/>
  <c r="P11" i="1" s="1"/>
  <c r="P13" i="1" s="1"/>
  <c r="O10" i="1"/>
  <c r="O11" i="1" s="1"/>
  <c r="O13" i="1" s="1"/>
  <c r="E8" i="1"/>
  <c r="F8" i="1" s="1"/>
  <c r="C8" i="1"/>
  <c r="D8" i="1" s="1"/>
  <c r="C5" i="1"/>
  <c r="D4" i="1"/>
  <c r="E4" i="1" s="1"/>
  <c r="F4" i="1" s="1"/>
  <c r="G4" i="1" s="1"/>
  <c r="D3" i="1"/>
  <c r="E3" i="1" s="1"/>
  <c r="F3" i="1" s="1"/>
  <c r="G3" i="1" s="1"/>
  <c r="H3" i="1" s="1"/>
  <c r="I3" i="1" s="1"/>
  <c r="J3" i="1" s="1"/>
  <c r="K3" i="1" s="1"/>
  <c r="L3" i="1" s="1"/>
  <c r="D8" i="2" l="1"/>
  <c r="E8" i="2" s="1"/>
  <c r="F8" i="2" s="1"/>
  <c r="G8" i="2" s="1"/>
  <c r="H8" i="2" s="1"/>
  <c r="I8" i="2" s="1"/>
  <c r="J8" i="2" s="1"/>
  <c r="K8" i="2" s="1"/>
  <c r="L8" i="2" s="1"/>
  <c r="J31" i="1"/>
  <c r="C10" i="1"/>
  <c r="C13" i="1" s="1"/>
  <c r="C7" i="1"/>
  <c r="E4" i="2"/>
  <c r="E5" i="2" s="1"/>
  <c r="D5" i="2"/>
  <c r="D6" i="2" s="1"/>
  <c r="C10" i="2"/>
  <c r="C13" i="2" s="1"/>
  <c r="C12" i="2"/>
  <c r="C7" i="2"/>
  <c r="C12" i="1"/>
  <c r="G8" i="1"/>
  <c r="C14" i="1"/>
  <c r="C14" i="2"/>
  <c r="H4" i="1"/>
  <c r="G5" i="1"/>
  <c r="E5" i="1"/>
  <c r="D5" i="1"/>
  <c r="P10" i="2"/>
  <c r="B21" i="2"/>
  <c r="B22" i="2" s="1"/>
  <c r="F5" i="1"/>
  <c r="B19" i="1"/>
  <c r="B20" i="1" s="1"/>
  <c r="O17" i="2" l="1"/>
  <c r="F4" i="2"/>
  <c r="F5" i="2" s="1"/>
  <c r="F14" i="2" s="1"/>
  <c r="K31" i="1"/>
  <c r="K32" i="1" s="1"/>
  <c r="J32" i="1"/>
  <c r="F12" i="1"/>
  <c r="E12" i="1"/>
  <c r="G12" i="1"/>
  <c r="E6" i="2"/>
  <c r="E7" i="2" s="1"/>
  <c r="D9" i="2"/>
  <c r="D10" i="2" s="1"/>
  <c r="D12" i="2"/>
  <c r="D7" i="2"/>
  <c r="D14" i="2"/>
  <c r="E12" i="2"/>
  <c r="E14" i="2"/>
  <c r="C15" i="2"/>
  <c r="P17" i="2"/>
  <c r="D14" i="1"/>
  <c r="D12" i="1"/>
  <c r="E14" i="1"/>
  <c r="F14" i="1"/>
  <c r="G14" i="1"/>
  <c r="D6" i="1"/>
  <c r="E6" i="1" s="1"/>
  <c r="E10" i="1" s="1"/>
  <c r="C15" i="1"/>
  <c r="C19" i="1" s="1"/>
  <c r="C20" i="1" s="1"/>
  <c r="Q10" i="2"/>
  <c r="P11" i="2"/>
  <c r="I4" i="1"/>
  <c r="H5" i="1"/>
  <c r="H8" i="1"/>
  <c r="G4" i="2" l="1"/>
  <c r="G5" i="2" s="1"/>
  <c r="G14" i="2" s="1"/>
  <c r="F12" i="2"/>
  <c r="C21" i="2"/>
  <c r="C22" i="2" s="1"/>
  <c r="E13" i="1"/>
  <c r="E15" i="1" s="1"/>
  <c r="E19" i="1" s="1"/>
  <c r="D10" i="1"/>
  <c r="H12" i="1"/>
  <c r="D7" i="1"/>
  <c r="E7" i="1"/>
  <c r="D13" i="2"/>
  <c r="D15" i="2" s="1"/>
  <c r="D21" i="2" s="1"/>
  <c r="F6" i="2"/>
  <c r="E9" i="2"/>
  <c r="E10" i="2" s="1"/>
  <c r="Q17" i="2"/>
  <c r="F6" i="1"/>
  <c r="D9" i="1"/>
  <c r="H14" i="1"/>
  <c r="E9" i="1"/>
  <c r="A23" i="1"/>
  <c r="C21" i="1" s="1"/>
  <c r="J4" i="1"/>
  <c r="I5" i="1"/>
  <c r="R10" i="2"/>
  <c r="Q11" i="2"/>
  <c r="I8" i="1"/>
  <c r="H4" i="2" l="1"/>
  <c r="H5" i="2" s="1"/>
  <c r="H12" i="2" s="1"/>
  <c r="G12" i="2"/>
  <c r="A24" i="2"/>
  <c r="C23" i="2" s="1"/>
  <c r="D22" i="2"/>
  <c r="D13" i="1"/>
  <c r="D15" i="1" s="1"/>
  <c r="G6" i="1"/>
  <c r="G9" i="1" s="1"/>
  <c r="F10" i="1"/>
  <c r="F7" i="1"/>
  <c r="I12" i="1"/>
  <c r="E13" i="2"/>
  <c r="E15" i="2" s="1"/>
  <c r="E21" i="2" s="1"/>
  <c r="G6" i="2"/>
  <c r="F9" i="2"/>
  <c r="F10" i="2" s="1"/>
  <c r="F7" i="2"/>
  <c r="R17" i="2"/>
  <c r="F9" i="1"/>
  <c r="I14" i="1"/>
  <c r="R11" i="2"/>
  <c r="S10" i="2"/>
  <c r="J5" i="1"/>
  <c r="K4" i="1"/>
  <c r="J8" i="1"/>
  <c r="I4" i="2" l="1"/>
  <c r="I5" i="2" s="1"/>
  <c r="I12" i="2" s="1"/>
  <c r="E22" i="2"/>
  <c r="H14" i="2"/>
  <c r="D23" i="2"/>
  <c r="H6" i="1"/>
  <c r="H10" i="1" s="1"/>
  <c r="D19" i="1"/>
  <c r="D20" i="1" s="1"/>
  <c r="F13" i="1"/>
  <c r="F15" i="1" s="1"/>
  <c r="F19" i="1" s="1"/>
  <c r="J12" i="1"/>
  <c r="G10" i="1"/>
  <c r="G7" i="1"/>
  <c r="F13" i="2"/>
  <c r="F15" i="2" s="1"/>
  <c r="F21" i="2" s="1"/>
  <c r="H6" i="2"/>
  <c r="G9" i="2"/>
  <c r="G10" i="2" s="1"/>
  <c r="G7" i="2"/>
  <c r="S17" i="2"/>
  <c r="E23" i="2"/>
  <c r="J14" i="1"/>
  <c r="L4" i="1"/>
  <c r="L5" i="1" s="1"/>
  <c r="K5" i="1"/>
  <c r="S11" i="2"/>
  <c r="T10" i="2"/>
  <c r="K8" i="1"/>
  <c r="J4" i="2" l="1"/>
  <c r="J5" i="2" s="1"/>
  <c r="J12" i="2" s="1"/>
  <c r="I14" i="2"/>
  <c r="F22" i="2"/>
  <c r="F23" i="2" s="1"/>
  <c r="H7" i="1"/>
  <c r="H9" i="1"/>
  <c r="I6" i="1"/>
  <c r="I9" i="1" s="1"/>
  <c r="D21" i="1"/>
  <c r="E20" i="1"/>
  <c r="E21" i="1" s="1"/>
  <c r="H13" i="1"/>
  <c r="H15" i="1" s="1"/>
  <c r="H19" i="1" s="1"/>
  <c r="G13" i="1"/>
  <c r="G15" i="1" s="1"/>
  <c r="G19" i="1" s="1"/>
  <c r="K12" i="1"/>
  <c r="L12" i="1"/>
  <c r="G13" i="2"/>
  <c r="G15" i="2" s="1"/>
  <c r="G21" i="2" s="1"/>
  <c r="I6" i="2"/>
  <c r="H9" i="2"/>
  <c r="H10" i="2" s="1"/>
  <c r="H7" i="2"/>
  <c r="J14" i="2"/>
  <c r="T17" i="2"/>
  <c r="K14" i="1"/>
  <c r="L14" i="1"/>
  <c r="U10" i="2"/>
  <c r="T11" i="2"/>
  <c r="L8" i="1"/>
  <c r="K4" i="2" l="1"/>
  <c r="K5" i="2" s="1"/>
  <c r="G22" i="2"/>
  <c r="G23" i="2" s="1"/>
  <c r="F24" i="2" s="1"/>
  <c r="G24" i="2" s="1"/>
  <c r="E26" i="2" s="1"/>
  <c r="G26" i="2" s="1"/>
  <c r="I7" i="1"/>
  <c r="I10" i="1"/>
  <c r="I13" i="1" s="1"/>
  <c r="I15" i="1" s="1"/>
  <c r="I19" i="1" s="1"/>
  <c r="J6" i="1"/>
  <c r="J7" i="1" s="1"/>
  <c r="F20" i="1"/>
  <c r="G20" i="1" s="1"/>
  <c r="K14" i="2"/>
  <c r="K12" i="2"/>
  <c r="H13" i="2"/>
  <c r="H15" i="2" s="1"/>
  <c r="H21" i="2" s="1"/>
  <c r="H22" i="2" s="1"/>
  <c r="J6" i="2"/>
  <c r="I9" i="2"/>
  <c r="I10" i="2" s="1"/>
  <c r="I7" i="2"/>
  <c r="U17" i="2"/>
  <c r="V10" i="2"/>
  <c r="U11" i="2"/>
  <c r="L4" i="2"/>
  <c r="L5" i="2" s="1"/>
  <c r="J10" i="1" l="1"/>
  <c r="J13" i="1" s="1"/>
  <c r="J15" i="1" s="1"/>
  <c r="J19" i="1" s="1"/>
  <c r="J9" i="1"/>
  <c r="K6" i="1"/>
  <c r="K7" i="1" s="1"/>
  <c r="F21" i="1"/>
  <c r="E22" i="1" s="1"/>
  <c r="F22" i="1" s="1"/>
  <c r="E24" i="1" s="1"/>
  <c r="G24" i="1" s="1"/>
  <c r="H20" i="1"/>
  <c r="I20" i="1" s="1"/>
  <c r="K6" i="2"/>
  <c r="J9" i="2"/>
  <c r="J10" i="2" s="1"/>
  <c r="J7" i="2"/>
  <c r="L12" i="2"/>
  <c r="L14" i="2"/>
  <c r="I13" i="2"/>
  <c r="I15" i="2" s="1"/>
  <c r="I21" i="2" s="1"/>
  <c r="I22" i="2" s="1"/>
  <c r="V17" i="2"/>
  <c r="W17" i="2"/>
  <c r="V11" i="2"/>
  <c r="W10" i="2"/>
  <c r="W11" i="2" s="1"/>
  <c r="L6" i="1" l="1"/>
  <c r="L9" i="1" s="1"/>
  <c r="K9" i="1"/>
  <c r="K10" i="1"/>
  <c r="K13" i="1"/>
  <c r="K15" i="1" s="1"/>
  <c r="K19" i="1" s="1"/>
  <c r="L10" i="1"/>
  <c r="L7" i="1"/>
  <c r="L6" i="2"/>
  <c r="L9" i="2" s="1"/>
  <c r="K9" i="2"/>
  <c r="K10" i="2" s="1"/>
  <c r="K7" i="2"/>
  <c r="J13" i="2"/>
  <c r="J15" i="2" s="1"/>
  <c r="J21" i="2" s="1"/>
  <c r="J22" i="2" s="1"/>
  <c r="J20" i="1"/>
  <c r="O18" i="2"/>
  <c r="L13" i="1" l="1"/>
  <c r="L15" i="1" s="1"/>
  <c r="L19" i="1" s="1"/>
  <c r="K13" i="2"/>
  <c r="K15" i="2" s="1"/>
  <c r="K21" i="2" s="1"/>
  <c r="K22" i="2" s="1"/>
  <c r="L10" i="2"/>
  <c r="L7" i="2"/>
  <c r="K20" i="1"/>
  <c r="L20" i="1" l="1"/>
  <c r="D26" i="1" s="1"/>
  <c r="L13" i="2"/>
  <c r="L15" i="2" s="1"/>
  <c r="L21" i="2" s="1"/>
  <c r="L22" i="2" s="1"/>
  <c r="D29" i="2" s="1"/>
  <c r="D27" i="1" l="1"/>
  <c r="C32" i="1" s="1"/>
  <c r="G32" i="2"/>
  <c r="D28" i="2"/>
</calcChain>
</file>

<file path=xl/sharedStrings.xml><?xml version="1.0" encoding="utf-8"?>
<sst xmlns="http://schemas.openxmlformats.org/spreadsheetml/2006/main" count="67" uniqueCount="37">
  <si>
    <t>Flujo de Fondos</t>
  </si>
  <si>
    <t>Concepto</t>
  </si>
  <si>
    <t>Producción</t>
  </si>
  <si>
    <t>Precio</t>
  </si>
  <si>
    <t>Total Ingresos</t>
  </si>
  <si>
    <t>Costo de Producción*</t>
  </si>
  <si>
    <t>Consumo estimado de RDT (litros)</t>
  </si>
  <si>
    <t>UTILIDAD MARGINAL</t>
  </si>
  <si>
    <t>Costo de administración y venta</t>
  </si>
  <si>
    <t>Total Egresos</t>
  </si>
  <si>
    <t>UTILIDAD BRUTA (Antes de imp.)</t>
  </si>
  <si>
    <t>Depreciación y Amortizaciones</t>
  </si>
  <si>
    <t>IIBB (3,5%)</t>
  </si>
  <si>
    <t>Imp. a las ganancias (35%)</t>
  </si>
  <si>
    <t>Imp. a la bebida (4%)</t>
  </si>
  <si>
    <t>UTILIDAD NETA     (luego de imp.)</t>
  </si>
  <si>
    <t>Inversión Inicial</t>
  </si>
  <si>
    <t>Capital de trabajo</t>
  </si>
  <si>
    <t>FLUJO DE FONDOS NETOS</t>
  </si>
  <si>
    <t>FLUJO DE FONDOS ACUMULADOS</t>
  </si>
  <si>
    <t>Recuperación de la inversio</t>
  </si>
  <si>
    <t xml:space="preserve">3 años y </t>
  </si>
  <si>
    <t>meses</t>
  </si>
  <si>
    <t>dias</t>
  </si>
  <si>
    <t>Tasa</t>
  </si>
  <si>
    <t>VAN</t>
  </si>
  <si>
    <t>TIR</t>
  </si>
  <si>
    <t xml:space="preserve">Análisis de sensibilidad </t>
  </si>
  <si>
    <t>$ARS</t>
  </si>
  <si>
    <t>TIR:</t>
  </si>
  <si>
    <t>$USD</t>
  </si>
  <si>
    <t>Cantidades</t>
  </si>
  <si>
    <t>Préstamo</t>
  </si>
  <si>
    <t>Pago de préstamo</t>
  </si>
  <si>
    <t>FLUJO DE FONDOS del proyecto</t>
  </si>
  <si>
    <t xml:space="preserve">4 años y </t>
  </si>
  <si>
    <t>Prestamo en pesos: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</si>
</sst>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2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/>
    <xf numFmtId="9" fontId="3" fillId="0" borderId="0"/>
  </cellStyleXfs>
  <cellXfs count="9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4" fontId="5" fillId="0" borderId="0" xfId="0" applyNumberFormat="1" applyFont="1" applyAlignment="1">
      <alignment horizontal="right" vertical="center"/>
    </xf>
    <xf numFmtId="4" fontId="5" fillId="2" borderId="2" xfId="0" applyNumberFormat="1" applyFont="1" applyFill="1" applyBorder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" fontId="11" fillId="0" borderId="0" xfId="0" applyNumberFormat="1" applyFont="1" applyAlignment="1">
      <alignment horizontal="right" vertical="center"/>
    </xf>
    <xf numFmtId="4" fontId="10" fillId="2" borderId="2" xfId="0" applyNumberFormat="1" applyFont="1" applyFill="1" applyBorder="1" applyAlignment="1">
      <alignment horizontal="right" vertical="center"/>
    </xf>
    <xf numFmtId="4" fontId="12" fillId="2" borderId="2" xfId="0" applyNumberFormat="1" applyFont="1" applyFill="1" applyBorder="1" applyAlignment="1">
      <alignment horizontal="right" vertic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10" fontId="0" fillId="0" borderId="8" xfId="0" applyNumberFormat="1" applyBorder="1"/>
    <xf numFmtId="0" fontId="0" fillId="0" borderId="8" xfId="0" applyBorder="1"/>
    <xf numFmtId="4" fontId="0" fillId="0" borderId="9" xfId="0" applyNumberFormat="1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3" borderId="1" xfId="0" applyFill="1" applyBorder="1" applyAlignment="1">
      <alignment wrapText="1"/>
    </xf>
    <xf numFmtId="0" fontId="0" fillId="0" borderId="14" xfId="0" applyBorder="1"/>
    <xf numFmtId="0" fontId="0" fillId="0" borderId="12" xfId="0" applyBorder="1"/>
    <xf numFmtId="3" fontId="1" fillId="0" borderId="15" xfId="0" applyNumberFormat="1" applyFont="1" applyBorder="1" applyAlignment="1">
      <alignment horizontal="center" vertical="center" wrapText="1"/>
    </xf>
    <xf numFmtId="3" fontId="0" fillId="0" borderId="3" xfId="2" applyNumberFormat="1" applyFont="1" applyBorder="1" applyAlignment="1">
      <alignment horizontal="center" vertical="center" wrapText="1"/>
    </xf>
    <xf numFmtId="3" fontId="0" fillId="0" borderId="17" xfId="2" applyNumberFormat="1" applyFont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14" xfId="2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4" fontId="0" fillId="2" borderId="2" xfId="0" applyNumberForma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4" fontId="1" fillId="2" borderId="2" xfId="0" applyNumberFormat="1" applyFont="1" applyFill="1" applyBorder="1" applyAlignment="1">
      <alignment horizontal="right" vertical="center"/>
    </xf>
    <xf numFmtId="4" fontId="1" fillId="2" borderId="5" xfId="0" applyNumberFormat="1" applyFont="1" applyFill="1" applyBorder="1" applyAlignment="1">
      <alignment horizontal="right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2" applyNumberFormat="1" applyFont="1" applyAlignment="1">
      <alignment vertical="center"/>
    </xf>
    <xf numFmtId="2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4" fontId="0" fillId="2" borderId="2" xfId="0" applyNumberForma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4" fontId="4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4" fontId="1" fillId="2" borderId="2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12" fillId="2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4" fontId="5" fillId="2" borderId="2" xfId="0" applyNumberFormat="1" applyFont="1" applyFill="1" applyBorder="1" applyAlignment="1">
      <alignment vertical="center"/>
    </xf>
    <xf numFmtId="1" fontId="0" fillId="0" borderId="11" xfId="2" applyNumberFormat="1" applyFont="1" applyBorder="1" applyAlignment="1">
      <alignment horizontal="center" vertical="center"/>
    </xf>
    <xf numFmtId="1" fontId="1" fillId="0" borderId="11" xfId="2" applyNumberFormat="1" applyFont="1" applyBorder="1" applyAlignment="1">
      <alignment horizontal="center" vertical="center"/>
    </xf>
    <xf numFmtId="2" fontId="0" fillId="0" borderId="13" xfId="2" applyNumberFormat="1" applyFont="1" applyBorder="1" applyAlignment="1">
      <alignment horizontal="center" vertical="center"/>
    </xf>
    <xf numFmtId="2" fontId="0" fillId="0" borderId="18" xfId="2" applyNumberFormat="1" applyFont="1" applyBorder="1" applyAlignment="1">
      <alignment horizontal="center" vertical="center"/>
    </xf>
    <xf numFmtId="2" fontId="1" fillId="0" borderId="18" xfId="2" applyNumberFormat="1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10" fontId="0" fillId="0" borderId="12" xfId="0" applyNumberFormat="1" applyBorder="1"/>
    <xf numFmtId="164" fontId="0" fillId="0" borderId="0" xfId="2" applyNumberFormat="1" applyFont="1"/>
    <xf numFmtId="164" fontId="0" fillId="0" borderId="0" xfId="0" applyNumberFormat="1"/>
    <xf numFmtId="43" fontId="6" fillId="0" borderId="2" xfId="2" applyFont="1" applyBorder="1" applyAlignment="1">
      <alignment horizontal="right" vertical="center"/>
    </xf>
    <xf numFmtId="43" fontId="0" fillId="0" borderId="0" xfId="2" applyFont="1"/>
    <xf numFmtId="10" fontId="3" fillId="5" borderId="1" xfId="3" applyNumberFormat="1" applyFill="1" applyBorder="1" applyAlignment="1">
      <alignment horizontal="center" vertical="center" wrapText="1"/>
    </xf>
    <xf numFmtId="10" fontId="1" fillId="6" borderId="1" xfId="3" applyNumberFormat="1" applyFont="1" applyFill="1" applyBorder="1" applyAlignment="1">
      <alignment horizontal="center" vertical="center" wrapText="1"/>
    </xf>
    <xf numFmtId="10" fontId="3" fillId="6" borderId="1" xfId="3" applyNumberFormat="1" applyFill="1" applyBorder="1" applyAlignment="1">
      <alignment horizontal="center" vertical="center" wrapText="1"/>
    </xf>
    <xf numFmtId="10" fontId="3" fillId="5" borderId="2" xfId="3" applyNumberFormat="1" applyFill="1" applyBorder="1" applyAlignment="1">
      <alignment horizontal="center" vertical="center" wrapText="1"/>
    </xf>
    <xf numFmtId="10" fontId="3" fillId="6" borderId="2" xfId="3" applyNumberFormat="1" applyFill="1" applyBorder="1" applyAlignment="1">
      <alignment horizontal="center" vertical="center" wrapText="1"/>
    </xf>
    <xf numFmtId="10" fontId="0" fillId="0" borderId="14" xfId="2" applyNumberFormat="1" applyFont="1" applyBorder="1" applyAlignment="1">
      <alignment horizontal="center" vertical="center" wrapText="1"/>
    </xf>
    <xf numFmtId="10" fontId="3" fillId="5" borderId="1" xfId="3" applyNumberFormat="1" applyFill="1" applyBorder="1" applyAlignment="1">
      <alignment horizontal="center"/>
    </xf>
    <xf numFmtId="10" fontId="3" fillId="6" borderId="1" xfId="3" applyNumberFormat="1" applyFill="1" applyBorder="1" applyAlignment="1">
      <alignment horizontal="center"/>
    </xf>
    <xf numFmtId="10" fontId="1" fillId="6" borderId="1" xfId="3" applyNumberFormat="1" applyFont="1" applyFill="1" applyBorder="1" applyAlignment="1">
      <alignment horizontal="center"/>
    </xf>
    <xf numFmtId="10" fontId="3" fillId="5" borderId="2" xfId="3" applyNumberFormat="1" applyFill="1" applyBorder="1" applyAlignment="1">
      <alignment horizontal="center"/>
    </xf>
    <xf numFmtId="10" fontId="3" fillId="6" borderId="2" xfId="3" applyNumberFormat="1" applyFill="1" applyBorder="1" applyAlignment="1">
      <alignment horizontal="center"/>
    </xf>
    <xf numFmtId="4" fontId="0" fillId="0" borderId="18" xfId="2" applyNumberFormat="1" applyFont="1" applyBorder="1" applyAlignment="1">
      <alignment horizontal="center" vertical="center"/>
    </xf>
    <xf numFmtId="4" fontId="1" fillId="0" borderId="18" xfId="2" applyNumberFormat="1" applyFont="1" applyBorder="1" applyAlignment="1">
      <alignment horizontal="center" vertical="center"/>
    </xf>
    <xf numFmtId="4" fontId="5" fillId="0" borderId="0" xfId="2" applyNumberFormat="1" applyFont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13" xfId="0" applyBorder="1" applyAlignment="1">
      <alignment horizontal="center" vertical="center" textRotation="90" wrapText="1"/>
    </xf>
    <xf numFmtId="0" fontId="0" fillId="0" borderId="16" xfId="0" applyBorder="1"/>
    <xf numFmtId="0" fontId="0" fillId="0" borderId="10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13" fillId="4" borderId="6" xfId="0" applyFont="1" applyFill="1" applyBorder="1" applyAlignment="1">
      <alignment horizontal="center" vertical="center"/>
    </xf>
  </cellXfs>
  <cellStyles count="4">
    <cellStyle name="Millares" xfId="2" builtinId="3"/>
    <cellStyle name="Normal" xfId="0" builtinId="0"/>
    <cellStyle name="Normal 2" xfId="1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opLeftCell="A22" workbookViewId="0">
      <selection activeCell="F29" sqref="F29"/>
    </sheetView>
  </sheetViews>
  <sheetFormatPr baseColWidth="10" defaultRowHeight="14.4" x14ac:dyDescent="0.3"/>
  <cols>
    <col min="1" max="1" width="29.5546875" style="36" bestFit="1" customWidth="1"/>
    <col min="2" max="2" width="11.21875" customWidth="1"/>
    <col min="3" max="3" width="12" bestFit="1" customWidth="1"/>
    <col min="4" max="5" width="12.88671875" bestFit="1" customWidth="1"/>
    <col min="6" max="9" width="13" bestFit="1" customWidth="1"/>
    <col min="10" max="10" width="12.88671875" bestFit="1" customWidth="1"/>
    <col min="11" max="11" width="13" bestFit="1" customWidth="1"/>
    <col min="12" max="12" width="11.6640625" bestFit="1" customWidth="1"/>
  </cols>
  <sheetData>
    <row r="1" spans="1:28" x14ac:dyDescent="0.3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9"/>
    </row>
    <row r="2" spans="1:28" x14ac:dyDescent="0.3">
      <c r="A2" s="35" t="s">
        <v>1</v>
      </c>
      <c r="B2" s="12">
        <v>0</v>
      </c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4">
        <v>10</v>
      </c>
    </row>
    <row r="3" spans="1:28" x14ac:dyDescent="0.3">
      <c r="A3" s="36" t="s">
        <v>2</v>
      </c>
      <c r="B3" s="37"/>
      <c r="C3" s="38">
        <v>261000</v>
      </c>
      <c r="D3" s="39">
        <f t="shared" ref="D3:L3" si="0">C3+3000</f>
        <v>264000</v>
      </c>
      <c r="E3" s="39">
        <f t="shared" si="0"/>
        <v>267000</v>
      </c>
      <c r="F3" s="39">
        <f t="shared" si="0"/>
        <v>270000</v>
      </c>
      <c r="G3" s="39">
        <f t="shared" si="0"/>
        <v>273000</v>
      </c>
      <c r="H3" s="39">
        <f t="shared" si="0"/>
        <v>276000</v>
      </c>
      <c r="I3" s="39">
        <f t="shared" si="0"/>
        <v>279000</v>
      </c>
      <c r="J3" s="39">
        <f t="shared" si="0"/>
        <v>282000</v>
      </c>
      <c r="K3" s="39">
        <f t="shared" si="0"/>
        <v>285000</v>
      </c>
      <c r="L3" s="39">
        <f t="shared" si="0"/>
        <v>288000</v>
      </c>
      <c r="R3">
        <v>0.47299999999999998</v>
      </c>
    </row>
    <row r="4" spans="1:28" x14ac:dyDescent="0.3">
      <c r="A4" s="36" t="s">
        <v>3</v>
      </c>
      <c r="B4" s="37"/>
      <c r="C4" s="40">
        <v>1.8</v>
      </c>
      <c r="D4" s="40">
        <f t="shared" ref="D4:L4" si="1">C4*1.025</f>
        <v>1.845</v>
      </c>
      <c r="E4" s="40">
        <f t="shared" si="1"/>
        <v>1.8911249999999997</v>
      </c>
      <c r="F4" s="40">
        <f t="shared" si="1"/>
        <v>1.9384031249999996</v>
      </c>
      <c r="G4" s="40">
        <f t="shared" si="1"/>
        <v>1.9868632031249993</v>
      </c>
      <c r="H4" s="40">
        <f t="shared" si="1"/>
        <v>2.0365347832031242</v>
      </c>
      <c r="I4" s="40">
        <f t="shared" si="1"/>
        <v>2.0874481527832023</v>
      </c>
      <c r="J4" s="40">
        <f t="shared" si="1"/>
        <v>2.139634356602782</v>
      </c>
      <c r="K4" s="40">
        <f t="shared" si="1"/>
        <v>2.1931252155178513</v>
      </c>
      <c r="L4" s="40">
        <f t="shared" si="1"/>
        <v>2.2479533459057972</v>
      </c>
    </row>
    <row r="5" spans="1:28" x14ac:dyDescent="0.3">
      <c r="A5" s="36" t="s">
        <v>4</v>
      </c>
      <c r="B5" s="37"/>
      <c r="C5" s="41">
        <f t="shared" ref="C5:L5" si="2">C4*C3</f>
        <v>469800</v>
      </c>
      <c r="D5" s="41">
        <f t="shared" si="2"/>
        <v>487080</v>
      </c>
      <c r="E5" s="41">
        <f t="shared" si="2"/>
        <v>504930.37499999994</v>
      </c>
      <c r="F5" s="41">
        <f t="shared" si="2"/>
        <v>523368.84374999988</v>
      </c>
      <c r="G5" s="41">
        <f t="shared" si="2"/>
        <v>542413.65445312485</v>
      </c>
      <c r="H5" s="41">
        <f t="shared" si="2"/>
        <v>562083.60016406223</v>
      </c>
      <c r="I5" s="41">
        <f t="shared" si="2"/>
        <v>582398.03462651349</v>
      </c>
      <c r="J5" s="41">
        <f t="shared" si="2"/>
        <v>603376.88856198452</v>
      </c>
      <c r="K5" s="41">
        <f t="shared" si="2"/>
        <v>625040.68642258761</v>
      </c>
      <c r="L5" s="41">
        <f t="shared" si="2"/>
        <v>647410.56362086965</v>
      </c>
    </row>
    <row r="6" spans="1:28" ht="14.4" customHeight="1" x14ac:dyDescent="0.3">
      <c r="A6" s="36" t="s">
        <v>5</v>
      </c>
      <c r="B6" s="37"/>
      <c r="C6" s="41">
        <f xml:space="preserve"> C16-208964.861292612</f>
        <v>-187184.96129261202</v>
      </c>
      <c r="D6" s="41">
        <f t="shared" ref="D6:L6" si="3">C6*D5/C5</f>
        <v>-194069.92538613337</v>
      </c>
      <c r="E6" s="41">
        <f t="shared" si="3"/>
        <v>-201182.1470835229</v>
      </c>
      <c r="F6" s="41">
        <f t="shared" si="3"/>
        <v>-208528.68616241557</v>
      </c>
      <c r="G6" s="41">
        <f t="shared" si="3"/>
        <v>-216116.81335332568</v>
      </c>
      <c r="H6" s="41">
        <f t="shared" si="3"/>
        <v>-223954.01647492975</v>
      </c>
      <c r="I6" s="41">
        <f t="shared" si="3"/>
        <v>-232048.00674426829</v>
      </c>
      <c r="J6" s="41">
        <f t="shared" si="3"/>
        <v>-240406.72526677683</v>
      </c>
      <c r="K6" s="41">
        <f t="shared" si="3"/>
        <v>-249038.34971119565</v>
      </c>
      <c r="L6" s="41">
        <f t="shared" si="3"/>
        <v>-257951.30117454368</v>
      </c>
      <c r="O6" t="s">
        <v>6</v>
      </c>
    </row>
    <row r="7" spans="1:28" ht="28.8" customHeight="1" x14ac:dyDescent="0.3">
      <c r="A7" s="42" t="s">
        <v>7</v>
      </c>
      <c r="B7" s="43"/>
      <c r="C7" s="44">
        <f>C5+C6</f>
        <v>282615.03870738798</v>
      </c>
      <c r="D7" s="44">
        <f t="shared" ref="D7:L7" si="4">D5+D6</f>
        <v>293010.07461386663</v>
      </c>
      <c r="E7" s="44">
        <f t="shared" si="4"/>
        <v>303748.22791647702</v>
      </c>
      <c r="F7" s="44">
        <f t="shared" si="4"/>
        <v>314840.15758758434</v>
      </c>
      <c r="G7" s="44">
        <f t="shared" si="4"/>
        <v>326296.84109979915</v>
      </c>
      <c r="H7" s="44">
        <f t="shared" si="4"/>
        <v>338129.58368913247</v>
      </c>
      <c r="I7" s="44">
        <f t="shared" si="4"/>
        <v>350350.02788224519</v>
      </c>
      <c r="J7" s="44">
        <f t="shared" si="4"/>
        <v>362970.16329520766</v>
      </c>
      <c r="K7" s="44">
        <f t="shared" si="4"/>
        <v>376002.33671139192</v>
      </c>
      <c r="L7" s="44">
        <f t="shared" si="4"/>
        <v>389459.26244632597</v>
      </c>
      <c r="O7">
        <v>2023</v>
      </c>
      <c r="P7">
        <v>2024</v>
      </c>
      <c r="Q7">
        <v>2025</v>
      </c>
      <c r="R7">
        <v>2026</v>
      </c>
      <c r="S7">
        <v>2027</v>
      </c>
      <c r="T7" s="1">
        <v>2028</v>
      </c>
      <c r="U7" s="1">
        <v>2029</v>
      </c>
      <c r="V7" s="1">
        <v>2030</v>
      </c>
      <c r="W7" s="1">
        <v>2031</v>
      </c>
      <c r="X7" s="1">
        <v>2032</v>
      </c>
    </row>
    <row r="8" spans="1:28" ht="28.8" customHeight="1" x14ac:dyDescent="0.3">
      <c r="A8" s="36" t="s">
        <v>8</v>
      </c>
      <c r="B8" s="37"/>
      <c r="C8" s="41">
        <f>-1*24852.9</f>
        <v>-24852.9</v>
      </c>
      <c r="D8" s="41">
        <f t="shared" ref="D8:L8" si="5">C8*1.025</f>
        <v>-25474.2225</v>
      </c>
      <c r="E8" s="41">
        <f t="shared" si="5"/>
        <v>-26111.078062499997</v>
      </c>
      <c r="F8" s="41">
        <f t="shared" si="5"/>
        <v>-26763.855014062494</v>
      </c>
      <c r="G8" s="41">
        <f t="shared" si="5"/>
        <v>-27432.951389414055</v>
      </c>
      <c r="H8" s="41">
        <f t="shared" si="5"/>
        <v>-28118.775174149403</v>
      </c>
      <c r="I8" s="41">
        <f t="shared" si="5"/>
        <v>-28821.744553503137</v>
      </c>
      <c r="J8" s="41">
        <f t="shared" si="5"/>
        <v>-29542.288167340714</v>
      </c>
      <c r="K8" s="41">
        <f t="shared" si="5"/>
        <v>-30280.845371524229</v>
      </c>
      <c r="L8" s="41">
        <f t="shared" si="5"/>
        <v>-31037.866505812333</v>
      </c>
      <c r="O8" s="69">
        <v>11255.88958333333</v>
      </c>
      <c r="P8" s="69">
        <v>11380.22333333333</v>
      </c>
      <c r="Q8" s="69">
        <v>11507.424166666669</v>
      </c>
      <c r="R8" s="69">
        <v>11641.24708333333</v>
      </c>
      <c r="S8" s="69">
        <v>11773.49916666667</v>
      </c>
      <c r="T8" s="69">
        <v>11903.87583333333</v>
      </c>
      <c r="U8" s="69">
        <v>12032.03041666667</v>
      </c>
      <c r="V8" s="69">
        <v>12157.71208333333</v>
      </c>
      <c r="W8" s="69">
        <v>12280.904583333329</v>
      </c>
      <c r="X8" s="69">
        <v>12401.657916666671</v>
      </c>
    </row>
    <row r="9" spans="1:28" x14ac:dyDescent="0.3">
      <c r="A9" s="36" t="s">
        <v>9</v>
      </c>
      <c r="B9" s="37"/>
      <c r="C9" s="41">
        <f>C8+C6</f>
        <v>-212037.86129261201</v>
      </c>
      <c r="D9" s="41">
        <f t="shared" ref="D9:L9" si="6">D8+D6</f>
        <v>-219544.14788613337</v>
      </c>
      <c r="E9" s="41">
        <f t="shared" si="6"/>
        <v>-227293.22514602289</v>
      </c>
      <c r="F9" s="41">
        <f t="shared" si="6"/>
        <v>-235292.54117647806</v>
      </c>
      <c r="G9" s="41">
        <f t="shared" si="6"/>
        <v>-243549.76474273973</v>
      </c>
      <c r="H9" s="41">
        <f t="shared" si="6"/>
        <v>-252072.79164907915</v>
      </c>
      <c r="I9" s="41">
        <f t="shared" si="6"/>
        <v>-260869.75129777144</v>
      </c>
      <c r="J9" s="41">
        <f t="shared" si="6"/>
        <v>-269949.01343411754</v>
      </c>
      <c r="K9" s="41">
        <f t="shared" si="6"/>
        <v>-279319.1950827199</v>
      </c>
      <c r="L9" s="41">
        <f t="shared" si="6"/>
        <v>-288989.16768035601</v>
      </c>
      <c r="T9" s="1"/>
      <c r="U9" s="1"/>
      <c r="V9" s="1"/>
      <c r="W9" s="1"/>
    </row>
    <row r="10" spans="1:28" ht="29.4" customHeight="1" x14ac:dyDescent="0.3">
      <c r="A10" s="42" t="s">
        <v>10</v>
      </c>
      <c r="B10" s="43"/>
      <c r="C10" s="44">
        <f>C5+C6+C8</f>
        <v>257762.13870738799</v>
      </c>
      <c r="D10" s="44">
        <f t="shared" ref="D10:L10" si="7">D5+D6+D8</f>
        <v>267535.85211386665</v>
      </c>
      <c r="E10" s="44">
        <f t="shared" si="7"/>
        <v>277637.14985397703</v>
      </c>
      <c r="F10" s="44">
        <f t="shared" si="7"/>
        <v>288076.30257352185</v>
      </c>
      <c r="G10" s="44">
        <f t="shared" si="7"/>
        <v>298863.88971038512</v>
      </c>
      <c r="H10" s="44">
        <f t="shared" si="7"/>
        <v>310010.80851498304</v>
      </c>
      <c r="I10" s="44">
        <f t="shared" si="7"/>
        <v>321528.28332874208</v>
      </c>
      <c r="J10" s="44">
        <f t="shared" si="7"/>
        <v>333427.87512786692</v>
      </c>
      <c r="K10" s="44">
        <f t="shared" si="7"/>
        <v>345721.4913398677</v>
      </c>
      <c r="L10" s="44">
        <f t="shared" si="7"/>
        <v>358421.39594051364</v>
      </c>
      <c r="N10" s="1"/>
      <c r="O10" s="69">
        <f t="shared" ref="O10:X10" si="8">(O8/$R$3)*11</f>
        <v>261764.8740310077</v>
      </c>
      <c r="P10" s="69">
        <f t="shared" si="8"/>
        <v>264656.35658914724</v>
      </c>
      <c r="Q10" s="69">
        <f t="shared" si="8"/>
        <v>267614.51550387603</v>
      </c>
      <c r="R10" s="69">
        <f t="shared" si="8"/>
        <v>270726.67635658907</v>
      </c>
      <c r="S10" s="69">
        <f t="shared" si="8"/>
        <v>273802.30620155047</v>
      </c>
      <c r="T10" s="69">
        <f t="shared" si="8"/>
        <v>276834.32170542626</v>
      </c>
      <c r="U10" s="69">
        <f t="shared" si="8"/>
        <v>279814.66085271328</v>
      </c>
      <c r="V10" s="69">
        <f t="shared" si="8"/>
        <v>282737.49031007744</v>
      </c>
      <c r="W10" s="69">
        <f t="shared" si="8"/>
        <v>285602.43217054254</v>
      </c>
      <c r="X10" s="69">
        <f t="shared" si="8"/>
        <v>288410.64922480629</v>
      </c>
    </row>
    <row r="11" spans="1:28" ht="33" customHeight="1" x14ac:dyDescent="0.3">
      <c r="A11" s="36" t="s">
        <v>11</v>
      </c>
      <c r="B11" s="37"/>
      <c r="C11" s="41">
        <f t="shared" ref="C11:L11" si="9">21779.9*-1</f>
        <v>-21779.9</v>
      </c>
      <c r="D11" s="41">
        <f t="shared" si="9"/>
        <v>-21779.9</v>
      </c>
      <c r="E11" s="41">
        <f t="shared" si="9"/>
        <v>-21779.9</v>
      </c>
      <c r="F11" s="41">
        <f t="shared" si="9"/>
        <v>-21779.9</v>
      </c>
      <c r="G11" s="41">
        <f t="shared" si="9"/>
        <v>-21779.9</v>
      </c>
      <c r="H11" s="41">
        <f t="shared" si="9"/>
        <v>-21779.9</v>
      </c>
      <c r="I11" s="41">
        <f t="shared" si="9"/>
        <v>-21779.9</v>
      </c>
      <c r="J11" s="41">
        <f t="shared" si="9"/>
        <v>-21779.9</v>
      </c>
      <c r="K11" s="41">
        <f t="shared" si="9"/>
        <v>-21779.9</v>
      </c>
      <c r="L11" s="41">
        <f t="shared" si="9"/>
        <v>-21779.9</v>
      </c>
      <c r="O11" s="70">
        <f t="shared" ref="O11:X11" si="10">ROUNDDOWN(O10,0)</f>
        <v>261764</v>
      </c>
      <c r="P11" s="70">
        <f t="shared" si="10"/>
        <v>264656</v>
      </c>
      <c r="Q11" s="70">
        <f t="shared" si="10"/>
        <v>267614</v>
      </c>
      <c r="R11" s="70">
        <f t="shared" si="10"/>
        <v>270726</v>
      </c>
      <c r="S11" s="70">
        <f t="shared" si="10"/>
        <v>273802</v>
      </c>
      <c r="T11" s="70">
        <f t="shared" si="10"/>
        <v>276834</v>
      </c>
      <c r="U11" s="70">
        <f t="shared" si="10"/>
        <v>279814</v>
      </c>
      <c r="V11" s="70">
        <f t="shared" si="10"/>
        <v>282737</v>
      </c>
      <c r="W11" s="70">
        <f t="shared" si="10"/>
        <v>285602</v>
      </c>
      <c r="X11" s="70">
        <f t="shared" si="10"/>
        <v>288410</v>
      </c>
      <c r="AB11">
        <v>9</v>
      </c>
    </row>
    <row r="12" spans="1:28" x14ac:dyDescent="0.3">
      <c r="A12" s="36" t="s">
        <v>12</v>
      </c>
      <c r="B12" s="37"/>
      <c r="C12" s="41">
        <f>C5*0.035*-1</f>
        <v>-16443</v>
      </c>
      <c r="D12" s="41">
        <f t="shared" ref="D12:L12" si="11">D5*0.035*-1</f>
        <v>-17047.800000000003</v>
      </c>
      <c r="E12" s="41">
        <f t="shared" si="11"/>
        <v>-17672.563125000001</v>
      </c>
      <c r="F12" s="41">
        <f t="shared" si="11"/>
        <v>-18317.909531249999</v>
      </c>
      <c r="G12" s="41">
        <f t="shared" si="11"/>
        <v>-18984.47790585937</v>
      </c>
      <c r="H12" s="41">
        <f t="shared" si="11"/>
        <v>-19672.926005742182</v>
      </c>
      <c r="I12" s="41">
        <f t="shared" si="11"/>
        <v>-20383.931211927975</v>
      </c>
      <c r="J12" s="41">
        <f t="shared" si="11"/>
        <v>-21118.191099669461</v>
      </c>
      <c r="K12" s="41">
        <f t="shared" si="11"/>
        <v>-21876.424024790569</v>
      </c>
      <c r="L12" s="41">
        <f t="shared" si="11"/>
        <v>-22659.369726730441</v>
      </c>
    </row>
    <row r="13" spans="1:28" x14ac:dyDescent="0.3">
      <c r="A13" s="36" t="s">
        <v>13</v>
      </c>
      <c r="B13" s="37"/>
      <c r="C13" s="30">
        <f>(C10+C11)*0.35*-1</f>
        <v>-82593.783547585786</v>
      </c>
      <c r="D13" s="30">
        <f t="shared" ref="D13:L13" si="12">(D10+D11)*0.35*-1</f>
        <v>-86014.583239853324</v>
      </c>
      <c r="E13" s="30">
        <f t="shared" si="12"/>
        <v>-89550.037448891962</v>
      </c>
      <c r="F13" s="30">
        <f t="shared" si="12"/>
        <v>-93203.740900732635</v>
      </c>
      <c r="G13" s="30">
        <f t="shared" si="12"/>
        <v>-96979.396398634781</v>
      </c>
      <c r="H13" s="30">
        <f t="shared" si="12"/>
        <v>-100880.81798024406</v>
      </c>
      <c r="I13" s="30">
        <f t="shared" si="12"/>
        <v>-104911.93416505972</v>
      </c>
      <c r="J13" s="30">
        <f t="shared" si="12"/>
        <v>-109076.79129475341</v>
      </c>
      <c r="K13" s="30">
        <f t="shared" si="12"/>
        <v>-113379.55696895368</v>
      </c>
      <c r="L13" s="30">
        <f t="shared" si="12"/>
        <v>-117824.52357917976</v>
      </c>
      <c r="N13" s="30"/>
      <c r="O13">
        <f t="shared" ref="O13:X13" si="13">FLOOR(O11,1000)</f>
        <v>261000</v>
      </c>
      <c r="P13">
        <f t="shared" si="13"/>
        <v>264000</v>
      </c>
      <c r="Q13">
        <f t="shared" si="13"/>
        <v>267000</v>
      </c>
      <c r="R13">
        <f t="shared" si="13"/>
        <v>270000</v>
      </c>
      <c r="S13">
        <f t="shared" si="13"/>
        <v>273000</v>
      </c>
      <c r="T13">
        <f t="shared" si="13"/>
        <v>276000</v>
      </c>
      <c r="U13">
        <f t="shared" si="13"/>
        <v>279000</v>
      </c>
      <c r="V13">
        <f t="shared" si="13"/>
        <v>282000</v>
      </c>
      <c r="W13">
        <f t="shared" si="13"/>
        <v>285000</v>
      </c>
      <c r="X13">
        <f t="shared" si="13"/>
        <v>288000</v>
      </c>
    </row>
    <row r="14" spans="1:28" x14ac:dyDescent="0.3">
      <c r="A14" s="36" t="s">
        <v>14</v>
      </c>
      <c r="B14" s="37"/>
      <c r="C14" s="30">
        <f>C5*0.04*-1</f>
        <v>-18792</v>
      </c>
      <c r="D14" s="30">
        <f t="shared" ref="D14:L14" si="14">D5*0.04*-1</f>
        <v>-19483.2</v>
      </c>
      <c r="E14" s="30">
        <f t="shared" si="14"/>
        <v>-20197.214999999997</v>
      </c>
      <c r="F14" s="30">
        <f t="shared" si="14"/>
        <v>-20934.753749999996</v>
      </c>
      <c r="G14" s="30">
        <f t="shared" si="14"/>
        <v>-21696.546178124994</v>
      </c>
      <c r="H14" s="30">
        <f t="shared" si="14"/>
        <v>-22483.344006562489</v>
      </c>
      <c r="I14" s="30">
        <f t="shared" si="14"/>
        <v>-23295.921385060541</v>
      </c>
      <c r="J14" s="30">
        <f t="shared" si="14"/>
        <v>-24135.075542479382</v>
      </c>
      <c r="K14" s="30">
        <f t="shared" si="14"/>
        <v>-25001.627456903505</v>
      </c>
      <c r="L14" s="30">
        <f t="shared" si="14"/>
        <v>-25896.422544834786</v>
      </c>
    </row>
    <row r="15" spans="1:28" ht="28.8" customHeight="1" x14ac:dyDescent="0.3">
      <c r="A15" s="42" t="s">
        <v>15</v>
      </c>
      <c r="B15" s="43"/>
      <c r="C15" s="31">
        <f>C10+C12+C13+C14+C11</f>
        <v>118153.45515980219</v>
      </c>
      <c r="D15" s="31">
        <f t="shared" ref="D15:L15" si="15">D10+D12+D13+D14+D11</f>
        <v>123210.36887401334</v>
      </c>
      <c r="E15" s="31">
        <f t="shared" si="15"/>
        <v>128437.43428008509</v>
      </c>
      <c r="F15" s="31">
        <f t="shared" si="15"/>
        <v>133839.99839153921</v>
      </c>
      <c r="G15" s="31">
        <f t="shared" si="15"/>
        <v>139423.56922776601</v>
      </c>
      <c r="H15" s="31">
        <f t="shared" si="15"/>
        <v>145193.82052243434</v>
      </c>
      <c r="I15" s="31">
        <f t="shared" si="15"/>
        <v>151156.59656669389</v>
      </c>
      <c r="J15" s="31">
        <f t="shared" si="15"/>
        <v>157317.91719096471</v>
      </c>
      <c r="K15" s="31">
        <f t="shared" si="15"/>
        <v>163683.98288921991</v>
      </c>
      <c r="L15" s="31">
        <f t="shared" si="15"/>
        <v>170261.18008976863</v>
      </c>
    </row>
    <row r="16" spans="1:28" x14ac:dyDescent="0.3">
      <c r="A16" s="36" t="s">
        <v>11</v>
      </c>
      <c r="B16" s="37"/>
      <c r="C16" s="30">
        <v>21779.9</v>
      </c>
      <c r="D16" s="30">
        <v>21779.9</v>
      </c>
      <c r="E16" s="30">
        <v>21779.9</v>
      </c>
      <c r="F16" s="30">
        <v>21779.9</v>
      </c>
      <c r="G16" s="30">
        <v>21779.9</v>
      </c>
      <c r="H16" s="30">
        <v>21779.9</v>
      </c>
      <c r="I16" s="30">
        <v>21779.9</v>
      </c>
      <c r="J16" s="30">
        <v>21779.9</v>
      </c>
      <c r="K16" s="30">
        <v>21779.9</v>
      </c>
      <c r="L16" s="30">
        <v>21779.9</v>
      </c>
    </row>
    <row r="17" spans="1:12" x14ac:dyDescent="0.3">
      <c r="A17" s="36" t="s">
        <v>16</v>
      </c>
      <c r="B17" s="45">
        <f>-1*399686.385</f>
        <v>-399686.38500000001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3">
      <c r="A18" s="36" t="s">
        <v>17</v>
      </c>
      <c r="B18" s="45">
        <f>-1*60341.27</f>
        <v>-60341.27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3">
      <c r="A19" s="42" t="s">
        <v>18</v>
      </c>
      <c r="B19" s="46">
        <f>B17+B18</f>
        <v>-460027.65500000003</v>
      </c>
      <c r="C19" s="31">
        <f t="shared" ref="C19:L19" si="16">C16+C15</f>
        <v>139933.35515980219</v>
      </c>
      <c r="D19" s="31">
        <f t="shared" si="16"/>
        <v>144990.26887401333</v>
      </c>
      <c r="E19" s="31">
        <f t="shared" si="16"/>
        <v>150217.33428008508</v>
      </c>
      <c r="F19" s="31">
        <f t="shared" si="16"/>
        <v>155619.8983915392</v>
      </c>
      <c r="G19" s="31">
        <f t="shared" si="16"/>
        <v>161203.46922776601</v>
      </c>
      <c r="H19" s="31">
        <f t="shared" si="16"/>
        <v>166973.72052243433</v>
      </c>
      <c r="I19" s="31">
        <f t="shared" si="16"/>
        <v>172936.49656669388</v>
      </c>
      <c r="J19" s="31">
        <f t="shared" si="16"/>
        <v>179097.81719096471</v>
      </c>
      <c r="K19" s="31">
        <f t="shared" si="16"/>
        <v>185463.88288921991</v>
      </c>
      <c r="L19" s="31">
        <f t="shared" si="16"/>
        <v>192041.08008976863</v>
      </c>
    </row>
    <row r="20" spans="1:12" ht="28.8" customHeight="1" x14ac:dyDescent="0.3">
      <c r="A20" s="47" t="s">
        <v>19</v>
      </c>
      <c r="B20" s="48">
        <f>B19</f>
        <v>-460027.65500000003</v>
      </c>
      <c r="C20" s="33">
        <f t="shared" ref="C20:L20" si="17">C19+B20</f>
        <v>-320094.29984019784</v>
      </c>
      <c r="D20" s="33">
        <f t="shared" si="17"/>
        <v>-175104.03096618451</v>
      </c>
      <c r="E20" s="33">
        <f t="shared" si="17"/>
        <v>-24886.696686099429</v>
      </c>
      <c r="F20" s="33">
        <f t="shared" si="17"/>
        <v>130733.20170543977</v>
      </c>
      <c r="G20" s="33">
        <f t="shared" si="17"/>
        <v>291936.67093320575</v>
      </c>
      <c r="H20" s="33">
        <f t="shared" si="17"/>
        <v>458910.39145564009</v>
      </c>
      <c r="I20" s="33">
        <f t="shared" si="17"/>
        <v>631846.88802233397</v>
      </c>
      <c r="J20" s="33">
        <f t="shared" si="17"/>
        <v>810944.70521329867</v>
      </c>
      <c r="K20" s="33">
        <f t="shared" si="17"/>
        <v>996408.58810251858</v>
      </c>
      <c r="L20" s="34">
        <f t="shared" si="17"/>
        <v>1188449.6681922872</v>
      </c>
    </row>
    <row r="21" spans="1:12" x14ac:dyDescent="0.3">
      <c r="C21">
        <f>(C20*100/$A$23)+$A$24</f>
        <v>0</v>
      </c>
      <c r="D21">
        <f>(D20*100/$A$23)+$A$24</f>
        <v>45.296110848083671</v>
      </c>
      <c r="E21">
        <f>(E20*100/$A$23)+$A$24</f>
        <v>92.225198418552367</v>
      </c>
      <c r="F21">
        <f>(F20*100/$A$23)+$A$24</f>
        <v>140.84208989997833</v>
      </c>
    </row>
    <row r="22" spans="1:12" x14ac:dyDescent="0.3">
      <c r="E22">
        <f>F21-E21</f>
        <v>48.616891481425967</v>
      </c>
      <c r="F22">
        <f>E22/12</f>
        <v>4.0514076234521639</v>
      </c>
    </row>
    <row r="23" spans="1:12" ht="15" customHeight="1" thickBot="1" x14ac:dyDescent="0.35">
      <c r="A23" s="36">
        <f>C20*-1</f>
        <v>320094.29984019784</v>
      </c>
    </row>
    <row r="24" spans="1:12" ht="15" customHeight="1" thickBot="1" x14ac:dyDescent="0.35">
      <c r="A24" s="36">
        <v>100</v>
      </c>
      <c r="C24" s="66" t="s">
        <v>20</v>
      </c>
      <c r="D24" s="67" t="s">
        <v>21</v>
      </c>
      <c r="E24" s="67">
        <f>(100-E21)/F22</f>
        <v>1.9190371110628466</v>
      </c>
      <c r="F24" s="22" t="s">
        <v>22</v>
      </c>
      <c r="G24" s="67">
        <f>(E24-7)*30</f>
        <v>-152.42888666811461</v>
      </c>
      <c r="H24" s="22" t="s">
        <v>23</v>
      </c>
      <c r="K24" s="3"/>
    </row>
    <row r="25" spans="1:12" ht="18.600000000000001" customHeight="1" thickBot="1" x14ac:dyDescent="0.35">
      <c r="K25" s="4"/>
    </row>
    <row r="26" spans="1:12" x14ac:dyDescent="0.3">
      <c r="A26" s="15" t="s">
        <v>24</v>
      </c>
      <c r="B26" s="16">
        <v>0.14499999999999999</v>
      </c>
      <c r="C26" s="17" t="s">
        <v>25</v>
      </c>
      <c r="D26" s="18">
        <f>NPV(B26,C20:L20)+B20</f>
        <v>659143.9649381137</v>
      </c>
    </row>
    <row r="27" spans="1:12" ht="15" customHeight="1" thickBot="1" x14ac:dyDescent="0.35">
      <c r="A27" s="19"/>
      <c r="B27" s="20"/>
      <c r="C27" s="20" t="s">
        <v>26</v>
      </c>
      <c r="D27" s="68">
        <f>IRR(B20:L20)</f>
        <v>0.24071419317585141</v>
      </c>
    </row>
    <row r="30" spans="1:12" ht="14.4" customHeight="1" x14ac:dyDescent="0.3">
      <c r="B30" s="2"/>
      <c r="C30" s="27"/>
      <c r="D30" s="93" t="s">
        <v>27</v>
      </c>
      <c r="E30" s="94"/>
      <c r="F30" s="94"/>
      <c r="G30" s="94"/>
      <c r="H30" s="94"/>
      <c r="I30" s="94"/>
      <c r="J30" s="94"/>
      <c r="K30" s="94"/>
      <c r="L30" s="21"/>
    </row>
    <row r="31" spans="1:12" ht="15" customHeight="1" thickBot="1" x14ac:dyDescent="0.35">
      <c r="B31" s="2"/>
      <c r="C31" s="2"/>
      <c r="D31" s="61">
        <f t="shared" ref="D31:F31" si="18">E31-5</f>
        <v>365</v>
      </c>
      <c r="E31" s="61">
        <f t="shared" si="18"/>
        <v>370</v>
      </c>
      <c r="F31" s="61">
        <f t="shared" si="18"/>
        <v>375</v>
      </c>
      <c r="G31" s="61">
        <f>H31-5</f>
        <v>380</v>
      </c>
      <c r="H31" s="62">
        <v>385</v>
      </c>
      <c r="I31" s="61">
        <f>H31+5</f>
        <v>390</v>
      </c>
      <c r="J31" s="61">
        <f>I31+5</f>
        <v>395</v>
      </c>
      <c r="K31" s="61">
        <f>J31+5</f>
        <v>400</v>
      </c>
      <c r="L31" s="23" t="s">
        <v>28</v>
      </c>
    </row>
    <row r="32" spans="1:12" ht="15" customHeight="1" thickBot="1" x14ac:dyDescent="0.35">
      <c r="B32" s="28" t="s">
        <v>29</v>
      </c>
      <c r="C32" s="29">
        <f>D27</f>
        <v>0.24071419317585141</v>
      </c>
      <c r="D32" s="63">
        <f>D31/214.14</f>
        <v>1.7044923881572804</v>
      </c>
      <c r="E32" s="64">
        <f>E31/214.14</f>
        <v>1.7278415989539555</v>
      </c>
      <c r="F32" s="64">
        <f>F31/214.14</f>
        <v>1.7511908097506306</v>
      </c>
      <c r="G32" s="64">
        <f>G31/214.14</f>
        <v>1.7745400205473056</v>
      </c>
      <c r="H32" s="65">
        <f>C4</f>
        <v>1.8</v>
      </c>
      <c r="I32" s="64">
        <f>I31/214.14</f>
        <v>1.8212384421406558</v>
      </c>
      <c r="J32" s="64">
        <f>J31/214.14</f>
        <v>1.8445876529373308</v>
      </c>
      <c r="K32" s="64">
        <f>K31/214.14</f>
        <v>1.8679368637340059</v>
      </c>
      <c r="L32" s="22" t="s">
        <v>30</v>
      </c>
    </row>
    <row r="33" spans="2:11" x14ac:dyDescent="0.3">
      <c r="B33" s="90" t="s">
        <v>31</v>
      </c>
      <c r="C33" s="24">
        <v>261000</v>
      </c>
      <c r="D33" s="79">
        <f t="dataTable" ref="D33:K42" dt2D="1" dtr="1" r1="C4" r2="C3"/>
        <v>0.19107820413873444</v>
      </c>
      <c r="E33" s="79">
        <v>0.20361083701808003</v>
      </c>
      <c r="F33" s="79">
        <v>0.2158716017452893</v>
      </c>
      <c r="G33" s="80">
        <v>0.22788175058894611</v>
      </c>
      <c r="H33" s="81">
        <v>0.22788175058894611</v>
      </c>
      <c r="I33" s="80">
        <v>0.25122404294420497</v>
      </c>
      <c r="J33" s="80">
        <v>0.26258843110029173</v>
      </c>
      <c r="K33" s="80">
        <v>0.27376718155581115</v>
      </c>
    </row>
    <row r="34" spans="2:11" x14ac:dyDescent="0.3">
      <c r="B34" s="91"/>
      <c r="C34" s="25">
        <v>264000</v>
      </c>
      <c r="D34" s="82">
        <v>0.201457241460131</v>
      </c>
      <c r="E34" s="82">
        <v>0.2139018174727132</v>
      </c>
      <c r="F34" s="82">
        <v>0.22608674117687011</v>
      </c>
      <c r="G34" s="83">
        <v>0.23803196581018127</v>
      </c>
      <c r="H34" s="83">
        <v>0.23803196581018127</v>
      </c>
      <c r="I34" s="83">
        <v>0.26127284637384407</v>
      </c>
      <c r="J34" s="83">
        <v>0.27259894389396666</v>
      </c>
      <c r="K34" s="83">
        <v>0.2837466692247943</v>
      </c>
    </row>
    <row r="35" spans="2:11" x14ac:dyDescent="0.3">
      <c r="B35" s="91"/>
      <c r="C35" s="25">
        <v>267000</v>
      </c>
      <c r="D35" s="82">
        <v>0.21164849669124508</v>
      </c>
      <c r="E35" s="82">
        <v>0.22401524946311691</v>
      </c>
      <c r="F35" s="82">
        <v>0.2361335937463529</v>
      </c>
      <c r="G35" s="83">
        <v>0.24802231349121895</v>
      </c>
      <c r="H35" s="83">
        <v>0.24802231349121895</v>
      </c>
      <c r="I35" s="83">
        <v>0.27117651002022791</v>
      </c>
      <c r="J35" s="83">
        <v>0.28247079335950498</v>
      </c>
      <c r="K35" s="83">
        <v>0.29359346956876453</v>
      </c>
    </row>
    <row r="36" spans="2:11" x14ac:dyDescent="0.3">
      <c r="B36" s="91"/>
      <c r="C36" s="25">
        <v>270000</v>
      </c>
      <c r="D36" s="82">
        <v>0.22166437945906381</v>
      </c>
      <c r="E36" s="82">
        <v>0.23396262653983113</v>
      </c>
      <c r="F36" s="82">
        <v>0.24602284622127568</v>
      </c>
      <c r="G36" s="83">
        <v>0.25786276594820712</v>
      </c>
      <c r="H36" s="83">
        <v>0.25786276594820712</v>
      </c>
      <c r="I36" s="83">
        <v>0.28094380155557319</v>
      </c>
      <c r="J36" s="83">
        <v>0.29221223629610282</v>
      </c>
      <c r="K36" s="83">
        <v>0.30331537857559243</v>
      </c>
    </row>
    <row r="37" spans="2:11" x14ac:dyDescent="0.3">
      <c r="B37" s="91"/>
      <c r="C37" s="25">
        <v>273000</v>
      </c>
      <c r="D37" s="82">
        <v>0.23151616276843501</v>
      </c>
      <c r="E37" s="82">
        <v>0.24375441470942771</v>
      </c>
      <c r="F37" s="83">
        <v>0.25576425160839422</v>
      </c>
      <c r="G37" s="83">
        <v>0.26756244289971343</v>
      </c>
      <c r="H37" s="83">
        <v>0.26756244289971343</v>
      </c>
      <c r="I37" s="83">
        <v>0.29058276860240562</v>
      </c>
      <c r="J37" s="83">
        <v>0.30183086391963676</v>
      </c>
      <c r="K37" s="83">
        <v>0.31291957482603427</v>
      </c>
    </row>
    <row r="38" spans="2:11" x14ac:dyDescent="0.3">
      <c r="B38" s="91"/>
      <c r="C38" s="25">
        <v>276000</v>
      </c>
      <c r="D38" s="82">
        <v>0.24121411786966673</v>
      </c>
      <c r="E38" s="82">
        <v>0.25340017146997007</v>
      </c>
      <c r="F38" s="83">
        <v>0.26536673488222129</v>
      </c>
      <c r="G38" s="83">
        <v>0.27712970592543384</v>
      </c>
      <c r="H38" s="83">
        <v>0.27712970592543384</v>
      </c>
      <c r="I38" s="83">
        <v>0.30010081532701194</v>
      </c>
      <c r="J38" s="83">
        <v>0.3113336713276238</v>
      </c>
      <c r="K38" s="83">
        <v>0.32241268276623836</v>
      </c>
    </row>
    <row r="39" spans="2:11" x14ac:dyDescent="0.3">
      <c r="B39" s="91"/>
      <c r="C39" s="25">
        <v>279000</v>
      </c>
      <c r="D39" s="82">
        <v>0.25076762964016708</v>
      </c>
      <c r="E39" s="82">
        <v>0.26290864804062597</v>
      </c>
      <c r="F39" s="83">
        <v>0.27483848411156875</v>
      </c>
      <c r="G39" s="83">
        <v>0.28657224015028171</v>
      </c>
      <c r="H39" s="83">
        <v>0.28657224015028171</v>
      </c>
      <c r="I39" s="83">
        <v>0.30950476907333879</v>
      </c>
      <c r="J39" s="83">
        <v>0.32072711809615773</v>
      </c>
      <c r="K39" s="83">
        <v>0.3318008280439475</v>
      </c>
    </row>
    <row r="40" spans="2:11" x14ac:dyDescent="0.3">
      <c r="B40" s="91"/>
      <c r="C40" s="25">
        <v>282000</v>
      </c>
      <c r="D40" s="82">
        <v>0.26018529576760074</v>
      </c>
      <c r="E40" s="82">
        <v>0.27228787755823891</v>
      </c>
      <c r="F40" s="83">
        <v>0.28418702934223772</v>
      </c>
      <c r="G40" s="83">
        <v>0.29589712517575073</v>
      </c>
      <c r="H40" s="83">
        <v>0.29589712517575073</v>
      </c>
      <c r="I40" s="83">
        <v>0.31880093855478564</v>
      </c>
      <c r="J40" s="83">
        <v>0.33001718133610836</v>
      </c>
      <c r="K40" s="83">
        <v>0.34108968607614254</v>
      </c>
    </row>
    <row r="41" spans="2:11" x14ac:dyDescent="0.3">
      <c r="B41" s="91"/>
      <c r="C41" s="25">
        <v>285000</v>
      </c>
      <c r="D41" s="82">
        <v>0.26947501239214544</v>
      </c>
      <c r="E41" s="82">
        <v>0.281545251493722</v>
      </c>
      <c r="F41" s="83">
        <v>0.2934193111613963</v>
      </c>
      <c r="G41" s="83">
        <v>0.30511089691626303</v>
      </c>
      <c r="H41" s="83">
        <v>0.30511089691626303</v>
      </c>
      <c r="I41" s="83">
        <v>0.32799516485807634</v>
      </c>
      <c r="J41" s="83">
        <v>0.3392094023095773</v>
      </c>
      <c r="K41" s="83">
        <v>0.35028452482003547</v>
      </c>
    </row>
    <row r="42" spans="2:11" ht="15" customHeight="1" thickBot="1" x14ac:dyDescent="0.35">
      <c r="B42" s="92"/>
      <c r="C42" s="26">
        <v>288000</v>
      </c>
      <c r="D42" s="82">
        <v>0.27864404837069023</v>
      </c>
      <c r="E42" s="83">
        <v>0.29068758613017098</v>
      </c>
      <c r="F42" s="83">
        <v>0.30254174052457272</v>
      </c>
      <c r="G42" s="83">
        <v>0.31421960170739371</v>
      </c>
      <c r="H42" s="83">
        <v>0.31421960170739371</v>
      </c>
      <c r="I42" s="83">
        <v>0.33709286630110147</v>
      </c>
      <c r="J42" s="83">
        <v>0.34830892752433895</v>
      </c>
      <c r="K42" s="83">
        <v>0.35939024256016938</v>
      </c>
    </row>
  </sheetData>
  <mergeCells count="3">
    <mergeCell ref="A1:L1"/>
    <mergeCell ref="B33:B42"/>
    <mergeCell ref="D30:K30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A19" workbookViewId="0">
      <selection activeCell="A28" sqref="A28"/>
    </sheetView>
  </sheetViews>
  <sheetFormatPr baseColWidth="10" defaultRowHeight="14.4" x14ac:dyDescent="0.3"/>
  <cols>
    <col min="1" max="1" width="19.5546875" style="36" customWidth="1"/>
    <col min="2" max="2" width="13.88671875" bestFit="1" customWidth="1"/>
    <col min="3" max="3" width="12.88671875" bestFit="1" customWidth="1"/>
    <col min="4" max="4" width="12.21875" bestFit="1" customWidth="1"/>
    <col min="5" max="12" width="12.88671875" bestFit="1" customWidth="1"/>
  </cols>
  <sheetData>
    <row r="1" spans="1:23" x14ac:dyDescent="0.3">
      <c r="A1" s="95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9"/>
    </row>
    <row r="2" spans="1:23" x14ac:dyDescent="0.3">
      <c r="A2" s="52" t="s">
        <v>1</v>
      </c>
      <c r="B2" s="53">
        <v>0</v>
      </c>
      <c r="C2" s="54">
        <v>1</v>
      </c>
      <c r="D2" s="54">
        <v>2</v>
      </c>
      <c r="E2" s="54">
        <v>3</v>
      </c>
      <c r="F2" s="54">
        <v>4</v>
      </c>
      <c r="G2" s="54">
        <v>5</v>
      </c>
      <c r="H2" s="54">
        <v>6</v>
      </c>
      <c r="I2" s="54">
        <v>7</v>
      </c>
      <c r="J2" s="54">
        <v>8</v>
      </c>
      <c r="K2" s="54">
        <v>9</v>
      </c>
      <c r="L2" s="55">
        <v>10</v>
      </c>
      <c r="O2" t="s">
        <v>6</v>
      </c>
    </row>
    <row r="3" spans="1:23" x14ac:dyDescent="0.3">
      <c r="A3" s="49" t="s">
        <v>2</v>
      </c>
      <c r="B3" s="56"/>
      <c r="C3" s="86">
        <v>261000</v>
      </c>
      <c r="D3" s="86">
        <f>C3+3000</f>
        <v>264000</v>
      </c>
      <c r="E3" s="86">
        <f t="shared" ref="E3:L3" si="0">D3+3000</f>
        <v>267000</v>
      </c>
      <c r="F3" s="86">
        <f t="shared" si="0"/>
        <v>270000</v>
      </c>
      <c r="G3" s="86">
        <f t="shared" si="0"/>
        <v>273000</v>
      </c>
      <c r="H3" s="86">
        <f t="shared" si="0"/>
        <v>276000</v>
      </c>
      <c r="I3" s="86">
        <f t="shared" si="0"/>
        <v>279000</v>
      </c>
      <c r="J3" s="86">
        <f t="shared" si="0"/>
        <v>282000</v>
      </c>
      <c r="K3" s="86">
        <f t="shared" si="0"/>
        <v>285000</v>
      </c>
      <c r="L3" s="86">
        <f t="shared" si="0"/>
        <v>288000</v>
      </c>
      <c r="O3">
        <v>11255.88958333333</v>
      </c>
      <c r="P3">
        <v>11380.22333333333</v>
      </c>
      <c r="Q3">
        <v>11507.424166666669</v>
      </c>
      <c r="R3">
        <v>11641.24708333333</v>
      </c>
      <c r="S3">
        <v>11773.49916666667</v>
      </c>
    </row>
    <row r="4" spans="1:23" x14ac:dyDescent="0.3">
      <c r="A4" s="49" t="s">
        <v>3</v>
      </c>
      <c r="B4" s="56"/>
      <c r="C4" s="57">
        <v>1.8</v>
      </c>
      <c r="D4" s="57">
        <f t="shared" ref="D4:L4" si="1">C4*1.025</f>
        <v>1.845</v>
      </c>
      <c r="E4" s="57">
        <f t="shared" si="1"/>
        <v>1.8911249999999997</v>
      </c>
      <c r="F4" s="57">
        <f t="shared" si="1"/>
        <v>1.9384031249999996</v>
      </c>
      <c r="G4" s="57">
        <f t="shared" si="1"/>
        <v>1.9868632031249993</v>
      </c>
      <c r="H4" s="57">
        <f t="shared" si="1"/>
        <v>2.0365347832031242</v>
      </c>
      <c r="I4" s="57">
        <f t="shared" si="1"/>
        <v>2.0874481527832023</v>
      </c>
      <c r="J4" s="57">
        <f t="shared" si="1"/>
        <v>2.139634356602782</v>
      </c>
      <c r="K4" s="57">
        <f t="shared" si="1"/>
        <v>2.1931252155178513</v>
      </c>
      <c r="L4" s="57">
        <f t="shared" si="1"/>
        <v>2.2479533459057972</v>
      </c>
      <c r="O4">
        <v>2028</v>
      </c>
      <c r="P4">
        <v>2029</v>
      </c>
      <c r="Q4">
        <v>2030</v>
      </c>
      <c r="R4">
        <v>2031</v>
      </c>
      <c r="S4">
        <v>2032</v>
      </c>
    </row>
    <row r="5" spans="1:23" x14ac:dyDescent="0.3">
      <c r="A5" s="49" t="s">
        <v>4</v>
      </c>
      <c r="B5" s="56"/>
      <c r="C5" s="57">
        <f t="shared" ref="C5:L5" si="2">C4*C3</f>
        <v>469800</v>
      </c>
      <c r="D5" s="57">
        <f t="shared" si="2"/>
        <v>487080</v>
      </c>
      <c r="E5" s="57">
        <f t="shared" si="2"/>
        <v>504930.37499999994</v>
      </c>
      <c r="F5" s="57">
        <f t="shared" si="2"/>
        <v>523368.84374999988</v>
      </c>
      <c r="G5" s="57">
        <f t="shared" si="2"/>
        <v>542413.65445312485</v>
      </c>
      <c r="H5" s="57">
        <f t="shared" si="2"/>
        <v>562083.60016406223</v>
      </c>
      <c r="I5" s="57">
        <f t="shared" si="2"/>
        <v>582398.03462651349</v>
      </c>
      <c r="J5" s="57">
        <f t="shared" si="2"/>
        <v>603376.88856198452</v>
      </c>
      <c r="K5" s="57">
        <f t="shared" si="2"/>
        <v>625040.68642258761</v>
      </c>
      <c r="L5" s="57">
        <f t="shared" si="2"/>
        <v>647410.56362086965</v>
      </c>
      <c r="O5">
        <v>11903.87583333333</v>
      </c>
      <c r="P5">
        <v>12032.03041666667</v>
      </c>
      <c r="Q5">
        <v>12157.71208333333</v>
      </c>
      <c r="R5">
        <v>12280.904583333329</v>
      </c>
      <c r="S5">
        <v>12401.657916666671</v>
      </c>
    </row>
    <row r="6" spans="1:23" x14ac:dyDescent="0.3">
      <c r="A6" s="49" t="s">
        <v>5</v>
      </c>
      <c r="B6" s="56"/>
      <c r="C6" s="57">
        <f>C16-208964.861292612</f>
        <v>-187184.96129261202</v>
      </c>
      <c r="D6" s="57">
        <f t="shared" ref="D6" si="3">C6*D5/C5</f>
        <v>-194069.92538613337</v>
      </c>
      <c r="E6" s="57">
        <f t="shared" ref="E6" si="4">D6*E5/D5</f>
        <v>-201182.1470835229</v>
      </c>
      <c r="F6" s="57">
        <f t="shared" ref="F6" si="5">E6*F5/E5</f>
        <v>-208528.68616241557</v>
      </c>
      <c r="G6" s="57">
        <f t="shared" ref="G6" si="6">F6*G5/F5</f>
        <v>-216116.81335332568</v>
      </c>
      <c r="H6" s="57">
        <f t="shared" ref="H6" si="7">G6*H5/G5</f>
        <v>-223954.01647492975</v>
      </c>
      <c r="I6" s="57">
        <f t="shared" ref="I6" si="8">H6*I5/H5</f>
        <v>-232048.00674426829</v>
      </c>
      <c r="J6" s="57">
        <f t="shared" ref="J6" si="9">I6*J5/I5</f>
        <v>-240406.72526677683</v>
      </c>
      <c r="K6" s="57">
        <f t="shared" ref="K6" si="10">J6*K5/J5</f>
        <v>-249038.34971119565</v>
      </c>
      <c r="L6" s="57">
        <f t="shared" ref="L6" si="11">K6*L5/K5</f>
        <v>-257951.30117454368</v>
      </c>
      <c r="M6" s="57"/>
      <c r="O6">
        <v>12519.81583333333</v>
      </c>
    </row>
    <row r="7" spans="1:23" ht="28.8" customHeight="1" x14ac:dyDescent="0.3">
      <c r="A7" s="58" t="s">
        <v>7</v>
      </c>
      <c r="B7" s="59"/>
      <c r="C7" s="60">
        <f>C5+C6</f>
        <v>282615.03870738798</v>
      </c>
      <c r="D7" s="60">
        <f t="shared" ref="D7:L7" si="12">D5+D6</f>
        <v>293010.07461386663</v>
      </c>
      <c r="E7" s="60">
        <f t="shared" si="12"/>
        <v>303748.22791647702</v>
      </c>
      <c r="F7" s="60">
        <f t="shared" si="12"/>
        <v>314840.15758758434</v>
      </c>
      <c r="G7" s="60">
        <f t="shared" si="12"/>
        <v>326296.84109979915</v>
      </c>
      <c r="H7" s="60">
        <f t="shared" si="12"/>
        <v>338129.58368913247</v>
      </c>
      <c r="I7" s="60">
        <f t="shared" si="12"/>
        <v>350350.02788224519</v>
      </c>
      <c r="J7" s="60">
        <f t="shared" si="12"/>
        <v>362970.16329520766</v>
      </c>
      <c r="K7" s="60">
        <f t="shared" si="12"/>
        <v>376002.33671139192</v>
      </c>
      <c r="L7" s="60">
        <f t="shared" si="12"/>
        <v>389459.26244632597</v>
      </c>
    </row>
    <row r="8" spans="1:23" ht="28.8" customHeight="1" x14ac:dyDescent="0.3">
      <c r="A8" s="49" t="s">
        <v>8</v>
      </c>
      <c r="B8" s="56"/>
      <c r="C8" s="57">
        <f>-1*24852.9</f>
        <v>-24852.9</v>
      </c>
      <c r="D8" s="57">
        <f t="shared" ref="D8" si="13">C8*1.025</f>
        <v>-25474.2225</v>
      </c>
      <c r="E8" s="57">
        <f t="shared" ref="E8" si="14">D8*1.025</f>
        <v>-26111.078062499997</v>
      </c>
      <c r="F8" s="57">
        <f t="shared" ref="F8" si="15">E8*1.025</f>
        <v>-26763.855014062494</v>
      </c>
      <c r="G8" s="57">
        <f t="shared" ref="G8" si="16">F8*1.025</f>
        <v>-27432.951389414055</v>
      </c>
      <c r="H8" s="57">
        <f t="shared" ref="H8" si="17">G8*1.025</f>
        <v>-28118.775174149403</v>
      </c>
      <c r="I8" s="57">
        <f t="shared" ref="I8" si="18">H8*1.025</f>
        <v>-28821.744553503137</v>
      </c>
      <c r="J8" s="57">
        <f t="shared" ref="J8" si="19">I8*1.025</f>
        <v>-29542.288167340714</v>
      </c>
      <c r="K8" s="57">
        <f t="shared" ref="K8" si="20">J8*1.025</f>
        <v>-30280.845371524229</v>
      </c>
      <c r="L8" s="57">
        <f t="shared" ref="L8" si="21">K8*1.025</f>
        <v>-31037.866505812333</v>
      </c>
    </row>
    <row r="9" spans="1:23" x14ac:dyDescent="0.3">
      <c r="A9" s="49" t="s">
        <v>9</v>
      </c>
      <c r="B9" s="56"/>
      <c r="C9" s="57">
        <f t="shared" ref="C9:L9" si="22">C8+C6</f>
        <v>-212037.86129261201</v>
      </c>
      <c r="D9" s="57">
        <f t="shared" si="22"/>
        <v>-219544.14788613337</v>
      </c>
      <c r="E9" s="57">
        <f t="shared" si="22"/>
        <v>-227293.22514602289</v>
      </c>
      <c r="F9" s="57">
        <f t="shared" si="22"/>
        <v>-235292.54117647806</v>
      </c>
      <c r="G9" s="57">
        <f t="shared" si="22"/>
        <v>-243549.76474273973</v>
      </c>
      <c r="H9" s="57">
        <f t="shared" si="22"/>
        <v>-252072.79164907915</v>
      </c>
      <c r="I9" s="57">
        <f t="shared" si="22"/>
        <v>-260869.75129777144</v>
      </c>
      <c r="J9" s="57">
        <f t="shared" si="22"/>
        <v>-269949.01343411754</v>
      </c>
      <c r="K9" s="57">
        <f t="shared" si="22"/>
        <v>-279319.1950827199</v>
      </c>
      <c r="L9" s="57">
        <f>L8+L6</f>
        <v>-288989.16768035601</v>
      </c>
      <c r="N9">
        <v>11256</v>
      </c>
      <c r="O9" s="1">
        <v>11380.22333333333</v>
      </c>
      <c r="P9" s="1">
        <v>11507.424166666669</v>
      </c>
      <c r="Q9" s="1">
        <v>11641.24708333333</v>
      </c>
      <c r="R9" s="1">
        <v>11773.49916666667</v>
      </c>
      <c r="S9" s="1">
        <v>11903.87583333333</v>
      </c>
      <c r="T9" s="1">
        <v>12032.03041666667</v>
      </c>
      <c r="U9" s="1">
        <v>12157.71208333333</v>
      </c>
      <c r="V9" s="1">
        <v>12280.904583333329</v>
      </c>
      <c r="W9" s="1">
        <v>12401.657916666671</v>
      </c>
    </row>
    <row r="10" spans="1:23" ht="29.4" customHeight="1" x14ac:dyDescent="0.3">
      <c r="A10" s="58" t="s">
        <v>10</v>
      </c>
      <c r="B10" s="59"/>
      <c r="C10" s="60">
        <f>C5+C9</f>
        <v>257762.13870738799</v>
      </c>
      <c r="D10" s="60">
        <f t="shared" ref="D10:L10" si="23">D5+D9</f>
        <v>267535.8521138666</v>
      </c>
      <c r="E10" s="60">
        <f t="shared" si="23"/>
        <v>277637.14985397703</v>
      </c>
      <c r="F10" s="60">
        <f t="shared" si="23"/>
        <v>288076.30257352185</v>
      </c>
      <c r="G10" s="60">
        <f t="shared" si="23"/>
        <v>298863.88971038512</v>
      </c>
      <c r="H10" s="60">
        <f t="shared" si="23"/>
        <v>310010.80851498304</v>
      </c>
      <c r="I10" s="60">
        <f t="shared" si="23"/>
        <v>321528.28332874202</v>
      </c>
      <c r="J10" s="60">
        <f t="shared" si="23"/>
        <v>333427.87512786698</v>
      </c>
      <c r="K10" s="60">
        <f t="shared" si="23"/>
        <v>345721.4913398677</v>
      </c>
      <c r="L10" s="60">
        <f t="shared" si="23"/>
        <v>358421.39594051364</v>
      </c>
      <c r="N10" s="1">
        <v>260000</v>
      </c>
      <c r="O10">
        <f t="shared" ref="O10:W10" si="24">ROUNDDOWN(FLOOR(N10*O9/N9,10),0)</f>
        <v>262860</v>
      </c>
      <c r="P10">
        <f t="shared" si="24"/>
        <v>265790</v>
      </c>
      <c r="Q10">
        <f t="shared" si="24"/>
        <v>268880</v>
      </c>
      <c r="R10">
        <f t="shared" si="24"/>
        <v>271930</v>
      </c>
      <c r="S10">
        <f t="shared" si="24"/>
        <v>274940</v>
      </c>
      <c r="T10">
        <f t="shared" si="24"/>
        <v>277890</v>
      </c>
      <c r="U10">
        <f t="shared" si="24"/>
        <v>280790</v>
      </c>
      <c r="V10">
        <f t="shared" si="24"/>
        <v>283630</v>
      </c>
      <c r="W10">
        <f t="shared" si="24"/>
        <v>286410</v>
      </c>
    </row>
    <row r="11" spans="1:23" ht="33" customHeight="1" x14ac:dyDescent="0.3">
      <c r="A11" s="49" t="s">
        <v>11</v>
      </c>
      <c r="B11" s="56"/>
      <c r="C11" s="57">
        <f t="shared" ref="C11:L11" si="25">21779.9*-1</f>
        <v>-21779.9</v>
      </c>
      <c r="D11" s="57">
        <f t="shared" si="25"/>
        <v>-21779.9</v>
      </c>
      <c r="E11" s="57">
        <f t="shared" si="25"/>
        <v>-21779.9</v>
      </c>
      <c r="F11" s="57">
        <f t="shared" si="25"/>
        <v>-21779.9</v>
      </c>
      <c r="G11" s="57">
        <f t="shared" si="25"/>
        <v>-21779.9</v>
      </c>
      <c r="H11" s="57">
        <f t="shared" si="25"/>
        <v>-21779.9</v>
      </c>
      <c r="I11" s="57">
        <f t="shared" si="25"/>
        <v>-21779.9</v>
      </c>
      <c r="J11" s="57">
        <f t="shared" si="25"/>
        <v>-21779.9</v>
      </c>
      <c r="K11" s="57">
        <f t="shared" si="25"/>
        <v>-21779.9</v>
      </c>
      <c r="L11" s="57">
        <f t="shared" si="25"/>
        <v>-21779.9</v>
      </c>
      <c r="O11">
        <f t="shared" ref="O11:W11" si="26">O10/N10</f>
        <v>1.0109999999999999</v>
      </c>
      <c r="P11">
        <f t="shared" si="26"/>
        <v>1.0111466179715438</v>
      </c>
      <c r="Q11">
        <f t="shared" si="26"/>
        <v>1.0116257195530305</v>
      </c>
      <c r="R11">
        <f t="shared" si="26"/>
        <v>1.0113433501933948</v>
      </c>
      <c r="S11">
        <f t="shared" si="26"/>
        <v>1.011069025116758</v>
      </c>
      <c r="T11">
        <f t="shared" si="26"/>
        <v>1.0107296137339057</v>
      </c>
      <c r="U11">
        <f t="shared" si="26"/>
        <v>1.0104357839432869</v>
      </c>
      <c r="V11">
        <f t="shared" si="26"/>
        <v>1.0101143203105523</v>
      </c>
      <c r="W11">
        <f t="shared" si="26"/>
        <v>1.0098015019567748</v>
      </c>
    </row>
    <row r="12" spans="1:23" x14ac:dyDescent="0.3">
      <c r="A12" s="49" t="s">
        <v>12</v>
      </c>
      <c r="B12" s="56"/>
      <c r="C12" s="57">
        <f>C5*0.035*-1</f>
        <v>-16443</v>
      </c>
      <c r="D12" s="57">
        <f t="shared" ref="D12:L12" si="27">D5*0.035*-1</f>
        <v>-17047.800000000003</v>
      </c>
      <c r="E12" s="57">
        <f t="shared" si="27"/>
        <v>-17672.563125000001</v>
      </c>
      <c r="F12" s="57">
        <f t="shared" si="27"/>
        <v>-18317.909531249999</v>
      </c>
      <c r="G12" s="57">
        <f t="shared" si="27"/>
        <v>-18984.47790585937</v>
      </c>
      <c r="H12" s="57">
        <f t="shared" si="27"/>
        <v>-19672.926005742182</v>
      </c>
      <c r="I12" s="57">
        <f t="shared" si="27"/>
        <v>-20383.931211927975</v>
      </c>
      <c r="J12" s="57">
        <f t="shared" si="27"/>
        <v>-21118.191099669461</v>
      </c>
      <c r="K12" s="57">
        <f t="shared" si="27"/>
        <v>-21876.424024790569</v>
      </c>
      <c r="L12" s="57">
        <f t="shared" si="27"/>
        <v>-22659.369726730441</v>
      </c>
    </row>
    <row r="13" spans="1:23" x14ac:dyDescent="0.3">
      <c r="A13" s="49" t="s">
        <v>13</v>
      </c>
      <c r="B13" s="56"/>
      <c r="C13" s="57">
        <f>(C10+C11)*0.35*-1</f>
        <v>-82593.783547585786</v>
      </c>
      <c r="D13" s="57">
        <f t="shared" ref="D13:L13" si="28">(D10+D11)*0.35*-1</f>
        <v>-86014.583239853309</v>
      </c>
      <c r="E13" s="57">
        <f t="shared" si="28"/>
        <v>-89550.037448891962</v>
      </c>
      <c r="F13" s="57">
        <f t="shared" si="28"/>
        <v>-93203.740900732635</v>
      </c>
      <c r="G13" s="57">
        <f t="shared" si="28"/>
        <v>-96979.396398634781</v>
      </c>
      <c r="H13" s="57">
        <f t="shared" si="28"/>
        <v>-100880.81798024406</v>
      </c>
      <c r="I13" s="57">
        <f t="shared" si="28"/>
        <v>-104911.93416505969</v>
      </c>
      <c r="J13" s="57">
        <f t="shared" si="28"/>
        <v>-109076.79129475344</v>
      </c>
      <c r="K13" s="57">
        <f t="shared" si="28"/>
        <v>-113379.55696895368</v>
      </c>
      <c r="L13" s="57">
        <f t="shared" si="28"/>
        <v>-117824.52357917976</v>
      </c>
      <c r="N13" s="30">
        <f>N10*O11</f>
        <v>262860</v>
      </c>
      <c r="W13">
        <f>L3*0.473</f>
        <v>136224</v>
      </c>
    </row>
    <row r="14" spans="1:23" x14ac:dyDescent="0.3">
      <c r="A14" s="49" t="s">
        <v>14</v>
      </c>
      <c r="B14" s="56"/>
      <c r="C14" s="57">
        <f>C5*0.04*-1</f>
        <v>-18792</v>
      </c>
      <c r="D14" s="57">
        <f t="shared" ref="D14:L14" si="29">D5*0.04*-1</f>
        <v>-19483.2</v>
      </c>
      <c r="E14" s="57">
        <f t="shared" si="29"/>
        <v>-20197.214999999997</v>
      </c>
      <c r="F14" s="57">
        <f t="shared" si="29"/>
        <v>-20934.753749999996</v>
      </c>
      <c r="G14" s="57">
        <f t="shared" si="29"/>
        <v>-21696.546178124994</v>
      </c>
      <c r="H14" s="57">
        <f t="shared" si="29"/>
        <v>-22483.344006562489</v>
      </c>
      <c r="I14" s="57">
        <f t="shared" si="29"/>
        <v>-23295.921385060541</v>
      </c>
      <c r="J14" s="57">
        <f t="shared" si="29"/>
        <v>-24135.075542479382</v>
      </c>
      <c r="K14" s="57">
        <f t="shared" si="29"/>
        <v>-25001.627456903505</v>
      </c>
      <c r="L14" s="57">
        <f t="shared" si="29"/>
        <v>-25896.422544834786</v>
      </c>
    </row>
    <row r="15" spans="1:23" ht="28.8" customHeight="1" x14ac:dyDescent="0.3">
      <c r="A15" s="58" t="s">
        <v>15</v>
      </c>
      <c r="B15" s="59"/>
      <c r="C15" s="60">
        <f>C10+C12+C13+C14+C11</f>
        <v>118153.45515980219</v>
      </c>
      <c r="D15" s="60">
        <f t="shared" ref="D15:L15" si="30">D10+D12+D13+D14+D11</f>
        <v>123210.36887401328</v>
      </c>
      <c r="E15" s="60">
        <f t="shared" si="30"/>
        <v>128437.43428008509</v>
      </c>
      <c r="F15" s="60">
        <f t="shared" si="30"/>
        <v>133839.99839153921</v>
      </c>
      <c r="G15" s="60">
        <f t="shared" si="30"/>
        <v>139423.56922776601</v>
      </c>
      <c r="H15" s="60">
        <f t="shared" si="30"/>
        <v>145193.82052243434</v>
      </c>
      <c r="I15" s="60">
        <f t="shared" si="30"/>
        <v>151156.59656669383</v>
      </c>
      <c r="J15" s="60">
        <f t="shared" si="30"/>
        <v>157317.91719096474</v>
      </c>
      <c r="K15" s="60">
        <f t="shared" si="30"/>
        <v>163683.98288921991</v>
      </c>
      <c r="L15" s="60">
        <f t="shared" si="30"/>
        <v>170261.18008976863</v>
      </c>
    </row>
    <row r="16" spans="1:23" x14ac:dyDescent="0.3">
      <c r="A16" s="49" t="s">
        <v>11</v>
      </c>
      <c r="B16" s="50"/>
      <c r="C16" s="5">
        <v>21779.9</v>
      </c>
      <c r="D16" s="5">
        <v>21779.9</v>
      </c>
      <c r="E16" s="5">
        <v>21779.9</v>
      </c>
      <c r="F16" s="5">
        <v>21779.9</v>
      </c>
      <c r="G16" s="5">
        <v>21779.9</v>
      </c>
      <c r="H16" s="5">
        <v>21779.9</v>
      </c>
      <c r="I16" s="5">
        <v>21779.9</v>
      </c>
      <c r="J16" s="5">
        <v>21779.9</v>
      </c>
      <c r="K16" s="5">
        <v>21779.9</v>
      </c>
      <c r="L16" s="5">
        <v>21779.9</v>
      </c>
    </row>
    <row r="17" spans="1:23" x14ac:dyDescent="0.3">
      <c r="A17" s="49" t="s">
        <v>16</v>
      </c>
      <c r="B17" s="7">
        <f>-1*399686.385</f>
        <v>-399686.38500000001</v>
      </c>
      <c r="C17" s="8"/>
      <c r="D17" s="8"/>
      <c r="E17" s="8"/>
      <c r="F17" s="8"/>
      <c r="G17" s="8"/>
      <c r="H17" s="8"/>
      <c r="I17" s="8"/>
      <c r="J17" s="8"/>
      <c r="K17" s="8"/>
      <c r="L17" s="8"/>
      <c r="O17">
        <f>D5/C5</f>
        <v>1.0367816091954023</v>
      </c>
      <c r="P17">
        <f t="shared" ref="P17:V17" si="31">E5/D5</f>
        <v>1.0366477272727272</v>
      </c>
      <c r="Q17">
        <f t="shared" si="31"/>
        <v>1.0365168539325842</v>
      </c>
      <c r="R17">
        <f t="shared" si="31"/>
        <v>1.0363888888888888</v>
      </c>
      <c r="S17">
        <f t="shared" si="31"/>
        <v>1.0362637362637361</v>
      </c>
      <c r="T17">
        <f t="shared" si="31"/>
        <v>1.0361413043478263</v>
      </c>
      <c r="U17">
        <f t="shared" si="31"/>
        <v>1.0360215053763437</v>
      </c>
      <c r="V17">
        <f t="shared" si="31"/>
        <v>1.0359042553191489</v>
      </c>
      <c r="W17">
        <f>L5/K5</f>
        <v>1.0357894736842104</v>
      </c>
    </row>
    <row r="18" spans="1:23" x14ac:dyDescent="0.3">
      <c r="A18" s="49" t="s">
        <v>17</v>
      </c>
      <c r="B18" s="7">
        <f>-1*60341.27</f>
        <v>-60341.27</v>
      </c>
      <c r="C18" s="8"/>
      <c r="D18" s="8"/>
      <c r="E18" s="8"/>
      <c r="F18" s="8"/>
      <c r="G18" s="8"/>
      <c r="H18" s="8"/>
      <c r="I18" s="8"/>
      <c r="J18" s="8"/>
      <c r="K18" s="8"/>
      <c r="L18" s="8"/>
      <c r="O18">
        <f>AVERAGE(O17:W17)</f>
        <v>1.0362728171423186</v>
      </c>
    </row>
    <row r="19" spans="1:23" x14ac:dyDescent="0.3">
      <c r="A19" s="49" t="s">
        <v>32</v>
      </c>
      <c r="B19" s="9">
        <f>B17*0.35*-1</f>
        <v>139890.23475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23" x14ac:dyDescent="0.3">
      <c r="A20" s="49" t="s">
        <v>33</v>
      </c>
      <c r="B20" s="7"/>
      <c r="C20" s="5">
        <f>L29*-1</f>
        <v>-50954.7</v>
      </c>
      <c r="D20" s="5">
        <f>C20</f>
        <v>-50954.7</v>
      </c>
      <c r="E20" s="5">
        <f>D20</f>
        <v>-50954.7</v>
      </c>
      <c r="F20" s="5">
        <f>E20</f>
        <v>-50954.7</v>
      </c>
      <c r="G20" s="5">
        <f>F20</f>
        <v>-50954.7</v>
      </c>
      <c r="H20" s="8"/>
      <c r="I20" s="8"/>
      <c r="J20" s="8"/>
      <c r="K20" s="8"/>
      <c r="L20" s="8"/>
    </row>
    <row r="21" spans="1:23" x14ac:dyDescent="0.3">
      <c r="A21" s="58" t="s">
        <v>18</v>
      </c>
      <c r="B21" s="10">
        <f>B17+B18+B19</f>
        <v>-320137.42025000002</v>
      </c>
      <c r="C21" s="6">
        <f>C16+C15+C20</f>
        <v>88978.655159802191</v>
      </c>
      <c r="D21" s="6">
        <f>D16+D15+D20</f>
        <v>94035.568874013275</v>
      </c>
      <c r="E21" s="6">
        <f t="shared" ref="E21:L21" si="32">E16+E15+E20</f>
        <v>99262.634280085083</v>
      </c>
      <c r="F21" s="6">
        <f t="shared" si="32"/>
        <v>104665.1983915392</v>
      </c>
      <c r="G21" s="6">
        <f t="shared" si="32"/>
        <v>110248.76922776601</v>
      </c>
      <c r="H21" s="6">
        <f t="shared" si="32"/>
        <v>166973.72052243433</v>
      </c>
      <c r="I21" s="6">
        <f t="shared" si="32"/>
        <v>172936.49656669382</v>
      </c>
      <c r="J21" s="6">
        <f t="shared" si="32"/>
        <v>179097.81719096474</v>
      </c>
      <c r="K21" s="6">
        <f t="shared" si="32"/>
        <v>185463.88288921991</v>
      </c>
      <c r="L21" s="6">
        <f t="shared" si="32"/>
        <v>192041.08008976863</v>
      </c>
    </row>
    <row r="22" spans="1:23" ht="28.8" customHeight="1" x14ac:dyDescent="0.3">
      <c r="A22" s="51" t="s">
        <v>34</v>
      </c>
      <c r="B22" s="11">
        <f>B21</f>
        <v>-320137.42025000002</v>
      </c>
      <c r="C22" s="11">
        <f t="shared" ref="C22:D22" si="33">C21+B22</f>
        <v>-231158.76509019785</v>
      </c>
      <c r="D22" s="11">
        <f t="shared" si="33"/>
        <v>-137123.19621618459</v>
      </c>
      <c r="E22" s="11">
        <f t="shared" ref="E22" si="34">E21+D22</f>
        <v>-37860.561936099504</v>
      </c>
      <c r="F22" s="11">
        <f t="shared" ref="F22" si="35">F21+E22</f>
        <v>66804.636455439701</v>
      </c>
      <c r="G22" s="11">
        <f t="shared" ref="G22" si="36">G21+F22</f>
        <v>177053.4056832057</v>
      </c>
      <c r="H22" s="11">
        <f t="shared" ref="H22" si="37">H21+G22</f>
        <v>344027.12620564003</v>
      </c>
      <c r="I22" s="11">
        <f t="shared" ref="I22" si="38">I21+H22</f>
        <v>516963.62277233385</v>
      </c>
      <c r="J22" s="11">
        <f t="shared" ref="J22" si="39">J21+I22</f>
        <v>696061.43996329862</v>
      </c>
      <c r="K22" s="11">
        <f t="shared" ref="K22" si="40">K21+J22</f>
        <v>881525.32285251853</v>
      </c>
      <c r="L22" s="11">
        <f t="shared" ref="L22" si="41">L21+K22</f>
        <v>1073566.4029422873</v>
      </c>
    </row>
    <row r="23" spans="1:23" x14ac:dyDescent="0.3">
      <c r="C23">
        <f>(C22*100/$A$24)+$A$25</f>
        <v>0</v>
      </c>
      <c r="D23">
        <f>(D22*100/$A$24)+$A$25</f>
        <v>40.680079268169088</v>
      </c>
      <c r="E23">
        <f>(E22*100/$A$24)+$A$25</f>
        <v>83.621403271761565</v>
      </c>
      <c r="F23">
        <f>(F22*100/$A$24)+$A$25</f>
        <v>128.89989329600917</v>
      </c>
      <c r="G23">
        <f>(G22*100/$A$24)+$A$25</f>
        <v>176.59385341244564</v>
      </c>
    </row>
    <row r="24" spans="1:23" x14ac:dyDescent="0.3">
      <c r="A24" s="36">
        <f>C22*-1</f>
        <v>231158.76509019785</v>
      </c>
      <c r="F24">
        <f>G23-F23</f>
        <v>47.693960116436472</v>
      </c>
      <c r="G24">
        <f>F24/12</f>
        <v>3.9744966763697058</v>
      </c>
    </row>
    <row r="25" spans="1:23" ht="15" customHeight="1" thickBot="1" x14ac:dyDescent="0.35">
      <c r="A25" s="36">
        <v>100</v>
      </c>
    </row>
    <row r="26" spans="1:23" ht="15" customHeight="1" thickBot="1" x14ac:dyDescent="0.35">
      <c r="C26" s="66" t="s">
        <v>20</v>
      </c>
      <c r="D26" s="67" t="s">
        <v>35</v>
      </c>
      <c r="E26" s="67">
        <f>(100-F23)/G24</f>
        <v>-7.2713341208291684</v>
      </c>
      <c r="F26" s="22" t="s">
        <v>22</v>
      </c>
      <c r="G26" s="67">
        <f>(E26-1)*30</f>
        <v>-248.14002362487506</v>
      </c>
      <c r="H26" s="22" t="s">
        <v>23</v>
      </c>
    </row>
    <row r="27" spans="1:23" ht="15" customHeight="1" thickBot="1" x14ac:dyDescent="0.35"/>
    <row r="28" spans="1:23" x14ac:dyDescent="0.3">
      <c r="A28" s="15" t="s">
        <v>24</v>
      </c>
      <c r="B28" s="16">
        <v>0.14499999999999999</v>
      </c>
      <c r="C28" s="17" t="s">
        <v>25</v>
      </c>
      <c r="D28" s="18">
        <f>NPV(B28,C22:L22)+B22</f>
        <v>603443.12233727495</v>
      </c>
    </row>
    <row r="29" spans="1:23" ht="16.2" customHeight="1" thickBot="1" x14ac:dyDescent="0.35">
      <c r="A29" s="19"/>
      <c r="B29" s="20"/>
      <c r="C29" s="20" t="s">
        <v>26</v>
      </c>
      <c r="D29" s="68">
        <f>IRR(B22:L22)</f>
        <v>0.25639881624912686</v>
      </c>
      <c r="L29" s="71">
        <v>50954.7</v>
      </c>
    </row>
    <row r="30" spans="1:23" x14ac:dyDescent="0.3">
      <c r="F30" s="2"/>
      <c r="G30" s="27"/>
      <c r="H30" s="93" t="s">
        <v>27</v>
      </c>
      <c r="I30" s="94"/>
      <c r="J30" s="94"/>
      <c r="K30" s="94"/>
      <c r="L30" s="94"/>
      <c r="M30" s="94"/>
      <c r="N30" s="94"/>
      <c r="O30" s="94"/>
    </row>
    <row r="31" spans="1:23" ht="15" customHeight="1" thickBot="1" x14ac:dyDescent="0.35">
      <c r="F31" s="2"/>
      <c r="G31" s="2"/>
      <c r="H31" s="61">
        <f t="shared" ref="H31:J31" si="42">I31-5</f>
        <v>365</v>
      </c>
      <c r="I31" s="61">
        <f t="shared" si="42"/>
        <v>370</v>
      </c>
      <c r="J31" s="61">
        <f t="shared" si="42"/>
        <v>375</v>
      </c>
      <c r="K31" s="61">
        <f>L31-5</f>
        <v>380</v>
      </c>
      <c r="L31" s="62">
        <v>385</v>
      </c>
      <c r="M31" s="61">
        <f>L31+5</f>
        <v>390</v>
      </c>
      <c r="N31" s="61">
        <f>M31+5</f>
        <v>395</v>
      </c>
      <c r="O31" s="61">
        <f>N31+5</f>
        <v>400</v>
      </c>
    </row>
    <row r="32" spans="1:23" ht="14.4" customHeight="1" thickBot="1" x14ac:dyDescent="0.35">
      <c r="A32" s="36" t="s">
        <v>36</v>
      </c>
      <c r="B32" s="72">
        <f>B19*214.14</f>
        <v>29956094.869364999</v>
      </c>
      <c r="F32" s="28" t="s">
        <v>29</v>
      </c>
      <c r="G32" s="78">
        <f>D29</f>
        <v>0.25639881624912686</v>
      </c>
      <c r="H32" s="84">
        <v>1.7</v>
      </c>
      <c r="I32" s="84">
        <v>1.73</v>
      </c>
      <c r="J32" s="84">
        <v>1.75</v>
      </c>
      <c r="K32" s="84">
        <v>1.77</v>
      </c>
      <c r="L32" s="85">
        <v>1.8</v>
      </c>
      <c r="M32" s="84">
        <v>1.82</v>
      </c>
      <c r="N32" s="84">
        <v>1.84</v>
      </c>
      <c r="O32" s="84">
        <v>1.87</v>
      </c>
    </row>
    <row r="33" spans="6:15" ht="15" thickBot="1" x14ac:dyDescent="0.35">
      <c r="F33" s="90" t="s">
        <v>31</v>
      </c>
      <c r="G33" s="24">
        <v>261000</v>
      </c>
      <c r="H33" s="73">
        <f t="dataTable" ref="H33:O42" dt2D="1" dtr="1" r1="C4" r2="C3"/>
        <v>0.18979514310332535</v>
      </c>
      <c r="I33" s="73">
        <v>0.21044301987762615</v>
      </c>
      <c r="J33" s="73">
        <v>0.22386923881340981</v>
      </c>
      <c r="K33" s="73">
        <v>0.23704931301445331</v>
      </c>
      <c r="L33" s="74">
        <v>0.25639881624912686</v>
      </c>
      <c r="M33" s="75">
        <v>0.26904227289117033</v>
      </c>
      <c r="N33" s="75">
        <v>0.28149799731763991</v>
      </c>
      <c r="O33" s="75">
        <v>0.29985814635397512</v>
      </c>
    </row>
    <row r="34" spans="6:15" x14ac:dyDescent="0.3">
      <c r="F34" s="91"/>
      <c r="G34" s="25">
        <v>264000</v>
      </c>
      <c r="H34" s="76">
        <v>0.20311727781563982</v>
      </c>
      <c r="I34" s="76">
        <v>0.22359790029150406</v>
      </c>
      <c r="J34" s="76">
        <v>0.23693192606434144</v>
      </c>
      <c r="K34" s="77">
        <v>0.25003341448591221</v>
      </c>
      <c r="L34" s="77">
        <v>0.26928767581430479</v>
      </c>
      <c r="M34" s="77">
        <v>0.28188108834450509</v>
      </c>
      <c r="N34" s="77">
        <v>0.29429640014456826</v>
      </c>
      <c r="O34" s="77">
        <v>0.31261218640343191</v>
      </c>
    </row>
    <row r="35" spans="6:15" x14ac:dyDescent="0.3">
      <c r="F35" s="91"/>
      <c r="G35" s="25">
        <v>267000</v>
      </c>
      <c r="H35" s="76">
        <v>0.21618233488003957</v>
      </c>
      <c r="I35" s="76">
        <v>0.23651833486000418</v>
      </c>
      <c r="J35" s="76">
        <v>0.24977351975263407</v>
      </c>
      <c r="K35" s="77">
        <v>0.26280859491020903</v>
      </c>
      <c r="L35" s="77">
        <v>0.28198397576784151</v>
      </c>
      <c r="M35" s="77">
        <v>0.29453716090870996</v>
      </c>
      <c r="N35" s="77">
        <v>0.30692112023199192</v>
      </c>
      <c r="O35" s="77">
        <v>0.3252048949267472</v>
      </c>
    </row>
    <row r="36" spans="6:15" x14ac:dyDescent="0.3">
      <c r="F36" s="91"/>
      <c r="G36" s="25">
        <v>270000</v>
      </c>
      <c r="H36" s="76">
        <v>0.22901039180451832</v>
      </c>
      <c r="I36" s="76">
        <v>0.24922214471587956</v>
      </c>
      <c r="J36" s="76">
        <v>0.26241055499996579</v>
      </c>
      <c r="K36" s="77">
        <v>0.27539024732315731</v>
      </c>
      <c r="L36" s="77">
        <v>0.29450162103091926</v>
      </c>
      <c r="M36" s="77">
        <v>0.30702352928592935</v>
      </c>
      <c r="N36" s="77">
        <v>0.31938441502800097</v>
      </c>
      <c r="O36" s="77">
        <v>0.33764749313613707</v>
      </c>
    </row>
    <row r="37" spans="6:15" x14ac:dyDescent="0.3">
      <c r="F37" s="91"/>
      <c r="G37" s="25">
        <v>273000</v>
      </c>
      <c r="H37" s="76">
        <v>0.24161944474889818</v>
      </c>
      <c r="I37" s="76">
        <v>0.26172536789727463</v>
      </c>
      <c r="J37" s="76">
        <v>0.27485794865923241</v>
      </c>
      <c r="K37" s="77">
        <v>0.2877922894923084</v>
      </c>
      <c r="L37" s="77">
        <v>0.3068532224817424</v>
      </c>
      <c r="M37" s="77">
        <v>0.3193520407865269</v>
      </c>
      <c r="N37" s="77">
        <v>0.33169744126139666</v>
      </c>
      <c r="O37" s="77">
        <v>0.34995021882176358</v>
      </c>
    </row>
    <row r="38" spans="6:15" x14ac:dyDescent="0.3">
      <c r="F38" s="91"/>
      <c r="G38" s="25">
        <v>276000</v>
      </c>
      <c r="H38" s="76">
        <v>0.25402568488289412</v>
      </c>
      <c r="I38" s="76">
        <v>0.27404248774635898</v>
      </c>
      <c r="J38" s="76">
        <v>0.28712920195037306</v>
      </c>
      <c r="K38" s="77">
        <v>0.3000273446720696</v>
      </c>
      <c r="L38" s="77">
        <v>0.31905025066724146</v>
      </c>
      <c r="M38" s="77">
        <v>0.33153349009316679</v>
      </c>
      <c r="N38" s="77">
        <v>0.34387038074451204</v>
      </c>
      <c r="O38" s="77">
        <v>0.3621224357512014</v>
      </c>
    </row>
    <row r="39" spans="6:15" x14ac:dyDescent="0.3">
      <c r="F39" s="91"/>
      <c r="G39" s="25">
        <v>279000</v>
      </c>
      <c r="H39" s="76">
        <v>0.26624373028562154</v>
      </c>
      <c r="I39" s="76">
        <v>0.28618662580228627</v>
      </c>
      <c r="J39" s="77">
        <v>0.29923657227011868</v>
      </c>
      <c r="K39" s="77">
        <v>0.31210689542659042</v>
      </c>
      <c r="L39" s="77">
        <v>0.33110316728088951</v>
      </c>
      <c r="M39" s="77">
        <v>0.34357773832753558</v>
      </c>
      <c r="N39" s="77">
        <v>0.35591254863953781</v>
      </c>
      <c r="O39" s="77">
        <v>0.37417272821070302</v>
      </c>
    </row>
    <row r="40" spans="6:15" x14ac:dyDescent="0.3">
      <c r="F40" s="91"/>
      <c r="G40" s="25">
        <v>282000</v>
      </c>
      <c r="H40" s="76">
        <v>0.27828682169740371</v>
      </c>
      <c r="I40" s="76">
        <v>0.29816970561115852</v>
      </c>
      <c r="J40" s="77">
        <v>0.31119121963725949</v>
      </c>
      <c r="K40" s="77">
        <v>0.32404141519812746</v>
      </c>
      <c r="L40" s="77">
        <v>0.34302153816026038</v>
      </c>
      <c r="M40" s="77">
        <v>0.35549381568576632</v>
      </c>
      <c r="N40" s="77">
        <v>0.36783248704621707</v>
      </c>
      <c r="O40" s="77">
        <v>0.3861089830498865</v>
      </c>
    </row>
    <row r="41" spans="6:15" x14ac:dyDescent="0.3">
      <c r="F41" s="91"/>
      <c r="G41" s="25">
        <v>285000</v>
      </c>
      <c r="H41" s="76">
        <v>0.29016698867863466</v>
      </c>
      <c r="I41" s="76">
        <v>0.31000259256119245</v>
      </c>
      <c r="J41" s="77">
        <v>0.3230033321395307</v>
      </c>
      <c r="K41" s="77">
        <v>0.3358404813781859</v>
      </c>
      <c r="L41" s="77">
        <v>0.3548141308393935</v>
      </c>
      <c r="M41" s="77">
        <v>0.36729001029423491</v>
      </c>
      <c r="N41" s="77">
        <v>0.3796380462397968</v>
      </c>
      <c r="O41" s="77">
        <v>0.39793846116605724</v>
      </c>
    </row>
    <row r="42" spans="6:15" ht="15" customHeight="1" thickBot="1" x14ac:dyDescent="0.35">
      <c r="F42" s="92"/>
      <c r="G42" s="26">
        <v>288000</v>
      </c>
      <c r="H42" s="76">
        <v>0.30189519138634391</v>
      </c>
      <c r="I42" s="76">
        <v>0.32169521383533195</v>
      </c>
      <c r="J42" s="77">
        <v>0.33468223389658713</v>
      </c>
      <c r="K42" s="77">
        <v>0.34751287291946409</v>
      </c>
      <c r="L42" s="77">
        <v>0.36648899912535438</v>
      </c>
      <c r="M42" s="77">
        <v>0.37897394545122975</v>
      </c>
      <c r="N42" s="77">
        <v>0.39133645546889051</v>
      </c>
      <c r="O42" s="77">
        <v>0.40966786002185129</v>
      </c>
    </row>
  </sheetData>
  <mergeCells count="3">
    <mergeCell ref="A1:L1"/>
    <mergeCell ref="H30:O30"/>
    <mergeCell ref="F33:F4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 Cap.Propio</vt:lpstr>
      <vt:lpstr>Flujo con Financiacion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rodxf</cp:lastModifiedBy>
  <dcterms:created xsi:type="dcterms:W3CDTF">2015-06-05T18:19:34Z</dcterms:created>
  <dcterms:modified xsi:type="dcterms:W3CDTF">2023-12-01T02:14:07Z</dcterms:modified>
</cp:coreProperties>
</file>