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xf\Desktop\porfolio_completo\proyectos_portfolio\Evaluación de Proyecto\"/>
    </mc:Choice>
  </mc:AlternateContent>
  <bookViews>
    <workbookView xWindow="0" yWindow="0" windowWidth="22260" windowHeight="12648"/>
  </bookViews>
  <sheets>
    <sheet name="Flujo con Financiacion" sheetId="2" r:id="rId1"/>
  </sheets>
  <calcPr calcId="162913"/>
</workbook>
</file>

<file path=xl/calcChain.xml><?xml version="1.0" encoding="utf-8"?>
<calcChain xmlns="http://schemas.openxmlformats.org/spreadsheetml/2006/main">
  <c r="D3" i="2" l="1"/>
  <c r="E3" i="2" s="1"/>
  <c r="F3" i="2" s="1"/>
  <c r="G3" i="2" s="1"/>
  <c r="H3" i="2" s="1"/>
  <c r="I3" i="2" s="1"/>
  <c r="J3" i="2" s="1"/>
  <c r="K3" i="2" s="1"/>
  <c r="L3" i="2" s="1"/>
  <c r="C6" i="2" l="1"/>
  <c r="B18" i="2" l="1"/>
  <c r="B17" i="2"/>
  <c r="B19" i="2" s="1"/>
  <c r="L11" i="2"/>
  <c r="K11" i="2"/>
  <c r="J11" i="2"/>
  <c r="I11" i="2"/>
  <c r="H11" i="2"/>
  <c r="G11" i="2"/>
  <c r="F11" i="2"/>
  <c r="E11" i="2"/>
  <c r="D11" i="2"/>
  <c r="C11" i="2"/>
  <c r="C8" i="2"/>
  <c r="C9" i="2" s="1"/>
  <c r="C5" i="2"/>
  <c r="D4" i="2"/>
  <c r="D8" i="2" l="1"/>
  <c r="E8" i="2" s="1"/>
  <c r="F8" i="2" s="1"/>
  <c r="G8" i="2" s="1"/>
  <c r="H8" i="2" s="1"/>
  <c r="I8" i="2" s="1"/>
  <c r="J8" i="2" s="1"/>
  <c r="K8" i="2" s="1"/>
  <c r="L8" i="2" s="1"/>
  <c r="E4" i="2"/>
  <c r="E5" i="2" s="1"/>
  <c r="D5" i="2"/>
  <c r="D6" i="2" s="1"/>
  <c r="C10" i="2"/>
  <c r="C13" i="2" s="1"/>
  <c r="C12" i="2"/>
  <c r="C7" i="2"/>
  <c r="C14" i="2"/>
  <c r="B21" i="2"/>
  <c r="B22" i="2" s="1"/>
  <c r="F4" i="2" l="1"/>
  <c r="F5" i="2" s="1"/>
  <c r="F14" i="2" s="1"/>
  <c r="E6" i="2"/>
  <c r="E7" i="2" s="1"/>
  <c r="D9" i="2"/>
  <c r="D10" i="2" s="1"/>
  <c r="D12" i="2"/>
  <c r="D7" i="2"/>
  <c r="D14" i="2"/>
  <c r="E12" i="2"/>
  <c r="E14" i="2"/>
  <c r="C15" i="2"/>
  <c r="G4" i="2" l="1"/>
  <c r="G5" i="2" s="1"/>
  <c r="G14" i="2" s="1"/>
  <c r="F12" i="2"/>
  <c r="C21" i="2"/>
  <c r="C22" i="2" s="1"/>
  <c r="D13" i="2"/>
  <c r="D15" i="2" s="1"/>
  <c r="D21" i="2" s="1"/>
  <c r="F6" i="2"/>
  <c r="E9" i="2"/>
  <c r="E10" i="2" s="1"/>
  <c r="H4" i="2" l="1"/>
  <c r="H5" i="2" s="1"/>
  <c r="H12" i="2" s="1"/>
  <c r="G12" i="2"/>
  <c r="D22" i="2"/>
  <c r="E13" i="2"/>
  <c r="E15" i="2" s="1"/>
  <c r="E21" i="2" s="1"/>
  <c r="G6" i="2"/>
  <c r="F9" i="2"/>
  <c r="F10" i="2" s="1"/>
  <c r="F7" i="2"/>
  <c r="I4" i="2" l="1"/>
  <c r="I5" i="2" s="1"/>
  <c r="I12" i="2" s="1"/>
  <c r="E22" i="2"/>
  <c r="H14" i="2"/>
  <c r="F13" i="2"/>
  <c r="F15" i="2" s="1"/>
  <c r="F21" i="2" s="1"/>
  <c r="H6" i="2"/>
  <c r="G9" i="2"/>
  <c r="G10" i="2" s="1"/>
  <c r="G7" i="2"/>
  <c r="J4" i="2" l="1"/>
  <c r="J5" i="2" s="1"/>
  <c r="J12" i="2" s="1"/>
  <c r="I14" i="2"/>
  <c r="F22" i="2"/>
  <c r="G13" i="2"/>
  <c r="G15" i="2" s="1"/>
  <c r="G21" i="2" s="1"/>
  <c r="I6" i="2"/>
  <c r="H9" i="2"/>
  <c r="H10" i="2" s="1"/>
  <c r="H7" i="2"/>
  <c r="J14" i="2"/>
  <c r="K4" i="2" l="1"/>
  <c r="K5" i="2" s="1"/>
  <c r="G22" i="2"/>
  <c r="K14" i="2"/>
  <c r="K12" i="2"/>
  <c r="H13" i="2"/>
  <c r="H15" i="2" s="1"/>
  <c r="H21" i="2" s="1"/>
  <c r="J6" i="2"/>
  <c r="I9" i="2"/>
  <c r="I10" i="2" s="1"/>
  <c r="I7" i="2"/>
  <c r="L4" i="2"/>
  <c r="L5" i="2" s="1"/>
  <c r="H22" i="2" l="1"/>
  <c r="K6" i="2"/>
  <c r="J9" i="2"/>
  <c r="J10" i="2" s="1"/>
  <c r="J7" i="2"/>
  <c r="L12" i="2"/>
  <c r="L14" i="2"/>
  <c r="I13" i="2"/>
  <c r="I15" i="2" s="1"/>
  <c r="I21" i="2" s="1"/>
  <c r="I22" i="2" s="1"/>
  <c r="L6" i="2" l="1"/>
  <c r="L9" i="2" s="1"/>
  <c r="K9" i="2"/>
  <c r="K10" i="2" s="1"/>
  <c r="K7" i="2"/>
  <c r="J13" i="2"/>
  <c r="J15" i="2" s="1"/>
  <c r="J21" i="2" s="1"/>
  <c r="J22" i="2" s="1"/>
  <c r="K13" i="2" l="1"/>
  <c r="K15" i="2" s="1"/>
  <c r="K21" i="2" s="1"/>
  <c r="K22" i="2" s="1"/>
  <c r="L10" i="2"/>
  <c r="L7" i="2"/>
  <c r="L13" i="2" l="1"/>
  <c r="L15" i="2" s="1"/>
  <c r="L21" i="2" s="1"/>
  <c r="L22" i="2" s="1"/>
  <c r="D28" i="2" s="1"/>
  <c r="B32" i="2" l="1"/>
  <c r="D27" i="2"/>
</calcChain>
</file>

<file path=xl/sharedStrings.xml><?xml version="1.0" encoding="utf-8"?>
<sst xmlns="http://schemas.openxmlformats.org/spreadsheetml/2006/main" count="29" uniqueCount="27">
  <si>
    <t>Flujo de Fondos</t>
  </si>
  <si>
    <t>Concepto</t>
  </si>
  <si>
    <t>Producción</t>
  </si>
  <si>
    <t>Precio</t>
  </si>
  <si>
    <t>Total Ingresos</t>
  </si>
  <si>
    <t>Costo de Producción*</t>
  </si>
  <si>
    <t>UTILIDAD MARGINAL</t>
  </si>
  <si>
    <t>Costo de administración y venta</t>
  </si>
  <si>
    <t>Total Egresos</t>
  </si>
  <si>
    <t>UTILIDAD BRUTA (Antes de imp.)</t>
  </si>
  <si>
    <t>Depreciación y Amortizaciones</t>
  </si>
  <si>
    <t>IIBB (3,5%)</t>
  </si>
  <si>
    <t>Imp. a las ganancias (35%)</t>
  </si>
  <si>
    <t>Imp. a la bebida (4%)</t>
  </si>
  <si>
    <t>UTILIDAD NETA     (luego de imp.)</t>
  </si>
  <si>
    <t>Inversión Inicial</t>
  </si>
  <si>
    <t>Capital de trabajo</t>
  </si>
  <si>
    <t>FLUJO DE FONDOS NETOS</t>
  </si>
  <si>
    <t>Tasa</t>
  </si>
  <si>
    <t>VAN</t>
  </si>
  <si>
    <t>TIR</t>
  </si>
  <si>
    <t xml:space="preserve">Análisis de sensibilidad </t>
  </si>
  <si>
    <t>TIR:</t>
  </si>
  <si>
    <t>Cantidades</t>
  </si>
  <si>
    <t>Préstamo</t>
  </si>
  <si>
    <t>Pago de préstamo</t>
  </si>
  <si>
    <t>FLUJO DE FONDOS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</si>
</sst>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/>
    <xf numFmtId="9" fontId="3" fillId="0" borderId="0"/>
  </cellStyleXfs>
  <cellXfs count="5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4" fontId="4" fillId="0" borderId="0" xfId="0" applyNumberFormat="1" applyFont="1" applyAlignment="1">
      <alignment horizontal="right" vertical="center"/>
    </xf>
    <xf numFmtId="4" fontId="4" fillId="2" borderId="2" xfId="0" applyNumberFormat="1" applyFont="1" applyFill="1" applyBorder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6" fillId="2" borderId="2" xfId="0" applyNumberFormat="1" applyFont="1" applyFill="1" applyBorder="1" applyAlignment="1">
      <alignment horizontal="right" vertical="center"/>
    </xf>
    <xf numFmtId="4" fontId="8" fillId="2" borderId="2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10" fontId="0" fillId="0" borderId="8" xfId="0" applyNumberFormat="1" applyBorder="1"/>
    <xf numFmtId="0" fontId="0" fillId="0" borderId="8" xfId="0" applyBorder="1"/>
    <xf numFmtId="4" fontId="0" fillId="0" borderId="9" xfId="0" applyNumberFormat="1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3" fontId="1" fillId="0" borderId="15" xfId="0" applyNumberFormat="1" applyFont="1" applyBorder="1" applyAlignment="1">
      <alignment horizontal="center" vertical="center" wrapText="1"/>
    </xf>
    <xf numFmtId="3" fontId="0" fillId="0" borderId="3" xfId="2" applyNumberFormat="1" applyFont="1" applyBorder="1" applyAlignment="1">
      <alignment horizontal="center" vertical="center" wrapText="1"/>
    </xf>
    <xf numFmtId="3" fontId="0" fillId="0" borderId="17" xfId="2" applyNumberFormat="1" applyFont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8" fillId="2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4" fontId="4" fillId="2" borderId="2" xfId="0" applyNumberFormat="1" applyFont="1" applyFill="1" applyBorder="1" applyAlignment="1">
      <alignment vertical="center"/>
    </xf>
    <xf numFmtId="10" fontId="0" fillId="0" borderId="12" xfId="0" applyNumberFormat="1" applyBorder="1"/>
    <xf numFmtId="43" fontId="5" fillId="0" borderId="2" xfId="2" applyFont="1" applyBorder="1" applyAlignment="1">
      <alignment horizontal="right" vertical="center"/>
    </xf>
    <xf numFmtId="10" fontId="3" fillId="5" borderId="1" xfId="3" applyNumberFormat="1" applyFill="1" applyBorder="1" applyAlignment="1">
      <alignment horizontal="center" vertical="center" wrapText="1"/>
    </xf>
    <xf numFmtId="10" fontId="1" fillId="6" borderId="1" xfId="3" applyNumberFormat="1" applyFont="1" applyFill="1" applyBorder="1" applyAlignment="1">
      <alignment horizontal="center" vertical="center" wrapText="1"/>
    </xf>
    <xf numFmtId="10" fontId="3" fillId="6" borderId="1" xfId="3" applyNumberFormat="1" applyFill="1" applyBorder="1" applyAlignment="1">
      <alignment horizontal="center" vertical="center" wrapText="1"/>
    </xf>
    <xf numFmtId="10" fontId="3" fillId="5" borderId="2" xfId="3" applyNumberFormat="1" applyFill="1" applyBorder="1" applyAlignment="1">
      <alignment horizontal="center" vertical="center" wrapText="1"/>
    </xf>
    <xf numFmtId="10" fontId="3" fillId="6" borderId="2" xfId="3" applyNumberFormat="1" applyFill="1" applyBorder="1" applyAlignment="1">
      <alignment horizontal="center" vertical="center" wrapText="1"/>
    </xf>
    <xf numFmtId="10" fontId="0" fillId="0" borderId="14" xfId="2" applyNumberFormat="1" applyFont="1" applyBorder="1" applyAlignment="1">
      <alignment horizontal="center" vertical="center" wrapText="1"/>
    </xf>
    <xf numFmtId="4" fontId="0" fillId="0" borderId="18" xfId="2" applyNumberFormat="1" applyFont="1" applyBorder="1" applyAlignment="1">
      <alignment horizontal="center" vertical="center"/>
    </xf>
    <xf numFmtId="4" fontId="1" fillId="0" borderId="18" xfId="2" applyNumberFormat="1" applyFont="1" applyBorder="1" applyAlignment="1">
      <alignment horizontal="center" vertical="center"/>
    </xf>
    <xf numFmtId="4" fontId="4" fillId="0" borderId="0" xfId="2" applyNumberFormat="1" applyFont="1" applyAlignment="1">
      <alignment vertical="center"/>
    </xf>
    <xf numFmtId="0" fontId="0" fillId="0" borderId="2" xfId="0" applyBorder="1"/>
    <xf numFmtId="0" fontId="0" fillId="0" borderId="5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9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1" fontId="0" fillId="0" borderId="19" xfId="2" applyNumberFormat="1" applyFont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A19" workbookViewId="0">
      <selection activeCell="C32" sqref="C32"/>
    </sheetView>
  </sheetViews>
  <sheetFormatPr baseColWidth="10" defaultRowHeight="14.4" x14ac:dyDescent="0.3"/>
  <cols>
    <col min="1" max="1" width="19.5546875" style="22" customWidth="1"/>
    <col min="2" max="2" width="13.88671875" bestFit="1" customWidth="1"/>
    <col min="3" max="3" width="12.88671875" bestFit="1" customWidth="1"/>
    <col min="4" max="4" width="12.21875" bestFit="1" customWidth="1"/>
    <col min="5" max="12" width="12.88671875" bestFit="1" customWidth="1"/>
  </cols>
  <sheetData>
    <row r="1" spans="1:23" x14ac:dyDescent="0.3">
      <c r="A1" s="50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23" x14ac:dyDescent="0.3">
      <c r="A2" s="26" t="s">
        <v>1</v>
      </c>
      <c r="B2" s="27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9">
        <v>10</v>
      </c>
    </row>
    <row r="3" spans="1:23" x14ac:dyDescent="0.3">
      <c r="A3" s="23" t="s">
        <v>2</v>
      </c>
      <c r="B3" s="30"/>
      <c r="C3" s="45">
        <v>261000</v>
      </c>
      <c r="D3" s="45">
        <f>C3+3000</f>
        <v>264000</v>
      </c>
      <c r="E3" s="45">
        <f t="shared" ref="E3:L3" si="0">D3+3000</f>
        <v>267000</v>
      </c>
      <c r="F3" s="45">
        <f t="shared" si="0"/>
        <v>270000</v>
      </c>
      <c r="G3" s="45">
        <f t="shared" si="0"/>
        <v>273000</v>
      </c>
      <c r="H3" s="45">
        <f t="shared" si="0"/>
        <v>276000</v>
      </c>
      <c r="I3" s="45">
        <f t="shared" si="0"/>
        <v>279000</v>
      </c>
      <c r="J3" s="45">
        <f t="shared" si="0"/>
        <v>282000</v>
      </c>
      <c r="K3" s="45">
        <f t="shared" si="0"/>
        <v>285000</v>
      </c>
      <c r="L3" s="45">
        <f t="shared" si="0"/>
        <v>288000</v>
      </c>
    </row>
    <row r="4" spans="1:23" x14ac:dyDescent="0.3">
      <c r="A4" s="23" t="s">
        <v>3</v>
      </c>
      <c r="B4" s="30"/>
      <c r="C4" s="31">
        <v>1.8</v>
      </c>
      <c r="D4" s="31">
        <f t="shared" ref="D4:L4" si="1">C4*1.025</f>
        <v>1.845</v>
      </c>
      <c r="E4" s="31">
        <f t="shared" si="1"/>
        <v>1.8911249999999997</v>
      </c>
      <c r="F4" s="31">
        <f t="shared" si="1"/>
        <v>1.9384031249999996</v>
      </c>
      <c r="G4" s="31">
        <f t="shared" si="1"/>
        <v>1.9868632031249993</v>
      </c>
      <c r="H4" s="31">
        <f t="shared" si="1"/>
        <v>2.0365347832031242</v>
      </c>
      <c r="I4" s="31">
        <f t="shared" si="1"/>
        <v>2.0874481527832023</v>
      </c>
      <c r="J4" s="31">
        <f t="shared" si="1"/>
        <v>2.139634356602782</v>
      </c>
      <c r="K4" s="31">
        <f t="shared" si="1"/>
        <v>2.1931252155178513</v>
      </c>
      <c r="L4" s="31">
        <f t="shared" si="1"/>
        <v>2.2479533459057972</v>
      </c>
    </row>
    <row r="5" spans="1:23" x14ac:dyDescent="0.3">
      <c r="A5" s="23" t="s">
        <v>4</v>
      </c>
      <c r="B5" s="30"/>
      <c r="C5" s="31">
        <f t="shared" ref="C5:L5" si="2">C4*C3</f>
        <v>469800</v>
      </c>
      <c r="D5" s="31">
        <f t="shared" si="2"/>
        <v>487080</v>
      </c>
      <c r="E5" s="31">
        <f t="shared" si="2"/>
        <v>504930.37499999994</v>
      </c>
      <c r="F5" s="31">
        <f t="shared" si="2"/>
        <v>523368.84374999988</v>
      </c>
      <c r="G5" s="31">
        <f t="shared" si="2"/>
        <v>542413.65445312485</v>
      </c>
      <c r="H5" s="31">
        <f t="shared" si="2"/>
        <v>562083.60016406223</v>
      </c>
      <c r="I5" s="31">
        <f t="shared" si="2"/>
        <v>582398.03462651349</v>
      </c>
      <c r="J5" s="31">
        <f t="shared" si="2"/>
        <v>603376.88856198452</v>
      </c>
      <c r="K5" s="31">
        <f t="shared" si="2"/>
        <v>625040.68642258761</v>
      </c>
      <c r="L5" s="31">
        <f t="shared" si="2"/>
        <v>647410.56362086965</v>
      </c>
    </row>
    <row r="6" spans="1:23" x14ac:dyDescent="0.3">
      <c r="A6" s="23" t="s">
        <v>5</v>
      </c>
      <c r="B6" s="30"/>
      <c r="C6" s="31">
        <f>C16-208964.861292612</f>
        <v>-187184.96129261202</v>
      </c>
      <c r="D6" s="31">
        <f t="shared" ref="D6" si="3">C6*D5/C5</f>
        <v>-194069.92538613337</v>
      </c>
      <c r="E6" s="31">
        <f t="shared" ref="E6" si="4">D6*E5/D5</f>
        <v>-201182.1470835229</v>
      </c>
      <c r="F6" s="31">
        <f t="shared" ref="F6" si="5">E6*F5/E5</f>
        <v>-208528.68616241557</v>
      </c>
      <c r="G6" s="31">
        <f t="shared" ref="G6" si="6">F6*G5/F5</f>
        <v>-216116.81335332568</v>
      </c>
      <c r="H6" s="31">
        <f t="shared" ref="H6" si="7">G6*H5/G5</f>
        <v>-223954.01647492975</v>
      </c>
      <c r="I6" s="31">
        <f t="shared" ref="I6" si="8">H6*I5/H5</f>
        <v>-232048.00674426829</v>
      </c>
      <c r="J6" s="31">
        <f t="shared" ref="J6" si="9">I6*J5/I5</f>
        <v>-240406.72526677683</v>
      </c>
      <c r="K6" s="31">
        <f t="shared" ref="K6" si="10">J6*K5/J5</f>
        <v>-249038.34971119565</v>
      </c>
      <c r="L6" s="31">
        <f t="shared" ref="L6" si="11">K6*L5/K5</f>
        <v>-257951.30117454368</v>
      </c>
      <c r="M6" s="31"/>
    </row>
    <row r="7" spans="1:23" ht="28.8" customHeight="1" x14ac:dyDescent="0.3">
      <c r="A7" s="32" t="s">
        <v>6</v>
      </c>
      <c r="B7" s="33"/>
      <c r="C7" s="34">
        <f>C5+C6</f>
        <v>282615.03870738798</v>
      </c>
      <c r="D7" s="34">
        <f t="shared" ref="D7:L7" si="12">D5+D6</f>
        <v>293010.07461386663</v>
      </c>
      <c r="E7" s="34">
        <f t="shared" si="12"/>
        <v>303748.22791647702</v>
      </c>
      <c r="F7" s="34">
        <f t="shared" si="12"/>
        <v>314840.15758758434</v>
      </c>
      <c r="G7" s="34">
        <f t="shared" si="12"/>
        <v>326296.84109979915</v>
      </c>
      <c r="H7" s="34">
        <f t="shared" si="12"/>
        <v>338129.58368913247</v>
      </c>
      <c r="I7" s="34">
        <f t="shared" si="12"/>
        <v>350350.02788224519</v>
      </c>
      <c r="J7" s="34">
        <f t="shared" si="12"/>
        <v>362970.16329520766</v>
      </c>
      <c r="K7" s="34">
        <f t="shared" si="12"/>
        <v>376002.33671139192</v>
      </c>
      <c r="L7" s="34">
        <f t="shared" si="12"/>
        <v>389459.26244632597</v>
      </c>
    </row>
    <row r="8" spans="1:23" ht="28.8" customHeight="1" x14ac:dyDescent="0.3">
      <c r="A8" s="23" t="s">
        <v>7</v>
      </c>
      <c r="B8" s="30"/>
      <c r="C8" s="31">
        <f>-1*24852.9</f>
        <v>-24852.9</v>
      </c>
      <c r="D8" s="31">
        <f t="shared" ref="D8" si="13">C8*1.025</f>
        <v>-25474.2225</v>
      </c>
      <c r="E8" s="31">
        <f t="shared" ref="E8" si="14">D8*1.025</f>
        <v>-26111.078062499997</v>
      </c>
      <c r="F8" s="31">
        <f t="shared" ref="F8" si="15">E8*1.025</f>
        <v>-26763.855014062494</v>
      </c>
      <c r="G8" s="31">
        <f t="shared" ref="G8" si="16">F8*1.025</f>
        <v>-27432.951389414055</v>
      </c>
      <c r="H8" s="31">
        <f t="shared" ref="H8" si="17">G8*1.025</f>
        <v>-28118.775174149403</v>
      </c>
      <c r="I8" s="31">
        <f t="shared" ref="I8" si="18">H8*1.025</f>
        <v>-28821.744553503137</v>
      </c>
      <c r="J8" s="31">
        <f t="shared" ref="J8" si="19">I8*1.025</f>
        <v>-29542.288167340714</v>
      </c>
      <c r="K8" s="31">
        <f t="shared" ref="K8" si="20">J8*1.025</f>
        <v>-30280.845371524229</v>
      </c>
      <c r="L8" s="31">
        <f t="shared" ref="L8" si="21">K8*1.025</f>
        <v>-31037.866505812333</v>
      </c>
    </row>
    <row r="9" spans="1:23" x14ac:dyDescent="0.3">
      <c r="A9" s="23" t="s">
        <v>8</v>
      </c>
      <c r="B9" s="30"/>
      <c r="C9" s="31">
        <f t="shared" ref="C9:K9" si="22">C8+C6</f>
        <v>-212037.86129261201</v>
      </c>
      <c r="D9" s="31">
        <f t="shared" si="22"/>
        <v>-219544.14788613337</v>
      </c>
      <c r="E9" s="31">
        <f t="shared" si="22"/>
        <v>-227293.22514602289</v>
      </c>
      <c r="F9" s="31">
        <f t="shared" si="22"/>
        <v>-235292.54117647806</v>
      </c>
      <c r="G9" s="31">
        <f t="shared" si="22"/>
        <v>-243549.76474273973</v>
      </c>
      <c r="H9" s="31">
        <f t="shared" si="22"/>
        <v>-252072.79164907915</v>
      </c>
      <c r="I9" s="31">
        <f t="shared" si="22"/>
        <v>-260869.75129777144</v>
      </c>
      <c r="J9" s="31">
        <f t="shared" si="22"/>
        <v>-269949.01343411754</v>
      </c>
      <c r="K9" s="31">
        <f t="shared" si="22"/>
        <v>-279319.1950827199</v>
      </c>
      <c r="L9" s="31">
        <f>L8+L6</f>
        <v>-288989.16768035601</v>
      </c>
      <c r="O9" s="1"/>
      <c r="P9" s="1"/>
      <c r="Q9" s="1"/>
      <c r="R9" s="1"/>
      <c r="S9" s="1"/>
      <c r="T9" s="1"/>
      <c r="U9" s="1"/>
      <c r="V9" s="1"/>
      <c r="W9" s="1"/>
    </row>
    <row r="10" spans="1:23" ht="29.4" customHeight="1" x14ac:dyDescent="0.3">
      <c r="A10" s="32" t="s">
        <v>9</v>
      </c>
      <c r="B10" s="33"/>
      <c r="C10" s="34">
        <f>C5+C9</f>
        <v>257762.13870738799</v>
      </c>
      <c r="D10" s="34">
        <f t="shared" ref="D10:L10" si="23">D5+D9</f>
        <v>267535.8521138666</v>
      </c>
      <c r="E10" s="34">
        <f t="shared" si="23"/>
        <v>277637.14985397703</v>
      </c>
      <c r="F10" s="34">
        <f t="shared" si="23"/>
        <v>288076.30257352185</v>
      </c>
      <c r="G10" s="34">
        <f t="shared" si="23"/>
        <v>298863.88971038512</v>
      </c>
      <c r="H10" s="34">
        <f t="shared" si="23"/>
        <v>310010.80851498304</v>
      </c>
      <c r="I10" s="34">
        <f t="shared" si="23"/>
        <v>321528.28332874202</v>
      </c>
      <c r="J10" s="34">
        <f t="shared" si="23"/>
        <v>333427.87512786698</v>
      </c>
      <c r="K10" s="34">
        <f t="shared" si="23"/>
        <v>345721.4913398677</v>
      </c>
      <c r="L10" s="34">
        <f t="shared" si="23"/>
        <v>358421.39594051364</v>
      </c>
      <c r="N10" s="1"/>
    </row>
    <row r="11" spans="1:23" ht="33" customHeight="1" x14ac:dyDescent="0.3">
      <c r="A11" s="23" t="s">
        <v>10</v>
      </c>
      <c r="B11" s="30"/>
      <c r="C11" s="31">
        <f t="shared" ref="C11:L11" si="24">21779.9*-1</f>
        <v>-21779.9</v>
      </c>
      <c r="D11" s="31">
        <f t="shared" si="24"/>
        <v>-21779.9</v>
      </c>
      <c r="E11" s="31">
        <f t="shared" si="24"/>
        <v>-21779.9</v>
      </c>
      <c r="F11" s="31">
        <f t="shared" si="24"/>
        <v>-21779.9</v>
      </c>
      <c r="G11" s="31">
        <f t="shared" si="24"/>
        <v>-21779.9</v>
      </c>
      <c r="H11" s="31">
        <f t="shared" si="24"/>
        <v>-21779.9</v>
      </c>
      <c r="I11" s="31">
        <f t="shared" si="24"/>
        <v>-21779.9</v>
      </c>
      <c r="J11" s="31">
        <f t="shared" si="24"/>
        <v>-21779.9</v>
      </c>
      <c r="K11" s="31">
        <f t="shared" si="24"/>
        <v>-21779.9</v>
      </c>
      <c r="L11" s="31">
        <f t="shared" si="24"/>
        <v>-21779.9</v>
      </c>
    </row>
    <row r="12" spans="1:23" x14ac:dyDescent="0.3">
      <c r="A12" s="23" t="s">
        <v>11</v>
      </c>
      <c r="B12" s="30"/>
      <c r="C12" s="31">
        <f>C5*0.035*-1</f>
        <v>-16443</v>
      </c>
      <c r="D12" s="31">
        <f t="shared" ref="D12:L12" si="25">D5*0.035*-1</f>
        <v>-17047.800000000003</v>
      </c>
      <c r="E12" s="31">
        <f t="shared" si="25"/>
        <v>-17672.563125000001</v>
      </c>
      <c r="F12" s="31">
        <f t="shared" si="25"/>
        <v>-18317.909531249999</v>
      </c>
      <c r="G12" s="31">
        <f t="shared" si="25"/>
        <v>-18984.47790585937</v>
      </c>
      <c r="H12" s="31">
        <f t="shared" si="25"/>
        <v>-19672.926005742182</v>
      </c>
      <c r="I12" s="31">
        <f t="shared" si="25"/>
        <v>-20383.931211927975</v>
      </c>
      <c r="J12" s="31">
        <f t="shared" si="25"/>
        <v>-21118.191099669461</v>
      </c>
      <c r="K12" s="31">
        <f t="shared" si="25"/>
        <v>-21876.424024790569</v>
      </c>
      <c r="L12" s="31">
        <f t="shared" si="25"/>
        <v>-22659.369726730441</v>
      </c>
    </row>
    <row r="13" spans="1:23" x14ac:dyDescent="0.3">
      <c r="A13" s="23" t="s">
        <v>12</v>
      </c>
      <c r="B13" s="30"/>
      <c r="C13" s="31">
        <f>(C10+C11)*0.35*-1</f>
        <v>-82593.783547585786</v>
      </c>
      <c r="D13" s="31">
        <f t="shared" ref="D13:L13" si="26">(D10+D11)*0.35*-1</f>
        <v>-86014.583239853309</v>
      </c>
      <c r="E13" s="31">
        <f t="shared" si="26"/>
        <v>-89550.037448891962</v>
      </c>
      <c r="F13" s="31">
        <f t="shared" si="26"/>
        <v>-93203.740900732635</v>
      </c>
      <c r="G13" s="31">
        <f t="shared" si="26"/>
        <v>-96979.396398634781</v>
      </c>
      <c r="H13" s="31">
        <f t="shared" si="26"/>
        <v>-100880.81798024406</v>
      </c>
      <c r="I13" s="31">
        <f t="shared" si="26"/>
        <v>-104911.93416505969</v>
      </c>
      <c r="J13" s="31">
        <f t="shared" si="26"/>
        <v>-109076.79129475344</v>
      </c>
      <c r="K13" s="31">
        <f t="shared" si="26"/>
        <v>-113379.55696895368</v>
      </c>
      <c r="L13" s="31">
        <f t="shared" si="26"/>
        <v>-117824.52357917976</v>
      </c>
      <c r="N13" s="21"/>
    </row>
    <row r="14" spans="1:23" x14ac:dyDescent="0.3">
      <c r="A14" s="23" t="s">
        <v>13</v>
      </c>
      <c r="B14" s="30"/>
      <c r="C14" s="31">
        <f>C5*0.04*-1</f>
        <v>-18792</v>
      </c>
      <c r="D14" s="31">
        <f t="shared" ref="D14:L14" si="27">D5*0.04*-1</f>
        <v>-19483.2</v>
      </c>
      <c r="E14" s="31">
        <f t="shared" si="27"/>
        <v>-20197.214999999997</v>
      </c>
      <c r="F14" s="31">
        <f t="shared" si="27"/>
        <v>-20934.753749999996</v>
      </c>
      <c r="G14" s="31">
        <f t="shared" si="27"/>
        <v>-21696.546178124994</v>
      </c>
      <c r="H14" s="31">
        <f t="shared" si="27"/>
        <v>-22483.344006562489</v>
      </c>
      <c r="I14" s="31">
        <f t="shared" si="27"/>
        <v>-23295.921385060541</v>
      </c>
      <c r="J14" s="31">
        <f t="shared" si="27"/>
        <v>-24135.075542479382</v>
      </c>
      <c r="K14" s="31">
        <f t="shared" si="27"/>
        <v>-25001.627456903505</v>
      </c>
      <c r="L14" s="31">
        <f t="shared" si="27"/>
        <v>-25896.422544834786</v>
      </c>
    </row>
    <row r="15" spans="1:23" ht="28.8" customHeight="1" x14ac:dyDescent="0.3">
      <c r="A15" s="32" t="s">
        <v>14</v>
      </c>
      <c r="B15" s="33"/>
      <c r="C15" s="34">
        <f>C10+C12+C13+C14+C11</f>
        <v>118153.45515980219</v>
      </c>
      <c r="D15" s="34">
        <f t="shared" ref="D15:L15" si="28">D10+D12+D13+D14+D11</f>
        <v>123210.36887401328</v>
      </c>
      <c r="E15" s="34">
        <f t="shared" si="28"/>
        <v>128437.43428008509</v>
      </c>
      <c r="F15" s="34">
        <f t="shared" si="28"/>
        <v>133839.99839153921</v>
      </c>
      <c r="G15" s="34">
        <f t="shared" si="28"/>
        <v>139423.56922776601</v>
      </c>
      <c r="H15" s="34">
        <f t="shared" si="28"/>
        <v>145193.82052243434</v>
      </c>
      <c r="I15" s="34">
        <f t="shared" si="28"/>
        <v>151156.59656669383</v>
      </c>
      <c r="J15" s="34">
        <f t="shared" si="28"/>
        <v>157317.91719096474</v>
      </c>
      <c r="K15" s="34">
        <f t="shared" si="28"/>
        <v>163683.98288921991</v>
      </c>
      <c r="L15" s="34">
        <f t="shared" si="28"/>
        <v>170261.18008976863</v>
      </c>
    </row>
    <row r="16" spans="1:23" x14ac:dyDescent="0.3">
      <c r="A16" s="23" t="s">
        <v>10</v>
      </c>
      <c r="B16" s="24"/>
      <c r="C16" s="3">
        <v>21779.9</v>
      </c>
      <c r="D16" s="3">
        <v>21779.9</v>
      </c>
      <c r="E16" s="3">
        <v>21779.9</v>
      </c>
      <c r="F16" s="3">
        <v>21779.9</v>
      </c>
      <c r="G16" s="3">
        <v>21779.9</v>
      </c>
      <c r="H16" s="3">
        <v>21779.9</v>
      </c>
      <c r="I16" s="3">
        <v>21779.9</v>
      </c>
      <c r="J16" s="3">
        <v>21779.9</v>
      </c>
      <c r="K16" s="3">
        <v>21779.9</v>
      </c>
      <c r="L16" s="3">
        <v>21779.9</v>
      </c>
    </row>
    <row r="17" spans="1:12" x14ac:dyDescent="0.3">
      <c r="A17" s="23" t="s">
        <v>15</v>
      </c>
      <c r="B17" s="5">
        <f>-1*399686.385</f>
        <v>-399686.38500000001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23" t="s">
        <v>16</v>
      </c>
      <c r="B18" s="5">
        <f>-1*60341.27</f>
        <v>-60341.27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">
      <c r="A19" s="23" t="s">
        <v>24</v>
      </c>
      <c r="B19" s="7">
        <f>B17*0.35*-1</f>
        <v>139890.23475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">
      <c r="A20" s="23" t="s">
        <v>25</v>
      </c>
      <c r="B20" s="5"/>
      <c r="C20" s="3">
        <v>-50954.7</v>
      </c>
      <c r="D20" s="3">
        <v>-50954.7</v>
      </c>
      <c r="E20" s="3">
        <v>-50954.7</v>
      </c>
      <c r="F20" s="3">
        <v>-50954.7</v>
      </c>
      <c r="G20" s="3">
        <v>-50954.7</v>
      </c>
      <c r="H20" s="6"/>
      <c r="I20" s="6"/>
      <c r="J20" s="6"/>
      <c r="K20" s="6"/>
      <c r="L20" s="6"/>
    </row>
    <row r="21" spans="1:12" x14ac:dyDescent="0.3">
      <c r="A21" s="32" t="s">
        <v>17</v>
      </c>
      <c r="B21" s="8">
        <f>B17+B18+B19</f>
        <v>-320137.42025000002</v>
      </c>
      <c r="C21" s="4">
        <f>C16+C15+C20</f>
        <v>88978.655159802191</v>
      </c>
      <c r="D21" s="4">
        <f>D16+D15+D20</f>
        <v>94035.568874013275</v>
      </c>
      <c r="E21" s="4">
        <f t="shared" ref="E21:L21" si="29">E16+E15+E20</f>
        <v>99262.634280085083</v>
      </c>
      <c r="F21" s="4">
        <f t="shared" si="29"/>
        <v>104665.1983915392</v>
      </c>
      <c r="G21" s="4">
        <f t="shared" si="29"/>
        <v>110248.76922776601</v>
      </c>
      <c r="H21" s="4">
        <f t="shared" si="29"/>
        <v>166973.72052243433</v>
      </c>
      <c r="I21" s="4">
        <f t="shared" si="29"/>
        <v>172936.49656669382</v>
      </c>
      <c r="J21" s="4">
        <f t="shared" si="29"/>
        <v>179097.81719096474</v>
      </c>
      <c r="K21" s="4">
        <f t="shared" si="29"/>
        <v>185463.88288921991</v>
      </c>
      <c r="L21" s="4">
        <f t="shared" si="29"/>
        <v>192041.08008976863</v>
      </c>
    </row>
    <row r="22" spans="1:12" ht="28.8" customHeight="1" x14ac:dyDescent="0.3">
      <c r="A22" s="25" t="s">
        <v>26</v>
      </c>
      <c r="B22" s="9">
        <f>B21</f>
        <v>-320137.42025000002</v>
      </c>
      <c r="C22" s="9">
        <f t="shared" ref="C22:D22" si="30">C21+B22</f>
        <v>-231158.76509019785</v>
      </c>
      <c r="D22" s="9">
        <f t="shared" si="30"/>
        <v>-137123.19621618459</v>
      </c>
      <c r="E22" s="9">
        <f t="shared" ref="E22" si="31">E21+D22</f>
        <v>-37860.561936099504</v>
      </c>
      <c r="F22" s="9">
        <f t="shared" ref="F22" si="32">F21+E22</f>
        <v>66804.636455439701</v>
      </c>
      <c r="G22" s="9">
        <f t="shared" ref="G22" si="33">G21+F22</f>
        <v>177053.4056832057</v>
      </c>
      <c r="H22" s="9">
        <f t="shared" ref="H22" si="34">H21+G22</f>
        <v>344027.12620564003</v>
      </c>
      <c r="I22" s="9">
        <f t="shared" ref="I22" si="35">I21+H22</f>
        <v>516963.62277233385</v>
      </c>
      <c r="J22" s="9">
        <f t="shared" ref="J22" si="36">J21+I22</f>
        <v>696061.43996329862</v>
      </c>
      <c r="K22" s="9">
        <f t="shared" ref="K22" si="37">K21+J22</f>
        <v>881525.32285251853</v>
      </c>
      <c r="L22" s="9">
        <f t="shared" ref="L22" si="38">L21+K22</f>
        <v>1073566.4029422873</v>
      </c>
    </row>
    <row r="25" spans="1:12" ht="15" customHeight="1" x14ac:dyDescent="0.3"/>
    <row r="26" spans="1:12" ht="15" customHeight="1" thickBot="1" x14ac:dyDescent="0.35"/>
    <row r="27" spans="1:12" x14ac:dyDescent="0.3">
      <c r="A27" s="10" t="s">
        <v>18</v>
      </c>
      <c r="B27" s="11">
        <v>0.14499999999999999</v>
      </c>
      <c r="C27" s="12" t="s">
        <v>19</v>
      </c>
      <c r="D27" s="13">
        <f>NPV(B27,C22:L22)+B22</f>
        <v>603443.12233727495</v>
      </c>
    </row>
    <row r="28" spans="1:12" ht="16.2" customHeight="1" thickBot="1" x14ac:dyDescent="0.35">
      <c r="A28" s="14"/>
      <c r="B28" s="15"/>
      <c r="C28" s="15" t="s">
        <v>20</v>
      </c>
      <c r="D28" s="35">
        <f>IRR(B22:L22)</f>
        <v>0.25639881624912686</v>
      </c>
      <c r="L28" s="36"/>
    </row>
    <row r="30" spans="1:12" ht="15" customHeight="1" x14ac:dyDescent="0.3">
      <c r="A30" s="2"/>
      <c r="B30" s="19"/>
      <c r="C30" s="48" t="s">
        <v>21</v>
      </c>
      <c r="D30" s="49"/>
      <c r="E30" s="49"/>
      <c r="F30" s="49"/>
      <c r="G30" s="49"/>
      <c r="H30" s="49"/>
      <c r="I30" s="49"/>
      <c r="J30" s="49"/>
    </row>
    <row r="31" spans="1:12" ht="14.4" customHeight="1" thickBot="1" x14ac:dyDescent="0.35">
      <c r="A31" s="2"/>
      <c r="B31" s="2"/>
      <c r="C31" s="54" t="s">
        <v>3</v>
      </c>
      <c r="D31" s="54"/>
      <c r="E31" s="54"/>
      <c r="F31" s="54"/>
      <c r="G31" s="54"/>
      <c r="H31" s="54"/>
      <c r="I31" s="54"/>
      <c r="J31" s="54"/>
    </row>
    <row r="32" spans="1:12" ht="15" customHeight="1" thickBot="1" x14ac:dyDescent="0.35">
      <c r="A32" s="20" t="s">
        <v>22</v>
      </c>
      <c r="B32" s="42">
        <f>D28</f>
        <v>0.25639881624912686</v>
      </c>
      <c r="C32" s="43">
        <v>1.7</v>
      </c>
      <c r="D32" s="43">
        <v>1.73</v>
      </c>
      <c r="E32" s="43">
        <v>1.75</v>
      </c>
      <c r="F32" s="43">
        <v>1.77</v>
      </c>
      <c r="G32" s="44">
        <v>1.8</v>
      </c>
      <c r="H32" s="43">
        <v>1.82</v>
      </c>
      <c r="I32" s="43">
        <v>1.84</v>
      </c>
      <c r="J32" s="43">
        <v>1.87</v>
      </c>
    </row>
    <row r="33" spans="1:10" ht="15.6" customHeight="1" x14ac:dyDescent="0.3">
      <c r="A33" s="51" t="s">
        <v>23</v>
      </c>
      <c r="B33" s="16">
        <v>261000</v>
      </c>
      <c r="C33" s="37">
        <f t="dataTable" ref="C33:J42" dt2D="1" dtr="1" r1="C4" r2="C3"/>
        <v>0.18979514310332535</v>
      </c>
      <c r="D33" s="37">
        <v>0.21044301987762615</v>
      </c>
      <c r="E33" s="37">
        <v>0.22386923881340981</v>
      </c>
      <c r="F33" s="37">
        <v>0.23704931301445331</v>
      </c>
      <c r="G33" s="38">
        <v>0.25639881624912686</v>
      </c>
      <c r="H33" s="39">
        <v>0.26904227289117033</v>
      </c>
      <c r="I33" s="39">
        <v>0.28149799731763991</v>
      </c>
      <c r="J33" s="39">
        <v>0.29985814635397512</v>
      </c>
    </row>
    <row r="34" spans="1:10" x14ac:dyDescent="0.3">
      <c r="A34" s="52"/>
      <c r="B34" s="17">
        <v>264000</v>
      </c>
      <c r="C34" s="40">
        <v>0.20311727781563982</v>
      </c>
      <c r="D34" s="40">
        <v>0.22359790029150406</v>
      </c>
      <c r="E34" s="40">
        <v>0.23693192606434144</v>
      </c>
      <c r="F34" s="41">
        <v>0.25003341448591221</v>
      </c>
      <c r="G34" s="41">
        <v>0.26928767581430479</v>
      </c>
      <c r="H34" s="41">
        <v>0.28188108834450509</v>
      </c>
      <c r="I34" s="41">
        <v>0.29429640014456826</v>
      </c>
      <c r="J34" s="41">
        <v>0.31261218640343191</v>
      </c>
    </row>
    <row r="35" spans="1:10" x14ac:dyDescent="0.3">
      <c r="A35" s="52"/>
      <c r="B35" s="17">
        <v>267000</v>
      </c>
      <c r="C35" s="40">
        <v>0.21618233488003957</v>
      </c>
      <c r="D35" s="40">
        <v>0.23651833486000418</v>
      </c>
      <c r="E35" s="40">
        <v>0.24977351975263407</v>
      </c>
      <c r="F35" s="41">
        <v>0.26280859491020903</v>
      </c>
      <c r="G35" s="41">
        <v>0.28198397576784151</v>
      </c>
      <c r="H35" s="41">
        <v>0.29453716090870996</v>
      </c>
      <c r="I35" s="41">
        <v>0.30692112023199192</v>
      </c>
      <c r="J35" s="41">
        <v>0.3252048949267472</v>
      </c>
    </row>
    <row r="36" spans="1:10" x14ac:dyDescent="0.3">
      <c r="A36" s="52"/>
      <c r="B36" s="17">
        <v>270000</v>
      </c>
      <c r="C36" s="40">
        <v>0.22901039180451832</v>
      </c>
      <c r="D36" s="40">
        <v>0.24922214471587956</v>
      </c>
      <c r="E36" s="40">
        <v>0.26241055499996579</v>
      </c>
      <c r="F36" s="41">
        <v>0.27539024732315731</v>
      </c>
      <c r="G36" s="41">
        <v>0.29450162103091926</v>
      </c>
      <c r="H36" s="41">
        <v>0.30702352928592935</v>
      </c>
      <c r="I36" s="41">
        <v>0.31938441502800097</v>
      </c>
      <c r="J36" s="41">
        <v>0.33764749313613707</v>
      </c>
    </row>
    <row r="37" spans="1:10" x14ac:dyDescent="0.3">
      <c r="A37" s="52"/>
      <c r="B37" s="17">
        <v>273000</v>
      </c>
      <c r="C37" s="40">
        <v>0.24161944474889818</v>
      </c>
      <c r="D37" s="40">
        <v>0.26172536789727463</v>
      </c>
      <c r="E37" s="40">
        <v>0.27485794865923241</v>
      </c>
      <c r="F37" s="41">
        <v>0.2877922894923084</v>
      </c>
      <c r="G37" s="41">
        <v>0.3068532224817424</v>
      </c>
      <c r="H37" s="41">
        <v>0.3193520407865269</v>
      </c>
      <c r="I37" s="41">
        <v>0.33169744126139666</v>
      </c>
      <c r="J37" s="41">
        <v>0.34995021882176358</v>
      </c>
    </row>
    <row r="38" spans="1:10" x14ac:dyDescent="0.3">
      <c r="A38" s="52"/>
      <c r="B38" s="17">
        <v>276000</v>
      </c>
      <c r="C38" s="40">
        <v>0.25402568488289412</v>
      </c>
      <c r="D38" s="40">
        <v>0.27404248774635898</v>
      </c>
      <c r="E38" s="40">
        <v>0.28712920195037306</v>
      </c>
      <c r="F38" s="41">
        <v>0.3000273446720696</v>
      </c>
      <c r="G38" s="41">
        <v>0.31905025066724146</v>
      </c>
      <c r="H38" s="41">
        <v>0.33153349009316679</v>
      </c>
      <c r="I38" s="41">
        <v>0.34387038074451204</v>
      </c>
      <c r="J38" s="41">
        <v>0.3621224357512014</v>
      </c>
    </row>
    <row r="39" spans="1:10" x14ac:dyDescent="0.3">
      <c r="A39" s="52"/>
      <c r="B39" s="17">
        <v>279000</v>
      </c>
      <c r="C39" s="40">
        <v>0.26624373028562154</v>
      </c>
      <c r="D39" s="40">
        <v>0.28618662580228627</v>
      </c>
      <c r="E39" s="41">
        <v>0.29923657227011868</v>
      </c>
      <c r="F39" s="41">
        <v>0.31210689542659042</v>
      </c>
      <c r="G39" s="41">
        <v>0.33110316728088951</v>
      </c>
      <c r="H39" s="41">
        <v>0.34357773832753558</v>
      </c>
      <c r="I39" s="41">
        <v>0.35591254863953781</v>
      </c>
      <c r="J39" s="41">
        <v>0.37417272821070302</v>
      </c>
    </row>
    <row r="40" spans="1:10" x14ac:dyDescent="0.3">
      <c r="A40" s="52"/>
      <c r="B40" s="17">
        <v>282000</v>
      </c>
      <c r="C40" s="40">
        <v>0.27828682169740371</v>
      </c>
      <c r="D40" s="40">
        <v>0.29816970561115852</v>
      </c>
      <c r="E40" s="41">
        <v>0.31119121963725949</v>
      </c>
      <c r="F40" s="41">
        <v>0.32404141519812746</v>
      </c>
      <c r="G40" s="41">
        <v>0.34302153816026038</v>
      </c>
      <c r="H40" s="41">
        <v>0.35549381568576632</v>
      </c>
      <c r="I40" s="41">
        <v>0.36783248704621707</v>
      </c>
      <c r="J40" s="41">
        <v>0.3861089830498865</v>
      </c>
    </row>
    <row r="41" spans="1:10" ht="15" customHeight="1" x14ac:dyDescent="0.3">
      <c r="A41" s="52"/>
      <c r="B41" s="17">
        <v>285000</v>
      </c>
      <c r="C41" s="40">
        <v>0.29016698867863466</v>
      </c>
      <c r="D41" s="40">
        <v>0.31000259256119245</v>
      </c>
      <c r="E41" s="41">
        <v>0.3230033321395307</v>
      </c>
      <c r="F41" s="41">
        <v>0.3358404813781859</v>
      </c>
      <c r="G41" s="41">
        <v>0.3548141308393935</v>
      </c>
      <c r="H41" s="41">
        <v>0.36729001029423491</v>
      </c>
      <c r="I41" s="41">
        <v>0.3796380462397968</v>
      </c>
      <c r="J41" s="41">
        <v>0.39793846116605724</v>
      </c>
    </row>
    <row r="42" spans="1:10" ht="15" thickBot="1" x14ac:dyDescent="0.35">
      <c r="A42" s="53"/>
      <c r="B42" s="18">
        <v>288000</v>
      </c>
      <c r="C42" s="40">
        <v>0.30189519138634391</v>
      </c>
      <c r="D42" s="40">
        <v>0.32169521383533195</v>
      </c>
      <c r="E42" s="41">
        <v>0.33468223389658713</v>
      </c>
      <c r="F42" s="41">
        <v>0.34751287291946409</v>
      </c>
      <c r="G42" s="41">
        <v>0.36648899912535438</v>
      </c>
      <c r="H42" s="41">
        <v>0.37897394545122975</v>
      </c>
      <c r="I42" s="41">
        <v>0.39133645546889051</v>
      </c>
      <c r="J42" s="41">
        <v>0.40966786002185129</v>
      </c>
    </row>
  </sheetData>
  <mergeCells count="4">
    <mergeCell ref="A1:L1"/>
    <mergeCell ref="C30:J30"/>
    <mergeCell ref="A33:A42"/>
    <mergeCell ref="C31:J3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con Financiacion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rodxf</cp:lastModifiedBy>
  <dcterms:created xsi:type="dcterms:W3CDTF">2015-06-05T18:19:34Z</dcterms:created>
  <dcterms:modified xsi:type="dcterms:W3CDTF">2023-12-03T21:50:02Z</dcterms:modified>
</cp:coreProperties>
</file>