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b1227f88c0f301e/stockmodels/"/>
    </mc:Choice>
  </mc:AlternateContent>
  <xr:revisionPtr revIDLastSave="0" documentId="8_{53DA0FAF-B7A3-4803-82E1-EBB75772B003}" xr6:coauthVersionLast="47" xr6:coauthVersionMax="47" xr10:uidLastSave="{00000000-0000-0000-0000-000000000000}"/>
  <bookViews>
    <workbookView xWindow="41145" yWindow="915" windowWidth="20955" windowHeight="14325" activeTab="1" xr2:uid="{EE86DB47-C13C-442E-923A-D5E06ED183BA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1" l="1"/>
  <c r="Q26" i="1"/>
  <c r="Q22" i="1"/>
  <c r="Q18" i="1"/>
  <c r="N7" i="2"/>
  <c r="N6" i="2"/>
  <c r="N5" i="2"/>
  <c r="N4" i="2"/>
  <c r="AT73" i="1"/>
  <c r="AS73" i="1"/>
  <c r="AR73" i="1"/>
  <c r="K73" i="1"/>
  <c r="G73" i="1"/>
  <c r="P57" i="1"/>
  <c r="P56" i="1"/>
  <c r="P53" i="1"/>
  <c r="P62" i="1" s="1"/>
  <c r="P49" i="1"/>
  <c r="P43" i="1"/>
  <c r="P41" i="1"/>
  <c r="P40" i="1"/>
  <c r="P39" i="1"/>
  <c r="P50" i="1" s="1"/>
  <c r="P38" i="1"/>
  <c r="K30" i="1"/>
  <c r="G30" i="1"/>
  <c r="AT28" i="1"/>
  <c r="AS28" i="1"/>
  <c r="AR28" i="1"/>
  <c r="P28" i="1"/>
  <c r="L28" i="1"/>
  <c r="K28" i="1"/>
  <c r="G28" i="1"/>
  <c r="AT26" i="1"/>
  <c r="AS26" i="1"/>
  <c r="AR26" i="1"/>
  <c r="P26" i="1"/>
  <c r="L26" i="1"/>
  <c r="K26" i="1"/>
  <c r="G26" i="1"/>
  <c r="AR23" i="1"/>
  <c r="AR36" i="1" s="1"/>
  <c r="AT22" i="1"/>
  <c r="AS22" i="1"/>
  <c r="AR22" i="1"/>
  <c r="P22" i="1"/>
  <c r="L22" i="1"/>
  <c r="K22" i="1"/>
  <c r="G22" i="1"/>
  <c r="AT18" i="1"/>
  <c r="AT23" i="1" s="1"/>
  <c r="AS18" i="1"/>
  <c r="AS35" i="1" s="1"/>
  <c r="AR18" i="1"/>
  <c r="P18" i="1"/>
  <c r="P35" i="1" s="1"/>
  <c r="L18" i="1"/>
  <c r="L35" i="1" s="1"/>
  <c r="K18" i="1"/>
  <c r="K35" i="1" s="1"/>
  <c r="G18" i="1"/>
  <c r="G23" i="1" s="1"/>
  <c r="Y2" i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Q23" i="1" l="1"/>
  <c r="Q36" i="1" s="1"/>
  <c r="Q35" i="1"/>
  <c r="G27" i="1"/>
  <c r="G29" i="1" s="1"/>
  <c r="G31" i="1" s="1"/>
  <c r="G32" i="1" s="1"/>
  <c r="G36" i="1"/>
  <c r="AT36" i="1"/>
  <c r="AT27" i="1"/>
  <c r="AT29" i="1" s="1"/>
  <c r="AT31" i="1" s="1"/>
  <c r="AT32" i="1" s="1"/>
  <c r="AT35" i="1"/>
  <c r="K23" i="1"/>
  <c r="L23" i="1"/>
  <c r="AR27" i="1"/>
  <c r="AR29" i="1" s="1"/>
  <c r="AR31" i="1" s="1"/>
  <c r="AR32" i="1" s="1"/>
  <c r="P23" i="1"/>
  <c r="AS23" i="1"/>
  <c r="Q27" i="1" l="1"/>
  <c r="Q29" i="1" s="1"/>
  <c r="Q31" i="1" s="1"/>
  <c r="Q32" i="1" s="1"/>
  <c r="L36" i="1"/>
  <c r="L27" i="1"/>
  <c r="L29" i="1" s="1"/>
  <c r="L31" i="1" s="1"/>
  <c r="L32" i="1" s="1"/>
  <c r="K27" i="1"/>
  <c r="K29" i="1" s="1"/>
  <c r="K31" i="1" s="1"/>
  <c r="K32" i="1" s="1"/>
  <c r="K36" i="1"/>
  <c r="AS36" i="1"/>
  <c r="AS27" i="1"/>
  <c r="AS29" i="1" s="1"/>
  <c r="AS31" i="1" s="1"/>
  <c r="AS32" i="1" s="1"/>
  <c r="P36" i="1"/>
  <c r="P27" i="1"/>
  <c r="P29" i="1" s="1"/>
  <c r="P31" i="1" s="1"/>
  <c r="P32" i="1" s="1"/>
</calcChain>
</file>

<file path=xl/sharedStrings.xml><?xml version="1.0" encoding="utf-8"?>
<sst xmlns="http://schemas.openxmlformats.org/spreadsheetml/2006/main" count="84" uniqueCount="74">
  <si>
    <t>Main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</si>
  <si>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</si>
  <si>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</si>
  <si>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</si>
  <si>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</si>
  <si>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</si>
  <si>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</si>
  <si>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</si>
  <si>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</si>
  <si>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</si>
  <si>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</si>
  <si>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</si>
  <si>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</si>
  <si>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</si>
  <si>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</si>
  <si>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</si>
  <si>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</si>
  <si>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RPO</t>
  </si>
  <si>
    <t>Hybrid Platform</t>
  </si>
  <si>
    <t>Transaction Processing</t>
  </si>
  <si>
    <t>Business Consulting</t>
  </si>
  <si>
    <t>App Consulting</t>
  </si>
  <si>
    <t>Tech Consulting</t>
  </si>
  <si>
    <t>Hybrid Infrastructure</t>
  </si>
  <si>
    <t>Infrastructure Support</t>
  </si>
  <si>
    <t>Financing</t>
  </si>
  <si>
    <t>Other</t>
  </si>
  <si>
    <t>Services</t>
  </si>
  <si>
    <t>Sales</t>
  </si>
  <si>
    <t>Revenue</t>
  </si>
  <si>
    <t>CofServices</t>
  </si>
  <si>
    <t>CofSales</t>
  </si>
  <si>
    <t>CofFinancing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</si>
  <si>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</si>
  <si>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</si>
  <si>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</si>
  <si>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</si>
  <si>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</si>
  <si>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</si>
  <si>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</si>
  <si>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</si>
  <si>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</si>
  <si>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</si>
  <si>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</si>
  <si>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</si>
  <si>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</si>
  <si>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GM%</t>
  </si>
  <si>
    <t>Net Cash</t>
  </si>
  <si>
    <t>Cash</t>
  </si>
  <si>
    <t>AR</t>
  </si>
  <si>
    <t>Financing Receivables</t>
  </si>
  <si>
    <t>Inventory</t>
  </si>
  <si>
    <t>Costs</t>
  </si>
  <si>
    <t>Prepaids</t>
  </si>
  <si>
    <t>PP&amp;E</t>
  </si>
  <si>
    <t>ROU</t>
  </si>
  <si>
    <t>Pension</t>
  </si>
  <si>
    <t>DT</t>
  </si>
  <si>
    <t>Goodwill</t>
  </si>
  <si>
    <t>Assets</t>
  </si>
  <si>
    <t>Debt</t>
  </si>
  <si>
    <t>AP</t>
  </si>
  <si>
    <t>Compensation</t>
  </si>
  <si>
    <t>DR</t>
  </si>
  <si>
    <t>Lease</t>
  </si>
  <si>
    <t>Accrued</t>
  </si>
  <si>
    <t>Equity</t>
  </si>
  <si>
    <t>L+SE</t>
  </si>
  <si>
    <t>CFFO</t>
  </si>
  <si>
    <t>CapEx</t>
  </si>
  <si>
    <t>FCF</t>
  </si>
  <si>
    <t>Price</t>
  </si>
  <si>
    <t>MC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</si>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</sst>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18192</xdr:colOff>
      <xdr:row>0</xdr:row>
      <xdr:rowOff>0</xdr:rowOff>
    </xdr:from>
    <xdr:to>
      <xdr:col>17</xdr:col>
      <xdr:colOff>18192</xdr:colOff>
      <xdr:row>91</xdr:row>
      <xdr:rowOff>141486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3F2DED0-92B5-4FA6-A905-102BAF6E37F3}"/>
            </a:ext>
          </a:extLst>
        </xdr:cNvPr>
        <xdr:cNvCxnSpPr/>
      </xdr:nvCxnSpPr>
      <xdr:spPr>
        <a:xfrm>
          <a:off x="10957288" y="0"/>
          <a:ext cx="0" cy="148099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7326</xdr:colOff>
      <xdr:row>0</xdr:row>
      <xdr:rowOff>65942</xdr:rowOff>
    </xdr:from>
    <xdr:to>
      <xdr:col>46</xdr:col>
      <xdr:colOff>7326</xdr:colOff>
      <xdr:row>81</xdr:row>
      <xdr:rowOff>43962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29D818A-9148-4FC0-8664-6B99826AF4E6}"/>
            </a:ext>
          </a:extLst>
        </xdr:cNvPr>
        <xdr:cNvCxnSpPr/>
      </xdr:nvCxnSpPr>
      <xdr:spPr>
        <a:xfrm>
          <a:off x="28639476" y="65942"/>
          <a:ext cx="0" cy="130939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6B1A-BFBB-4954-8EA8-AB58FD812C0A}">
  <dimension ref="M2:O7"/>
  <sheetViews>
    <sheetView topLeftCell="E1" zoomScale="175" zoomScaleNormal="175" workbookViewId="0">
      <selection activeCell="N6" sqref="N6"/>
    </sheetView>
  </sheetViews>
  <sheetFormatPr defaultRowHeight="12.75" x14ac:dyDescent="0.2"/>
  <sheetData>
    <row r="2" spans="13:15" x14ac:dyDescent="0.2">
      <c r="M2" t="s">
        <v>71</v>
      </c>
      <c r="N2">
        <v>223.18</v>
      </c>
    </row>
    <row r="3" spans="13:15" x14ac:dyDescent="0.2">
      <c r="M3" t="s">
        <v>44</v>
      </c>
      <c r="N3" s="3">
        <v>924.64515200000005</v>
      </c>
      <c r="O3" t="s">
        <v>15</v>
      </c>
    </row>
    <row r="4" spans="13:15" x14ac:dyDescent="0.2">
      <c r="M4" t="s">
        <v>72</v>
      </c>
      <c r="N4" s="3">
        <f>N3*N2</f>
        <v>206362.30502336001</v>
      </c>
    </row>
    <row r="5" spans="13:15" x14ac:dyDescent="0.2">
      <c r="M5" t="s">
        <v>48</v>
      </c>
      <c r="N5" s="3">
        <f>13197+17+505+5390</f>
        <v>19109</v>
      </c>
      <c r="O5" t="s">
        <v>15</v>
      </c>
    </row>
    <row r="6" spans="13:15" x14ac:dyDescent="0.2">
      <c r="M6" t="s">
        <v>60</v>
      </c>
      <c r="N6" s="3">
        <f>52980+1584</f>
        <v>54564</v>
      </c>
      <c r="O6" t="s">
        <v>15</v>
      </c>
    </row>
    <row r="7" spans="13:15" x14ac:dyDescent="0.2">
      <c r="M7" t="s">
        <v>73</v>
      </c>
      <c r="N7" s="3">
        <f>N4-N5+N6</f>
        <v>241817.30502336001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510E-78F1-4539-A534-8553E1E8CF6B}">
  <dimension ref="A1:AX73"/>
  <sheetViews>
    <sheetView tabSelected="1" zoomScale="130" zoomScaleNormal="130" workbookViewId="0">
      <pane xSplit="2" ySplit="2" topLeftCell="M29" activePane="bottomRight" state="frozen"/>
      <selection pane="topRight" activeCell="C1" sqref="C1"/>
      <selection pane="bottomLeft" activeCell="A3" sqref="A3"/>
      <selection pane="bottomRight" activeCell="P40" sqref="P40"/>
    </sheetView>
  </sheetViews>
  <sheetFormatPr defaultRowHeight="12.75" x14ac:dyDescent="0.2"/>
  <cols>
    <col min="1" max="1" width="5" bestFit="1" customWidth="1"/>
    <col min="2" max="2" width="22.140625" customWidth="1"/>
    <col min="3" max="11" width="9.140625" style="2"/>
  </cols>
  <sheetData>
    <row r="1" spans="1:50" x14ac:dyDescent="0.2">
      <c r="A1" s="1" t="s">
        <v>0</v>
      </c>
    </row>
    <row r="2" spans="1:50" x14ac:dyDescent="0.2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/>
      <c r="T2" s="2"/>
      <c r="U2" s="2"/>
      <c r="X2">
        <v>2000</v>
      </c>
      <c r="Y2">
        <f>X2+1</f>
        <v>2001</v>
      </c>
      <c r="Z2">
        <f>Y2+1</f>
        <v>2002</v>
      </c>
      <c r="AA2">
        <f t="shared" ref="AA2:AX2" si="0">Z2+1</f>
        <v>2003</v>
      </c>
      <c r="AB2">
        <f t="shared" si="0"/>
        <v>2004</v>
      </c>
      <c r="AC2">
        <f t="shared" si="0"/>
        <v>2005</v>
      </c>
      <c r="AD2">
        <f t="shared" si="0"/>
        <v>2006</v>
      </c>
      <c r="AE2">
        <f t="shared" si="0"/>
        <v>2007</v>
      </c>
      <c r="AF2">
        <f t="shared" si="0"/>
        <v>2008</v>
      </c>
      <c r="AG2">
        <f t="shared" si="0"/>
        <v>2009</v>
      </c>
      <c r="AH2">
        <f t="shared" si="0"/>
        <v>2010</v>
      </c>
      <c r="AI2">
        <f t="shared" si="0"/>
        <v>2011</v>
      </c>
      <c r="AJ2">
        <f t="shared" si="0"/>
        <v>2012</v>
      </c>
      <c r="AK2">
        <f t="shared" si="0"/>
        <v>2013</v>
      </c>
      <c r="AL2">
        <f t="shared" si="0"/>
        <v>2014</v>
      </c>
      <c r="AM2">
        <f t="shared" si="0"/>
        <v>2015</v>
      </c>
      <c r="AN2">
        <f t="shared" si="0"/>
        <v>2016</v>
      </c>
      <c r="AO2">
        <f t="shared" si="0"/>
        <v>2017</v>
      </c>
      <c r="AP2">
        <f t="shared" si="0"/>
        <v>2018</v>
      </c>
      <c r="AQ2">
        <f t="shared" si="0"/>
        <v>2019</v>
      </c>
      <c r="AR2">
        <f t="shared" si="0"/>
        <v>2020</v>
      </c>
      <c r="AS2">
        <f t="shared" si="0"/>
        <v>2021</v>
      </c>
      <c r="AT2">
        <f t="shared" si="0"/>
        <v>2022</v>
      </c>
      <c r="AU2">
        <f t="shared" si="0"/>
        <v>2023</v>
      </c>
      <c r="AV2">
        <f t="shared" si="0"/>
        <v>2024</v>
      </c>
      <c r="AW2">
        <f t="shared" si="0"/>
        <v>2025</v>
      </c>
      <c r="AX2">
        <f t="shared" si="0"/>
        <v>2026</v>
      </c>
    </row>
    <row r="3" spans="1:50" s="3" customFormat="1" x14ac:dyDescent="0.2">
      <c r="B3" s="3" t="s">
        <v>17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>
        <v>56000</v>
      </c>
      <c r="Q3" s="4"/>
      <c r="R3" s="4"/>
      <c r="S3" s="4"/>
      <c r="T3" s="4"/>
      <c r="U3" s="4"/>
    </row>
    <row r="4" spans="1:50" x14ac:dyDescent="0.2">
      <c r="L4" s="2"/>
      <c r="M4" s="2"/>
      <c r="N4" s="2"/>
      <c r="O4" s="2"/>
      <c r="P4" s="2"/>
      <c r="Q4" s="2"/>
      <c r="R4" s="2"/>
      <c r="S4" s="2"/>
      <c r="T4" s="2"/>
      <c r="U4" s="2"/>
    </row>
    <row r="5" spans="1:50" s="3" customFormat="1" x14ac:dyDescent="0.2">
      <c r="B5" s="5" t="s">
        <v>18</v>
      </c>
      <c r="C5" s="6"/>
      <c r="D5" s="6"/>
      <c r="E5" s="4"/>
      <c r="F5" s="4"/>
      <c r="G5" s="4">
        <v>4080</v>
      </c>
      <c r="H5" s="4"/>
      <c r="I5" s="4"/>
      <c r="J5" s="4"/>
      <c r="K5" s="4">
        <v>4179</v>
      </c>
      <c r="L5" s="4">
        <v>4350</v>
      </c>
      <c r="M5" s="4"/>
      <c r="N5" s="4"/>
      <c r="O5" s="4"/>
      <c r="P5" s="4">
        <v>4575</v>
      </c>
      <c r="Q5" s="4"/>
      <c r="R5" s="4"/>
      <c r="S5" s="4"/>
      <c r="T5" s="4"/>
      <c r="U5" s="4"/>
    </row>
    <row r="6" spans="1:50" s="3" customFormat="1" x14ac:dyDescent="0.2">
      <c r="B6" s="5" t="s">
        <v>19</v>
      </c>
      <c r="C6" s="6"/>
      <c r="D6" s="6"/>
      <c r="E6" s="4"/>
      <c r="F6" s="4"/>
      <c r="G6" s="4">
        <v>1692</v>
      </c>
      <c r="H6" s="4"/>
      <c r="I6" s="4"/>
      <c r="J6" s="4"/>
      <c r="K6" s="4">
        <v>1742</v>
      </c>
      <c r="L6" s="4">
        <v>1943</v>
      </c>
      <c r="M6" s="4"/>
      <c r="N6" s="4"/>
      <c r="O6" s="4"/>
      <c r="P6" s="4">
        <v>2164</v>
      </c>
      <c r="Q6" s="4"/>
      <c r="R6" s="4"/>
      <c r="S6" s="4"/>
      <c r="T6" s="4"/>
      <c r="U6" s="4"/>
    </row>
    <row r="7" spans="1:50" s="3" customFormat="1" x14ac:dyDescent="0.2">
      <c r="B7" s="3" t="s">
        <v>20</v>
      </c>
      <c r="C7" s="4"/>
      <c r="D7" s="4"/>
      <c r="E7" s="4"/>
      <c r="F7" s="4"/>
      <c r="G7" s="4">
        <v>2255</v>
      </c>
      <c r="H7" s="4"/>
      <c r="I7" s="4"/>
      <c r="J7" s="4"/>
      <c r="K7" s="4">
        <v>2283</v>
      </c>
      <c r="L7" s="4">
        <v>2295</v>
      </c>
      <c r="M7" s="4"/>
      <c r="N7" s="4"/>
      <c r="O7" s="4"/>
      <c r="P7" s="4">
        <v>2360</v>
      </c>
      <c r="Q7" s="4"/>
      <c r="R7" s="4"/>
      <c r="S7" s="4"/>
      <c r="T7" s="4"/>
      <c r="U7" s="4"/>
    </row>
    <row r="8" spans="1:50" s="3" customFormat="1" x14ac:dyDescent="0.2">
      <c r="B8" s="3" t="s">
        <v>21</v>
      </c>
      <c r="C8" s="4"/>
      <c r="D8" s="4"/>
      <c r="E8" s="4"/>
      <c r="F8" s="4"/>
      <c r="G8" s="4">
        <v>1619</v>
      </c>
      <c r="H8" s="4"/>
      <c r="I8" s="4"/>
      <c r="J8" s="4"/>
      <c r="K8" s="4">
        <v>1736</v>
      </c>
      <c r="L8" s="4">
        <v>1991</v>
      </c>
      <c r="M8" s="4"/>
      <c r="N8" s="4"/>
      <c r="O8" s="4"/>
      <c r="P8" s="4">
        <v>1902</v>
      </c>
      <c r="Q8" s="4"/>
      <c r="R8" s="4"/>
      <c r="S8" s="4"/>
      <c r="T8" s="4"/>
      <c r="U8" s="4"/>
    </row>
    <row r="9" spans="1:50" s="3" customFormat="1" x14ac:dyDescent="0.2">
      <c r="B9" s="3" t="s">
        <v>22</v>
      </c>
      <c r="C9" s="4"/>
      <c r="D9" s="4"/>
      <c r="E9" s="4"/>
      <c r="F9" s="4"/>
      <c r="G9" s="4">
        <v>955</v>
      </c>
      <c r="H9" s="4"/>
      <c r="I9" s="4"/>
      <c r="J9" s="4"/>
      <c r="K9" s="4">
        <v>943</v>
      </c>
      <c r="L9" s="4">
        <v>941</v>
      </c>
      <c r="M9" s="4"/>
      <c r="N9" s="4"/>
      <c r="O9" s="4"/>
      <c r="P9" s="4">
        <v>917</v>
      </c>
      <c r="Q9" s="4"/>
      <c r="R9" s="4"/>
      <c r="S9" s="4"/>
      <c r="T9" s="4"/>
      <c r="U9" s="4"/>
    </row>
    <row r="10" spans="1:50" s="3" customFormat="1" x14ac:dyDescent="0.2">
      <c r="B10" s="3" t="s">
        <v>23</v>
      </c>
      <c r="C10" s="4"/>
      <c r="D10" s="4"/>
      <c r="E10" s="4"/>
      <c r="F10" s="4"/>
      <c r="G10" s="4">
        <v>1700</v>
      </c>
      <c r="H10" s="4"/>
      <c r="I10" s="4"/>
      <c r="J10" s="4"/>
      <c r="K10" s="4">
        <v>1709</v>
      </c>
      <c r="L10" s="4">
        <v>2260</v>
      </c>
      <c r="M10" s="4"/>
      <c r="N10" s="4"/>
      <c r="O10" s="4"/>
      <c r="P10" s="4">
        <v>2360</v>
      </c>
      <c r="Q10" s="4"/>
      <c r="R10" s="4"/>
      <c r="S10" s="4"/>
      <c r="T10" s="4"/>
      <c r="U10" s="4"/>
    </row>
    <row r="11" spans="1:50" s="3" customFormat="1" x14ac:dyDescent="0.2">
      <c r="B11" s="3" t="s">
        <v>24</v>
      </c>
      <c r="C11" s="4"/>
      <c r="D11" s="4"/>
      <c r="E11" s="4"/>
      <c r="F11" s="4"/>
      <c r="G11" s="4">
        <v>1519</v>
      </c>
      <c r="H11" s="4"/>
      <c r="I11" s="4"/>
      <c r="J11" s="4"/>
      <c r="K11" s="4">
        <v>1389</v>
      </c>
      <c r="L11" s="4">
        <v>1358</v>
      </c>
      <c r="M11" s="4"/>
      <c r="N11" s="4"/>
      <c r="O11" s="4"/>
      <c r="P11" s="4">
        <v>1285</v>
      </c>
      <c r="Q11" s="4"/>
      <c r="R11" s="4"/>
      <c r="S11" s="4"/>
      <c r="T11" s="4"/>
      <c r="U11" s="4"/>
    </row>
    <row r="12" spans="1:50" s="3" customFormat="1" x14ac:dyDescent="0.2">
      <c r="B12" s="3" t="s">
        <v>25</v>
      </c>
      <c r="C12" s="4"/>
      <c r="D12" s="4"/>
      <c r="E12" s="4"/>
      <c r="F12" s="4"/>
      <c r="G12" s="4">
        <v>154</v>
      </c>
      <c r="H12" s="4"/>
      <c r="I12" s="4"/>
      <c r="J12" s="4"/>
      <c r="K12" s="4">
        <v>196</v>
      </c>
      <c r="L12" s="4">
        <v>185</v>
      </c>
      <c r="M12" s="4"/>
      <c r="N12" s="4"/>
      <c r="O12" s="4"/>
      <c r="P12" s="4">
        <v>169</v>
      </c>
      <c r="Q12" s="4"/>
      <c r="R12" s="4"/>
      <c r="S12" s="4"/>
      <c r="T12" s="4"/>
      <c r="U12" s="4"/>
    </row>
    <row r="13" spans="1:50" s="3" customFormat="1" x14ac:dyDescent="0.2">
      <c r="B13" s="3" t="s">
        <v>26</v>
      </c>
      <c r="C13" s="4"/>
      <c r="D13" s="4"/>
      <c r="E13" s="4"/>
      <c r="F13" s="4"/>
      <c r="G13" s="4">
        <v>224</v>
      </c>
      <c r="H13" s="4"/>
      <c r="I13" s="4"/>
      <c r="J13" s="4"/>
      <c r="K13" s="4">
        <v>75</v>
      </c>
      <c r="L13" s="4">
        <v>152</v>
      </c>
      <c r="M13" s="4"/>
      <c r="N13" s="4"/>
      <c r="O13" s="4"/>
      <c r="P13" s="4">
        <v>38</v>
      </c>
      <c r="Q13" s="4"/>
      <c r="R13" s="4"/>
      <c r="S13" s="4"/>
      <c r="T13" s="4"/>
      <c r="U13" s="4"/>
    </row>
    <row r="14" spans="1:50" x14ac:dyDescent="0.2"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50" s="3" customFormat="1" x14ac:dyDescent="0.2">
      <c r="B15" s="3" t="s">
        <v>27</v>
      </c>
      <c r="C15" s="4"/>
      <c r="D15" s="4"/>
      <c r="E15" s="4"/>
      <c r="F15" s="4"/>
      <c r="G15" s="4">
        <v>7703</v>
      </c>
      <c r="H15" s="4"/>
      <c r="I15" s="4"/>
      <c r="J15" s="4"/>
      <c r="K15" s="4">
        <v>7524</v>
      </c>
      <c r="L15" s="4">
        <v>7553</v>
      </c>
      <c r="P15" s="3">
        <v>7405</v>
      </c>
      <c r="Q15" s="3">
        <v>7453</v>
      </c>
      <c r="AR15" s="3">
        <v>27626</v>
      </c>
      <c r="AS15" s="3">
        <v>29225</v>
      </c>
      <c r="AT15" s="3">
        <v>30206</v>
      </c>
    </row>
    <row r="16" spans="1:50" s="3" customFormat="1" x14ac:dyDescent="0.2">
      <c r="B16" s="3" t="s">
        <v>28</v>
      </c>
      <c r="C16" s="4"/>
      <c r="D16" s="4"/>
      <c r="E16" s="4"/>
      <c r="F16" s="4"/>
      <c r="G16" s="4">
        <v>6339</v>
      </c>
      <c r="H16" s="4"/>
      <c r="I16" s="4"/>
      <c r="J16" s="4"/>
      <c r="K16" s="4">
        <v>6532</v>
      </c>
      <c r="L16" s="4">
        <v>7739</v>
      </c>
      <c r="P16" s="3">
        <v>8195</v>
      </c>
      <c r="Q16" s="3">
        <v>7334</v>
      </c>
      <c r="AR16" s="3">
        <v>26569</v>
      </c>
      <c r="AS16" s="3">
        <v>27346</v>
      </c>
      <c r="AT16" s="3">
        <v>29673</v>
      </c>
    </row>
    <row r="17" spans="2:46" s="3" customFormat="1" x14ac:dyDescent="0.2">
      <c r="B17" s="3" t="s">
        <v>25</v>
      </c>
      <c r="C17" s="4"/>
      <c r="D17" s="4"/>
      <c r="E17" s="4"/>
      <c r="F17" s="4"/>
      <c r="G17" s="4">
        <v>155</v>
      </c>
      <c r="H17" s="4"/>
      <c r="I17" s="4"/>
      <c r="J17" s="4"/>
      <c r="K17" s="4">
        <v>196</v>
      </c>
      <c r="L17" s="4">
        <v>183</v>
      </c>
      <c r="P17" s="3">
        <v>169</v>
      </c>
      <c r="Q17" s="3">
        <v>180</v>
      </c>
      <c r="AR17" s="3">
        <v>984</v>
      </c>
      <c r="AS17" s="3">
        <v>780</v>
      </c>
      <c r="AT17" s="3">
        <v>651</v>
      </c>
    </row>
    <row r="18" spans="2:46" s="5" customFormat="1" x14ac:dyDescent="0.2">
      <c r="B18" s="5" t="s">
        <v>29</v>
      </c>
      <c r="C18" s="6"/>
      <c r="D18" s="6"/>
      <c r="E18" s="4"/>
      <c r="F18" s="6"/>
      <c r="G18" s="6">
        <f>SUM(G15:G17)</f>
        <v>14197</v>
      </c>
      <c r="H18" s="6"/>
      <c r="I18" s="6"/>
      <c r="J18" s="6"/>
      <c r="K18" s="6">
        <f>SUM(K15:K17)</f>
        <v>14252</v>
      </c>
      <c r="L18" s="6">
        <f>SUM(L15:L17)</f>
        <v>15475</v>
      </c>
      <c r="P18" s="5">
        <f>SUM(P15:P17)</f>
        <v>15769</v>
      </c>
      <c r="Q18" s="5">
        <f>SUM(Q15:Q17)</f>
        <v>14967</v>
      </c>
      <c r="AR18" s="5">
        <f>SUM(AR15:AR17)</f>
        <v>55179</v>
      </c>
      <c r="AS18" s="5">
        <f>SUM(AS15:AS17)</f>
        <v>57351</v>
      </c>
      <c r="AT18" s="5">
        <f>SUM(AT15:AT17)</f>
        <v>60530</v>
      </c>
    </row>
    <row r="19" spans="2:46" x14ac:dyDescent="0.2">
      <c r="B19" s="3" t="s">
        <v>30</v>
      </c>
      <c r="G19" s="4">
        <v>5349</v>
      </c>
      <c r="K19" s="4">
        <v>5310</v>
      </c>
      <c r="L19" s="4">
        <v>5294</v>
      </c>
      <c r="P19" s="3">
        <v>5126</v>
      </c>
      <c r="Q19" s="3">
        <v>5048</v>
      </c>
      <c r="AR19" s="3">
        <v>17689</v>
      </c>
      <c r="AS19" s="3">
        <v>19147</v>
      </c>
      <c r="AT19" s="3">
        <v>21062</v>
      </c>
    </row>
    <row r="20" spans="2:46" x14ac:dyDescent="0.2">
      <c r="B20" s="3" t="s">
        <v>31</v>
      </c>
      <c r="G20" s="4">
        <v>1415</v>
      </c>
      <c r="K20" s="4">
        <v>1322</v>
      </c>
      <c r="L20" s="4">
        <v>1587</v>
      </c>
      <c r="P20" s="3">
        <v>1607</v>
      </c>
      <c r="Q20" s="3">
        <v>1404</v>
      </c>
      <c r="AR20" s="3">
        <v>6048</v>
      </c>
      <c r="AS20" s="3">
        <v>6184</v>
      </c>
      <c r="AT20" s="3">
        <v>6374</v>
      </c>
    </row>
    <row r="21" spans="2:46" x14ac:dyDescent="0.2">
      <c r="B21" s="3" t="s">
        <v>32</v>
      </c>
      <c r="G21" s="4">
        <v>98</v>
      </c>
      <c r="K21" s="4">
        <v>110</v>
      </c>
      <c r="L21" s="4">
        <v>93</v>
      </c>
      <c r="P21" s="3">
        <v>86</v>
      </c>
      <c r="Q21" s="3">
        <v>95</v>
      </c>
      <c r="AR21" s="3">
        <v>577</v>
      </c>
      <c r="AS21" s="3">
        <v>534</v>
      </c>
      <c r="AT21" s="3">
        <v>406</v>
      </c>
    </row>
    <row r="22" spans="2:46" x14ac:dyDescent="0.2">
      <c r="B22" s="3" t="s">
        <v>33</v>
      </c>
      <c r="G22" s="4">
        <f>SUM(G19:G21)</f>
        <v>6862</v>
      </c>
      <c r="K22" s="4">
        <f>SUM(K19:K21)</f>
        <v>6742</v>
      </c>
      <c r="L22" s="4">
        <f>SUM(L19:L21)</f>
        <v>6974</v>
      </c>
      <c r="P22" s="4">
        <f>SUM(P19:P21)</f>
        <v>6819</v>
      </c>
      <c r="Q22" s="4">
        <f>SUM(Q19:Q21)</f>
        <v>6547</v>
      </c>
      <c r="AR22" s="3">
        <f>SUM(AR19:AR21)</f>
        <v>24314</v>
      </c>
      <c r="AS22" s="3">
        <f>SUM(AS19:AS21)</f>
        <v>25865</v>
      </c>
      <c r="AT22" s="3">
        <f>SUM(AT19:AT21)</f>
        <v>27842</v>
      </c>
    </row>
    <row r="23" spans="2:46" x14ac:dyDescent="0.2">
      <c r="B23" s="3" t="s">
        <v>34</v>
      </c>
      <c r="G23" s="4">
        <f>G18-G22</f>
        <v>7335</v>
      </c>
      <c r="K23" s="4">
        <f>K18-K22</f>
        <v>7510</v>
      </c>
      <c r="L23" s="4">
        <f>L18-L22</f>
        <v>8501</v>
      </c>
      <c r="P23" s="4">
        <f>P18-P22</f>
        <v>8950</v>
      </c>
      <c r="Q23" s="4">
        <f>Q18-Q22</f>
        <v>8420</v>
      </c>
      <c r="AR23" s="3">
        <f>AR18-AR22</f>
        <v>30865</v>
      </c>
      <c r="AS23" s="3">
        <f>AS18-AS22</f>
        <v>31486</v>
      </c>
      <c r="AT23" s="3">
        <f>AT18-AT22</f>
        <v>32688</v>
      </c>
    </row>
    <row r="24" spans="2:46" x14ac:dyDescent="0.2">
      <c r="B24" s="3" t="s">
        <v>35</v>
      </c>
      <c r="G24" s="4">
        <v>4597</v>
      </c>
      <c r="K24" s="4">
        <v>4853</v>
      </c>
      <c r="L24" s="4">
        <v>4900</v>
      </c>
      <c r="P24" s="3">
        <v>4938</v>
      </c>
      <c r="Q24" s="3">
        <v>4911</v>
      </c>
      <c r="AR24" s="3">
        <v>20561</v>
      </c>
      <c r="AS24" s="3">
        <v>18745</v>
      </c>
      <c r="AT24" s="3">
        <v>18609</v>
      </c>
    </row>
    <row r="25" spans="2:46" x14ac:dyDescent="0.2">
      <c r="B25" s="3" t="s">
        <v>36</v>
      </c>
      <c r="G25" s="4">
        <v>1679</v>
      </c>
      <c r="K25" s="4">
        <v>1655</v>
      </c>
      <c r="L25" s="4">
        <v>1687</v>
      </c>
      <c r="P25" s="3">
        <v>1840</v>
      </c>
      <c r="Q25" s="3">
        <v>1876</v>
      </c>
      <c r="AR25" s="3">
        <v>6262</v>
      </c>
      <c r="AS25" s="3">
        <v>6488</v>
      </c>
      <c r="AT25" s="3">
        <v>6567</v>
      </c>
    </row>
    <row r="26" spans="2:46" x14ac:dyDescent="0.2">
      <c r="B26" s="3" t="s">
        <v>37</v>
      </c>
      <c r="G26" s="4">
        <f>G24+G25</f>
        <v>6276</v>
      </c>
      <c r="K26" s="4">
        <f>K24+K25</f>
        <v>6508</v>
      </c>
      <c r="L26" s="4">
        <f>L24+L25</f>
        <v>6587</v>
      </c>
      <c r="P26" s="4">
        <f>P24+P25</f>
        <v>6778</v>
      </c>
      <c r="Q26" s="4">
        <f>Q24+Q25</f>
        <v>6787</v>
      </c>
      <c r="AR26" s="3">
        <f>AR24+AR25</f>
        <v>26823</v>
      </c>
      <c r="AS26" s="3">
        <f>AS24+AS25</f>
        <v>25233</v>
      </c>
      <c r="AT26" s="3">
        <f>AT24+AT25</f>
        <v>25176</v>
      </c>
    </row>
    <row r="27" spans="2:46" x14ac:dyDescent="0.2">
      <c r="B27" s="3" t="s">
        <v>38</v>
      </c>
      <c r="G27" s="4">
        <f>G23-G26</f>
        <v>1059</v>
      </c>
      <c r="K27" s="4">
        <f>K23-K26</f>
        <v>1002</v>
      </c>
      <c r="L27" s="4">
        <f>L23-L26</f>
        <v>1914</v>
      </c>
      <c r="P27" s="4">
        <f>P23-P26</f>
        <v>2172</v>
      </c>
      <c r="Q27" s="4">
        <f>Q23-Q26</f>
        <v>1633</v>
      </c>
      <c r="AR27" s="3">
        <f>AR23-AR26</f>
        <v>4042</v>
      </c>
      <c r="AS27" s="3">
        <f>AS23-AS26</f>
        <v>6253</v>
      </c>
      <c r="AT27" s="3">
        <f>AT23-AT26</f>
        <v>7512</v>
      </c>
    </row>
    <row r="28" spans="2:46" x14ac:dyDescent="0.2">
      <c r="B28" s="3" t="s">
        <v>39</v>
      </c>
      <c r="G28" s="2">
        <f>-246-311+121</f>
        <v>-436</v>
      </c>
      <c r="K28" s="2">
        <f>245-367+180</f>
        <v>58</v>
      </c>
      <c r="L28">
        <f>248+261-423</f>
        <v>86</v>
      </c>
      <c r="P28">
        <f>241+233-427</f>
        <v>47</v>
      </c>
      <c r="Q28">
        <f>-238+2244+429</f>
        <v>2435</v>
      </c>
      <c r="AR28">
        <f>620-1288</f>
        <v>-668</v>
      </c>
      <c r="AS28">
        <f>612-1155</f>
        <v>-543</v>
      </c>
      <c r="AT28">
        <f>663-1216</f>
        <v>-553</v>
      </c>
    </row>
    <row r="29" spans="2:46" x14ac:dyDescent="0.2">
      <c r="B29" s="3" t="s">
        <v>40</v>
      </c>
      <c r="G29" s="4">
        <f>G27+G28</f>
        <v>623</v>
      </c>
      <c r="K29" s="4">
        <f>K27+K28</f>
        <v>1060</v>
      </c>
      <c r="L29" s="4">
        <f>L27+L28</f>
        <v>2000</v>
      </c>
      <c r="P29" s="4">
        <f>P27+P28</f>
        <v>2219</v>
      </c>
      <c r="Q29" s="4">
        <f>Q27+Q28</f>
        <v>4068</v>
      </c>
      <c r="AR29" s="3">
        <f>AR27+AR28</f>
        <v>3374</v>
      </c>
      <c r="AS29" s="3">
        <f>AS27+AS28</f>
        <v>5710</v>
      </c>
      <c r="AT29" s="3">
        <f>AT27+AT28</f>
        <v>6959</v>
      </c>
    </row>
    <row r="30" spans="2:46" x14ac:dyDescent="0.2">
      <c r="B30" s="3" t="s">
        <v>41</v>
      </c>
      <c r="G30" s="2">
        <f>-39-71</f>
        <v>-110</v>
      </c>
      <c r="K30" s="2">
        <f>124+7</f>
        <v>131</v>
      </c>
      <c r="L30">
        <v>419</v>
      </c>
      <c r="P30">
        <v>389</v>
      </c>
      <c r="Q30">
        <v>-485</v>
      </c>
      <c r="AR30">
        <v>0</v>
      </c>
      <c r="AS30">
        <v>124</v>
      </c>
      <c r="AT30">
        <v>0</v>
      </c>
    </row>
    <row r="31" spans="2:46" x14ac:dyDescent="0.2">
      <c r="B31" s="3" t="s">
        <v>42</v>
      </c>
      <c r="G31" s="4">
        <f>G29-G30</f>
        <v>733</v>
      </c>
      <c r="K31" s="4">
        <f>K29-K30</f>
        <v>929</v>
      </c>
      <c r="L31" s="3">
        <f>+L29-L30</f>
        <v>1581</v>
      </c>
      <c r="P31" s="3">
        <f>+P29-P30</f>
        <v>1830</v>
      </c>
      <c r="Q31" s="3">
        <f>+Q29-Q30</f>
        <v>4553</v>
      </c>
      <c r="AR31" s="3">
        <f>AR29-AR30</f>
        <v>3374</v>
      </c>
      <c r="AS31" s="3">
        <f>AS29-AS30</f>
        <v>5586</v>
      </c>
      <c r="AT31" s="3">
        <f>AT29-AT30</f>
        <v>6959</v>
      </c>
    </row>
    <row r="32" spans="2:46" x14ac:dyDescent="0.2">
      <c r="B32" s="3" t="s">
        <v>43</v>
      </c>
      <c r="G32" s="7">
        <f>G31/G33</f>
        <v>0.81507839430668305</v>
      </c>
      <c r="K32" s="7">
        <f>K31/K33</f>
        <v>1.0236914600550964</v>
      </c>
      <c r="L32" s="7">
        <f>L31/L33</f>
        <v>1.7375535773161885</v>
      </c>
      <c r="P32" s="7">
        <f>P31/P33</f>
        <v>1.9884820167336739</v>
      </c>
      <c r="Q32" s="7">
        <f>Q31/Q33</f>
        <v>4.9296232135123432</v>
      </c>
      <c r="AR32" s="8">
        <f>AR31/AR33</f>
        <v>3.7895294873465208</v>
      </c>
      <c r="AS32" s="8">
        <f>AS31/AS33</f>
        <v>6.2344445808546967</v>
      </c>
      <c r="AT32" s="8">
        <f>AT31/AT33</f>
        <v>7.7094023911444349</v>
      </c>
    </row>
    <row r="33" spans="2:46" x14ac:dyDescent="0.2">
      <c r="B33" s="3" t="s">
        <v>44</v>
      </c>
      <c r="G33" s="4">
        <v>899.3</v>
      </c>
      <c r="H33" s="4"/>
      <c r="I33" s="4"/>
      <c r="J33" s="4"/>
      <c r="K33" s="4">
        <v>907.5</v>
      </c>
      <c r="L33" s="4">
        <v>909.9</v>
      </c>
      <c r="P33" s="4">
        <v>920.3</v>
      </c>
      <c r="Q33" s="4">
        <v>923.6</v>
      </c>
      <c r="AR33" s="3">
        <v>890.34799999999996</v>
      </c>
      <c r="AS33" s="3">
        <v>895.99</v>
      </c>
      <c r="AT33" s="3">
        <v>902.66399999999999</v>
      </c>
    </row>
    <row r="35" spans="2:46" x14ac:dyDescent="0.2">
      <c r="B35" s="3" t="s">
        <v>45</v>
      </c>
      <c r="K35" s="9">
        <f>K18/G18-1</f>
        <v>3.8740578995561936E-3</v>
      </c>
      <c r="L35" s="9" t="e">
        <f>L18/H18-1</f>
        <v>#DIV/0!</v>
      </c>
      <c r="P35" s="9">
        <f>P18/L18-1</f>
        <v>1.8998384491114795E-2</v>
      </c>
      <c r="Q35" s="9" t="e">
        <f>Q18/M18-1</f>
        <v>#DIV/0!</v>
      </c>
      <c r="AS35" s="10">
        <f>AS18/AR18-1</f>
        <v>3.9362801065622843E-2</v>
      </c>
      <c r="AT35" s="10">
        <f>AT18/AS18-1</f>
        <v>5.5430594061132377E-2</v>
      </c>
    </row>
    <row r="36" spans="2:46" x14ac:dyDescent="0.2">
      <c r="B36" s="3" t="s">
        <v>46</v>
      </c>
      <c r="G36" s="9">
        <f>G23/G18</f>
        <v>0.51665844896809188</v>
      </c>
      <c r="K36" s="9">
        <f>K23/K18</f>
        <v>0.52694358686500142</v>
      </c>
      <c r="L36" s="9">
        <f>L23/L18</f>
        <v>0.54933764135702745</v>
      </c>
      <c r="P36" s="9">
        <f>P23/P18</f>
        <v>0.56756928150168051</v>
      </c>
      <c r="Q36" s="9">
        <f>Q23/Q18</f>
        <v>0.56257098951025586</v>
      </c>
      <c r="AR36" s="10">
        <f>AR23/AR18</f>
        <v>0.5593613512386959</v>
      </c>
      <c r="AS36" s="10">
        <f>AS23/AS18</f>
        <v>0.54900524838276576</v>
      </c>
      <c r="AT36" s="10">
        <f>AT23/AT18</f>
        <v>0.54002973732033699</v>
      </c>
    </row>
    <row r="38" spans="2:46" x14ac:dyDescent="0.2">
      <c r="B38" s="3" t="s">
        <v>47</v>
      </c>
      <c r="P38" s="3">
        <f>+P39-P53</f>
        <v>-38732</v>
      </c>
    </row>
    <row r="39" spans="2:46" x14ac:dyDescent="0.2">
      <c r="B39" s="3" t="s">
        <v>48</v>
      </c>
      <c r="P39" s="3">
        <f>12210+2268+1481+1840</f>
        <v>17799</v>
      </c>
    </row>
    <row r="40" spans="2:46" x14ac:dyDescent="0.2">
      <c r="B40" s="3" t="s">
        <v>49</v>
      </c>
      <c r="P40" s="3">
        <f>5769+757</f>
        <v>6526</v>
      </c>
    </row>
    <row r="41" spans="2:46" x14ac:dyDescent="0.2">
      <c r="B41" s="3" t="s">
        <v>50</v>
      </c>
      <c r="P41" s="3">
        <f>5075+723+5483</f>
        <v>11281</v>
      </c>
    </row>
    <row r="42" spans="2:46" x14ac:dyDescent="0.2">
      <c r="B42" s="3" t="s">
        <v>51</v>
      </c>
      <c r="P42" s="3">
        <v>1234</v>
      </c>
    </row>
    <row r="43" spans="2:46" x14ac:dyDescent="0.2">
      <c r="B43" s="3" t="s">
        <v>52</v>
      </c>
      <c r="P43" s="3">
        <f>997+820</f>
        <v>1817</v>
      </c>
    </row>
    <row r="44" spans="2:46" x14ac:dyDescent="0.2">
      <c r="B44" s="3" t="s">
        <v>53</v>
      </c>
      <c r="P44" s="3">
        <v>2784</v>
      </c>
    </row>
    <row r="45" spans="2:46" x14ac:dyDescent="0.2">
      <c r="B45" s="3" t="s">
        <v>54</v>
      </c>
      <c r="P45" s="3">
        <v>5600</v>
      </c>
    </row>
    <row r="46" spans="2:46" x14ac:dyDescent="0.2">
      <c r="B46" s="3" t="s">
        <v>55</v>
      </c>
      <c r="P46" s="3">
        <v>3130</v>
      </c>
    </row>
    <row r="47" spans="2:46" x14ac:dyDescent="0.2">
      <c r="B47" s="3" t="s">
        <v>56</v>
      </c>
      <c r="P47" s="3">
        <v>7630</v>
      </c>
    </row>
    <row r="48" spans="2:46" x14ac:dyDescent="0.2">
      <c r="B48" s="3" t="s">
        <v>57</v>
      </c>
      <c r="P48" s="3">
        <v>6378</v>
      </c>
    </row>
    <row r="49" spans="2:16" x14ac:dyDescent="0.2">
      <c r="B49" s="3" t="s">
        <v>58</v>
      </c>
      <c r="P49" s="3">
        <f>59416+10251</f>
        <v>69667</v>
      </c>
    </row>
    <row r="50" spans="2:16" x14ac:dyDescent="0.2">
      <c r="B50" s="3" t="s">
        <v>59</v>
      </c>
      <c r="P50" s="3">
        <f>SUM(P39:P49)</f>
        <v>133846</v>
      </c>
    </row>
    <row r="51" spans="2:16" x14ac:dyDescent="0.2">
      <c r="B51" s="3"/>
      <c r="P51" s="3"/>
    </row>
    <row r="52" spans="2:16" x14ac:dyDescent="0.2">
      <c r="B52" s="3" t="s">
        <v>41</v>
      </c>
      <c r="P52" s="3">
        <v>1691</v>
      </c>
    </row>
    <row r="53" spans="2:16" x14ac:dyDescent="0.2">
      <c r="B53" s="3" t="s">
        <v>60</v>
      </c>
      <c r="P53" s="3">
        <f>3602+52929</f>
        <v>56531</v>
      </c>
    </row>
    <row r="54" spans="2:16" x14ac:dyDescent="0.2">
      <c r="B54" s="3" t="s">
        <v>61</v>
      </c>
      <c r="P54" s="3">
        <v>3631</v>
      </c>
    </row>
    <row r="55" spans="2:16" x14ac:dyDescent="0.2">
      <c r="B55" s="3" t="s">
        <v>62</v>
      </c>
      <c r="P55" s="3">
        <v>3125</v>
      </c>
    </row>
    <row r="56" spans="2:16" x14ac:dyDescent="0.2">
      <c r="B56" s="3" t="s">
        <v>63</v>
      </c>
      <c r="P56" s="3">
        <f>13643+3489</f>
        <v>17132</v>
      </c>
    </row>
    <row r="57" spans="2:16" x14ac:dyDescent="0.2">
      <c r="B57" s="3" t="s">
        <v>64</v>
      </c>
      <c r="P57" s="3">
        <f>762+2546</f>
        <v>3308</v>
      </c>
    </row>
    <row r="58" spans="2:16" x14ac:dyDescent="0.2">
      <c r="B58" s="3" t="s">
        <v>65</v>
      </c>
      <c r="P58" s="3">
        <v>3195</v>
      </c>
    </row>
    <row r="59" spans="2:16" x14ac:dyDescent="0.2">
      <c r="B59" s="3" t="s">
        <v>56</v>
      </c>
      <c r="P59" s="3">
        <v>10200</v>
      </c>
    </row>
    <row r="60" spans="2:16" x14ac:dyDescent="0.2">
      <c r="B60" s="3" t="s">
        <v>26</v>
      </c>
      <c r="P60" s="3">
        <v>10932</v>
      </c>
    </row>
    <row r="61" spans="2:16" x14ac:dyDescent="0.2">
      <c r="B61" s="3" t="s">
        <v>66</v>
      </c>
      <c r="P61" s="3">
        <v>24103</v>
      </c>
    </row>
    <row r="62" spans="2:16" x14ac:dyDescent="0.2">
      <c r="B62" s="3" t="s">
        <v>67</v>
      </c>
      <c r="P62" s="3">
        <f>SUM(P52:P61)</f>
        <v>133848</v>
      </c>
    </row>
    <row r="71" spans="2:46" x14ac:dyDescent="0.2">
      <c r="B71" s="3" t="s">
        <v>68</v>
      </c>
      <c r="G71" s="4">
        <v>3248</v>
      </c>
      <c r="K71" s="4">
        <v>3774</v>
      </c>
      <c r="AR71" s="3">
        <v>18197</v>
      </c>
      <c r="AS71" s="3">
        <v>12796</v>
      </c>
      <c r="AT71" s="3">
        <v>10435</v>
      </c>
    </row>
    <row r="72" spans="2:46" x14ac:dyDescent="0.2">
      <c r="B72" s="3" t="s">
        <v>69</v>
      </c>
      <c r="G72" s="4">
        <v>281</v>
      </c>
      <c r="K72" s="4">
        <v>300</v>
      </c>
      <c r="AR72" s="3">
        <v>2618</v>
      </c>
      <c r="AS72" s="3">
        <v>2062</v>
      </c>
      <c r="AT72" s="3">
        <v>1346</v>
      </c>
    </row>
    <row r="73" spans="2:46" x14ac:dyDescent="0.2">
      <c r="B73" s="3" t="s">
        <v>70</v>
      </c>
      <c r="G73" s="4">
        <f>G71-G72</f>
        <v>2967</v>
      </c>
      <c r="K73" s="4">
        <f>K71-K72</f>
        <v>3474</v>
      </c>
      <c r="AR73" s="3">
        <f>AR71-AR72</f>
        <v>15579</v>
      </c>
      <c r="AS73" s="3">
        <f>AS71-AS72</f>
        <v>10734</v>
      </c>
      <c r="AT73" s="3">
        <f>AT71-AT72</f>
        <v>9089</v>
      </c>
    </row>
  </sheetData>
  <hyperlinks>
    <hyperlink ref="A1" location="Main!A1" display="Main" xr:uid="{9D299ED1-871B-4298-9B15-33C0D0BA51B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Rivera</dc:creator>
  <cp:lastModifiedBy>Rogelio Rivera</cp:lastModifiedBy>
  <dcterms:created xsi:type="dcterms:W3CDTF">2025-01-10T02:58:07Z</dcterms:created>
  <dcterms:modified xsi:type="dcterms:W3CDTF">2025-01-10T03:14:12Z</dcterms:modified>
</cp:coreProperties>
</file>