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4965" windowWidth="15405" windowHeight="2490"/>
  </bookViews>
  <sheets>
    <sheet name="1月" sheetId="1" r:id="rId1"/>
    <sheet name="2月" sheetId="3" r:id="rId2"/>
    <sheet name="3月" sheetId="4" r:id="rId3"/>
    <sheet name="4月" sheetId="5" r:id="rId4"/>
    <sheet name="5月" sheetId="6" r:id="rId5"/>
    <sheet name="6月" sheetId="7" r:id="rId6"/>
    <sheet name="标线" sheetId="2" r:id="rId7"/>
  </sheets>
  <definedNames>
    <definedName name="_xlnm._FilterDatabase" localSheetId="3" hidden="1">'4月'!$A$1:$Y$158</definedName>
  </definedNames>
  <calcPr calcId="125725"/>
</workbook>
</file>

<file path=xl/calcChain.xml><?xml version="1.0" encoding="utf-8"?>
<calcChain xmlns="http://schemas.openxmlformats.org/spreadsheetml/2006/main">
  <c r="H74" i="7"/>
  <c r="N74"/>
  <c r="P74" s="1"/>
  <c r="P73"/>
  <c r="M73"/>
  <c r="M74" s="1"/>
  <c r="P72"/>
  <c r="M72"/>
  <c r="P2"/>
  <c r="Q2" s="1"/>
  <c r="R2" s="1"/>
  <c r="S2" s="1"/>
  <c r="M2"/>
  <c r="P70"/>
  <c r="M70"/>
  <c r="X70"/>
  <c r="Y70"/>
  <c r="X69"/>
  <c r="Y69"/>
  <c r="Q74" l="1"/>
  <c r="R74" s="1"/>
  <c r="S74" s="1"/>
  <c r="Q73"/>
  <c r="R73" s="1"/>
  <c r="S73" s="1"/>
  <c r="Q72"/>
  <c r="R72" s="1"/>
  <c r="S72" s="1"/>
  <c r="Q70"/>
  <c r="R70" s="1"/>
  <c r="S70" s="1"/>
  <c r="P69" l="1"/>
  <c r="M69"/>
  <c r="P68"/>
  <c r="M68"/>
  <c r="P67"/>
  <c r="M67"/>
  <c r="P66"/>
  <c r="M66"/>
  <c r="P65"/>
  <c r="Q65" s="1"/>
  <c r="R65" s="1"/>
  <c r="S65" s="1"/>
  <c r="M65"/>
  <c r="P64"/>
  <c r="M64"/>
  <c r="P63"/>
  <c r="M63"/>
  <c r="Q66" l="1"/>
  <c r="R66" s="1"/>
  <c r="S66" s="1"/>
  <c r="Q68"/>
  <c r="R68" s="1"/>
  <c r="S68" s="1"/>
  <c r="Q64"/>
  <c r="R64" s="1"/>
  <c r="S64" s="1"/>
  <c r="Q67"/>
  <c r="R67" s="1"/>
  <c r="S67" s="1"/>
  <c r="Q69"/>
  <c r="R69" s="1"/>
  <c r="S69" s="1"/>
  <c r="Q63"/>
  <c r="R63" s="1"/>
  <c r="S63" s="1"/>
  <c r="H60" l="1"/>
  <c r="N60"/>
  <c r="P60" s="1"/>
  <c r="P59"/>
  <c r="M59"/>
  <c r="P58"/>
  <c r="M58"/>
  <c r="Q58" l="1"/>
  <c r="R58" s="1"/>
  <c r="S58" s="1"/>
  <c r="Q59"/>
  <c r="R59" s="1"/>
  <c r="S59" s="1"/>
  <c r="M60"/>
  <c r="Q60" s="1"/>
  <c r="R60" s="1"/>
  <c r="S60" s="1"/>
  <c r="M26" l="1"/>
  <c r="P26"/>
  <c r="M57"/>
  <c r="P57"/>
  <c r="Q26" l="1"/>
  <c r="R26" s="1"/>
  <c r="S26" s="1"/>
  <c r="Q57"/>
  <c r="R57" s="1"/>
  <c r="S57" s="1"/>
  <c r="M55"/>
  <c r="P55"/>
  <c r="M56"/>
  <c r="P56"/>
  <c r="X51"/>
  <c r="X52"/>
  <c r="X50"/>
  <c r="Y51"/>
  <c r="Y52"/>
  <c r="Y50"/>
  <c r="Q56" l="1"/>
  <c r="R56" s="1"/>
  <c r="S56" s="1"/>
  <c r="Q55"/>
  <c r="R55" s="1"/>
  <c r="S55" s="1"/>
  <c r="P52" l="1"/>
  <c r="P54"/>
  <c r="P46"/>
  <c r="M46"/>
  <c r="P48"/>
  <c r="P49"/>
  <c r="P50"/>
  <c r="P51"/>
  <c r="P47"/>
  <c r="Q46" l="1"/>
  <c r="R46" s="1"/>
  <c r="S46" s="1"/>
  <c r="P53" l="1"/>
  <c r="P45"/>
  <c r="M47"/>
  <c r="Q47" s="1"/>
  <c r="R47" s="1"/>
  <c r="S47" s="1"/>
  <c r="M48"/>
  <c r="Q48" s="1"/>
  <c r="R48" s="1"/>
  <c r="S48" s="1"/>
  <c r="M49"/>
  <c r="Q49" s="1"/>
  <c r="R49" s="1"/>
  <c r="S49" s="1"/>
  <c r="M50"/>
  <c r="Q50" s="1"/>
  <c r="R50" s="1"/>
  <c r="S50" s="1"/>
  <c r="M51"/>
  <c r="Q51" s="1"/>
  <c r="R51" s="1"/>
  <c r="S51" s="1"/>
  <c r="M52"/>
  <c r="Q52" s="1"/>
  <c r="R52" s="1"/>
  <c r="S52" s="1"/>
  <c r="M53"/>
  <c r="M54"/>
  <c r="Q54" s="1"/>
  <c r="R54" s="1"/>
  <c r="S54" s="1"/>
  <c r="M45"/>
  <c r="X46"/>
  <c r="Y46"/>
  <c r="X47"/>
  <c r="Y47"/>
  <c r="Y45"/>
  <c r="X45"/>
  <c r="P3"/>
  <c r="M3"/>
  <c r="P44"/>
  <c r="P43"/>
  <c r="P41"/>
  <c r="P40"/>
  <c r="P39"/>
  <c r="P38"/>
  <c r="P37"/>
  <c r="P34"/>
  <c r="P42"/>
  <c r="P36"/>
  <c r="P35"/>
  <c r="M35"/>
  <c r="M36"/>
  <c r="M37"/>
  <c r="M38"/>
  <c r="M39"/>
  <c r="M40"/>
  <c r="M41"/>
  <c r="M42"/>
  <c r="Q42" s="1"/>
  <c r="R42" s="1"/>
  <c r="S42" s="1"/>
  <c r="M43"/>
  <c r="M44"/>
  <c r="P33"/>
  <c r="X34"/>
  <c r="X35"/>
  <c r="X36"/>
  <c r="X37"/>
  <c r="X33"/>
  <c r="M33"/>
  <c r="M34"/>
  <c r="Y34"/>
  <c r="Y35"/>
  <c r="Y36"/>
  <c r="Y37"/>
  <c r="Y33"/>
  <c r="Q35" l="1"/>
  <c r="R35" s="1"/>
  <c r="S35" s="1"/>
  <c r="Q3"/>
  <c r="R3" s="1"/>
  <c r="S3" s="1"/>
  <c r="Q34"/>
  <c r="R34" s="1"/>
  <c r="S34" s="1"/>
  <c r="Q45"/>
  <c r="R45" s="1"/>
  <c r="S45" s="1"/>
  <c r="Q33"/>
  <c r="R33" s="1"/>
  <c r="S33" s="1"/>
  <c r="Q36"/>
  <c r="R36" s="1"/>
  <c r="S36" s="1"/>
  <c r="Q53"/>
  <c r="R53" s="1"/>
  <c r="S53" s="1"/>
  <c r="Q41"/>
  <c r="R41" s="1"/>
  <c r="S41" s="1"/>
  <c r="Q39"/>
  <c r="R39" s="1"/>
  <c r="S39" s="1"/>
  <c r="Q37"/>
  <c r="R37" s="1"/>
  <c r="S37" s="1"/>
  <c r="Q44"/>
  <c r="R44" s="1"/>
  <c r="S44" s="1"/>
  <c r="Q38"/>
  <c r="R38" s="1"/>
  <c r="S38" s="1"/>
  <c r="Q40"/>
  <c r="R40" s="1"/>
  <c r="S40" s="1"/>
  <c r="Q43"/>
  <c r="R43" s="1"/>
  <c r="S43" s="1"/>
  <c r="X30"/>
  <c r="Y30"/>
  <c r="X31"/>
  <c r="Y31"/>
  <c r="Y29"/>
  <c r="X29"/>
  <c r="M32"/>
  <c r="P32"/>
  <c r="P31"/>
  <c r="M31"/>
  <c r="P62"/>
  <c r="M62"/>
  <c r="P61"/>
  <c r="M61"/>
  <c r="AH41" i="2"/>
  <c r="AH42"/>
  <c r="AH43"/>
  <c r="AH44"/>
  <c r="AH45"/>
  <c r="AH40"/>
  <c r="AE41"/>
  <c r="AF41"/>
  <c r="AG41" s="1"/>
  <c r="AE42"/>
  <c r="AF42"/>
  <c r="AE43"/>
  <c r="AF43"/>
  <c r="AE44"/>
  <c r="AF44"/>
  <c r="AE45"/>
  <c r="AF45"/>
  <c r="AG45" s="1"/>
  <c r="AF40"/>
  <c r="AE40"/>
  <c r="AG42"/>
  <c r="P22" i="7"/>
  <c r="P23"/>
  <c r="P24"/>
  <c r="P25"/>
  <c r="P27"/>
  <c r="P28"/>
  <c r="P29"/>
  <c r="P30"/>
  <c r="M21"/>
  <c r="M22"/>
  <c r="M23"/>
  <c r="M24"/>
  <c r="M25"/>
  <c r="M27"/>
  <c r="M28"/>
  <c r="M29"/>
  <c r="M30"/>
  <c r="P21"/>
  <c r="P20"/>
  <c r="M20"/>
  <c r="X22"/>
  <c r="Y22"/>
  <c r="X23"/>
  <c r="Y23"/>
  <c r="X24"/>
  <c r="Y24"/>
  <c r="X25"/>
  <c r="Y25"/>
  <c r="Y21"/>
  <c r="X21"/>
  <c r="Q20" l="1"/>
  <c r="R20" s="1"/>
  <c r="S20" s="1"/>
  <c r="Q29"/>
  <c r="R29" s="1"/>
  <c r="S29" s="1"/>
  <c r="Q21"/>
  <c r="R21" s="1"/>
  <c r="S21" s="1"/>
  <c r="Q30"/>
  <c r="R30" s="1"/>
  <c r="S30" s="1"/>
  <c r="Q24"/>
  <c r="R24" s="1"/>
  <c r="S24" s="1"/>
  <c r="Q25"/>
  <c r="R25" s="1"/>
  <c r="S25" s="1"/>
  <c r="Q27"/>
  <c r="R27" s="1"/>
  <c r="S27" s="1"/>
  <c r="Q22"/>
  <c r="R22" s="1"/>
  <c r="S22" s="1"/>
  <c r="Q31"/>
  <c r="R31" s="1"/>
  <c r="S31" s="1"/>
  <c r="Q28"/>
  <c r="R28" s="1"/>
  <c r="S28" s="1"/>
  <c r="Q23"/>
  <c r="R23" s="1"/>
  <c r="S23" s="1"/>
  <c r="Q32"/>
  <c r="R32" s="1"/>
  <c r="S32" s="1"/>
  <c r="Q62"/>
  <c r="R62" s="1"/>
  <c r="S62" s="1"/>
  <c r="Q61"/>
  <c r="R61" s="1"/>
  <c r="S61" s="1"/>
  <c r="AG40" i="2"/>
  <c r="AG44"/>
  <c r="AG43"/>
  <c r="P18" i="7"/>
  <c r="P5"/>
  <c r="P6"/>
  <c r="P7"/>
  <c r="P8"/>
  <c r="P9"/>
  <c r="P10"/>
  <c r="P11"/>
  <c r="P12"/>
  <c r="P13"/>
  <c r="P14"/>
  <c r="P15"/>
  <c r="P16"/>
  <c r="P17"/>
  <c r="M5"/>
  <c r="M6"/>
  <c r="M7"/>
  <c r="M8"/>
  <c r="M9"/>
  <c r="M10"/>
  <c r="M11"/>
  <c r="M12"/>
  <c r="M13"/>
  <c r="M14"/>
  <c r="M15"/>
  <c r="M16"/>
  <c r="M17"/>
  <c r="M18"/>
  <c r="Q18" s="1"/>
  <c r="R18" s="1"/>
  <c r="S18" s="1"/>
  <c r="M4"/>
  <c r="X5"/>
  <c r="X6"/>
  <c r="X7"/>
  <c r="X8"/>
  <c r="X9"/>
  <c r="X4"/>
  <c r="Y5"/>
  <c r="Y6"/>
  <c r="Y7"/>
  <c r="Y8"/>
  <c r="Y9"/>
  <c r="Y4"/>
  <c r="Q17" l="1"/>
  <c r="R17" s="1"/>
  <c r="S17" s="1"/>
  <c r="Q13"/>
  <c r="R13" s="1"/>
  <c r="S13" s="1"/>
  <c r="Q5"/>
  <c r="R5" s="1"/>
  <c r="S5" s="1"/>
  <c r="Q15"/>
  <c r="R15" s="1"/>
  <c r="S15" s="1"/>
  <c r="Q11"/>
  <c r="R11" s="1"/>
  <c r="S11" s="1"/>
  <c r="Q8"/>
  <c r="R8" s="1"/>
  <c r="S8" s="1"/>
  <c r="Q12"/>
  <c r="R12" s="1"/>
  <c r="S12" s="1"/>
  <c r="Q14"/>
  <c r="R14" s="1"/>
  <c r="S14" s="1"/>
  <c r="Q9"/>
  <c r="R9" s="1"/>
  <c r="S9" s="1"/>
  <c r="Q6"/>
  <c r="R6" s="1"/>
  <c r="S6" s="1"/>
  <c r="Q10"/>
  <c r="R10" s="1"/>
  <c r="S10" s="1"/>
  <c r="Q16"/>
  <c r="R16" s="1"/>
  <c r="S16" s="1"/>
  <c r="Q7"/>
  <c r="R7" s="1"/>
  <c r="S7" s="1"/>
  <c r="S83" i="5"/>
  <c r="P4" i="7"/>
  <c r="Q4" s="1"/>
  <c r="R4" s="1"/>
  <c r="S4" s="1"/>
  <c r="P110" i="6"/>
  <c r="Q110" s="1"/>
  <c r="R110" s="1"/>
  <c r="S110" s="1"/>
  <c r="M110"/>
  <c r="P109"/>
  <c r="M109"/>
  <c r="P108"/>
  <c r="Q108" s="1"/>
  <c r="R108" s="1"/>
  <c r="S108" s="1"/>
  <c r="M108"/>
  <c r="P107"/>
  <c r="Q107" s="1"/>
  <c r="R107" s="1"/>
  <c r="S107" s="1"/>
  <c r="M107"/>
  <c r="P106"/>
  <c r="Q106" s="1"/>
  <c r="R106" s="1"/>
  <c r="S106" s="1"/>
  <c r="M106"/>
  <c r="P105"/>
  <c r="M105"/>
  <c r="P104"/>
  <c r="Q104" s="1"/>
  <c r="R104" s="1"/>
  <c r="S104" s="1"/>
  <c r="M104"/>
  <c r="Q103"/>
  <c r="R103" s="1"/>
  <c r="S103" s="1"/>
  <c r="P103"/>
  <c r="M103"/>
  <c r="Q102"/>
  <c r="R102" s="1"/>
  <c r="S102" s="1"/>
  <c r="P102"/>
  <c r="M102"/>
  <c r="P101"/>
  <c r="M101"/>
  <c r="P100"/>
  <c r="Q100" s="1"/>
  <c r="R100" s="1"/>
  <c r="S100" s="1"/>
  <c r="M100"/>
  <c r="P99"/>
  <c r="Q99" s="1"/>
  <c r="R99" s="1"/>
  <c r="S99" s="1"/>
  <c r="M99"/>
  <c r="M86"/>
  <c r="M87"/>
  <c r="M88"/>
  <c r="M89"/>
  <c r="M90"/>
  <c r="M91"/>
  <c r="M92"/>
  <c r="M93"/>
  <c r="M94"/>
  <c r="M95"/>
  <c r="M96"/>
  <c r="M97"/>
  <c r="P97"/>
  <c r="Q97" s="1"/>
  <c r="R97" s="1"/>
  <c r="S97" s="1"/>
  <c r="P96"/>
  <c r="P95"/>
  <c r="Q95" s="1"/>
  <c r="R95" s="1"/>
  <c r="S95" s="1"/>
  <c r="P94"/>
  <c r="Q94" s="1"/>
  <c r="R94" s="1"/>
  <c r="S94" s="1"/>
  <c r="Q93"/>
  <c r="R93" s="1"/>
  <c r="S93" s="1"/>
  <c r="P93"/>
  <c r="P92"/>
  <c r="P91"/>
  <c r="Q91" s="1"/>
  <c r="R91" s="1"/>
  <c r="S91" s="1"/>
  <c r="P90"/>
  <c r="Q90" s="1"/>
  <c r="R90" s="1"/>
  <c r="S90" s="1"/>
  <c r="P89"/>
  <c r="Q89" s="1"/>
  <c r="R89" s="1"/>
  <c r="S89" s="1"/>
  <c r="P88"/>
  <c r="P87"/>
  <c r="Q87" s="1"/>
  <c r="R87" s="1"/>
  <c r="S87" s="1"/>
  <c r="P86"/>
  <c r="Q86" s="1"/>
  <c r="R86" s="1"/>
  <c r="S86" s="1"/>
  <c r="Q109" l="1"/>
  <c r="R109" s="1"/>
  <c r="S109" s="1"/>
  <c r="Q105"/>
  <c r="R105" s="1"/>
  <c r="S105" s="1"/>
  <c r="Q101"/>
  <c r="R101" s="1"/>
  <c r="S101" s="1"/>
  <c r="Q96"/>
  <c r="R96" s="1"/>
  <c r="S96" s="1"/>
  <c r="Q92"/>
  <c r="R92" s="1"/>
  <c r="S92" s="1"/>
  <c r="Q88"/>
  <c r="R88" s="1"/>
  <c r="S88" s="1"/>
  <c r="M143" l="1"/>
  <c r="P143"/>
  <c r="Q143" l="1"/>
  <c r="R143" s="1"/>
  <c r="S143" s="1"/>
  <c r="P141"/>
  <c r="Q141" s="1"/>
  <c r="R141" s="1"/>
  <c r="S141" s="1"/>
  <c r="P140"/>
  <c r="Q140" s="1"/>
  <c r="R140" s="1"/>
  <c r="S140" s="1"/>
  <c r="P139"/>
  <c r="Q139" s="1"/>
  <c r="R139" s="1"/>
  <c r="S139" s="1"/>
  <c r="P138"/>
  <c r="Q138" s="1"/>
  <c r="R138" s="1"/>
  <c r="S138" s="1"/>
  <c r="P137"/>
  <c r="Q137" s="1"/>
  <c r="R137" s="1"/>
  <c r="S137" s="1"/>
  <c r="M137"/>
  <c r="M138"/>
  <c r="M139"/>
  <c r="M140"/>
  <c r="M141"/>
  <c r="M142"/>
  <c r="P142"/>
  <c r="Q142" s="1"/>
  <c r="R142" s="1"/>
  <c r="S142" s="1"/>
  <c r="M136" l="1"/>
  <c r="P136"/>
  <c r="M135"/>
  <c r="P135"/>
  <c r="X135"/>
  <c r="Y135"/>
  <c r="Y134"/>
  <c r="X134"/>
  <c r="M134"/>
  <c r="P134"/>
  <c r="P133"/>
  <c r="M133"/>
  <c r="Q134" l="1"/>
  <c r="R134" s="1"/>
  <c r="S134" s="1"/>
  <c r="Q136"/>
  <c r="R136" s="1"/>
  <c r="S136" s="1"/>
  <c r="Q135"/>
  <c r="R135" s="1"/>
  <c r="S135" s="1"/>
  <c r="Q133"/>
  <c r="R133" s="1"/>
  <c r="S133" s="1"/>
  <c r="M119" l="1"/>
  <c r="P119"/>
  <c r="Q119" s="1"/>
  <c r="R119" s="1"/>
  <c r="S119" s="1"/>
  <c r="P123"/>
  <c r="M123"/>
  <c r="P122"/>
  <c r="M122"/>
  <c r="M118"/>
  <c r="M120"/>
  <c r="M121"/>
  <c r="P118"/>
  <c r="Q118" s="1"/>
  <c r="R118" s="1"/>
  <c r="S118" s="1"/>
  <c r="P120"/>
  <c r="P121"/>
  <c r="M116"/>
  <c r="P116"/>
  <c r="Q116" s="1"/>
  <c r="R116" s="1"/>
  <c r="S116" s="1"/>
  <c r="M117"/>
  <c r="P117"/>
  <c r="P115"/>
  <c r="M115"/>
  <c r="U116"/>
  <c r="V116"/>
  <c r="U117"/>
  <c r="V117"/>
  <c r="U118"/>
  <c r="V118"/>
  <c r="U120"/>
  <c r="V120"/>
  <c r="U121"/>
  <c r="V121"/>
  <c r="V115"/>
  <c r="U115"/>
  <c r="M131"/>
  <c r="P131"/>
  <c r="P129"/>
  <c r="M129"/>
  <c r="P126"/>
  <c r="M126"/>
  <c r="P125"/>
  <c r="M125"/>
  <c r="P124"/>
  <c r="M124"/>
  <c r="Q121" l="1"/>
  <c r="R121" s="1"/>
  <c r="S121" s="1"/>
  <c r="Q125"/>
  <c r="R125" s="1"/>
  <c r="S125" s="1"/>
  <c r="Q122"/>
  <c r="R122" s="1"/>
  <c r="S122" s="1"/>
  <c r="Q123"/>
  <c r="R123" s="1"/>
  <c r="S123" s="1"/>
  <c r="Q117"/>
  <c r="R117" s="1"/>
  <c r="S117" s="1"/>
  <c r="Q115"/>
  <c r="R115" s="1"/>
  <c r="S115" s="1"/>
  <c r="Q120"/>
  <c r="R120" s="1"/>
  <c r="S120" s="1"/>
  <c r="Q124"/>
  <c r="R124" s="1"/>
  <c r="S124" s="1"/>
  <c r="Q131"/>
  <c r="R131" s="1"/>
  <c r="S131" s="1"/>
  <c r="Q129"/>
  <c r="R129" s="1"/>
  <c r="S129" s="1"/>
  <c r="Q126"/>
  <c r="R126" s="1"/>
  <c r="S126" s="1"/>
  <c r="P84" l="1"/>
  <c r="M84"/>
  <c r="P85"/>
  <c r="M85"/>
  <c r="M128"/>
  <c r="P128"/>
  <c r="Q128" s="1"/>
  <c r="R128" s="1"/>
  <c r="S128" s="1"/>
  <c r="P127"/>
  <c r="Q127" s="1"/>
  <c r="R127" s="1"/>
  <c r="S127" s="1"/>
  <c r="M127"/>
  <c r="P130"/>
  <c r="M130"/>
  <c r="Q85" l="1"/>
  <c r="R85" s="1"/>
  <c r="S85" s="1"/>
  <c r="Q84"/>
  <c r="R84" s="1"/>
  <c r="S84" s="1"/>
  <c r="Q130"/>
  <c r="R130" s="1"/>
  <c r="S130" s="1"/>
  <c r="M112" l="1"/>
  <c r="P112"/>
  <c r="P111"/>
  <c r="M111"/>
  <c r="P113"/>
  <c r="M113"/>
  <c r="P77"/>
  <c r="M77"/>
  <c r="M62"/>
  <c r="P62"/>
  <c r="P98"/>
  <c r="M98"/>
  <c r="Q113" l="1"/>
  <c r="R113" s="1"/>
  <c r="S113" s="1"/>
  <c r="Q62"/>
  <c r="R62" s="1"/>
  <c r="S62" s="1"/>
  <c r="Q112"/>
  <c r="R112" s="1"/>
  <c r="S112" s="1"/>
  <c r="Q111"/>
  <c r="R111" s="1"/>
  <c r="S111" s="1"/>
  <c r="Q98"/>
  <c r="R98" s="1"/>
  <c r="S98" s="1"/>
  <c r="Q77"/>
  <c r="R77" s="1"/>
  <c r="S77" s="1"/>
  <c r="M78"/>
  <c r="M79"/>
  <c r="M80"/>
  <c r="M81"/>
  <c r="M82"/>
  <c r="M83"/>
  <c r="P61"/>
  <c r="M61"/>
  <c r="P83"/>
  <c r="P79"/>
  <c r="Q79" s="1"/>
  <c r="R79" s="1"/>
  <c r="S79" s="1"/>
  <c r="P80"/>
  <c r="Q80" s="1"/>
  <c r="R80" s="1"/>
  <c r="S80" s="1"/>
  <c r="P78"/>
  <c r="P82"/>
  <c r="P81"/>
  <c r="M71"/>
  <c r="P71"/>
  <c r="M72"/>
  <c r="P72"/>
  <c r="M73"/>
  <c r="P73"/>
  <c r="M74"/>
  <c r="P74"/>
  <c r="M75"/>
  <c r="P75"/>
  <c r="M76"/>
  <c r="P76"/>
  <c r="Y74"/>
  <c r="AA74" s="1"/>
  <c r="Z74"/>
  <c r="Y75"/>
  <c r="AA75" s="1"/>
  <c r="Z75"/>
  <c r="Y76"/>
  <c r="AA76" s="1"/>
  <c r="Z76"/>
  <c r="Y78"/>
  <c r="AA78" s="1"/>
  <c r="Z78"/>
  <c r="Y79"/>
  <c r="AA79" s="1"/>
  <c r="Z79"/>
  <c r="Y80"/>
  <c r="AA80" s="1"/>
  <c r="Z80"/>
  <c r="Z73"/>
  <c r="Y73"/>
  <c r="M66"/>
  <c r="P66"/>
  <c r="M67"/>
  <c r="P67"/>
  <c r="M68"/>
  <c r="P68"/>
  <c r="M69"/>
  <c r="P69"/>
  <c r="M70"/>
  <c r="P70"/>
  <c r="P65"/>
  <c r="M65"/>
  <c r="Y66"/>
  <c r="Z66"/>
  <c r="Y67"/>
  <c r="Z67"/>
  <c r="Y68"/>
  <c r="Z68"/>
  <c r="Y69"/>
  <c r="Z69"/>
  <c r="Y70"/>
  <c r="Z70"/>
  <c r="Y71"/>
  <c r="Z71"/>
  <c r="Z65"/>
  <c r="Y65"/>
  <c r="Q76" l="1"/>
  <c r="R76" s="1"/>
  <c r="S76" s="1"/>
  <c r="Q74"/>
  <c r="R74" s="1"/>
  <c r="S74" s="1"/>
  <c r="Q82"/>
  <c r="R82" s="1"/>
  <c r="S82" s="1"/>
  <c r="Q69"/>
  <c r="R69" s="1"/>
  <c r="S69" s="1"/>
  <c r="Q67"/>
  <c r="R67" s="1"/>
  <c r="S67" s="1"/>
  <c r="Q75"/>
  <c r="R75" s="1"/>
  <c r="S75" s="1"/>
  <c r="Q73"/>
  <c r="R73" s="1"/>
  <c r="S73" s="1"/>
  <c r="Q71"/>
  <c r="R71" s="1"/>
  <c r="S71" s="1"/>
  <c r="Q70"/>
  <c r="R70" s="1"/>
  <c r="S70" s="1"/>
  <c r="Q68"/>
  <c r="R68" s="1"/>
  <c r="S68" s="1"/>
  <c r="Q66"/>
  <c r="R66" s="1"/>
  <c r="S66" s="1"/>
  <c r="Q72"/>
  <c r="R72" s="1"/>
  <c r="S72" s="1"/>
  <c r="Q61"/>
  <c r="R61" s="1"/>
  <c r="S61" s="1"/>
  <c r="Q83"/>
  <c r="R83" s="1"/>
  <c r="S83" s="1"/>
  <c r="Q78"/>
  <c r="R78" s="1"/>
  <c r="S78" s="1"/>
  <c r="Q81"/>
  <c r="R81" s="1"/>
  <c r="S81" s="1"/>
  <c r="Q65"/>
  <c r="R65" s="1"/>
  <c r="S65" s="1"/>
  <c r="P154" i="5" l="1"/>
  <c r="Q154" s="1"/>
  <c r="R154" s="1"/>
  <c r="S154" s="1"/>
  <c r="M154"/>
  <c r="M49" i="6" l="1"/>
  <c r="P49"/>
  <c r="M50"/>
  <c r="P50"/>
  <c r="M51"/>
  <c r="P51"/>
  <c r="M52"/>
  <c r="P52"/>
  <c r="M42"/>
  <c r="P42"/>
  <c r="M43"/>
  <c r="Q43" s="1"/>
  <c r="R43" s="1"/>
  <c r="S43" s="1"/>
  <c r="P43"/>
  <c r="M44"/>
  <c r="P44"/>
  <c r="M45"/>
  <c r="P45"/>
  <c r="M46"/>
  <c r="P46"/>
  <c r="M47"/>
  <c r="P47"/>
  <c r="P48"/>
  <c r="M48"/>
  <c r="P64"/>
  <c r="M64"/>
  <c r="P63"/>
  <c r="M63"/>
  <c r="V41" i="2"/>
  <c r="W41"/>
  <c r="V42"/>
  <c r="W42"/>
  <c r="V43"/>
  <c r="W43"/>
  <c r="V44"/>
  <c r="X44" s="1"/>
  <c r="W44"/>
  <c r="V45"/>
  <c r="W45"/>
  <c r="W40"/>
  <c r="V40"/>
  <c r="X41"/>
  <c r="Q49" i="6" l="1"/>
  <c r="R49" s="1"/>
  <c r="S49" s="1"/>
  <c r="Q48"/>
  <c r="R48" s="1"/>
  <c r="S48" s="1"/>
  <c r="Q45"/>
  <c r="R45" s="1"/>
  <c r="S45" s="1"/>
  <c r="Q52"/>
  <c r="R52" s="1"/>
  <c r="S52" s="1"/>
  <c r="Q50"/>
  <c r="R50" s="1"/>
  <c r="S50" s="1"/>
  <c r="Q46"/>
  <c r="R46" s="1"/>
  <c r="S46" s="1"/>
  <c r="Q44"/>
  <c r="R44" s="1"/>
  <c r="S44" s="1"/>
  <c r="Q42"/>
  <c r="R42" s="1"/>
  <c r="S42" s="1"/>
  <c r="Q51"/>
  <c r="R51" s="1"/>
  <c r="S51" s="1"/>
  <c r="Q47"/>
  <c r="R47" s="1"/>
  <c r="S47" s="1"/>
  <c r="Q64"/>
  <c r="R64" s="1"/>
  <c r="S64" s="1"/>
  <c r="Q63"/>
  <c r="R63" s="1"/>
  <c r="S63" s="1"/>
  <c r="X45" i="2"/>
  <c r="Y45" s="1"/>
  <c r="X43"/>
  <c r="Y43" s="1"/>
  <c r="X42"/>
  <c r="Z42" s="1"/>
  <c r="X40"/>
  <c r="Y40" s="1"/>
  <c r="Z45"/>
  <c r="Y44"/>
  <c r="Z44"/>
  <c r="Z41"/>
  <c r="Y41"/>
  <c r="Z43" l="1"/>
  <c r="Y42"/>
  <c r="Z40"/>
  <c r="P54" i="6" l="1"/>
  <c r="P55"/>
  <c r="P56"/>
  <c r="P57"/>
  <c r="P58"/>
  <c r="P59"/>
  <c r="P60"/>
  <c r="M54"/>
  <c r="M55"/>
  <c r="M56"/>
  <c r="M57"/>
  <c r="M58"/>
  <c r="M59"/>
  <c r="M60"/>
  <c r="P53"/>
  <c r="M53"/>
  <c r="Q60" l="1"/>
  <c r="R60" s="1"/>
  <c r="S60" s="1"/>
  <c r="Q57"/>
  <c r="R57" s="1"/>
  <c r="S57" s="1"/>
  <c r="Q59"/>
  <c r="R59" s="1"/>
  <c r="S59" s="1"/>
  <c r="Q55"/>
  <c r="R55" s="1"/>
  <c r="S55" s="1"/>
  <c r="Q54"/>
  <c r="R54" s="1"/>
  <c r="S54" s="1"/>
  <c r="Q58"/>
  <c r="R58" s="1"/>
  <c r="S58" s="1"/>
  <c r="Q56"/>
  <c r="R56" s="1"/>
  <c r="S56" s="1"/>
  <c r="Q53"/>
  <c r="R53" s="1"/>
  <c r="S53" s="1"/>
  <c r="P36" l="1"/>
  <c r="P37"/>
  <c r="P38"/>
  <c r="P39"/>
  <c r="P40"/>
  <c r="P41"/>
  <c r="Q41" s="1"/>
  <c r="R41" s="1"/>
  <c r="S41" s="1"/>
  <c r="M36"/>
  <c r="M37"/>
  <c r="M38"/>
  <c r="M39"/>
  <c r="M40"/>
  <c r="M41"/>
  <c r="X37"/>
  <c r="Y37"/>
  <c r="X38"/>
  <c r="Y38"/>
  <c r="X39"/>
  <c r="Y39"/>
  <c r="X40"/>
  <c r="Y40"/>
  <c r="X41"/>
  <c r="Y41"/>
  <c r="X42"/>
  <c r="Y42"/>
  <c r="X43"/>
  <c r="Y43"/>
  <c r="Y36"/>
  <c r="X36"/>
  <c r="M35"/>
  <c r="P35"/>
  <c r="Q40" l="1"/>
  <c r="R40" s="1"/>
  <c r="S40" s="1"/>
  <c r="Q38"/>
  <c r="R38" s="1"/>
  <c r="S38" s="1"/>
  <c r="Q36"/>
  <c r="R36" s="1"/>
  <c r="S36" s="1"/>
  <c r="Q39"/>
  <c r="R39" s="1"/>
  <c r="S39" s="1"/>
  <c r="Q37"/>
  <c r="R37" s="1"/>
  <c r="S37" s="1"/>
  <c r="Q35"/>
  <c r="R35" s="1"/>
  <c r="S35" s="1"/>
  <c r="M7" l="1"/>
  <c r="P7"/>
  <c r="M2"/>
  <c r="P2"/>
  <c r="M3"/>
  <c r="P3"/>
  <c r="M4"/>
  <c r="P4"/>
  <c r="M5"/>
  <c r="P5"/>
  <c r="P34"/>
  <c r="P33"/>
  <c r="P32"/>
  <c r="P31"/>
  <c r="P8"/>
  <c r="Q8" s="1"/>
  <c r="R8" s="1"/>
  <c r="S8" s="1"/>
  <c r="M8"/>
  <c r="P6"/>
  <c r="M6"/>
  <c r="M32"/>
  <c r="M33"/>
  <c r="M34"/>
  <c r="M31"/>
  <c r="X32"/>
  <c r="Y32"/>
  <c r="X33"/>
  <c r="Y33"/>
  <c r="Y31"/>
  <c r="X31"/>
  <c r="Q31" l="1"/>
  <c r="R31" s="1"/>
  <c r="S31" s="1"/>
  <c r="Q5"/>
  <c r="R5" s="1"/>
  <c r="S5" s="1"/>
  <c r="Q33"/>
  <c r="R33" s="1"/>
  <c r="S33" s="1"/>
  <c r="Q7"/>
  <c r="R7" s="1"/>
  <c r="S7" s="1"/>
  <c r="Q32"/>
  <c r="R32" s="1"/>
  <c r="S32" s="1"/>
  <c r="Q3"/>
  <c r="R3" s="1"/>
  <c r="S3" s="1"/>
  <c r="Q6"/>
  <c r="R6" s="1"/>
  <c r="S6" s="1"/>
  <c r="Q34"/>
  <c r="R34" s="1"/>
  <c r="S34" s="1"/>
  <c r="Q4"/>
  <c r="R4" s="1"/>
  <c r="S4" s="1"/>
  <c r="Q2"/>
  <c r="R2" s="1"/>
  <c r="S2" s="1"/>
  <c r="M10"/>
  <c r="P10"/>
  <c r="M11"/>
  <c r="P11"/>
  <c r="M13"/>
  <c r="P13"/>
  <c r="P22"/>
  <c r="M22"/>
  <c r="M25"/>
  <c r="P25"/>
  <c r="M26"/>
  <c r="P26"/>
  <c r="M27"/>
  <c r="P27"/>
  <c r="M28"/>
  <c r="P28"/>
  <c r="M30"/>
  <c r="P30"/>
  <c r="P29"/>
  <c r="M29"/>
  <c r="M24"/>
  <c r="P24"/>
  <c r="P23"/>
  <c r="M23"/>
  <c r="P14"/>
  <c r="M14"/>
  <c r="P12"/>
  <c r="M12"/>
  <c r="P9"/>
  <c r="M9"/>
  <c r="Y24"/>
  <c r="Z24"/>
  <c r="Y25"/>
  <c r="Z25"/>
  <c r="Y26"/>
  <c r="Z26"/>
  <c r="Y27"/>
  <c r="Z27"/>
  <c r="Y28"/>
  <c r="Z28"/>
  <c r="Y29"/>
  <c r="Z29"/>
  <c r="Y30"/>
  <c r="Z30"/>
  <c r="Z23"/>
  <c r="Y23"/>
  <c r="Q24" l="1"/>
  <c r="R24" s="1"/>
  <c r="S24" s="1"/>
  <c r="Q27"/>
  <c r="R27" s="1"/>
  <c r="S27" s="1"/>
  <c r="Q25"/>
  <c r="R25" s="1"/>
  <c r="S25" s="1"/>
  <c r="Q13"/>
  <c r="R13" s="1"/>
  <c r="S13" s="1"/>
  <c r="Q10"/>
  <c r="R10" s="1"/>
  <c r="S10" s="1"/>
  <c r="Q30"/>
  <c r="R30" s="1"/>
  <c r="S30" s="1"/>
  <c r="Q12"/>
  <c r="R12" s="1"/>
  <c r="S12" s="1"/>
  <c r="Q23"/>
  <c r="R23" s="1"/>
  <c r="S23" s="1"/>
  <c r="Q29"/>
  <c r="R29" s="1"/>
  <c r="S29" s="1"/>
  <c r="Q22"/>
  <c r="R22" s="1"/>
  <c r="S22" s="1"/>
  <c r="Q28"/>
  <c r="R28" s="1"/>
  <c r="S28" s="1"/>
  <c r="Q26"/>
  <c r="R26" s="1"/>
  <c r="S26" s="1"/>
  <c r="Q11"/>
  <c r="R11" s="1"/>
  <c r="S11" s="1"/>
  <c r="Q9"/>
  <c r="R9" s="1"/>
  <c r="S9" s="1"/>
  <c r="Q14"/>
  <c r="R14" s="1"/>
  <c r="S14" s="1"/>
  <c r="P16"/>
  <c r="P17"/>
  <c r="P18"/>
  <c r="P19"/>
  <c r="P20"/>
  <c r="P21"/>
  <c r="M16"/>
  <c r="M17"/>
  <c r="M18"/>
  <c r="M19"/>
  <c r="M20"/>
  <c r="M21"/>
  <c r="Y13"/>
  <c r="Z13"/>
  <c r="Y14"/>
  <c r="Z14"/>
  <c r="Y15"/>
  <c r="Z15"/>
  <c r="Y16"/>
  <c r="Z16"/>
  <c r="Y17"/>
  <c r="Z17"/>
  <c r="Y18"/>
  <c r="Z18"/>
  <c r="Y19"/>
  <c r="Z19"/>
  <c r="Z12"/>
  <c r="Y12"/>
  <c r="P15"/>
  <c r="M15"/>
  <c r="Q17" l="1"/>
  <c r="R17" s="1"/>
  <c r="S17" s="1"/>
  <c r="Q15"/>
  <c r="R15" s="1"/>
  <c r="S15" s="1"/>
  <c r="Q21"/>
  <c r="R21" s="1"/>
  <c r="S21" s="1"/>
  <c r="Q19"/>
  <c r="R19" s="1"/>
  <c r="S19" s="1"/>
  <c r="Q18"/>
  <c r="R18" s="1"/>
  <c r="S18" s="1"/>
  <c r="Q20"/>
  <c r="R20" s="1"/>
  <c r="S20" s="1"/>
  <c r="Q16"/>
  <c r="R16" s="1"/>
  <c r="S16" s="1"/>
  <c r="P151" i="5"/>
  <c r="P152"/>
  <c r="P153"/>
  <c r="P148"/>
  <c r="P150"/>
  <c r="P149"/>
  <c r="P147"/>
  <c r="M148"/>
  <c r="M149"/>
  <c r="M150"/>
  <c r="M151"/>
  <c r="M152"/>
  <c r="M153"/>
  <c r="M147"/>
  <c r="P156"/>
  <c r="P157"/>
  <c r="P158"/>
  <c r="M156"/>
  <c r="M157"/>
  <c r="M158"/>
  <c r="P155"/>
  <c r="M155"/>
  <c r="X148"/>
  <c r="Y148"/>
  <c r="X149"/>
  <c r="Y149"/>
  <c r="X150"/>
  <c r="Y150"/>
  <c r="X151"/>
  <c r="Y151"/>
  <c r="X152"/>
  <c r="Y152"/>
  <c r="X153"/>
  <c r="Y153"/>
  <c r="X155"/>
  <c r="Y155"/>
  <c r="X156"/>
  <c r="Y156"/>
  <c r="Q153" l="1"/>
  <c r="R153" s="1"/>
  <c r="S153" s="1"/>
  <c r="Q156"/>
  <c r="R156" s="1"/>
  <c r="S156" s="1"/>
  <c r="Q148"/>
  <c r="R148" s="1"/>
  <c r="S148" s="1"/>
  <c r="Q155"/>
  <c r="R155" s="1"/>
  <c r="S155" s="1"/>
  <c r="Q158"/>
  <c r="R158" s="1"/>
  <c r="S158" s="1"/>
  <c r="Q150"/>
  <c r="R150" s="1"/>
  <c r="S150" s="1"/>
  <c r="Q151"/>
  <c r="R151" s="1"/>
  <c r="S151" s="1"/>
  <c r="Q157"/>
  <c r="R157" s="1"/>
  <c r="S157" s="1"/>
  <c r="Q149"/>
  <c r="R149" s="1"/>
  <c r="S149" s="1"/>
  <c r="Q152"/>
  <c r="R152" s="1"/>
  <c r="S152" s="1"/>
  <c r="Q147"/>
  <c r="R147" s="1"/>
  <c r="S147" s="1"/>
  <c r="P140" l="1"/>
  <c r="M140"/>
  <c r="M139"/>
  <c r="P139"/>
  <c r="P136"/>
  <c r="P141"/>
  <c r="P138"/>
  <c r="P144"/>
  <c r="P145"/>
  <c r="P146"/>
  <c r="M144"/>
  <c r="M145"/>
  <c r="M146"/>
  <c r="P143"/>
  <c r="M143"/>
  <c r="P142"/>
  <c r="P137"/>
  <c r="M137"/>
  <c r="M138"/>
  <c r="M141"/>
  <c r="M142"/>
  <c r="M136"/>
  <c r="X135"/>
  <c r="Y135"/>
  <c r="X136"/>
  <c r="Y136"/>
  <c r="X137"/>
  <c r="Y137"/>
  <c r="X138"/>
  <c r="Y138"/>
  <c r="X141"/>
  <c r="Y141"/>
  <c r="X142"/>
  <c r="Y142"/>
  <c r="Q142" l="1"/>
  <c r="R142" s="1"/>
  <c r="S142" s="1"/>
  <c r="Q144"/>
  <c r="R144" s="1"/>
  <c r="S144" s="1"/>
  <c r="Q139"/>
  <c r="R139" s="1"/>
  <c r="S139" s="1"/>
  <c r="Q136"/>
  <c r="R136" s="1"/>
  <c r="S136" s="1"/>
  <c r="Q143"/>
  <c r="R143" s="1"/>
  <c r="S143" s="1"/>
  <c r="Q145"/>
  <c r="R145" s="1"/>
  <c r="S145" s="1"/>
  <c r="Q141"/>
  <c r="R141" s="1"/>
  <c r="S141" s="1"/>
  <c r="Q138"/>
  <c r="R138" s="1"/>
  <c r="S138" s="1"/>
  <c r="Q137"/>
  <c r="R137" s="1"/>
  <c r="S137" s="1"/>
  <c r="Q146"/>
  <c r="R146" s="1"/>
  <c r="S146" s="1"/>
  <c r="Q140"/>
  <c r="R140" s="1"/>
  <c r="S140" s="1"/>
  <c r="P135" l="1"/>
  <c r="M135"/>
  <c r="Q135" l="1"/>
  <c r="R135" s="1"/>
  <c r="S135" s="1"/>
  <c r="M61"/>
  <c r="P61"/>
  <c r="P67"/>
  <c r="M67"/>
  <c r="Q67" l="1"/>
  <c r="R67" s="1"/>
  <c r="S67" s="1"/>
  <c r="Q61"/>
  <c r="R61" s="1"/>
  <c r="S61" s="1"/>
  <c r="AH6" i="2"/>
  <c r="AH7"/>
  <c r="AH8"/>
  <c r="AH9"/>
  <c r="AH10"/>
  <c r="AH5"/>
  <c r="X128" i="5"/>
  <c r="Y128"/>
  <c r="Y127"/>
  <c r="X127"/>
  <c r="M128"/>
  <c r="P128"/>
  <c r="P129"/>
  <c r="M129"/>
  <c r="P134"/>
  <c r="M134"/>
  <c r="P133"/>
  <c r="M133"/>
  <c r="P132"/>
  <c r="M132"/>
  <c r="P131"/>
  <c r="M131"/>
  <c r="P130"/>
  <c r="M130"/>
  <c r="P127"/>
  <c r="M127"/>
  <c r="M122"/>
  <c r="P122"/>
  <c r="M123"/>
  <c r="P123"/>
  <c r="M116"/>
  <c r="P116"/>
  <c r="M117"/>
  <c r="P117"/>
  <c r="M118"/>
  <c r="P118"/>
  <c r="M119"/>
  <c r="P119"/>
  <c r="M120"/>
  <c r="P120"/>
  <c r="M121"/>
  <c r="P121"/>
  <c r="W117"/>
  <c r="X117"/>
  <c r="W118"/>
  <c r="X118"/>
  <c r="W119"/>
  <c r="X119"/>
  <c r="W120"/>
  <c r="X120"/>
  <c r="W121"/>
  <c r="X121"/>
  <c r="X116"/>
  <c r="W116"/>
  <c r="P126"/>
  <c r="M126"/>
  <c r="P125"/>
  <c r="M125"/>
  <c r="P124"/>
  <c r="M124"/>
  <c r="P112"/>
  <c r="M112"/>
  <c r="M111"/>
  <c r="P111"/>
  <c r="M115"/>
  <c r="P115"/>
  <c r="M113"/>
  <c r="P113"/>
  <c r="M114"/>
  <c r="P114"/>
  <c r="P102"/>
  <c r="M102"/>
  <c r="M104"/>
  <c r="P104"/>
  <c r="P107"/>
  <c r="M107"/>
  <c r="P106"/>
  <c r="M106"/>
  <c r="P105"/>
  <c r="M105"/>
  <c r="M108"/>
  <c r="P108"/>
  <c r="M109"/>
  <c r="P109"/>
  <c r="M110"/>
  <c r="P110"/>
  <c r="P103"/>
  <c r="M103"/>
  <c r="M100"/>
  <c r="P100"/>
  <c r="P99"/>
  <c r="M99"/>
  <c r="P101"/>
  <c r="M101"/>
  <c r="X97"/>
  <c r="Y97"/>
  <c r="X98"/>
  <c r="Y98"/>
  <c r="X99"/>
  <c r="Y99"/>
  <c r="X100"/>
  <c r="Y100"/>
  <c r="X101"/>
  <c r="Y101"/>
  <c r="X103"/>
  <c r="Y103"/>
  <c r="Y108"/>
  <c r="X108"/>
  <c r="P55"/>
  <c r="M55"/>
  <c r="P93"/>
  <c r="P94"/>
  <c r="P95"/>
  <c r="P96"/>
  <c r="P97"/>
  <c r="P92"/>
  <c r="P91"/>
  <c r="M91"/>
  <c r="M90"/>
  <c r="P90"/>
  <c r="P87"/>
  <c r="M87"/>
  <c r="M86"/>
  <c r="P86"/>
  <c r="P88"/>
  <c r="P98"/>
  <c r="P89"/>
  <c r="M85"/>
  <c r="P85"/>
  <c r="M89"/>
  <c r="M92"/>
  <c r="M93"/>
  <c r="M94"/>
  <c r="M95"/>
  <c r="M96"/>
  <c r="M97"/>
  <c r="M98"/>
  <c r="M88"/>
  <c r="W89"/>
  <c r="X89"/>
  <c r="W92"/>
  <c r="X92"/>
  <c r="W93"/>
  <c r="X93"/>
  <c r="W94"/>
  <c r="X94"/>
  <c r="X88"/>
  <c r="W88"/>
  <c r="M83"/>
  <c r="P83"/>
  <c r="M84"/>
  <c r="P84"/>
  <c r="P82"/>
  <c r="M82"/>
  <c r="L41" i="2"/>
  <c r="M41"/>
  <c r="L42"/>
  <c r="N42" s="1"/>
  <c r="O42" s="1"/>
  <c r="M42"/>
  <c r="L43"/>
  <c r="M43"/>
  <c r="L44"/>
  <c r="N44" s="1"/>
  <c r="O44" s="1"/>
  <c r="M44"/>
  <c r="L45"/>
  <c r="M45"/>
  <c r="M40"/>
  <c r="L40"/>
  <c r="N40"/>
  <c r="O40" s="1"/>
  <c r="D41"/>
  <c r="E41"/>
  <c r="D42"/>
  <c r="F42" s="1"/>
  <c r="G42" s="1"/>
  <c r="E42"/>
  <c r="D43"/>
  <c r="E43"/>
  <c r="D44"/>
  <c r="E44"/>
  <c r="D45"/>
  <c r="E45"/>
  <c r="E40"/>
  <c r="D40"/>
  <c r="F40" s="1"/>
  <c r="G40" s="1"/>
  <c r="M66" i="5"/>
  <c r="P66"/>
  <c r="M63"/>
  <c r="P63"/>
  <c r="P62"/>
  <c r="M62"/>
  <c r="M8"/>
  <c r="P8"/>
  <c r="Q89" l="1"/>
  <c r="R89" s="1"/>
  <c r="S89" s="1"/>
  <c r="Q121"/>
  <c r="R121" s="1"/>
  <c r="S121" s="1"/>
  <c r="Q119"/>
  <c r="R119" s="1"/>
  <c r="S119" s="1"/>
  <c r="Q117"/>
  <c r="R117" s="1"/>
  <c r="S117" s="1"/>
  <c r="Q123"/>
  <c r="R123" s="1"/>
  <c r="S123" s="1"/>
  <c r="Q133"/>
  <c r="R133" s="1"/>
  <c r="S133" s="1"/>
  <c r="Q102"/>
  <c r="R102" s="1"/>
  <c r="S102" s="1"/>
  <c r="Q132"/>
  <c r="R132" s="1"/>
  <c r="S132" s="1"/>
  <c r="Q134"/>
  <c r="R134" s="1"/>
  <c r="S134" s="1"/>
  <c r="Q120"/>
  <c r="R120" s="1"/>
  <c r="S120" s="1"/>
  <c r="Q118"/>
  <c r="R118" s="1"/>
  <c r="S118" s="1"/>
  <c r="Q116"/>
  <c r="R116" s="1"/>
  <c r="S116" s="1"/>
  <c r="Q122"/>
  <c r="R122" s="1"/>
  <c r="S122" s="1"/>
  <c r="Q128"/>
  <c r="R128" s="1"/>
  <c r="S128" s="1"/>
  <c r="Q112"/>
  <c r="R112" s="1"/>
  <c r="S112" s="1"/>
  <c r="Q125"/>
  <c r="R125" s="1"/>
  <c r="S125" s="1"/>
  <c r="Q129"/>
  <c r="R129" s="1"/>
  <c r="S129" s="1"/>
  <c r="Q131"/>
  <c r="R131" s="1"/>
  <c r="S131" s="1"/>
  <c r="Q130"/>
  <c r="R130" s="1"/>
  <c r="S130" s="1"/>
  <c r="Q127"/>
  <c r="R127" s="1"/>
  <c r="S127" s="1"/>
  <c r="Q124"/>
  <c r="R124" s="1"/>
  <c r="S124" s="1"/>
  <c r="Q104"/>
  <c r="R104" s="1"/>
  <c r="S104" s="1"/>
  <c r="Q99"/>
  <c r="R99" s="1"/>
  <c r="S99" s="1"/>
  <c r="Q103"/>
  <c r="R103" s="1"/>
  <c r="S103" s="1"/>
  <c r="Q126"/>
  <c r="R126" s="1"/>
  <c r="S126" s="1"/>
  <c r="Q113"/>
  <c r="R113" s="1"/>
  <c r="S113" s="1"/>
  <c r="Q111"/>
  <c r="R111" s="1"/>
  <c r="S111" s="1"/>
  <c r="Q114"/>
  <c r="R114" s="1"/>
  <c r="S114" s="1"/>
  <c r="Q115"/>
  <c r="R115" s="1"/>
  <c r="S115" s="1"/>
  <c r="Q107"/>
  <c r="R107" s="1"/>
  <c r="S107" s="1"/>
  <c r="Q106"/>
  <c r="R106" s="1"/>
  <c r="S106" s="1"/>
  <c r="Q105"/>
  <c r="R105" s="1"/>
  <c r="S105" s="1"/>
  <c r="Q100"/>
  <c r="R100" s="1"/>
  <c r="S100" s="1"/>
  <c r="Q110"/>
  <c r="R110" s="1"/>
  <c r="S110" s="1"/>
  <c r="Q108"/>
  <c r="R108" s="1"/>
  <c r="S108" s="1"/>
  <c r="Q109"/>
  <c r="R109" s="1"/>
  <c r="S109" s="1"/>
  <c r="Q101"/>
  <c r="R101" s="1"/>
  <c r="S101" s="1"/>
  <c r="Q85"/>
  <c r="R85" s="1"/>
  <c r="S85" s="1"/>
  <c r="Q63"/>
  <c r="R63" s="1"/>
  <c r="S63" s="1"/>
  <c r="Q55"/>
  <c r="R55" s="1"/>
  <c r="S55" s="1"/>
  <c r="Q96"/>
  <c r="R96" s="1"/>
  <c r="S96" s="1"/>
  <c r="Q97"/>
  <c r="R97" s="1"/>
  <c r="S97" s="1"/>
  <c r="Q93"/>
  <c r="R93" s="1"/>
  <c r="S93" s="1"/>
  <c r="Q88"/>
  <c r="R88" s="1"/>
  <c r="S88" s="1"/>
  <c r="Q86"/>
  <c r="R86" s="1"/>
  <c r="S86" s="1"/>
  <c r="Q90"/>
  <c r="R90" s="1"/>
  <c r="S90" s="1"/>
  <c r="Q92"/>
  <c r="R92" s="1"/>
  <c r="S92" s="1"/>
  <c r="Q94"/>
  <c r="R94" s="1"/>
  <c r="S94" s="1"/>
  <c r="Q83"/>
  <c r="R83" s="1"/>
  <c r="Q98"/>
  <c r="R98" s="1"/>
  <c r="S98" s="1"/>
  <c r="Q87"/>
  <c r="R87" s="1"/>
  <c r="S87" s="1"/>
  <c r="Q95"/>
  <c r="R95" s="1"/>
  <c r="S95" s="1"/>
  <c r="N45" i="2"/>
  <c r="O45" s="1"/>
  <c r="N41"/>
  <c r="O41" s="1"/>
  <c r="Q91" i="5"/>
  <c r="R91" s="1"/>
  <c r="S91" s="1"/>
  <c r="Q66"/>
  <c r="R66" s="1"/>
  <c r="S66" s="1"/>
  <c r="Q82"/>
  <c r="R82" s="1"/>
  <c r="S82" s="1"/>
  <c r="Q84"/>
  <c r="R84" s="1"/>
  <c r="S84" s="1"/>
  <c r="N43" i="2"/>
  <c r="O43" s="1"/>
  <c r="F45"/>
  <c r="G45" s="1"/>
  <c r="F44"/>
  <c r="G44" s="1"/>
  <c r="F43"/>
  <c r="G43" s="1"/>
  <c r="F41"/>
  <c r="G41" s="1"/>
  <c r="Q62" i="5"/>
  <c r="R62" s="1"/>
  <c r="S62" s="1"/>
  <c r="Q8"/>
  <c r="R8" s="1"/>
  <c r="S8" s="1"/>
  <c r="P72" l="1"/>
  <c r="P73"/>
  <c r="P74"/>
  <c r="P75"/>
  <c r="P76"/>
  <c r="P77"/>
  <c r="P78"/>
  <c r="P79"/>
  <c r="P80"/>
  <c r="P81"/>
  <c r="M73"/>
  <c r="M74"/>
  <c r="M75"/>
  <c r="M76"/>
  <c r="M77"/>
  <c r="M78"/>
  <c r="M79"/>
  <c r="M80"/>
  <c r="M81"/>
  <c r="M72"/>
  <c r="X72"/>
  <c r="Y72"/>
  <c r="X73"/>
  <c r="Y73"/>
  <c r="X74"/>
  <c r="Y74"/>
  <c r="X75"/>
  <c r="Y75"/>
  <c r="X76"/>
  <c r="Y76"/>
  <c r="X77"/>
  <c r="Y77"/>
  <c r="X78"/>
  <c r="Y78"/>
  <c r="X79"/>
  <c r="Y79"/>
  <c r="X80"/>
  <c r="Y80"/>
  <c r="X81"/>
  <c r="Y81"/>
  <c r="X82"/>
  <c r="Y82"/>
  <c r="Y71"/>
  <c r="X71"/>
  <c r="AE6" i="2"/>
  <c r="AE7"/>
  <c r="AE8"/>
  <c r="AE9"/>
  <c r="AE10"/>
  <c r="AE5"/>
  <c r="AD6"/>
  <c r="AD7"/>
  <c r="AD8"/>
  <c r="AD9"/>
  <c r="AD10"/>
  <c r="AD5"/>
  <c r="AF5" s="1"/>
  <c r="AG5" s="1"/>
  <c r="X57" i="5"/>
  <c r="Y57"/>
  <c r="X58"/>
  <c r="Y58"/>
  <c r="X59"/>
  <c r="Y59"/>
  <c r="Y56"/>
  <c r="X56"/>
  <c r="M69"/>
  <c r="M70"/>
  <c r="M71"/>
  <c r="P71"/>
  <c r="P70"/>
  <c r="P69"/>
  <c r="P68"/>
  <c r="M68"/>
  <c r="Q71" l="1"/>
  <c r="R71" s="1"/>
  <c r="S71" s="1"/>
  <c r="Q78"/>
  <c r="R78" s="1"/>
  <c r="S78" s="1"/>
  <c r="Q81"/>
  <c r="R81" s="1"/>
  <c r="S81" s="1"/>
  <c r="Q79"/>
  <c r="R79" s="1"/>
  <c r="S79" s="1"/>
  <c r="Q75"/>
  <c r="R75" s="1"/>
  <c r="S75" s="1"/>
  <c r="Q80"/>
  <c r="R80" s="1"/>
  <c r="S80" s="1"/>
  <c r="Q76"/>
  <c r="R76" s="1"/>
  <c r="S76" s="1"/>
  <c r="Q72"/>
  <c r="R72" s="1"/>
  <c r="S72" s="1"/>
  <c r="Q77"/>
  <c r="R77" s="1"/>
  <c r="S77" s="1"/>
  <c r="AF6" i="2"/>
  <c r="AG6" s="1"/>
  <c r="Q73" i="5"/>
  <c r="R73" s="1"/>
  <c r="S73" s="1"/>
  <c r="Q69"/>
  <c r="R69" s="1"/>
  <c r="S69" s="1"/>
  <c r="Q74"/>
  <c r="R74" s="1"/>
  <c r="S74" s="1"/>
  <c r="AF10" i="2"/>
  <c r="AG10" s="1"/>
  <c r="AF7"/>
  <c r="AG7" s="1"/>
  <c r="AF8"/>
  <c r="AG8" s="1"/>
  <c r="AF9"/>
  <c r="AG9" s="1"/>
  <c r="Q68" i="5"/>
  <c r="R68" s="1"/>
  <c r="S68" s="1"/>
  <c r="Q70"/>
  <c r="R70" s="1"/>
  <c r="S70" s="1"/>
  <c r="P54" l="1"/>
  <c r="M54"/>
  <c r="P53"/>
  <c r="M53"/>
  <c r="M34"/>
  <c r="P34"/>
  <c r="P57"/>
  <c r="P58"/>
  <c r="P59"/>
  <c r="P60"/>
  <c r="P56"/>
  <c r="P38"/>
  <c r="P39"/>
  <c r="P40"/>
  <c r="P41"/>
  <c r="P42"/>
  <c r="P43"/>
  <c r="P44"/>
  <c r="P45"/>
  <c r="P46"/>
  <c r="P47"/>
  <c r="P48"/>
  <c r="P49"/>
  <c r="M38"/>
  <c r="Q38" s="1"/>
  <c r="R38" s="1"/>
  <c r="S38" s="1"/>
  <c r="M39"/>
  <c r="M40"/>
  <c r="M41"/>
  <c r="M42"/>
  <c r="Q42" s="1"/>
  <c r="R42" s="1"/>
  <c r="S42" s="1"/>
  <c r="M43"/>
  <c r="M44"/>
  <c r="M45"/>
  <c r="M46"/>
  <c r="M47"/>
  <c r="M48"/>
  <c r="M49"/>
  <c r="Q49" s="1"/>
  <c r="R49" s="1"/>
  <c r="S49" s="1"/>
  <c r="M65"/>
  <c r="P65"/>
  <c r="M57"/>
  <c r="M58"/>
  <c r="M59"/>
  <c r="M60"/>
  <c r="M56"/>
  <c r="W38"/>
  <c r="X38"/>
  <c r="W39"/>
  <c r="X39"/>
  <c r="W40"/>
  <c r="X40"/>
  <c r="W41"/>
  <c r="X41"/>
  <c r="W42"/>
  <c r="X42"/>
  <c r="W43"/>
  <c r="X43"/>
  <c r="W44"/>
  <c r="X44"/>
  <c r="W45"/>
  <c r="X45"/>
  <c r="X46"/>
  <c r="W46"/>
  <c r="M37"/>
  <c r="P37"/>
  <c r="W51"/>
  <c r="X51"/>
  <c r="W52"/>
  <c r="X52"/>
  <c r="X50"/>
  <c r="W50"/>
  <c r="M51"/>
  <c r="P51"/>
  <c r="M52"/>
  <c r="P52"/>
  <c r="P50"/>
  <c r="M50"/>
  <c r="W12" i="2"/>
  <c r="X12" s="1"/>
  <c r="V12"/>
  <c r="W11"/>
  <c r="X11" s="1"/>
  <c r="V11"/>
  <c r="P64" i="5"/>
  <c r="M64"/>
  <c r="X9" i="2"/>
  <c r="V6"/>
  <c r="W6"/>
  <c r="X6" s="1"/>
  <c r="V7"/>
  <c r="X7" s="1"/>
  <c r="W7"/>
  <c r="V8"/>
  <c r="X8" s="1"/>
  <c r="W8"/>
  <c r="V9"/>
  <c r="W9"/>
  <c r="V10"/>
  <c r="W10"/>
  <c r="X10" s="1"/>
  <c r="W5"/>
  <c r="V5"/>
  <c r="X5" s="1"/>
  <c r="Y5" s="1"/>
  <c r="Q56" i="5" l="1"/>
  <c r="R56" s="1"/>
  <c r="S56" s="1"/>
  <c r="Q64"/>
  <c r="R64" s="1"/>
  <c r="S64" s="1"/>
  <c r="Q59"/>
  <c r="R59" s="1"/>
  <c r="S59" s="1"/>
  <c r="Q57"/>
  <c r="R57" s="1"/>
  <c r="S57" s="1"/>
  <c r="Q54"/>
  <c r="R54" s="1"/>
  <c r="S54" s="1"/>
  <c r="Q43"/>
  <c r="R43" s="1"/>
  <c r="S43" s="1"/>
  <c r="Q44"/>
  <c r="R44" s="1"/>
  <c r="S44" s="1"/>
  <c r="Q40"/>
  <c r="R40" s="1"/>
  <c r="S40" s="1"/>
  <c r="Q45"/>
  <c r="R45" s="1"/>
  <c r="S45" s="1"/>
  <c r="Q41"/>
  <c r="R41" s="1"/>
  <c r="S41" s="1"/>
  <c r="Q58"/>
  <c r="R58" s="1"/>
  <c r="S58" s="1"/>
  <c r="Y9" i="2"/>
  <c r="Y11"/>
  <c r="Y8"/>
  <c r="Y10"/>
  <c r="Y6"/>
  <c r="Y7"/>
  <c r="Y12"/>
  <c r="Q46" i="5"/>
  <c r="R46" s="1"/>
  <c r="S46" s="1"/>
  <c r="Q48"/>
  <c r="R48" s="1"/>
  <c r="S48" s="1"/>
  <c r="Q39"/>
  <c r="R39" s="1"/>
  <c r="S39" s="1"/>
  <c r="Q60"/>
  <c r="R60" s="1"/>
  <c r="S60" s="1"/>
  <c r="Q53"/>
  <c r="R53" s="1"/>
  <c r="S53" s="1"/>
  <c r="Q34"/>
  <c r="R34" s="1"/>
  <c r="S34" s="1"/>
  <c r="Q65"/>
  <c r="R65" s="1"/>
  <c r="S65" s="1"/>
  <c r="Q47"/>
  <c r="R47" s="1"/>
  <c r="S47" s="1"/>
  <c r="Q37"/>
  <c r="R37" s="1"/>
  <c r="S37" s="1"/>
  <c r="Q51"/>
  <c r="R51" s="1"/>
  <c r="S51" s="1"/>
  <c r="Q50"/>
  <c r="R50" s="1"/>
  <c r="S50" s="1"/>
  <c r="Q52"/>
  <c r="R52" s="1"/>
  <c r="S52" s="1"/>
  <c r="P23" l="1"/>
  <c r="Q23" s="1"/>
  <c r="R23" s="1"/>
  <c r="S23" s="1"/>
  <c r="M22"/>
  <c r="P22"/>
  <c r="P21"/>
  <c r="P24"/>
  <c r="P25"/>
  <c r="P26"/>
  <c r="P27"/>
  <c r="P28"/>
  <c r="P29"/>
  <c r="P30"/>
  <c r="P31"/>
  <c r="P32"/>
  <c r="P33"/>
  <c r="P35"/>
  <c r="P36"/>
  <c r="M24"/>
  <c r="M25"/>
  <c r="Q25" s="1"/>
  <c r="R25" s="1"/>
  <c r="S25" s="1"/>
  <c r="M26"/>
  <c r="M27"/>
  <c r="M28"/>
  <c r="M29"/>
  <c r="M30"/>
  <c r="M31"/>
  <c r="M32"/>
  <c r="M33"/>
  <c r="M35"/>
  <c r="M36"/>
  <c r="M21"/>
  <c r="W25"/>
  <c r="X25"/>
  <c r="W26"/>
  <c r="X26"/>
  <c r="W27"/>
  <c r="X27"/>
  <c r="W28"/>
  <c r="X28"/>
  <c r="W29"/>
  <c r="X29"/>
  <c r="W30"/>
  <c r="X30"/>
  <c r="W31"/>
  <c r="X31"/>
  <c r="X24"/>
  <c r="W24"/>
  <c r="P11"/>
  <c r="M11"/>
  <c r="M10"/>
  <c r="P10"/>
  <c r="M20"/>
  <c r="P16"/>
  <c r="P17"/>
  <c r="P18"/>
  <c r="P19"/>
  <c r="P20"/>
  <c r="M16"/>
  <c r="M17"/>
  <c r="M18"/>
  <c r="M19"/>
  <c r="X20"/>
  <c r="W20"/>
  <c r="Q10" l="1"/>
  <c r="R10" s="1"/>
  <c r="S10" s="1"/>
  <c r="Q21"/>
  <c r="R21" s="1"/>
  <c r="S21" s="1"/>
  <c r="Q11"/>
  <c r="R11" s="1"/>
  <c r="S11" s="1"/>
  <c r="Q32"/>
  <c r="R32" s="1"/>
  <c r="S32" s="1"/>
  <c r="Q28"/>
  <c r="R28" s="1"/>
  <c r="S28" s="1"/>
  <c r="Q24"/>
  <c r="R24" s="1"/>
  <c r="S24" s="1"/>
  <c r="Q33"/>
  <c r="R33" s="1"/>
  <c r="S33" s="1"/>
  <c r="Q29"/>
  <c r="R29" s="1"/>
  <c r="S29" s="1"/>
  <c r="Q35"/>
  <c r="R35" s="1"/>
  <c r="S35" s="1"/>
  <c r="Q30"/>
  <c r="R30" s="1"/>
  <c r="S30" s="1"/>
  <c r="Q36"/>
  <c r="R36" s="1"/>
  <c r="S36" s="1"/>
  <c r="Q31"/>
  <c r="R31" s="1"/>
  <c r="S31" s="1"/>
  <c r="Q27"/>
  <c r="R27" s="1"/>
  <c r="S27" s="1"/>
  <c r="Q26"/>
  <c r="R26" s="1"/>
  <c r="S26" s="1"/>
  <c r="Q22"/>
  <c r="R22" s="1"/>
  <c r="S22" s="1"/>
  <c r="Q20"/>
  <c r="R20" s="1"/>
  <c r="S20" s="1"/>
  <c r="Q17"/>
  <c r="R17" s="1"/>
  <c r="S17" s="1"/>
  <c r="Q18"/>
  <c r="R18" s="1"/>
  <c r="S18" s="1"/>
  <c r="Q16"/>
  <c r="R16" s="1"/>
  <c r="S16" s="1"/>
  <c r="Q19"/>
  <c r="R19" s="1"/>
  <c r="S19" s="1"/>
  <c r="M7" l="1"/>
  <c r="M2"/>
  <c r="M3"/>
  <c r="M4"/>
  <c r="P7"/>
  <c r="P4"/>
  <c r="P3"/>
  <c r="P2"/>
  <c r="Q2" l="1"/>
  <c r="R2" s="1"/>
  <c r="S2" s="1"/>
  <c r="Q4"/>
  <c r="R4" s="1"/>
  <c r="S4" s="1"/>
  <c r="Q3"/>
  <c r="R3" s="1"/>
  <c r="S3" s="1"/>
  <c r="Q7"/>
  <c r="R7" s="1"/>
  <c r="S7" s="1"/>
  <c r="P12" l="1"/>
  <c r="P13"/>
  <c r="P14"/>
  <c r="P15"/>
  <c r="P6"/>
  <c r="P5"/>
  <c r="M6"/>
  <c r="M5"/>
  <c r="M12"/>
  <c r="M13"/>
  <c r="M14"/>
  <c r="M15"/>
  <c r="P9"/>
  <c r="M9"/>
  <c r="W12"/>
  <c r="X12"/>
  <c r="W13"/>
  <c r="X13"/>
  <c r="W14"/>
  <c r="X14"/>
  <c r="W16"/>
  <c r="X16"/>
  <c r="W17"/>
  <c r="X17"/>
  <c r="W18"/>
  <c r="X18"/>
  <c r="X9"/>
  <c r="W9"/>
  <c r="Q5" l="1"/>
  <c r="R5" s="1"/>
  <c r="S5" s="1"/>
  <c r="Q13"/>
  <c r="R13" s="1"/>
  <c r="S13" s="1"/>
  <c r="Q14"/>
  <c r="R14" s="1"/>
  <c r="S14" s="1"/>
  <c r="Q15"/>
  <c r="R15" s="1"/>
  <c r="S15" s="1"/>
  <c r="Q6"/>
  <c r="R6" s="1"/>
  <c r="S6" s="1"/>
  <c r="Q12"/>
  <c r="R12" s="1"/>
  <c r="S12" s="1"/>
  <c r="Q9"/>
  <c r="R9" s="1"/>
  <c r="S9" s="1"/>
  <c r="P143" i="4"/>
  <c r="M143"/>
  <c r="M140"/>
  <c r="P140"/>
  <c r="P138"/>
  <c r="M138"/>
  <c r="P137"/>
  <c r="M137"/>
  <c r="P136"/>
  <c r="M136"/>
  <c r="M133"/>
  <c r="P133"/>
  <c r="M141"/>
  <c r="M142"/>
  <c r="M132"/>
  <c r="P132"/>
  <c r="M134"/>
  <c r="P134"/>
  <c r="M135"/>
  <c r="P135"/>
  <c r="M139"/>
  <c r="P139"/>
  <c r="P141"/>
  <c r="Q141" s="1"/>
  <c r="R141" s="1"/>
  <c r="S141" s="1"/>
  <c r="P142"/>
  <c r="X142"/>
  <c r="W142"/>
  <c r="X141"/>
  <c r="W141"/>
  <c r="X139"/>
  <c r="W139"/>
  <c r="X135"/>
  <c r="W135"/>
  <c r="X134"/>
  <c r="W134"/>
  <c r="P131"/>
  <c r="M131"/>
  <c r="Q133" l="1"/>
  <c r="R133" s="1"/>
  <c r="S133" s="1"/>
  <c r="Q140"/>
  <c r="R140" s="1"/>
  <c r="S140" s="1"/>
  <c r="Q137"/>
  <c r="R137" s="1"/>
  <c r="S137" s="1"/>
  <c r="Q143"/>
  <c r="R143" s="1"/>
  <c r="S143" s="1"/>
  <c r="Q138"/>
  <c r="R138" s="1"/>
  <c r="S138" s="1"/>
  <c r="Q136"/>
  <c r="R136" s="1"/>
  <c r="S136" s="1"/>
  <c r="Q135"/>
  <c r="R135" s="1"/>
  <c r="S135" s="1"/>
  <c r="Q134"/>
  <c r="R134" s="1"/>
  <c r="S134" s="1"/>
  <c r="Q132"/>
  <c r="R132" s="1"/>
  <c r="S132" s="1"/>
  <c r="Q139"/>
  <c r="R139" s="1"/>
  <c r="S139" s="1"/>
  <c r="Q142"/>
  <c r="R142" s="1"/>
  <c r="S142" s="1"/>
  <c r="Q131"/>
  <c r="R131" s="1"/>
  <c r="S131" s="1"/>
  <c r="P128" l="1"/>
  <c r="M128"/>
  <c r="M127"/>
  <c r="P127"/>
  <c r="P129"/>
  <c r="P130"/>
  <c r="P126"/>
  <c r="M129"/>
  <c r="M130"/>
  <c r="M126"/>
  <c r="X130"/>
  <c r="Y130"/>
  <c r="Y129"/>
  <c r="X129"/>
  <c r="Z115"/>
  <c r="Y115"/>
  <c r="P115"/>
  <c r="Q115" s="1"/>
  <c r="R115" s="1"/>
  <c r="S115" s="1"/>
  <c r="M115"/>
  <c r="M114"/>
  <c r="P114"/>
  <c r="M124"/>
  <c r="P125"/>
  <c r="M125"/>
  <c r="P124"/>
  <c r="Q124" s="1"/>
  <c r="R124" s="1"/>
  <c r="S124" s="1"/>
  <c r="P123"/>
  <c r="M123"/>
  <c r="M121"/>
  <c r="P121"/>
  <c r="P122"/>
  <c r="Q122" s="1"/>
  <c r="R122" s="1"/>
  <c r="S122" s="1"/>
  <c r="M122"/>
  <c r="P120"/>
  <c r="M120"/>
  <c r="M116"/>
  <c r="M117"/>
  <c r="M118"/>
  <c r="M119"/>
  <c r="P119"/>
  <c r="P118"/>
  <c r="P117"/>
  <c r="Q117" s="1"/>
  <c r="R117" s="1"/>
  <c r="S117" s="1"/>
  <c r="P116"/>
  <c r="P113"/>
  <c r="M113"/>
  <c r="Q114" l="1"/>
  <c r="R114" s="1"/>
  <c r="S114" s="1"/>
  <c r="Q121"/>
  <c r="R121" s="1"/>
  <c r="S121" s="1"/>
  <c r="Q119"/>
  <c r="R119" s="1"/>
  <c r="S119" s="1"/>
  <c r="Q127"/>
  <c r="R127" s="1"/>
  <c r="S127" s="1"/>
  <c r="Q118"/>
  <c r="R118" s="1"/>
  <c r="S118" s="1"/>
  <c r="Q128"/>
  <c r="R128" s="1"/>
  <c r="S128" s="1"/>
  <c r="Q126"/>
  <c r="R126" s="1"/>
  <c r="S126" s="1"/>
  <c r="Q130"/>
  <c r="R130" s="1"/>
  <c r="S130" s="1"/>
  <c r="Q129"/>
  <c r="R129" s="1"/>
  <c r="S129" s="1"/>
  <c r="Q125"/>
  <c r="R125" s="1"/>
  <c r="S125" s="1"/>
  <c r="Q123"/>
  <c r="R123" s="1"/>
  <c r="S123" s="1"/>
  <c r="Q120"/>
  <c r="R120" s="1"/>
  <c r="S120" s="1"/>
  <c r="Q116"/>
  <c r="R116" s="1"/>
  <c r="S116" s="1"/>
  <c r="Q113"/>
  <c r="R113" s="1"/>
  <c r="S113" s="1"/>
  <c r="Y112" l="1"/>
  <c r="Z112"/>
  <c r="P112"/>
  <c r="M112"/>
  <c r="M109"/>
  <c r="P109"/>
  <c r="Q109" s="1"/>
  <c r="R109" s="1"/>
  <c r="S109" s="1"/>
  <c r="P107"/>
  <c r="Q107" s="1"/>
  <c r="R107" s="1"/>
  <c r="S107" s="1"/>
  <c r="M107"/>
  <c r="M106"/>
  <c r="P106"/>
  <c r="Q106" s="1"/>
  <c r="R106" s="1"/>
  <c r="S106" s="1"/>
  <c r="P104"/>
  <c r="P103"/>
  <c r="Q103" s="1"/>
  <c r="R103" s="1"/>
  <c r="S103" s="1"/>
  <c r="M103"/>
  <c r="M104"/>
  <c r="P110"/>
  <c r="P111"/>
  <c r="P108"/>
  <c r="M110"/>
  <c r="M111"/>
  <c r="M108"/>
  <c r="Q108" s="1"/>
  <c r="R108" s="1"/>
  <c r="S108" s="1"/>
  <c r="Y108"/>
  <c r="Z108"/>
  <c r="Y110"/>
  <c r="Z110"/>
  <c r="Y111"/>
  <c r="Z111"/>
  <c r="P105"/>
  <c r="M105"/>
  <c r="M96"/>
  <c r="M77"/>
  <c r="P77"/>
  <c r="P80"/>
  <c r="M80"/>
  <c r="P79"/>
  <c r="M79"/>
  <c r="P78"/>
  <c r="M78"/>
  <c r="P96"/>
  <c r="P97"/>
  <c r="P98"/>
  <c r="P99"/>
  <c r="Q99"/>
  <c r="R99" s="1"/>
  <c r="S99" s="1"/>
  <c r="P100"/>
  <c r="P101"/>
  <c r="P102"/>
  <c r="M97"/>
  <c r="M98"/>
  <c r="M99"/>
  <c r="M100"/>
  <c r="M101"/>
  <c r="M102"/>
  <c r="X74"/>
  <c r="Y74"/>
  <c r="X75"/>
  <c r="Y75"/>
  <c r="X76"/>
  <c r="Y76"/>
  <c r="X81"/>
  <c r="Y81"/>
  <c r="X82"/>
  <c r="Y82"/>
  <c r="X83"/>
  <c r="Y83"/>
  <c r="X84"/>
  <c r="Y84"/>
  <c r="Y85"/>
  <c r="X85"/>
  <c r="M95"/>
  <c r="P95"/>
  <c r="P81"/>
  <c r="P75"/>
  <c r="P88"/>
  <c r="P87"/>
  <c r="P86"/>
  <c r="P85"/>
  <c r="P90"/>
  <c r="P91"/>
  <c r="P92"/>
  <c r="P93"/>
  <c r="P94"/>
  <c r="P89"/>
  <c r="P83"/>
  <c r="Q83" s="1"/>
  <c r="R83" s="1"/>
  <c r="S83" s="1"/>
  <c r="P84"/>
  <c r="P82"/>
  <c r="P76"/>
  <c r="M76"/>
  <c r="M81"/>
  <c r="M82"/>
  <c r="M83"/>
  <c r="M84"/>
  <c r="M85"/>
  <c r="M86"/>
  <c r="M87"/>
  <c r="M88"/>
  <c r="M89"/>
  <c r="Q89" s="1"/>
  <c r="R89" s="1"/>
  <c r="S89" s="1"/>
  <c r="M90"/>
  <c r="M91"/>
  <c r="M92"/>
  <c r="M93"/>
  <c r="M94"/>
  <c r="M75"/>
  <c r="Q97" l="1"/>
  <c r="R97" s="1"/>
  <c r="S97" s="1"/>
  <c r="Q110"/>
  <c r="R110" s="1"/>
  <c r="S110" s="1"/>
  <c r="Q101"/>
  <c r="R101" s="1"/>
  <c r="S101" s="1"/>
  <c r="Q111"/>
  <c r="R111" s="1"/>
  <c r="S111" s="1"/>
  <c r="Q91"/>
  <c r="R91" s="1"/>
  <c r="S91" s="1"/>
  <c r="Q87"/>
  <c r="R87" s="1"/>
  <c r="S87" s="1"/>
  <c r="Q102"/>
  <c r="R102" s="1"/>
  <c r="S102" s="1"/>
  <c r="Q82"/>
  <c r="R82" s="1"/>
  <c r="S82" s="1"/>
  <c r="Q100"/>
  <c r="R100" s="1"/>
  <c r="S100" s="1"/>
  <c r="Q104"/>
  <c r="R104" s="1"/>
  <c r="S104" s="1"/>
  <c r="Q86"/>
  <c r="R86" s="1"/>
  <c r="S86" s="1"/>
  <c r="Q75"/>
  <c r="R75" s="1"/>
  <c r="S75" s="1"/>
  <c r="Q98"/>
  <c r="R98" s="1"/>
  <c r="S98" s="1"/>
  <c r="Q76"/>
  <c r="R76" s="1"/>
  <c r="S76" s="1"/>
  <c r="Q112"/>
  <c r="R112" s="1"/>
  <c r="S112" s="1"/>
  <c r="Q84"/>
  <c r="R84" s="1"/>
  <c r="S84" s="1"/>
  <c r="Q92"/>
  <c r="R92" s="1"/>
  <c r="S92" s="1"/>
  <c r="Q93"/>
  <c r="R93" s="1"/>
  <c r="S93" s="1"/>
  <c r="Q85"/>
  <c r="R85" s="1"/>
  <c r="S85" s="1"/>
  <c r="Q88"/>
  <c r="R88" s="1"/>
  <c r="S88" s="1"/>
  <c r="Q95"/>
  <c r="R95" s="1"/>
  <c r="S95" s="1"/>
  <c r="Q96"/>
  <c r="R96" s="1"/>
  <c r="S96" s="1"/>
  <c r="Q94"/>
  <c r="R94" s="1"/>
  <c r="S94" s="1"/>
  <c r="Q90"/>
  <c r="R90" s="1"/>
  <c r="S90" s="1"/>
  <c r="Q81"/>
  <c r="R81" s="1"/>
  <c r="S81" s="1"/>
  <c r="Q77"/>
  <c r="R77" s="1"/>
  <c r="S77" s="1"/>
  <c r="Q105"/>
  <c r="R105" s="1"/>
  <c r="S105" s="1"/>
  <c r="Q80"/>
  <c r="R80" s="1"/>
  <c r="S80" s="1"/>
  <c r="Q79"/>
  <c r="R79" s="1"/>
  <c r="S79" s="1"/>
  <c r="Q78"/>
  <c r="R78" s="1"/>
  <c r="S78" s="1"/>
  <c r="P71"/>
  <c r="M71"/>
  <c r="M70"/>
  <c r="P70"/>
  <c r="M69"/>
  <c r="M72"/>
  <c r="M73"/>
  <c r="P69"/>
  <c r="P72"/>
  <c r="P73"/>
  <c r="P74"/>
  <c r="M74"/>
  <c r="Q70" l="1"/>
  <c r="R70" s="1"/>
  <c r="S70" s="1"/>
  <c r="Q72"/>
  <c r="R72" s="1"/>
  <c r="S72" s="1"/>
  <c r="Q71"/>
  <c r="R71" s="1"/>
  <c r="S71" s="1"/>
  <c r="Q73"/>
  <c r="R73" s="1"/>
  <c r="S73" s="1"/>
  <c r="Q69"/>
  <c r="R69" s="1"/>
  <c r="S69" s="1"/>
  <c r="Q74"/>
  <c r="R74" s="1"/>
  <c r="S74" s="1"/>
  <c r="P63" l="1"/>
  <c r="M63"/>
  <c r="M61"/>
  <c r="P61"/>
  <c r="M68"/>
  <c r="P68"/>
  <c r="M67"/>
  <c r="P67"/>
  <c r="Q67" l="1"/>
  <c r="R67" s="1"/>
  <c r="S67" s="1"/>
  <c r="Q68"/>
  <c r="R68" s="1"/>
  <c r="S68" s="1"/>
  <c r="Q61"/>
  <c r="R61" s="1"/>
  <c r="S61" s="1"/>
  <c r="Q63"/>
  <c r="R63" s="1"/>
  <c r="S63" s="1"/>
  <c r="P65" l="1"/>
  <c r="P60"/>
  <c r="P62"/>
  <c r="P64"/>
  <c r="P66"/>
  <c r="M62"/>
  <c r="M64"/>
  <c r="M65"/>
  <c r="M66"/>
  <c r="M60"/>
  <c r="X60"/>
  <c r="Y60"/>
  <c r="X62"/>
  <c r="Y62"/>
  <c r="X64"/>
  <c r="Y64"/>
  <c r="X65"/>
  <c r="Y65"/>
  <c r="Y66"/>
  <c r="X66"/>
  <c r="Q65" l="1"/>
  <c r="R65" s="1"/>
  <c r="S65" s="1"/>
  <c r="Q66"/>
  <c r="R66" s="1"/>
  <c r="S66" s="1"/>
  <c r="Q64"/>
  <c r="R64" s="1"/>
  <c r="S64" s="1"/>
  <c r="Q60"/>
  <c r="R60" s="1"/>
  <c r="S60" s="1"/>
  <c r="Q62"/>
  <c r="R62" s="1"/>
  <c r="S62" s="1"/>
  <c r="X54"/>
  <c r="Y54"/>
  <c r="Y55"/>
  <c r="X55"/>
  <c r="M51"/>
  <c r="P51"/>
  <c r="P40"/>
  <c r="Q40" s="1"/>
  <c r="R40" s="1"/>
  <c r="S40" s="1"/>
  <c r="M40"/>
  <c r="M39"/>
  <c r="P39"/>
  <c r="P59"/>
  <c r="M56"/>
  <c r="M57"/>
  <c r="M58"/>
  <c r="M59"/>
  <c r="P58"/>
  <c r="P57"/>
  <c r="P56"/>
  <c r="P38"/>
  <c r="P41"/>
  <c r="P42"/>
  <c r="P43"/>
  <c r="P44"/>
  <c r="P45"/>
  <c r="P46"/>
  <c r="P47"/>
  <c r="P48"/>
  <c r="P49"/>
  <c r="P50"/>
  <c r="P52"/>
  <c r="P53"/>
  <c r="P54"/>
  <c r="P55"/>
  <c r="P28"/>
  <c r="M41"/>
  <c r="M42"/>
  <c r="M43"/>
  <c r="Q43" s="1"/>
  <c r="R43" s="1"/>
  <c r="S43" s="1"/>
  <c r="M44"/>
  <c r="M45"/>
  <c r="M46"/>
  <c r="M47"/>
  <c r="Q47" s="1"/>
  <c r="R47" s="1"/>
  <c r="S47" s="1"/>
  <c r="M48"/>
  <c r="M49"/>
  <c r="M50"/>
  <c r="M52"/>
  <c r="M53"/>
  <c r="M54"/>
  <c r="M55"/>
  <c r="M38"/>
  <c r="X41"/>
  <c r="Y41"/>
  <c r="X42"/>
  <c r="Y42"/>
  <c r="X43"/>
  <c r="Y43"/>
  <c r="X44"/>
  <c r="Y44"/>
  <c r="X45"/>
  <c r="Y45"/>
  <c r="X46"/>
  <c r="Y46"/>
  <c r="X47"/>
  <c r="Y47"/>
  <c r="X48"/>
  <c r="Y48"/>
  <c r="X49"/>
  <c r="Y49"/>
  <c r="Y50"/>
  <c r="X50"/>
  <c r="P26"/>
  <c r="M26"/>
  <c r="P25"/>
  <c r="M25"/>
  <c r="P27"/>
  <c r="M27"/>
  <c r="M24"/>
  <c r="P24"/>
  <c r="P30"/>
  <c r="P29"/>
  <c r="Q55" l="1"/>
  <c r="R55" s="1"/>
  <c r="S55" s="1"/>
  <c r="Q50"/>
  <c r="R50" s="1"/>
  <c r="S50" s="1"/>
  <c r="Q58"/>
  <c r="R58" s="1"/>
  <c r="S58" s="1"/>
  <c r="Q59"/>
  <c r="R59" s="1"/>
  <c r="S59" s="1"/>
  <c r="Q57"/>
  <c r="R57" s="1"/>
  <c r="S57" s="1"/>
  <c r="Q53"/>
  <c r="R53" s="1"/>
  <c r="S53" s="1"/>
  <c r="Q56"/>
  <c r="R56" s="1"/>
  <c r="S56" s="1"/>
  <c r="Q39"/>
  <c r="R39" s="1"/>
  <c r="S39" s="1"/>
  <c r="Q51"/>
  <c r="R51" s="1"/>
  <c r="S51" s="1"/>
  <c r="Q45"/>
  <c r="R45" s="1"/>
  <c r="S45" s="1"/>
  <c r="Q54"/>
  <c r="R54" s="1"/>
  <c r="S54" s="1"/>
  <c r="Q46"/>
  <c r="R46" s="1"/>
  <c r="S46" s="1"/>
  <c r="Q44"/>
  <c r="R44" s="1"/>
  <c r="S44" s="1"/>
  <c r="Q41"/>
  <c r="R41" s="1"/>
  <c r="S41" s="1"/>
  <c r="Q48"/>
  <c r="R48" s="1"/>
  <c r="S48" s="1"/>
  <c r="Q42"/>
  <c r="R42" s="1"/>
  <c r="S42" s="1"/>
  <c r="Q38"/>
  <c r="R38" s="1"/>
  <c r="S38" s="1"/>
  <c r="Q52"/>
  <c r="R52" s="1"/>
  <c r="S52" s="1"/>
  <c r="Q49"/>
  <c r="R49" s="1"/>
  <c r="S49" s="1"/>
  <c r="Q24"/>
  <c r="R24" s="1"/>
  <c r="S24" s="1"/>
  <c r="Q25"/>
  <c r="R25" s="1"/>
  <c r="S25" s="1"/>
  <c r="Q26"/>
  <c r="R26" s="1"/>
  <c r="S26" s="1"/>
  <c r="Q27"/>
  <c r="R27" s="1"/>
  <c r="S27" s="1"/>
  <c r="P32" l="1"/>
  <c r="P33"/>
  <c r="P34"/>
  <c r="P35"/>
  <c r="P36"/>
  <c r="P37"/>
  <c r="Q31"/>
  <c r="R31" s="1"/>
  <c r="S31" s="1"/>
  <c r="P31"/>
  <c r="M28"/>
  <c r="Q28" s="1"/>
  <c r="R28" s="1"/>
  <c r="S28" s="1"/>
  <c r="M29"/>
  <c r="Q29" s="1"/>
  <c r="R29" s="1"/>
  <c r="S29" s="1"/>
  <c r="M30"/>
  <c r="Q30" s="1"/>
  <c r="R30" s="1"/>
  <c r="S30" s="1"/>
  <c r="M31"/>
  <c r="M32"/>
  <c r="M33"/>
  <c r="M34"/>
  <c r="M35"/>
  <c r="M36"/>
  <c r="M37"/>
  <c r="X30"/>
  <c r="X31"/>
  <c r="X32"/>
  <c r="X33"/>
  <c r="X34"/>
  <c r="X35"/>
  <c r="X36"/>
  <c r="X29"/>
  <c r="Y30"/>
  <c r="Y31"/>
  <c r="Y32"/>
  <c r="Y33"/>
  <c r="Y34"/>
  <c r="Y35"/>
  <c r="Y36"/>
  <c r="Y29"/>
  <c r="Q36" l="1"/>
  <c r="R36" s="1"/>
  <c r="S36" s="1"/>
  <c r="Q32"/>
  <c r="R32" s="1"/>
  <c r="S32" s="1"/>
  <c r="Q35"/>
  <c r="R35" s="1"/>
  <c r="S35" s="1"/>
  <c r="Q34"/>
  <c r="R34" s="1"/>
  <c r="S34" s="1"/>
  <c r="Q37"/>
  <c r="R37" s="1"/>
  <c r="S37" s="1"/>
  <c r="Q33"/>
  <c r="R33" s="1"/>
  <c r="S33" s="1"/>
  <c r="P23"/>
  <c r="Q23" s="1"/>
  <c r="R23" s="1"/>
  <c r="S23" s="1"/>
  <c r="M23"/>
  <c r="M21" l="1"/>
  <c r="P21"/>
  <c r="P22"/>
  <c r="M22"/>
  <c r="M20"/>
  <c r="P20"/>
  <c r="P19"/>
  <c r="Q19" s="1"/>
  <c r="R19" s="1"/>
  <c r="S19" s="1"/>
  <c r="M19"/>
  <c r="X20"/>
  <c r="Y20"/>
  <c r="X21"/>
  <c r="Y21"/>
  <c r="Q20" l="1"/>
  <c r="R20" s="1"/>
  <c r="S20" s="1"/>
  <c r="Q21"/>
  <c r="R21" s="1"/>
  <c r="S21" s="1"/>
  <c r="Q22"/>
  <c r="R22" s="1"/>
  <c r="S22" s="1"/>
  <c r="P11" l="1"/>
  <c r="M11"/>
  <c r="M9"/>
  <c r="P9"/>
  <c r="P16"/>
  <c r="P17"/>
  <c r="P18"/>
  <c r="P8"/>
  <c r="P10"/>
  <c r="P12"/>
  <c r="P13"/>
  <c r="P14"/>
  <c r="P15"/>
  <c r="M10"/>
  <c r="M12"/>
  <c r="M13"/>
  <c r="M14"/>
  <c r="M15"/>
  <c r="M16"/>
  <c r="M17"/>
  <c r="M18"/>
  <c r="M8"/>
  <c r="X8"/>
  <c r="Y8"/>
  <c r="X10"/>
  <c r="Y10"/>
  <c r="X12"/>
  <c r="Y12"/>
  <c r="X13"/>
  <c r="Y13"/>
  <c r="X14"/>
  <c r="Y14"/>
  <c r="X15"/>
  <c r="Y15"/>
  <c r="X16"/>
  <c r="Y16"/>
  <c r="Y17"/>
  <c r="X17"/>
  <c r="Q13" l="1"/>
  <c r="R13" s="1"/>
  <c r="S13" s="1"/>
  <c r="Q15"/>
  <c r="R15" s="1"/>
  <c r="S15" s="1"/>
  <c r="Q12"/>
  <c r="R12" s="1"/>
  <c r="S12" s="1"/>
  <c r="Q18"/>
  <c r="R18" s="1"/>
  <c r="S18" s="1"/>
  <c r="Q14"/>
  <c r="R14" s="1"/>
  <c r="S14" s="1"/>
  <c r="Q9"/>
  <c r="R9" s="1"/>
  <c r="S9" s="1"/>
  <c r="Q8"/>
  <c r="R8" s="1"/>
  <c r="S8" s="1"/>
  <c r="Q16"/>
  <c r="R16" s="1"/>
  <c r="S16" s="1"/>
  <c r="Q10"/>
  <c r="R10" s="1"/>
  <c r="S10" s="1"/>
  <c r="Q17"/>
  <c r="R17" s="1"/>
  <c r="S17" s="1"/>
  <c r="Q11"/>
  <c r="R11" s="1"/>
  <c r="S11" s="1"/>
  <c r="P6" l="1"/>
  <c r="M6"/>
  <c r="M5"/>
  <c r="P5"/>
  <c r="P69" i="3"/>
  <c r="M69"/>
  <c r="M68"/>
  <c r="P68"/>
  <c r="P3" i="4"/>
  <c r="P4"/>
  <c r="P7"/>
  <c r="P2"/>
  <c r="M3"/>
  <c r="M4"/>
  <c r="M7"/>
  <c r="M2"/>
  <c r="W80" i="3"/>
  <c r="X80"/>
  <c r="X81"/>
  <c r="W81"/>
  <c r="M70"/>
  <c r="P70"/>
  <c r="Q7" i="4" l="1"/>
  <c r="R7" s="1"/>
  <c r="S7" s="1"/>
  <c r="Q3"/>
  <c r="R3" s="1"/>
  <c r="S3" s="1"/>
  <c r="Q4"/>
  <c r="R4" s="1"/>
  <c r="S4" s="1"/>
  <c r="Q70" i="3"/>
  <c r="R70" s="1"/>
  <c r="S70" s="1"/>
  <c r="Q2" i="4"/>
  <c r="R2" s="1"/>
  <c r="S2" s="1"/>
  <c r="Q68" i="3"/>
  <c r="R68" s="1"/>
  <c r="S68" s="1"/>
  <c r="Q5" i="4"/>
  <c r="R5" s="1"/>
  <c r="S5" s="1"/>
  <c r="Q6"/>
  <c r="R6" s="1"/>
  <c r="S6" s="1"/>
  <c r="Q69" i="3"/>
  <c r="R69" s="1"/>
  <c r="S69" s="1"/>
  <c r="P67" l="1"/>
  <c r="Q67" s="1"/>
  <c r="R67" s="1"/>
  <c r="S67" s="1"/>
  <c r="M67"/>
  <c r="M56" l="1"/>
  <c r="P56"/>
  <c r="Q56" s="1"/>
  <c r="R56" s="1"/>
  <c r="S56" s="1"/>
  <c r="P57"/>
  <c r="Q57" s="1"/>
  <c r="R57" s="1"/>
  <c r="S57" s="1"/>
  <c r="M57"/>
  <c r="P55"/>
  <c r="P58"/>
  <c r="Q58" s="1"/>
  <c r="R58" s="1"/>
  <c r="S58" s="1"/>
  <c r="P59"/>
  <c r="P60"/>
  <c r="Q60" s="1"/>
  <c r="R60" s="1"/>
  <c r="S60" s="1"/>
  <c r="P61"/>
  <c r="Q61"/>
  <c r="R61" s="1"/>
  <c r="S61" s="1"/>
  <c r="P62"/>
  <c r="Q62" s="1"/>
  <c r="R62" s="1"/>
  <c r="S62" s="1"/>
  <c r="P63"/>
  <c r="P64"/>
  <c r="Q64" s="1"/>
  <c r="R64" s="1"/>
  <c r="S64" s="1"/>
  <c r="P65"/>
  <c r="Q65"/>
  <c r="R65" s="1"/>
  <c r="S65" s="1"/>
  <c r="P66"/>
  <c r="Q66" s="1"/>
  <c r="R66" s="1"/>
  <c r="S66" s="1"/>
  <c r="M58"/>
  <c r="M59"/>
  <c r="Q59" s="1"/>
  <c r="R59" s="1"/>
  <c r="S59" s="1"/>
  <c r="M60"/>
  <c r="M61"/>
  <c r="M62"/>
  <c r="M63"/>
  <c r="Q63" s="1"/>
  <c r="R63" s="1"/>
  <c r="S63" s="1"/>
  <c r="M64"/>
  <c r="M65"/>
  <c r="M66"/>
  <c r="M55"/>
  <c r="Q55" s="1"/>
  <c r="R55" s="1"/>
  <c r="S55" s="1"/>
  <c r="X54"/>
  <c r="Y54"/>
  <c r="X55"/>
  <c r="Y55"/>
  <c r="X58"/>
  <c r="Y58"/>
  <c r="X59"/>
  <c r="Y59"/>
  <c r="X60"/>
  <c r="Y60"/>
  <c r="X61"/>
  <c r="Y61"/>
  <c r="X62"/>
  <c r="Y62"/>
  <c r="X63"/>
  <c r="Y63"/>
  <c r="X64"/>
  <c r="Y64"/>
  <c r="X65"/>
  <c r="Y65"/>
  <c r="Y66"/>
  <c r="X66"/>
  <c r="P47" l="1"/>
  <c r="M47"/>
  <c r="M46"/>
  <c r="P46"/>
  <c r="M38"/>
  <c r="P39"/>
  <c r="M39"/>
  <c r="P38"/>
  <c r="P37"/>
  <c r="M37"/>
  <c r="M34"/>
  <c r="P34"/>
  <c r="P33"/>
  <c r="P35"/>
  <c r="P36"/>
  <c r="P40"/>
  <c r="P41"/>
  <c r="P42"/>
  <c r="M33"/>
  <c r="M35"/>
  <c r="M36"/>
  <c r="M40"/>
  <c r="M41"/>
  <c r="M42"/>
  <c r="V35"/>
  <c r="W35"/>
  <c r="V36"/>
  <c r="W36"/>
  <c r="V40"/>
  <c r="W40"/>
  <c r="V41"/>
  <c r="W41"/>
  <c r="V42"/>
  <c r="W42"/>
  <c r="W33"/>
  <c r="V33"/>
  <c r="P44"/>
  <c r="Q44"/>
  <c r="R44" s="1"/>
  <c r="S44" s="1"/>
  <c r="P45"/>
  <c r="P48"/>
  <c r="P49"/>
  <c r="Q49"/>
  <c r="R49" s="1"/>
  <c r="S49" s="1"/>
  <c r="P50"/>
  <c r="Q50" s="1"/>
  <c r="R50" s="1"/>
  <c r="S50" s="1"/>
  <c r="P51"/>
  <c r="P52"/>
  <c r="Q52" s="1"/>
  <c r="R52" s="1"/>
  <c r="S52" s="1"/>
  <c r="P53"/>
  <c r="P54"/>
  <c r="Q54" s="1"/>
  <c r="R54" s="1"/>
  <c r="S54" s="1"/>
  <c r="P43"/>
  <c r="M44"/>
  <c r="M45"/>
  <c r="M48"/>
  <c r="M49"/>
  <c r="M50"/>
  <c r="M51"/>
  <c r="Q51" s="1"/>
  <c r="R51" s="1"/>
  <c r="S51" s="1"/>
  <c r="M52"/>
  <c r="M53"/>
  <c r="M54"/>
  <c r="M43"/>
  <c r="M35" i="1"/>
  <c r="M36"/>
  <c r="M37"/>
  <c r="M38"/>
  <c r="P35"/>
  <c r="P36"/>
  <c r="P37"/>
  <c r="P38"/>
  <c r="Q45" i="3" l="1"/>
  <c r="R45" s="1"/>
  <c r="S45" s="1"/>
  <c r="Q43"/>
  <c r="R43" s="1"/>
  <c r="S43" s="1"/>
  <c r="Q48"/>
  <c r="R48" s="1"/>
  <c r="S48" s="1"/>
  <c r="Q34"/>
  <c r="R34" s="1"/>
  <c r="S34" s="1"/>
  <c r="Q46"/>
  <c r="R46" s="1"/>
  <c r="S46" s="1"/>
  <c r="Q53"/>
  <c r="R53" s="1"/>
  <c r="S53" s="1"/>
  <c r="Q47"/>
  <c r="R47" s="1"/>
  <c r="S47" s="1"/>
  <c r="Q36"/>
  <c r="R36" s="1"/>
  <c r="S36" s="1"/>
  <c r="Q40"/>
  <c r="R40" s="1"/>
  <c r="S40" s="1"/>
  <c r="Q41"/>
  <c r="R41" s="1"/>
  <c r="S41" s="1"/>
  <c r="Q33"/>
  <c r="R33" s="1"/>
  <c r="S33" s="1"/>
  <c r="Q42"/>
  <c r="R42" s="1"/>
  <c r="S42" s="1"/>
  <c r="Q35"/>
  <c r="R35" s="1"/>
  <c r="S35" s="1"/>
  <c r="Q39"/>
  <c r="R39" s="1"/>
  <c r="S39" s="1"/>
  <c r="Q38"/>
  <c r="R38" s="1"/>
  <c r="S38" s="1"/>
  <c r="Q37"/>
  <c r="R37" s="1"/>
  <c r="S37" s="1"/>
  <c r="Q38" i="1"/>
  <c r="R38" s="1"/>
  <c r="S38" s="1"/>
  <c r="Q36"/>
  <c r="R36" s="1"/>
  <c r="S36" s="1"/>
  <c r="Q37"/>
  <c r="R37" s="1"/>
  <c r="S37" s="1"/>
  <c r="Q35"/>
  <c r="R35" s="1"/>
  <c r="S35" s="1"/>
  <c r="P32" i="3" l="1"/>
  <c r="P30"/>
  <c r="P31"/>
  <c r="M31"/>
  <c r="M32"/>
  <c r="Q32" s="1"/>
  <c r="R32" s="1"/>
  <c r="S32" s="1"/>
  <c r="M30"/>
  <c r="Y32"/>
  <c r="Y31"/>
  <c r="Q31" l="1"/>
  <c r="R31" s="1"/>
  <c r="S31" s="1"/>
  <c r="Q30"/>
  <c r="R30" s="1"/>
  <c r="S30" s="1"/>
  <c r="P24"/>
  <c r="M24"/>
  <c r="P23"/>
  <c r="M23"/>
  <c r="P25"/>
  <c r="M25"/>
  <c r="M22"/>
  <c r="P22"/>
  <c r="P29"/>
  <c r="M29"/>
  <c r="P21"/>
  <c r="Q21" s="1"/>
  <c r="R21" s="1"/>
  <c r="S21" s="1"/>
  <c r="P26"/>
  <c r="P27"/>
  <c r="P28"/>
  <c r="M26"/>
  <c r="Q26" s="1"/>
  <c r="R26" s="1"/>
  <c r="S26" s="1"/>
  <c r="M27"/>
  <c r="M28"/>
  <c r="M21"/>
  <c r="Y28"/>
  <c r="Y29"/>
  <c r="X28"/>
  <c r="X29"/>
  <c r="X27"/>
  <c r="Y27"/>
  <c r="Q27" l="1"/>
  <c r="R27" s="1"/>
  <c r="S27" s="1"/>
  <c r="Q22"/>
  <c r="R22" s="1"/>
  <c r="S22" s="1"/>
  <c r="Q23"/>
  <c r="R23" s="1"/>
  <c r="S23" s="1"/>
  <c r="Q28"/>
  <c r="R28" s="1"/>
  <c r="S28" s="1"/>
  <c r="Q29"/>
  <c r="R29" s="1"/>
  <c r="S29" s="1"/>
  <c r="Q25"/>
  <c r="R25" s="1"/>
  <c r="S25" s="1"/>
  <c r="Q24"/>
  <c r="R24" s="1"/>
  <c r="S24" s="1"/>
  <c r="P14" l="1"/>
  <c r="M14"/>
  <c r="M13"/>
  <c r="P13"/>
  <c r="P20"/>
  <c r="Q20" s="1"/>
  <c r="R20" s="1"/>
  <c r="S20" s="1"/>
  <c r="P19"/>
  <c r="P18"/>
  <c r="Q18" s="1"/>
  <c r="R18" s="1"/>
  <c r="S18" s="1"/>
  <c r="M18"/>
  <c r="M19"/>
  <c r="M20"/>
  <c r="X19"/>
  <c r="Y19"/>
  <c r="X20"/>
  <c r="Y20"/>
  <c r="Q19" l="1"/>
  <c r="R19" s="1"/>
  <c r="S19" s="1"/>
  <c r="Q13"/>
  <c r="R13" s="1"/>
  <c r="S13" s="1"/>
  <c r="Q14"/>
  <c r="R14" s="1"/>
  <c r="S14" s="1"/>
  <c r="P15" l="1"/>
  <c r="Q15" s="1"/>
  <c r="R15" s="1"/>
  <c r="S15" s="1"/>
  <c r="P16"/>
  <c r="P17"/>
  <c r="M15"/>
  <c r="M16"/>
  <c r="M17"/>
  <c r="P12"/>
  <c r="Q12" s="1"/>
  <c r="R12" s="1"/>
  <c r="S12" s="1"/>
  <c r="M12"/>
  <c r="X12"/>
  <c r="Y12"/>
  <c r="X15"/>
  <c r="Y15"/>
  <c r="X16"/>
  <c r="Y16"/>
  <c r="X17"/>
  <c r="Y17"/>
  <c r="Q16" l="1"/>
  <c r="R16" s="1"/>
  <c r="S16" s="1"/>
  <c r="Q17"/>
  <c r="R17" s="1"/>
  <c r="S17" s="1"/>
  <c r="P2"/>
  <c r="M2"/>
  <c r="Q2" l="1"/>
  <c r="R2" s="1"/>
  <c r="S2" s="1"/>
  <c r="M4" l="1"/>
  <c r="P4"/>
  <c r="P3"/>
  <c r="Q3" s="1"/>
  <c r="R3" s="1"/>
  <c r="S3" s="1"/>
  <c r="M3"/>
  <c r="P42" i="1"/>
  <c r="M42"/>
  <c r="P41"/>
  <c r="M41"/>
  <c r="P40"/>
  <c r="M40"/>
  <c r="P39"/>
  <c r="M39"/>
  <c r="P26"/>
  <c r="P25"/>
  <c r="Q25" s="1"/>
  <c r="R25" s="1"/>
  <c r="S25" s="1"/>
  <c r="P24"/>
  <c r="P23"/>
  <c r="M23"/>
  <c r="M24"/>
  <c r="M25"/>
  <c r="M26"/>
  <c r="W42"/>
  <c r="X42"/>
  <c r="W43"/>
  <c r="X43"/>
  <c r="X41"/>
  <c r="W41"/>
  <c r="P7" i="3"/>
  <c r="M7"/>
  <c r="P11"/>
  <c r="M11"/>
  <c r="P10"/>
  <c r="M10"/>
  <c r="P9"/>
  <c r="Q9" s="1"/>
  <c r="R9" s="1"/>
  <c r="S9" s="1"/>
  <c r="M9"/>
  <c r="P8"/>
  <c r="M8"/>
  <c r="P6"/>
  <c r="Q6" s="1"/>
  <c r="R6" s="1"/>
  <c r="S6" s="1"/>
  <c r="M6"/>
  <c r="P5"/>
  <c r="M5"/>
  <c r="N15" i="2"/>
  <c r="M15"/>
  <c r="N14"/>
  <c r="M14"/>
  <c r="N13"/>
  <c r="M13"/>
  <c r="N12"/>
  <c r="M12"/>
  <c r="N11"/>
  <c r="M11"/>
  <c r="N6"/>
  <c r="N7"/>
  <c r="N8"/>
  <c r="N9"/>
  <c r="O9" s="1"/>
  <c r="N10"/>
  <c r="N5"/>
  <c r="M6"/>
  <c r="M7"/>
  <c r="M8"/>
  <c r="M9"/>
  <c r="M10"/>
  <c r="O10" s="1"/>
  <c r="M5"/>
  <c r="O6"/>
  <c r="Q6" s="1"/>
  <c r="P9" l="1"/>
  <c r="Q9"/>
  <c r="Q10"/>
  <c r="P10"/>
  <c r="P6"/>
  <c r="Q23" i="1"/>
  <c r="R23" s="1"/>
  <c r="S23" s="1"/>
  <c r="Q26"/>
  <c r="R26" s="1"/>
  <c r="S26" s="1"/>
  <c r="Q40"/>
  <c r="R40" s="1"/>
  <c r="S40" s="1"/>
  <c r="Q42"/>
  <c r="R42" s="1"/>
  <c r="S42" s="1"/>
  <c r="Q24"/>
  <c r="R24" s="1"/>
  <c r="S24" s="1"/>
  <c r="Q39"/>
  <c r="R39" s="1"/>
  <c r="S39" s="1"/>
  <c r="Q41"/>
  <c r="R41" s="1"/>
  <c r="S41" s="1"/>
  <c r="Q4" i="3"/>
  <c r="R4" s="1"/>
  <c r="S4" s="1"/>
  <c r="Q11"/>
  <c r="R11" s="1"/>
  <c r="S11" s="1"/>
  <c r="Q8"/>
  <c r="R8" s="1"/>
  <c r="S8" s="1"/>
  <c r="Q5"/>
  <c r="R5" s="1"/>
  <c r="S5" s="1"/>
  <c r="Q7"/>
  <c r="R7" s="1"/>
  <c r="S7" s="1"/>
  <c r="Q10"/>
  <c r="R10" s="1"/>
  <c r="S10" s="1"/>
  <c r="O8" i="2"/>
  <c r="O7"/>
  <c r="O5"/>
  <c r="Q5" l="1"/>
  <c r="P5"/>
  <c r="P8"/>
  <c r="Q8"/>
  <c r="Q7"/>
  <c r="P7"/>
  <c r="P108" i="1"/>
  <c r="M108"/>
  <c r="M107"/>
  <c r="P107"/>
  <c r="P106"/>
  <c r="M106"/>
  <c r="Q106" l="1"/>
  <c r="R106" s="1"/>
  <c r="S106" s="1"/>
  <c r="Q107"/>
  <c r="R107" s="1"/>
  <c r="S107" s="1"/>
  <c r="Q108"/>
  <c r="R108" s="1"/>
  <c r="S108" s="1"/>
  <c r="M105" l="1"/>
  <c r="P105"/>
  <c r="Q105" l="1"/>
  <c r="R105" s="1"/>
  <c r="S105" s="1"/>
  <c r="M102"/>
  <c r="P102"/>
  <c r="P103"/>
  <c r="M103"/>
  <c r="Q102" l="1"/>
  <c r="R102" s="1"/>
  <c r="S102" s="1"/>
  <c r="Q103"/>
  <c r="R103" s="1"/>
  <c r="S103" s="1"/>
  <c r="P104" l="1"/>
  <c r="M104"/>
  <c r="P101"/>
  <c r="M101"/>
  <c r="X100"/>
  <c r="Y100"/>
  <c r="X101"/>
  <c r="Y101"/>
  <c r="Y104"/>
  <c r="X104"/>
  <c r="P95"/>
  <c r="P96"/>
  <c r="P94"/>
  <c r="M87"/>
  <c r="P87"/>
  <c r="P86"/>
  <c r="P88"/>
  <c r="P89"/>
  <c r="M96"/>
  <c r="M95"/>
  <c r="M94"/>
  <c r="M88"/>
  <c r="M89"/>
  <c r="M86"/>
  <c r="Z88"/>
  <c r="AA88"/>
  <c r="Z89"/>
  <c r="AA89"/>
  <c r="Z94"/>
  <c r="AA94"/>
  <c r="Z95"/>
  <c r="AA95"/>
  <c r="Z96"/>
  <c r="AA96"/>
  <c r="AA86"/>
  <c r="Z86"/>
  <c r="P91"/>
  <c r="M91"/>
  <c r="P90"/>
  <c r="M90"/>
  <c r="P92"/>
  <c r="M92"/>
  <c r="M98"/>
  <c r="M99"/>
  <c r="M100"/>
  <c r="P100"/>
  <c r="P99"/>
  <c r="P98"/>
  <c r="P93"/>
  <c r="P97"/>
  <c r="M97"/>
  <c r="M93"/>
  <c r="P51"/>
  <c r="M51"/>
  <c r="Q95" l="1"/>
  <c r="R95" s="1"/>
  <c r="S95" s="1"/>
  <c r="Q101"/>
  <c r="R101" s="1"/>
  <c r="S101" s="1"/>
  <c r="Q104"/>
  <c r="R104" s="1"/>
  <c r="S104" s="1"/>
  <c r="Q51"/>
  <c r="R51" s="1"/>
  <c r="S51" s="1"/>
  <c r="Q100"/>
  <c r="R100" s="1"/>
  <c r="S100" s="1"/>
  <c r="Q88"/>
  <c r="R88" s="1"/>
  <c r="S88" s="1"/>
  <c r="Q87"/>
  <c r="R87" s="1"/>
  <c r="S87" s="1"/>
  <c r="Q96"/>
  <c r="R96" s="1"/>
  <c r="S96" s="1"/>
  <c r="Q98"/>
  <c r="R98" s="1"/>
  <c r="S98" s="1"/>
  <c r="Q99"/>
  <c r="R99" s="1"/>
  <c r="S99" s="1"/>
  <c r="Q86"/>
  <c r="R86" s="1"/>
  <c r="S86" s="1"/>
  <c r="Q93"/>
  <c r="R93" s="1"/>
  <c r="S93" s="1"/>
  <c r="Q94"/>
  <c r="R94" s="1"/>
  <c r="S94" s="1"/>
  <c r="Q91"/>
  <c r="R91" s="1"/>
  <c r="S91" s="1"/>
  <c r="Q89"/>
  <c r="R89" s="1"/>
  <c r="S89" s="1"/>
  <c r="Q90"/>
  <c r="R90" s="1"/>
  <c r="S90" s="1"/>
  <c r="Q92"/>
  <c r="R92" s="1"/>
  <c r="S92" s="1"/>
  <c r="Q97"/>
  <c r="R97" s="1"/>
  <c r="S97" s="1"/>
  <c r="P82"/>
  <c r="M82"/>
  <c r="M81"/>
  <c r="P81"/>
  <c r="P80"/>
  <c r="P83"/>
  <c r="P84"/>
  <c r="P85"/>
  <c r="M83"/>
  <c r="M84"/>
  <c r="M85"/>
  <c r="M80"/>
  <c r="M74"/>
  <c r="P74"/>
  <c r="P75"/>
  <c r="M75"/>
  <c r="P73"/>
  <c r="P76"/>
  <c r="P77"/>
  <c r="P78"/>
  <c r="P79"/>
  <c r="M76"/>
  <c r="M77"/>
  <c r="M78"/>
  <c r="M79"/>
  <c r="M73"/>
  <c r="W72"/>
  <c r="X72"/>
  <c r="W73"/>
  <c r="X73"/>
  <c r="M69"/>
  <c r="M70"/>
  <c r="M71"/>
  <c r="M72"/>
  <c r="P71"/>
  <c r="P72"/>
  <c r="P70"/>
  <c r="P69"/>
  <c r="Q77" l="1"/>
  <c r="R77" s="1"/>
  <c r="S77" s="1"/>
  <c r="Q73"/>
  <c r="R73" s="1"/>
  <c r="S73" s="1"/>
  <c r="Q74"/>
  <c r="R74" s="1"/>
  <c r="S74" s="1"/>
  <c r="Q83"/>
  <c r="R83" s="1"/>
  <c r="S83" s="1"/>
  <c r="Q76"/>
  <c r="R76" s="1"/>
  <c r="S76" s="1"/>
  <c r="Q78"/>
  <c r="R78" s="1"/>
  <c r="S78" s="1"/>
  <c r="Q84"/>
  <c r="R84" s="1"/>
  <c r="S84" s="1"/>
  <c r="Q79"/>
  <c r="R79" s="1"/>
  <c r="S79" s="1"/>
  <c r="Q85"/>
  <c r="R85" s="1"/>
  <c r="S85" s="1"/>
  <c r="Q81"/>
  <c r="R81" s="1"/>
  <c r="S81" s="1"/>
  <c r="Q69"/>
  <c r="R69" s="1"/>
  <c r="S69" s="1"/>
  <c r="Q80"/>
  <c r="R80" s="1"/>
  <c r="S80" s="1"/>
  <c r="Q82"/>
  <c r="R82" s="1"/>
  <c r="S82" s="1"/>
  <c r="Q75"/>
  <c r="R75" s="1"/>
  <c r="S75" s="1"/>
  <c r="Q70"/>
  <c r="R70" s="1"/>
  <c r="S70" s="1"/>
  <c r="Q71"/>
  <c r="R71" s="1"/>
  <c r="S71" s="1"/>
  <c r="Q72"/>
  <c r="R72" s="1"/>
  <c r="S72" s="1"/>
  <c r="P55" l="1"/>
  <c r="P56"/>
  <c r="P57"/>
  <c r="P58"/>
  <c r="P59"/>
  <c r="M55"/>
  <c r="M56"/>
  <c r="M57"/>
  <c r="M58"/>
  <c r="M59"/>
  <c r="Q57" l="1"/>
  <c r="R57" s="1"/>
  <c r="S57" s="1"/>
  <c r="Q56"/>
  <c r="R56" s="1"/>
  <c r="S56" s="1"/>
  <c r="Q58"/>
  <c r="R58" s="1"/>
  <c r="S58" s="1"/>
  <c r="Q59"/>
  <c r="R59" s="1"/>
  <c r="S59" s="1"/>
  <c r="Q55"/>
  <c r="R55" s="1"/>
  <c r="S55" s="1"/>
  <c r="M61"/>
  <c r="P61"/>
  <c r="P62"/>
  <c r="M62"/>
  <c r="M48"/>
  <c r="P48"/>
  <c r="P49"/>
  <c r="M49"/>
  <c r="P31"/>
  <c r="P30"/>
  <c r="P29"/>
  <c r="P28"/>
  <c r="P27"/>
  <c r="M28"/>
  <c r="P20"/>
  <c r="P21"/>
  <c r="P22"/>
  <c r="Q62" l="1"/>
  <c r="R62" s="1"/>
  <c r="S62" s="1"/>
  <c r="Q61"/>
  <c r="R61" s="1"/>
  <c r="S61" s="1"/>
  <c r="Q28"/>
  <c r="R28" s="1"/>
  <c r="S28" s="1"/>
  <c r="Q48"/>
  <c r="R48" s="1"/>
  <c r="S48" s="1"/>
  <c r="Q49"/>
  <c r="R49" s="1"/>
  <c r="S49" s="1"/>
  <c r="P32" l="1"/>
  <c r="M32"/>
  <c r="M3"/>
  <c r="P3"/>
  <c r="P4"/>
  <c r="M4"/>
  <c r="Q3" l="1"/>
  <c r="R3" s="1"/>
  <c r="S3" s="1"/>
  <c r="Q32"/>
  <c r="R32" s="1"/>
  <c r="S32" s="1"/>
  <c r="Q4"/>
  <c r="R4" s="1"/>
  <c r="S4" s="1"/>
  <c r="P50" l="1"/>
  <c r="P52"/>
  <c r="P53"/>
  <c r="P54"/>
  <c r="P60"/>
  <c r="P63"/>
  <c r="P64"/>
  <c r="P65"/>
  <c r="P66"/>
  <c r="P67"/>
  <c r="P68"/>
  <c r="P47"/>
  <c r="M50"/>
  <c r="M52"/>
  <c r="M53"/>
  <c r="M54"/>
  <c r="Q54" s="1"/>
  <c r="R54" s="1"/>
  <c r="S54" s="1"/>
  <c r="M60"/>
  <c r="Q60" s="1"/>
  <c r="R60" s="1"/>
  <c r="S60" s="1"/>
  <c r="M63"/>
  <c r="Q63" s="1"/>
  <c r="R63" s="1"/>
  <c r="S63" s="1"/>
  <c r="M64"/>
  <c r="M65"/>
  <c r="M66"/>
  <c r="M67"/>
  <c r="M68"/>
  <c r="M47"/>
  <c r="W50"/>
  <c r="X50"/>
  <c r="W52"/>
  <c r="X52"/>
  <c r="W53"/>
  <c r="X53"/>
  <c r="W54"/>
  <c r="X54"/>
  <c r="W60"/>
  <c r="X60"/>
  <c r="W63"/>
  <c r="X63"/>
  <c r="W64"/>
  <c r="X64"/>
  <c r="W65"/>
  <c r="X65"/>
  <c r="W66"/>
  <c r="X66"/>
  <c r="W67"/>
  <c r="X67"/>
  <c r="W68"/>
  <c r="X68"/>
  <c r="Q50" l="1"/>
  <c r="R50" s="1"/>
  <c r="S50" s="1"/>
  <c r="Q47"/>
  <c r="R47" s="1"/>
  <c r="S47" s="1"/>
  <c r="Q66"/>
  <c r="R66" s="1"/>
  <c r="S66" s="1"/>
  <c r="Q67"/>
  <c r="R67" s="1"/>
  <c r="S67" s="1"/>
  <c r="Q52"/>
  <c r="R52" s="1"/>
  <c r="S52" s="1"/>
  <c r="Q68"/>
  <c r="R68" s="1"/>
  <c r="S68" s="1"/>
  <c r="Q64"/>
  <c r="R64" s="1"/>
  <c r="S64" s="1"/>
  <c r="Q53"/>
  <c r="R53" s="1"/>
  <c r="S53" s="1"/>
  <c r="Q65"/>
  <c r="R65" s="1"/>
  <c r="S65" s="1"/>
  <c r="P44" l="1"/>
  <c r="P45"/>
  <c r="P46"/>
  <c r="P43"/>
  <c r="P16"/>
  <c r="P17"/>
  <c r="P18"/>
  <c r="P19"/>
  <c r="M46"/>
  <c r="P15"/>
  <c r="Q46" l="1"/>
  <c r="R46" s="1"/>
  <c r="S46" s="1"/>
  <c r="E12" i="2" l="1"/>
  <c r="F12" s="1"/>
  <c r="G12" s="1"/>
  <c r="D12"/>
  <c r="E11"/>
  <c r="F11"/>
  <c r="G11" s="1"/>
  <c r="D11"/>
  <c r="M34" i="1"/>
  <c r="P34"/>
  <c r="P33"/>
  <c r="M33"/>
  <c r="D6" i="2"/>
  <c r="E6"/>
  <c r="D7"/>
  <c r="E7"/>
  <c r="D8"/>
  <c r="E8"/>
  <c r="D9"/>
  <c r="F9" s="1"/>
  <c r="G9" s="1"/>
  <c r="E9"/>
  <c r="D10"/>
  <c r="E10"/>
  <c r="E5"/>
  <c r="D5"/>
  <c r="M16" i="1"/>
  <c r="Q16" s="1"/>
  <c r="R16" s="1"/>
  <c r="S16" s="1"/>
  <c r="M17"/>
  <c r="Q17" s="1"/>
  <c r="R17" s="1"/>
  <c r="S17" s="1"/>
  <c r="M18"/>
  <c r="Q18" s="1"/>
  <c r="R18" s="1"/>
  <c r="S18" s="1"/>
  <c r="M19"/>
  <c r="Q19" s="1"/>
  <c r="R19" s="1"/>
  <c r="S19" s="1"/>
  <c r="M20"/>
  <c r="Q20" s="1"/>
  <c r="R20" s="1"/>
  <c r="S20" s="1"/>
  <c r="M21"/>
  <c r="Q21" s="1"/>
  <c r="R21" s="1"/>
  <c r="S21" s="1"/>
  <c r="M22"/>
  <c r="Q22" s="1"/>
  <c r="R22" s="1"/>
  <c r="S22" s="1"/>
  <c r="M27"/>
  <c r="Q27" s="1"/>
  <c r="R27" s="1"/>
  <c r="S27" s="1"/>
  <c r="M29"/>
  <c r="Q29" s="1"/>
  <c r="R29" s="1"/>
  <c r="S29" s="1"/>
  <c r="M30"/>
  <c r="Q30" s="1"/>
  <c r="R30" s="1"/>
  <c r="S30" s="1"/>
  <c r="M31"/>
  <c r="Q31" s="1"/>
  <c r="R31" s="1"/>
  <c r="S31" s="1"/>
  <c r="M43"/>
  <c r="Q43" s="1"/>
  <c r="R43" s="1"/>
  <c r="S43" s="1"/>
  <c r="M44"/>
  <c r="Q44" s="1"/>
  <c r="R44" s="1"/>
  <c r="S44" s="1"/>
  <c r="M45"/>
  <c r="Q45" s="1"/>
  <c r="R45" s="1"/>
  <c r="S45" s="1"/>
  <c r="M15"/>
  <c r="Q15" s="1"/>
  <c r="R15" s="1"/>
  <c r="S15" s="1"/>
  <c r="W17"/>
  <c r="X17"/>
  <c r="W18"/>
  <c r="X18"/>
  <c r="W19"/>
  <c r="X19"/>
  <c r="W20"/>
  <c r="X20"/>
  <c r="W21"/>
  <c r="X21"/>
  <c r="W22"/>
  <c r="X22"/>
  <c r="W27"/>
  <c r="X27"/>
  <c r="W29"/>
  <c r="X29"/>
  <c r="W30"/>
  <c r="X30"/>
  <c r="X16"/>
  <c r="W16"/>
  <c r="Q33" l="1"/>
  <c r="R33" s="1"/>
  <c r="S33" s="1"/>
  <c r="Q34"/>
  <c r="R34" s="1"/>
  <c r="S34" s="1"/>
  <c r="F10" i="2"/>
  <c r="G10" s="1"/>
  <c r="F8"/>
  <c r="G8" s="1"/>
  <c r="F7"/>
  <c r="G7" s="1"/>
  <c r="F6"/>
  <c r="G6" s="1"/>
  <c r="F5"/>
  <c r="G5" s="1"/>
  <c r="U38" i="1" l="1"/>
  <c r="V38" s="1"/>
  <c r="U37"/>
  <c r="P14"/>
  <c r="P5"/>
  <c r="P6"/>
  <c r="P7"/>
  <c r="P8"/>
  <c r="P9"/>
  <c r="P10"/>
  <c r="P11"/>
  <c r="P12"/>
  <c r="P13"/>
  <c r="M5"/>
  <c r="M6"/>
  <c r="M7"/>
  <c r="M8"/>
  <c r="M9"/>
  <c r="M10"/>
  <c r="M11"/>
  <c r="M12"/>
  <c r="M13"/>
  <c r="M14"/>
  <c r="W5"/>
  <c r="X5"/>
  <c r="W6"/>
  <c r="X6"/>
  <c r="W7"/>
  <c r="X7"/>
  <c r="W8"/>
  <c r="X8"/>
  <c r="W9"/>
  <c r="X9"/>
  <c r="W10"/>
  <c r="X10"/>
  <c r="W11"/>
  <c r="X11"/>
  <c r="W12"/>
  <c r="X12"/>
  <c r="W13"/>
  <c r="X13"/>
  <c r="W14"/>
  <c r="X14"/>
  <c r="P2"/>
  <c r="M2"/>
  <c r="Q13" l="1"/>
  <c r="R13" s="1"/>
  <c r="S13" s="1"/>
  <c r="Q9"/>
  <c r="R9" s="1"/>
  <c r="S9" s="1"/>
  <c r="Q5"/>
  <c r="R5" s="1"/>
  <c r="S5" s="1"/>
  <c r="Q14"/>
  <c r="R14" s="1"/>
  <c r="S14" s="1"/>
  <c r="Q10"/>
  <c r="R10" s="1"/>
  <c r="S10" s="1"/>
  <c r="Q7"/>
  <c r="R7" s="1"/>
  <c r="S7" s="1"/>
  <c r="Q8"/>
  <c r="R8" s="1"/>
  <c r="S8" s="1"/>
  <c r="Q12"/>
  <c r="R12" s="1"/>
  <c r="S12" s="1"/>
  <c r="Q6"/>
  <c r="R6" s="1"/>
  <c r="S6" s="1"/>
  <c r="Q11"/>
  <c r="R11" s="1"/>
  <c r="S11" s="1"/>
  <c r="Q2"/>
  <c r="R2" s="1"/>
  <c r="S2" s="1"/>
</calcChain>
</file>

<file path=xl/sharedStrings.xml><?xml version="1.0" encoding="utf-8"?>
<sst xmlns="http://schemas.openxmlformats.org/spreadsheetml/2006/main" count="2087" uniqueCount="1028">
  <si>
    <t>标记</t>
    <phoneticPr fontId="4" type="noConversion"/>
  </si>
  <si>
    <t>检测日期</t>
  </si>
  <si>
    <t>样品编号</t>
  </si>
  <si>
    <t>委托方</t>
  </si>
  <si>
    <t>数据来源</t>
    <phoneticPr fontId="4" type="noConversion"/>
  </si>
  <si>
    <t>采样点位</t>
  </si>
  <si>
    <t>水样类别</t>
  </si>
  <si>
    <t>稀释倍数</t>
  </si>
  <si>
    <t>标准曲线截距a</t>
  </si>
  <si>
    <t>标准曲线斜率b</t>
  </si>
  <si>
    <t>吸光度</t>
  </si>
  <si>
    <t>样品含量</t>
  </si>
  <si>
    <t>样品浓度</t>
  </si>
  <si>
    <t>原始数据</t>
    <phoneticPr fontId="4" type="noConversion"/>
  </si>
  <si>
    <t>限值</t>
    <phoneticPr fontId="4" type="noConversion"/>
  </si>
  <si>
    <t>备注</t>
    <phoneticPr fontId="4" type="noConversion"/>
  </si>
  <si>
    <t>月度</t>
    <phoneticPr fontId="1" type="noConversion"/>
  </si>
  <si>
    <t>湖州新天纸业有限公司</t>
  </si>
  <si>
    <t>S20200102002</t>
  </si>
  <si>
    <t>S20200102003</t>
  </si>
  <si>
    <t>德清县方毅纸业有限公司</t>
  </si>
  <si>
    <t>S20200102004</t>
  </si>
  <si>
    <t>湖州市韶春纸业有限公司</t>
  </si>
  <si>
    <t>S20200102005</t>
  </si>
  <si>
    <t>德清县上峰纸业有限公司</t>
  </si>
  <si>
    <t>S20200102006</t>
  </si>
  <si>
    <t>德清县东港纸业有限公司</t>
  </si>
  <si>
    <t>S20200102007</t>
  </si>
  <si>
    <t>湖州康力紙业有限公司</t>
  </si>
  <si>
    <t>S20200102008</t>
  </si>
  <si>
    <t>德清建宏传动材料有限公司</t>
  </si>
  <si>
    <t>S20200102009</t>
  </si>
  <si>
    <t>德清县荣昌冷轧带钢有限公司</t>
  </si>
  <si>
    <t>S20200102010</t>
  </si>
  <si>
    <t>浙江瑞胜带钢有限公司</t>
  </si>
  <si>
    <t>S20200102011</t>
  </si>
  <si>
    <t>浙江明贺钢管有限公司</t>
  </si>
  <si>
    <t>双桥</t>
    <phoneticPr fontId="1" type="noConversion"/>
  </si>
  <si>
    <t>S20200103016</t>
  </si>
  <si>
    <t>浙江深德环境技术有限公司（南舍工业园）</t>
  </si>
  <si>
    <t>S20200103017</t>
  </si>
  <si>
    <t>湖州聚春实业有限公司</t>
  </si>
  <si>
    <t>S20200103022</t>
  </si>
  <si>
    <t>德清沁道五金有限公司</t>
  </si>
  <si>
    <t>验收</t>
    <phoneticPr fontId="1" type="noConversion"/>
  </si>
  <si>
    <t>S20200103026-01</t>
    <phoneticPr fontId="1" type="noConversion"/>
  </si>
  <si>
    <t>湖州一环环保科技有限公司</t>
  </si>
  <si>
    <t>S20200103026-02</t>
  </si>
  <si>
    <t>S20200103026-03</t>
  </si>
  <si>
    <t>S20200103026-04</t>
  </si>
  <si>
    <t>S20200104001-02</t>
  </si>
  <si>
    <t>S20200104001-03</t>
  </si>
  <si>
    <t>S20200104001-04</t>
  </si>
  <si>
    <t>S20200103015</t>
  </si>
  <si>
    <t>漂莱特（中国）有限公司</t>
  </si>
  <si>
    <t>原水</t>
    <phoneticPr fontId="1" type="noConversion"/>
  </si>
  <si>
    <t>出水1</t>
    <phoneticPr fontId="1" type="noConversion"/>
  </si>
  <si>
    <t>PH</t>
    <phoneticPr fontId="1" type="noConversion"/>
  </si>
  <si>
    <t>河水</t>
    <phoneticPr fontId="1" type="noConversion"/>
  </si>
  <si>
    <t>自送</t>
    <phoneticPr fontId="1" type="noConversion"/>
  </si>
  <si>
    <t>y = 0.0091x + 0.0056</t>
  </si>
  <si>
    <t>r = 0.9994</t>
    <phoneticPr fontId="1" type="noConversion"/>
  </si>
  <si>
    <t>1.02~1.22</t>
    <phoneticPr fontId="1" type="noConversion"/>
  </si>
  <si>
    <t>浙北药业</t>
    <phoneticPr fontId="9" type="noConversion"/>
  </si>
  <si>
    <t>S20200107001</t>
  </si>
  <si>
    <t>德清县钟管科亮环保科技有限公司</t>
  </si>
  <si>
    <t>S20200107003</t>
  </si>
  <si>
    <t>拜克生物科技有限公司</t>
  </si>
  <si>
    <t>S20200107007</t>
  </si>
  <si>
    <t>德清创环水务有限公司</t>
  </si>
  <si>
    <t>S20200107010</t>
  </si>
  <si>
    <t>城建</t>
    <phoneticPr fontId="1" type="noConversion"/>
  </si>
  <si>
    <t>季度</t>
    <phoneticPr fontId="1" type="noConversion"/>
  </si>
  <si>
    <t>浙江龙威印染有限公司</t>
  </si>
  <si>
    <t>S20200108003</t>
  </si>
  <si>
    <t>德清县新鑫达丝绸炼染有限公司</t>
  </si>
  <si>
    <t>S20200108005</t>
  </si>
  <si>
    <t>湖州新嘉怡丝织印花有限公司</t>
    <phoneticPr fontId="9" type="noConversion"/>
  </si>
  <si>
    <t>S20200108009</t>
  </si>
  <si>
    <t>钱江纺织印染有限公司</t>
  </si>
  <si>
    <t>S20200108011</t>
  </si>
  <si>
    <t>德清县昌隆绢纺染整有限公司</t>
  </si>
  <si>
    <t>S20200108013</t>
  </si>
  <si>
    <t>浙江利都达丝绸印染有限公司</t>
  </si>
  <si>
    <t>S20200108015</t>
  </si>
  <si>
    <t>德清县利通绢纺塑化有限公司</t>
  </si>
  <si>
    <t>南干</t>
    <phoneticPr fontId="1" type="noConversion"/>
  </si>
  <si>
    <t>1mg/L</t>
    <phoneticPr fontId="4" type="noConversion"/>
  </si>
  <si>
    <t>S20200102001-1</t>
    <phoneticPr fontId="1" type="noConversion"/>
  </si>
  <si>
    <t>S20200102001-2</t>
  </si>
  <si>
    <t>20.3/57</t>
    <phoneticPr fontId="1" type="noConversion"/>
  </si>
  <si>
    <t>20.5/56</t>
    <phoneticPr fontId="1" type="noConversion"/>
  </si>
  <si>
    <t>20.8/58</t>
    <phoneticPr fontId="1" type="noConversion"/>
  </si>
  <si>
    <t>S20200104001-01-1</t>
    <phoneticPr fontId="1" type="noConversion"/>
  </si>
  <si>
    <t>S20200104001-01-2</t>
  </si>
  <si>
    <t>S20200106043-1</t>
    <phoneticPr fontId="1" type="noConversion"/>
  </si>
  <si>
    <t>S20200106043-2</t>
  </si>
  <si>
    <t>21/57</t>
    <phoneticPr fontId="1" type="noConversion"/>
  </si>
  <si>
    <t>S20200108001-1</t>
    <phoneticPr fontId="1" type="noConversion"/>
  </si>
  <si>
    <t>S20200108001-2</t>
  </si>
  <si>
    <t>S20200107027</t>
  </si>
  <si>
    <t>德清县佳伟线缆有限公司</t>
  </si>
  <si>
    <t>S20200107028</t>
  </si>
  <si>
    <t>德清县欣勤电子有限公司</t>
  </si>
  <si>
    <t>S20200107031</t>
  </si>
  <si>
    <t>德清县红星塑料通讯器材厂</t>
  </si>
  <si>
    <t>S20200107032</t>
  </si>
  <si>
    <t>湖州努特表面处理科技有限公司</t>
  </si>
  <si>
    <t>S20200107036</t>
  </si>
  <si>
    <t>德清丽顺汽车配件有限公司</t>
  </si>
  <si>
    <t>S20200108023</t>
  </si>
  <si>
    <t>S20200108024</t>
  </si>
  <si>
    <t>S20200108025</t>
  </si>
  <si>
    <t>S20200108026</t>
  </si>
  <si>
    <t>新华机械制造有限公司</t>
  </si>
  <si>
    <t>S20200109003</t>
  </si>
  <si>
    <t>浙江红旗机械有限公司</t>
  </si>
  <si>
    <t>S20200109005</t>
  </si>
  <si>
    <t>德清县环境卫生管理处</t>
  </si>
  <si>
    <t>进口</t>
    <phoneticPr fontId="1" type="noConversion"/>
  </si>
  <si>
    <t>S20200109006</t>
  </si>
  <si>
    <t>出口</t>
    <phoneticPr fontId="1" type="noConversion"/>
  </si>
  <si>
    <t>S20200109007</t>
    <phoneticPr fontId="4" type="noConversion"/>
  </si>
  <si>
    <t>浙江泰邦软管有限公司</t>
    <phoneticPr fontId="4" type="noConversion"/>
  </si>
  <si>
    <t>20.5/59</t>
    <phoneticPr fontId="1" type="noConversion"/>
  </si>
  <si>
    <t>S20200109001-1</t>
    <phoneticPr fontId="4" type="noConversion"/>
  </si>
  <si>
    <t>S20200109001-2</t>
  </si>
  <si>
    <t>浙江省军工集团有限公司</t>
  </si>
  <si>
    <t>S20200110003</t>
    <phoneticPr fontId="9" type="noConversion"/>
  </si>
  <si>
    <t>S20200110004</t>
  </si>
  <si>
    <t>浙江浙北药业有限公司</t>
  </si>
  <si>
    <t>S20200110010</t>
  </si>
  <si>
    <t>德清华康纸业有限公司</t>
  </si>
  <si>
    <t>20.1/55</t>
    <phoneticPr fontId="1" type="noConversion"/>
  </si>
  <si>
    <t>S20200110001-1</t>
    <phoneticPr fontId="9" type="noConversion"/>
  </si>
  <si>
    <t>S20200110001-2</t>
  </si>
  <si>
    <t>S20200114006</t>
  </si>
  <si>
    <t>S20200107002</t>
  </si>
  <si>
    <t>调节池</t>
    <phoneticPr fontId="1" type="noConversion"/>
  </si>
  <si>
    <t>S20200115004</t>
    <phoneticPr fontId="1" type="noConversion"/>
  </si>
  <si>
    <t>碧水源</t>
    <phoneticPr fontId="1" type="noConversion"/>
  </si>
  <si>
    <t>S20200115011</t>
    <phoneticPr fontId="1" type="noConversion"/>
  </si>
  <si>
    <t>德清建宏传动材料有限公司</t>
    <phoneticPr fontId="1" type="noConversion"/>
  </si>
  <si>
    <t>S20200115012</t>
    <phoneticPr fontId="1" type="noConversion"/>
  </si>
  <si>
    <t>德清县荣昌冷轧带钢有限公司</t>
    <phoneticPr fontId="1" type="noConversion"/>
  </si>
  <si>
    <t>S20200115013</t>
    <phoneticPr fontId="1" type="noConversion"/>
  </si>
  <si>
    <t>浙江瑞胜带钢有限公司</t>
    <phoneticPr fontId="1" type="noConversion"/>
  </si>
  <si>
    <t>德清县恒丰污水处理有限公司</t>
    <phoneticPr fontId="1" type="noConversion"/>
  </si>
  <si>
    <t>狮山</t>
  </si>
  <si>
    <t>S20200113014-02</t>
  </si>
  <si>
    <t>S20200113014-03</t>
  </si>
  <si>
    <t>20.4/56</t>
    <phoneticPr fontId="1" type="noConversion"/>
  </si>
  <si>
    <t>S20200114024-01</t>
    <phoneticPr fontId="1" type="noConversion"/>
  </si>
  <si>
    <t>城南</t>
    <phoneticPr fontId="1" type="noConversion"/>
  </si>
  <si>
    <t>S20200114024-02</t>
  </si>
  <si>
    <t>S20200114024-03</t>
  </si>
  <si>
    <t>S20200113014-01-1</t>
    <phoneticPr fontId="1" type="noConversion"/>
  </si>
  <si>
    <t>S20200113014-01-2</t>
  </si>
  <si>
    <t>S20200116013</t>
    <phoneticPr fontId="1" type="noConversion"/>
  </si>
  <si>
    <t>德清县佳伟线缆有限公司</t>
    <phoneticPr fontId="1" type="noConversion"/>
  </si>
  <si>
    <t>月度</t>
    <phoneticPr fontId="1" type="noConversion"/>
  </si>
  <si>
    <t>德清康富医院有限公司</t>
    <phoneticPr fontId="1" type="noConversion"/>
  </si>
  <si>
    <t>21/58</t>
    <phoneticPr fontId="1" type="noConversion"/>
  </si>
  <si>
    <t>S20200116001-1</t>
    <phoneticPr fontId="1" type="noConversion"/>
  </si>
  <si>
    <t>S20200116001-2</t>
  </si>
  <si>
    <t>月度</t>
    <phoneticPr fontId="1" type="noConversion"/>
  </si>
  <si>
    <t>S20200117012</t>
    <phoneticPr fontId="1" type="noConversion"/>
  </si>
  <si>
    <t>漂莱特（中国）有限公司</t>
    <phoneticPr fontId="1" type="noConversion"/>
  </si>
  <si>
    <t>德清县市政管理处</t>
    <phoneticPr fontId="1" type="noConversion"/>
  </si>
  <si>
    <t>S20200120001-1</t>
    <phoneticPr fontId="1" type="noConversion"/>
  </si>
  <si>
    <t>S20200120001-2</t>
  </si>
  <si>
    <t>21/59</t>
    <phoneticPr fontId="1" type="noConversion"/>
  </si>
  <si>
    <t>zk-27-05-1-1</t>
    <phoneticPr fontId="4" type="noConversion"/>
  </si>
  <si>
    <t>zk-27-05-1-2</t>
  </si>
  <si>
    <t>德清县钟管科亮环保科技有限公司</t>
    <phoneticPr fontId="1" type="noConversion"/>
  </si>
  <si>
    <t>S20200213009</t>
    <phoneticPr fontId="1" type="noConversion"/>
  </si>
  <si>
    <t>德清创环水务有限公司</t>
    <phoneticPr fontId="1" type="noConversion"/>
  </si>
  <si>
    <t>S20200213010</t>
    <phoneticPr fontId="1" type="noConversion"/>
  </si>
  <si>
    <t>德清县城市建设发展总公司</t>
    <phoneticPr fontId="1" type="noConversion"/>
  </si>
  <si>
    <t>S20200213012</t>
    <phoneticPr fontId="1" type="noConversion"/>
  </si>
  <si>
    <t>三桥环卫处</t>
    <phoneticPr fontId="1" type="noConversion"/>
  </si>
  <si>
    <t>S20200213013</t>
    <phoneticPr fontId="1" type="noConversion"/>
  </si>
  <si>
    <t>南干</t>
    <phoneticPr fontId="1" type="noConversion"/>
  </si>
  <si>
    <t>填埋场</t>
    <phoneticPr fontId="1" type="noConversion"/>
  </si>
  <si>
    <t>zk-27-06-1-1</t>
    <phoneticPr fontId="1" type="noConversion"/>
  </si>
  <si>
    <t>zk-27-06-1-2</t>
  </si>
  <si>
    <t>y = 0.0095x + 0.0036</t>
  </si>
  <si>
    <t xml:space="preserve">R = 0.9997 </t>
    <phoneticPr fontId="1" type="noConversion"/>
  </si>
  <si>
    <t>1.36~1.6</t>
    <phoneticPr fontId="1" type="noConversion"/>
  </si>
  <si>
    <t>验收</t>
    <phoneticPr fontId="1" type="noConversion"/>
  </si>
  <si>
    <t>S20200103028-01</t>
    <phoneticPr fontId="1" type="noConversion"/>
  </si>
  <si>
    <t>一环</t>
    <phoneticPr fontId="1" type="noConversion"/>
  </si>
  <si>
    <t>进口</t>
    <phoneticPr fontId="1" type="noConversion"/>
  </si>
  <si>
    <t>进</t>
    <phoneticPr fontId="1" type="noConversion"/>
  </si>
  <si>
    <t>S20200103028-02</t>
  </si>
  <si>
    <t>出</t>
    <phoneticPr fontId="1" type="noConversion"/>
  </si>
  <si>
    <t>S20200103028-03</t>
  </si>
  <si>
    <t>S20200103028-04</t>
  </si>
  <si>
    <t>S20200104015-01</t>
    <phoneticPr fontId="1" type="noConversion"/>
  </si>
  <si>
    <t>S20200104015-02</t>
  </si>
  <si>
    <t>S20200104015-03</t>
  </si>
  <si>
    <t>S20200104015-04</t>
  </si>
  <si>
    <t>21.3/61</t>
    <phoneticPr fontId="1" type="noConversion"/>
  </si>
  <si>
    <t>进口</t>
    <phoneticPr fontId="1" type="noConversion"/>
  </si>
  <si>
    <t>S20200213006</t>
    <phoneticPr fontId="1" type="noConversion"/>
  </si>
  <si>
    <t>S20200213007</t>
    <phoneticPr fontId="1" type="noConversion"/>
  </si>
  <si>
    <t>S20200213002-1</t>
    <phoneticPr fontId="1" type="noConversion"/>
  </si>
  <si>
    <t>S20200213002-2</t>
  </si>
  <si>
    <t>S20200213001</t>
    <phoneticPr fontId="1" type="noConversion"/>
  </si>
  <si>
    <t>出口</t>
    <phoneticPr fontId="1" type="noConversion"/>
  </si>
  <si>
    <t>漂莱特（中国）有限公司</t>
    <phoneticPr fontId="1" type="noConversion"/>
  </si>
  <si>
    <t>S20200219002</t>
    <phoneticPr fontId="1" type="noConversion"/>
  </si>
  <si>
    <t>浙江浙北药业有限公司</t>
    <phoneticPr fontId="1" type="noConversion"/>
  </si>
  <si>
    <t>S20200219005</t>
    <phoneticPr fontId="1" type="noConversion"/>
  </si>
  <si>
    <t>拜克生物科技有限公司</t>
    <phoneticPr fontId="1" type="noConversion"/>
  </si>
  <si>
    <t>S20200219006</t>
    <phoneticPr fontId="1" type="noConversion"/>
  </si>
  <si>
    <t>浙江深德环境技术有限公司（南舍工业园）</t>
    <phoneticPr fontId="1" type="noConversion"/>
  </si>
  <si>
    <t>S20200219009</t>
    <phoneticPr fontId="1" type="noConversion"/>
  </si>
  <si>
    <t>S20200219010</t>
    <phoneticPr fontId="1" type="noConversion"/>
  </si>
  <si>
    <t>S20200219011</t>
    <phoneticPr fontId="1" type="noConversion"/>
  </si>
  <si>
    <t>浙江明贺钢管有限公司</t>
    <phoneticPr fontId="1" type="noConversion"/>
  </si>
  <si>
    <t>20.8/58</t>
    <phoneticPr fontId="1" type="noConversion"/>
  </si>
  <si>
    <t>S20200219001-1</t>
    <phoneticPr fontId="1" type="noConversion"/>
  </si>
  <si>
    <t>S20200219001-2</t>
  </si>
  <si>
    <t>浙江红旗机械有限公司</t>
    <phoneticPr fontId="1" type="noConversion"/>
  </si>
  <si>
    <t>S20200224003</t>
    <phoneticPr fontId="1" type="noConversion"/>
  </si>
  <si>
    <t>浙江省军工集团有限公司</t>
    <phoneticPr fontId="1" type="noConversion"/>
  </si>
  <si>
    <t>S20200224005</t>
    <phoneticPr fontId="1" type="noConversion"/>
  </si>
  <si>
    <t>德清县丰盛食品有限公司</t>
    <phoneticPr fontId="1" type="noConversion"/>
  </si>
  <si>
    <t>S20200224006</t>
    <phoneticPr fontId="1" type="noConversion"/>
  </si>
  <si>
    <t>德清县丰盛食品有限公司新市肉类加工厂</t>
    <phoneticPr fontId="1" type="noConversion"/>
  </si>
  <si>
    <t>昌隆</t>
    <phoneticPr fontId="1" type="noConversion"/>
  </si>
  <si>
    <t>自送样</t>
    <phoneticPr fontId="1" type="noConversion"/>
  </si>
  <si>
    <t>S20200224001-1</t>
    <phoneticPr fontId="1" type="noConversion"/>
  </si>
  <si>
    <t>S20200224001-2</t>
  </si>
  <si>
    <t>20.9/58</t>
    <phoneticPr fontId="1" type="noConversion"/>
  </si>
  <si>
    <t>S20200225001</t>
    <phoneticPr fontId="1" type="noConversion"/>
  </si>
  <si>
    <t>S20200225005</t>
    <phoneticPr fontId="1" type="noConversion"/>
  </si>
  <si>
    <t>德清丽顺汽车配件有限公司</t>
    <phoneticPr fontId="1" type="noConversion"/>
  </si>
  <si>
    <t>S20200225006</t>
    <phoneticPr fontId="1" type="noConversion"/>
  </si>
  <si>
    <t>德清县红星塑料通讯器材厂</t>
    <phoneticPr fontId="1" type="noConversion"/>
  </si>
  <si>
    <t>S20200225008</t>
    <phoneticPr fontId="1" type="noConversion"/>
  </si>
  <si>
    <t>20.4/56</t>
    <phoneticPr fontId="1" type="noConversion"/>
  </si>
  <si>
    <t>S20200225020-02</t>
  </si>
  <si>
    <t>S20200225020-03</t>
  </si>
  <si>
    <t>S20200225021-01</t>
    <phoneticPr fontId="1" type="noConversion"/>
  </si>
  <si>
    <t>S20200225021-02</t>
  </si>
  <si>
    <t>S20200225021-03</t>
  </si>
  <si>
    <t>S2020226001</t>
    <phoneticPr fontId="1" type="noConversion"/>
  </si>
  <si>
    <t>浙江浙北药业新市分公司</t>
    <phoneticPr fontId="1" type="noConversion"/>
  </si>
  <si>
    <t>S2020226002</t>
    <phoneticPr fontId="1" type="noConversion"/>
  </si>
  <si>
    <t>德清沁道五金有限公司</t>
    <phoneticPr fontId="1" type="noConversion"/>
  </si>
  <si>
    <t>湖州聚春实业有限公司</t>
    <phoneticPr fontId="1" type="noConversion"/>
  </si>
  <si>
    <t>S2020226009</t>
    <phoneticPr fontId="1" type="noConversion"/>
  </si>
  <si>
    <t>S2020226010</t>
    <phoneticPr fontId="1" type="noConversion"/>
  </si>
  <si>
    <t>S2020226011</t>
    <phoneticPr fontId="1" type="noConversion"/>
  </si>
  <si>
    <t>S2020226012</t>
    <phoneticPr fontId="1" type="noConversion"/>
  </si>
  <si>
    <t>新华机械制造有限公司</t>
    <phoneticPr fontId="1" type="noConversion"/>
  </si>
  <si>
    <t>S2020226014</t>
    <phoneticPr fontId="1" type="noConversion"/>
  </si>
  <si>
    <t>湖州努特表面处理科技有限公司</t>
    <phoneticPr fontId="1" type="noConversion"/>
  </si>
  <si>
    <t>S2020226022</t>
    <phoneticPr fontId="1" type="noConversion"/>
  </si>
  <si>
    <t>S2020226008</t>
    <phoneticPr fontId="1" type="noConversion"/>
  </si>
  <si>
    <t>zk-27-05-1-3</t>
  </si>
  <si>
    <t>zk-27-05-1-4</t>
  </si>
  <si>
    <t>zk-27-05-1-5</t>
  </si>
  <si>
    <t>zk-27-05-1-6</t>
  </si>
  <si>
    <t>期间核查</t>
    <phoneticPr fontId="1" type="noConversion"/>
  </si>
  <si>
    <t>avg</t>
    <phoneticPr fontId="1" type="noConversion"/>
  </si>
  <si>
    <t>stdev</t>
    <phoneticPr fontId="1" type="noConversion"/>
  </si>
  <si>
    <t>20.8/59</t>
    <phoneticPr fontId="1" type="noConversion"/>
  </si>
  <si>
    <t>S20200225020-01-1</t>
    <phoneticPr fontId="1" type="noConversion"/>
  </si>
  <si>
    <t>狮山</t>
    <phoneticPr fontId="1" type="noConversion"/>
  </si>
  <si>
    <t>S20200225020-01-2</t>
  </si>
  <si>
    <t>S2020226005-1</t>
    <phoneticPr fontId="1" type="noConversion"/>
  </si>
  <si>
    <t>S2020226005-2</t>
  </si>
  <si>
    <t>湖州新天纸业有限公司</t>
    <phoneticPr fontId="1" type="noConversion"/>
  </si>
  <si>
    <t>S20200227002</t>
    <phoneticPr fontId="1" type="noConversion"/>
  </si>
  <si>
    <t>德清华康纸业有限公司</t>
    <phoneticPr fontId="1" type="noConversion"/>
  </si>
  <si>
    <t>S20200227003</t>
    <phoneticPr fontId="1" type="noConversion"/>
  </si>
  <si>
    <t>浙江双桥纸业有限公司</t>
    <phoneticPr fontId="1" type="noConversion"/>
  </si>
  <si>
    <t>S20200227004</t>
    <phoneticPr fontId="1" type="noConversion"/>
  </si>
  <si>
    <t>德清县方毅纸业有限公司</t>
    <phoneticPr fontId="1" type="noConversion"/>
  </si>
  <si>
    <t>S20200227005</t>
    <phoneticPr fontId="1" type="noConversion"/>
  </si>
  <si>
    <t>湖州市韶春纸业有限公司</t>
    <phoneticPr fontId="1" type="noConversion"/>
  </si>
  <si>
    <t>S20200227006</t>
    <phoneticPr fontId="1" type="noConversion"/>
  </si>
  <si>
    <t>德清县上峰纸业有限公司</t>
    <phoneticPr fontId="1" type="noConversion"/>
  </si>
  <si>
    <t>S20200227007</t>
    <phoneticPr fontId="1" type="noConversion"/>
  </si>
  <si>
    <t>湖州康力紙业有限公司</t>
    <phoneticPr fontId="1" type="noConversion"/>
  </si>
  <si>
    <t>S20200227014</t>
    <phoneticPr fontId="1" type="noConversion"/>
  </si>
  <si>
    <t>德清县欣勤电子有限公司</t>
    <phoneticPr fontId="1" type="noConversion"/>
  </si>
  <si>
    <t>S20200227019-1</t>
    <phoneticPr fontId="1" type="noConversion"/>
  </si>
  <si>
    <t>S20200227019-2</t>
  </si>
  <si>
    <t>S20200227001-1</t>
    <phoneticPr fontId="1" type="noConversion"/>
  </si>
  <si>
    <t>S20200227001-2</t>
  </si>
  <si>
    <t>20.9/60</t>
    <phoneticPr fontId="1" type="noConversion"/>
  </si>
  <si>
    <t>湖州碧水源环境科技有限公司</t>
    <phoneticPr fontId="1" type="noConversion"/>
  </si>
  <si>
    <t>S20200229001</t>
    <phoneticPr fontId="1" type="noConversion"/>
  </si>
  <si>
    <t>德清县东港纸业有限公司</t>
    <phoneticPr fontId="1" type="noConversion"/>
  </si>
  <si>
    <t>S20200302024</t>
    <phoneticPr fontId="1" type="noConversion"/>
  </si>
  <si>
    <t>德清县钟管科亮环保科技有限公司</t>
    <phoneticPr fontId="1" type="noConversion"/>
  </si>
  <si>
    <t>S20200302025</t>
    <phoneticPr fontId="1" type="noConversion"/>
  </si>
  <si>
    <t>拜克生物科技有限公司</t>
    <phoneticPr fontId="1" type="noConversion"/>
  </si>
  <si>
    <t>S20200302047</t>
    <phoneticPr fontId="1" type="noConversion"/>
  </si>
  <si>
    <t>德清县昌隆绢纺染整有限公司</t>
    <phoneticPr fontId="1" type="noConversion"/>
  </si>
  <si>
    <t>20.5/56</t>
    <phoneticPr fontId="1" type="noConversion"/>
  </si>
  <si>
    <t>S20200228002-1</t>
    <phoneticPr fontId="1" type="noConversion"/>
  </si>
  <si>
    <t>S20200228002-2</t>
  </si>
  <si>
    <t>20.7/58</t>
    <phoneticPr fontId="1" type="noConversion"/>
  </si>
  <si>
    <t>S20200302027-1</t>
    <phoneticPr fontId="1" type="noConversion"/>
  </si>
  <si>
    <t>S20200302027-2</t>
  </si>
  <si>
    <t>S20200303004</t>
    <phoneticPr fontId="1" type="noConversion"/>
  </si>
  <si>
    <t>S20200303007</t>
    <phoneticPr fontId="1" type="noConversion"/>
  </si>
  <si>
    <t>S20200303008</t>
    <phoneticPr fontId="1" type="noConversion"/>
  </si>
  <si>
    <t>德清县环境卫生管理处</t>
    <phoneticPr fontId="1" type="noConversion"/>
  </si>
  <si>
    <t>S20200303011</t>
    <phoneticPr fontId="1" type="noConversion"/>
  </si>
  <si>
    <t>S20200303012</t>
    <phoneticPr fontId="1" type="noConversion"/>
  </si>
  <si>
    <t>S20200303013</t>
    <phoneticPr fontId="1" type="noConversion"/>
  </si>
  <si>
    <t>S20200303014</t>
    <phoneticPr fontId="1" type="noConversion"/>
  </si>
  <si>
    <t>S20200303009</t>
    <phoneticPr fontId="1" type="noConversion"/>
  </si>
  <si>
    <t>标记</t>
    <phoneticPr fontId="4" type="noConversion"/>
  </si>
  <si>
    <t>20.6/57</t>
    <phoneticPr fontId="1" type="noConversion"/>
  </si>
  <si>
    <t>S20200303003-1</t>
    <phoneticPr fontId="1" type="noConversion"/>
  </si>
  <si>
    <t>S20200303003-2</t>
  </si>
  <si>
    <t>S20200304003</t>
    <phoneticPr fontId="1" type="noConversion"/>
  </si>
  <si>
    <t>漂莱特（中国）有限公司</t>
    <phoneticPr fontId="1" type="noConversion"/>
  </si>
  <si>
    <t>浙江明贺钢管有限公司</t>
    <phoneticPr fontId="1" type="noConversion"/>
  </si>
  <si>
    <t>S20200304016-1</t>
    <phoneticPr fontId="1" type="noConversion"/>
  </si>
  <si>
    <t>S20200304016-2</t>
  </si>
  <si>
    <t>20.8/59</t>
    <phoneticPr fontId="1" type="noConversion"/>
  </si>
  <si>
    <t>德清县蛇类实业有限公司</t>
  </si>
  <si>
    <t>S20200309003</t>
    <phoneticPr fontId="1" type="noConversion"/>
  </si>
  <si>
    <t>S20200309023</t>
    <phoneticPr fontId="1" type="noConversion"/>
  </si>
  <si>
    <t>S20200309025</t>
    <phoneticPr fontId="1" type="noConversion"/>
  </si>
  <si>
    <t>S20200309026</t>
    <phoneticPr fontId="1" type="noConversion"/>
  </si>
  <si>
    <t>浙江龙威印染有限公司</t>
    <phoneticPr fontId="1" type="noConversion"/>
  </si>
  <si>
    <t>S20200309028</t>
    <phoneticPr fontId="1" type="noConversion"/>
  </si>
  <si>
    <t>德清县新鑫达丝绸炼染有限公司</t>
    <phoneticPr fontId="1" type="noConversion"/>
  </si>
  <si>
    <t>S20200309030</t>
    <phoneticPr fontId="1" type="noConversion"/>
  </si>
  <si>
    <t>湖州新嘉怡丝织印花有限公司</t>
    <phoneticPr fontId="1" type="noConversion"/>
  </si>
  <si>
    <t>S20200309034</t>
    <phoneticPr fontId="1" type="noConversion"/>
  </si>
  <si>
    <t>钱江纺织印染有限公司</t>
    <phoneticPr fontId="1" type="noConversion"/>
  </si>
  <si>
    <t>S20200309036</t>
    <phoneticPr fontId="1" type="noConversion"/>
  </si>
  <si>
    <t>S20200309038</t>
    <phoneticPr fontId="1" type="noConversion"/>
  </si>
  <si>
    <t>浙江利都达丝绸印染有限公司</t>
    <phoneticPr fontId="1" type="noConversion"/>
  </si>
  <si>
    <t>S20200309040</t>
    <phoneticPr fontId="1" type="noConversion"/>
  </si>
  <si>
    <t>德清县利通绢纺塑化有限公司</t>
    <phoneticPr fontId="1" type="noConversion"/>
  </si>
  <si>
    <t>半年</t>
    <phoneticPr fontId="1" type="noConversion"/>
  </si>
  <si>
    <t>20.9/58</t>
    <phoneticPr fontId="1" type="noConversion"/>
  </si>
  <si>
    <t>S20200306005-1</t>
    <phoneticPr fontId="1" type="noConversion"/>
  </si>
  <si>
    <t>S20200306005-2</t>
  </si>
  <si>
    <t>湖州新天纸业有限公司</t>
    <phoneticPr fontId="1" type="noConversion"/>
  </si>
  <si>
    <t>S20200310006</t>
    <phoneticPr fontId="1" type="noConversion"/>
  </si>
  <si>
    <t>S20200310007</t>
    <phoneticPr fontId="1" type="noConversion"/>
  </si>
  <si>
    <t>浙江双桥纸业有限公司</t>
    <phoneticPr fontId="1" type="noConversion"/>
  </si>
  <si>
    <t>S20200310008</t>
    <phoneticPr fontId="1" type="noConversion"/>
  </si>
  <si>
    <t>德清县方毅纸业有限公司</t>
    <phoneticPr fontId="1" type="noConversion"/>
  </si>
  <si>
    <t>S20200310009</t>
    <phoneticPr fontId="1" type="noConversion"/>
  </si>
  <si>
    <t>湖州市韶春纸业有限公司</t>
    <phoneticPr fontId="1" type="noConversion"/>
  </si>
  <si>
    <t>S20200310010</t>
    <phoneticPr fontId="1" type="noConversion"/>
  </si>
  <si>
    <t>德清县上峰纸业有限公司</t>
    <phoneticPr fontId="1" type="noConversion"/>
  </si>
  <si>
    <t>S20200310011</t>
    <phoneticPr fontId="1" type="noConversion"/>
  </si>
  <si>
    <t>德清县东港纸业有限公司</t>
    <phoneticPr fontId="1" type="noConversion"/>
  </si>
  <si>
    <t>S20200310012</t>
    <phoneticPr fontId="1" type="noConversion"/>
  </si>
  <si>
    <t>湖州康力紙业有限公司</t>
    <phoneticPr fontId="1" type="noConversion"/>
  </si>
  <si>
    <t>S20200310013</t>
    <phoneticPr fontId="1" type="noConversion"/>
  </si>
  <si>
    <t>浙江浙北药业新市分公司</t>
    <phoneticPr fontId="1" type="noConversion"/>
  </si>
  <si>
    <t>S20200310014</t>
    <phoneticPr fontId="1" type="noConversion"/>
  </si>
  <si>
    <t>德清县欣勤电子有限公司</t>
    <phoneticPr fontId="1" type="noConversion"/>
  </si>
  <si>
    <t>新华机械制造有限公司</t>
    <phoneticPr fontId="1" type="noConversion"/>
  </si>
  <si>
    <t>S20200310027</t>
    <phoneticPr fontId="1" type="noConversion"/>
  </si>
  <si>
    <t>浙江红旗机械有限公司</t>
    <phoneticPr fontId="1" type="noConversion"/>
  </si>
  <si>
    <t>S20200310029</t>
    <phoneticPr fontId="1" type="noConversion"/>
  </si>
  <si>
    <t>浙江省军工集团有限公司</t>
    <phoneticPr fontId="1" type="noConversion"/>
  </si>
  <si>
    <t>S20200310031</t>
    <phoneticPr fontId="1" type="noConversion"/>
  </si>
  <si>
    <t>浙江沃德新材料科技有限公司</t>
    <phoneticPr fontId="1" type="noConversion"/>
  </si>
  <si>
    <t>S20200310033</t>
    <phoneticPr fontId="1" type="noConversion"/>
  </si>
  <si>
    <t>除臭水</t>
  </si>
  <si>
    <t>酸洗清洗水</t>
  </si>
  <si>
    <t>S20200311009</t>
  </si>
  <si>
    <t>S20200311010</t>
  </si>
  <si>
    <t>S20200311011</t>
  </si>
  <si>
    <t>S20200311012</t>
  </si>
  <si>
    <t>S20200310005-1</t>
    <phoneticPr fontId="1" type="noConversion"/>
  </si>
  <si>
    <t>S20200310005-2</t>
  </si>
  <si>
    <t>S20200310025-1</t>
    <phoneticPr fontId="1" type="noConversion"/>
  </si>
  <si>
    <t>S20200310025-2</t>
  </si>
  <si>
    <t>20.4/57</t>
    <phoneticPr fontId="1" type="noConversion"/>
  </si>
  <si>
    <t>德清县市政管理处</t>
  </si>
  <si>
    <t>S20200312003</t>
  </si>
  <si>
    <t>S20200312018</t>
  </si>
  <si>
    <t>S20200312019</t>
  </si>
  <si>
    <t>嘉润</t>
    <phoneticPr fontId="1" type="noConversion"/>
  </si>
  <si>
    <t>S20200313003</t>
  </si>
  <si>
    <t>S20200313004</t>
  </si>
  <si>
    <t>S20200312002-1</t>
    <phoneticPr fontId="1" type="noConversion"/>
  </si>
  <si>
    <t>S20200312002-2</t>
  </si>
  <si>
    <t>21/56</t>
    <phoneticPr fontId="1" type="noConversion"/>
  </si>
  <si>
    <t>S20200316023</t>
  </si>
  <si>
    <t>浙江泰邦软管有限公司</t>
  </si>
  <si>
    <t>S20200316024</t>
  </si>
  <si>
    <t>S20200317014</t>
  </si>
  <si>
    <t>月度报告</t>
  </si>
  <si>
    <t>自送样</t>
  </si>
  <si>
    <t>德清丽顺汽车配件有限公司</t>
    <phoneticPr fontId="1" type="noConversion"/>
  </si>
  <si>
    <t>S20200316002-1</t>
    <phoneticPr fontId="1" type="noConversion"/>
  </si>
  <si>
    <t>S20200316002-2</t>
  </si>
  <si>
    <t>S20200318001</t>
  </si>
  <si>
    <t>S20200318003</t>
  </si>
  <si>
    <t>月度</t>
    <phoneticPr fontId="1" type="noConversion"/>
  </si>
  <si>
    <t>自送</t>
    <phoneticPr fontId="1" type="noConversion"/>
  </si>
  <si>
    <t>S20200318006</t>
  </si>
  <si>
    <t>S20200318007</t>
  </si>
  <si>
    <t>气浮池</t>
    <phoneticPr fontId="14" type="noConversion"/>
  </si>
  <si>
    <t>总排口</t>
    <phoneticPr fontId="14" type="noConversion"/>
  </si>
  <si>
    <t>S20200318014</t>
  </si>
  <si>
    <t>S20200318015</t>
  </si>
  <si>
    <t>S20200318016</t>
  </si>
  <si>
    <t>S20200318017</t>
  </si>
  <si>
    <t>S20200318004</t>
    <phoneticPr fontId="1" type="noConversion"/>
  </si>
  <si>
    <t>华维</t>
    <phoneticPr fontId="1" type="noConversion"/>
  </si>
  <si>
    <t>总氮 mg/L</t>
    <phoneticPr fontId="1" type="noConversion"/>
  </si>
  <si>
    <t>20.8/59</t>
    <phoneticPr fontId="1" type="noConversion"/>
  </si>
  <si>
    <t>5</t>
    <phoneticPr fontId="1" type="noConversion"/>
  </si>
  <si>
    <t>月度报告</t>
    <phoneticPr fontId="1" type="noConversion"/>
  </si>
  <si>
    <t>S20200318020</t>
    <phoneticPr fontId="1" type="noConversion"/>
  </si>
  <si>
    <t>S20200319016</t>
    <phoneticPr fontId="1" type="noConversion"/>
  </si>
  <si>
    <t>S20200318002-1</t>
    <phoneticPr fontId="1" type="noConversion"/>
  </si>
  <si>
    <t>S20200318002-2</t>
  </si>
  <si>
    <t>S20200320002</t>
  </si>
  <si>
    <t>S20200320003</t>
  </si>
  <si>
    <t>20.8/55</t>
    <phoneticPr fontId="1" type="noConversion"/>
  </si>
  <si>
    <t>自送</t>
    <phoneticPr fontId="1" type="noConversion"/>
  </si>
  <si>
    <t>S20200324003</t>
    <phoneticPr fontId="14" type="noConversion"/>
  </si>
  <si>
    <t>S20200324004</t>
    <phoneticPr fontId="14" type="noConversion"/>
  </si>
  <si>
    <t>20.9/58</t>
    <phoneticPr fontId="1" type="noConversion"/>
  </si>
  <si>
    <t>S20200323024-1</t>
    <phoneticPr fontId="1" type="noConversion"/>
  </si>
  <si>
    <t>S20200323024-2</t>
  </si>
  <si>
    <t>S20200324002-1</t>
    <phoneticPr fontId="14" type="noConversion"/>
  </si>
  <si>
    <t>S20200324002-2</t>
  </si>
  <si>
    <t>月度</t>
    <phoneticPr fontId="1" type="noConversion"/>
  </si>
  <si>
    <t>S20200325013</t>
  </si>
  <si>
    <t>S20200325014</t>
  </si>
  <si>
    <t>S20200325015</t>
  </si>
  <si>
    <t>S20200325016</t>
  </si>
  <si>
    <t>月度</t>
    <phoneticPr fontId="1" type="noConversion"/>
  </si>
  <si>
    <t>S20200326005</t>
    <phoneticPr fontId="14" type="noConversion"/>
  </si>
  <si>
    <t>进口</t>
    <phoneticPr fontId="1" type="noConversion"/>
  </si>
  <si>
    <t>出口</t>
    <phoneticPr fontId="1" type="noConversion"/>
  </si>
  <si>
    <t>20.5/58</t>
    <phoneticPr fontId="1" type="noConversion"/>
  </si>
  <si>
    <t>S20200326004-1</t>
    <phoneticPr fontId="14" type="noConversion"/>
  </si>
  <si>
    <t>S20200326004-2</t>
  </si>
  <si>
    <t>S20200325001-1</t>
    <phoneticPr fontId="14" type="noConversion"/>
  </si>
  <si>
    <t>S20200325001-2</t>
  </si>
  <si>
    <t>自送</t>
    <phoneticPr fontId="1" type="noConversion"/>
  </si>
  <si>
    <t>湖州碧水源环境科技有限公司</t>
  </si>
  <si>
    <t>S20200327004</t>
    <phoneticPr fontId="14" type="noConversion"/>
  </si>
  <si>
    <t>德清县坝里污水处理有限公司</t>
    <phoneticPr fontId="14" type="noConversion"/>
  </si>
  <si>
    <t>月度</t>
    <phoneticPr fontId="1" type="noConversion"/>
  </si>
  <si>
    <t>出具报告</t>
  </si>
  <si>
    <t>S20200327019</t>
    <phoneticPr fontId="4" type="noConversion"/>
  </si>
  <si>
    <t>德清县九里香酿酒有限公司</t>
    <phoneticPr fontId="4" type="noConversion"/>
  </si>
  <si>
    <t>20.4/58</t>
    <phoneticPr fontId="1" type="noConversion"/>
  </si>
  <si>
    <t>S20200327001-1</t>
    <phoneticPr fontId="4" type="noConversion"/>
  </si>
  <si>
    <t>S20200327001-2</t>
  </si>
  <si>
    <t>自送</t>
    <phoneticPr fontId="1" type="noConversion"/>
  </si>
  <si>
    <t>20.6/56</t>
    <phoneticPr fontId="1" type="noConversion"/>
  </si>
  <si>
    <t>德清县恒丰污水处理有限公司</t>
  </si>
  <si>
    <t>S20200330023-02</t>
  </si>
  <si>
    <t>S20200330023-03</t>
  </si>
  <si>
    <t>S20200331001-02</t>
  </si>
  <si>
    <t>S20200331001-03</t>
  </si>
  <si>
    <t>城南</t>
    <phoneticPr fontId="1" type="noConversion"/>
  </si>
  <si>
    <t>狮山</t>
    <phoneticPr fontId="1" type="noConversion"/>
  </si>
  <si>
    <t>S20200330023-01-1</t>
    <phoneticPr fontId="1" type="noConversion"/>
  </si>
  <si>
    <t>S20200330023-01-2</t>
  </si>
  <si>
    <t>S20200331001-01-1</t>
    <phoneticPr fontId="1" type="noConversion"/>
  </si>
  <si>
    <t>S20200331001-01-2</t>
  </si>
  <si>
    <t>20.3/57</t>
    <phoneticPr fontId="1" type="noConversion"/>
  </si>
  <si>
    <t>S20200330004</t>
    <phoneticPr fontId="4" type="noConversion"/>
  </si>
  <si>
    <t>S20200402004</t>
  </si>
  <si>
    <t>总排</t>
    <phoneticPr fontId="1" type="noConversion"/>
  </si>
  <si>
    <t>S20200402005</t>
  </si>
  <si>
    <t>S20200402007</t>
  </si>
  <si>
    <t>德清县坝里污水处理有限公司</t>
    <phoneticPr fontId="4" type="noConversion"/>
  </si>
  <si>
    <t>S20200402010</t>
    <phoneticPr fontId="4" type="noConversion"/>
  </si>
  <si>
    <t>垃圾填埋场</t>
    <phoneticPr fontId="1" type="noConversion"/>
  </si>
  <si>
    <t>S20200402011</t>
    <phoneticPr fontId="4" type="noConversion"/>
  </si>
  <si>
    <t>S20200402012</t>
    <phoneticPr fontId="4" type="noConversion"/>
  </si>
  <si>
    <t>S20200401032</t>
  </si>
  <si>
    <t>S20200401033</t>
  </si>
  <si>
    <t>S20200401034</t>
  </si>
  <si>
    <t>S20200401035</t>
  </si>
  <si>
    <t>德清堃源金属制品有限公司</t>
  </si>
  <si>
    <t>S20200401036</t>
  </si>
  <si>
    <t>浙江富日进精密金属股份有限公司</t>
  </si>
  <si>
    <t>S20200401037</t>
  </si>
  <si>
    <t>S20200401040</t>
    <phoneticPr fontId="4" type="noConversion"/>
  </si>
  <si>
    <t>德清县利通绢纺塑化有限公司</t>
    <phoneticPr fontId="4" type="noConversion"/>
  </si>
  <si>
    <t>S20200403001</t>
    <phoneticPr fontId="4" type="noConversion"/>
  </si>
  <si>
    <t>S20200403002</t>
    <phoneticPr fontId="4" type="noConversion"/>
  </si>
  <si>
    <t>利通</t>
    <phoneticPr fontId="1" type="noConversion"/>
  </si>
  <si>
    <t>沉池</t>
    <phoneticPr fontId="1" type="noConversion"/>
  </si>
  <si>
    <t>预处理</t>
    <phoneticPr fontId="1" type="noConversion"/>
  </si>
  <si>
    <t>自送</t>
    <phoneticPr fontId="1" type="noConversion"/>
  </si>
  <si>
    <t>20.5/57</t>
    <phoneticPr fontId="1" type="noConversion"/>
  </si>
  <si>
    <t>月度</t>
    <phoneticPr fontId="1" type="noConversion"/>
  </si>
  <si>
    <t>S20200406002</t>
  </si>
  <si>
    <t>S20200406003</t>
  </si>
  <si>
    <t>浙江双桥纸业有限公司</t>
  </si>
  <si>
    <t>S20200406004</t>
  </si>
  <si>
    <t>S20200406005</t>
  </si>
  <si>
    <t>S20200406006</t>
  </si>
  <si>
    <t>S20200406007</t>
  </si>
  <si>
    <t>S20200406008</t>
  </si>
  <si>
    <t>S20200406009</t>
  </si>
  <si>
    <t>S20200406010</t>
  </si>
  <si>
    <t>季度</t>
    <phoneticPr fontId="1" type="noConversion"/>
  </si>
  <si>
    <t>S20200406012</t>
  </si>
  <si>
    <t>S20200406013</t>
  </si>
  <si>
    <t>20.9/61</t>
    <phoneticPr fontId="1" type="noConversion"/>
  </si>
  <si>
    <t>S20200402001-1</t>
    <phoneticPr fontId="4" type="noConversion"/>
  </si>
  <si>
    <t>S20200402001-2</t>
  </si>
  <si>
    <t>S20200406001-1</t>
    <phoneticPr fontId="1" type="noConversion"/>
  </si>
  <si>
    <t>S20200406001-2</t>
  </si>
  <si>
    <t>出具报告</t>
    <phoneticPr fontId="1" type="noConversion"/>
  </si>
  <si>
    <t>S20200407001</t>
    <phoneticPr fontId="4" type="noConversion"/>
  </si>
  <si>
    <t>浙江铅华洗涤有限公司</t>
    <phoneticPr fontId="4" type="noConversion"/>
  </si>
  <si>
    <t>zk-27-02-5-1</t>
    <phoneticPr fontId="1" type="noConversion"/>
  </si>
  <si>
    <t>zk-27-02-5-2</t>
  </si>
  <si>
    <t>利通绢纺</t>
    <phoneticPr fontId="1" type="noConversion"/>
  </si>
  <si>
    <t>S20200408001</t>
    <phoneticPr fontId="4" type="noConversion"/>
  </si>
  <si>
    <t>西池A</t>
    <phoneticPr fontId="1" type="noConversion"/>
  </si>
  <si>
    <t>西池B</t>
    <phoneticPr fontId="1" type="noConversion"/>
  </si>
  <si>
    <t>自送</t>
    <phoneticPr fontId="1" type="noConversion"/>
  </si>
  <si>
    <t>二池沉</t>
    <phoneticPr fontId="1" type="noConversion"/>
  </si>
  <si>
    <t xml:space="preserve"> </t>
  </si>
  <si>
    <t>S20200407002</t>
  </si>
  <si>
    <t>S20200407018</t>
  </si>
  <si>
    <t>浙江浙北药业新市分公司</t>
  </si>
  <si>
    <t>S20200407020</t>
  </si>
  <si>
    <t>S20200407022</t>
  </si>
  <si>
    <t>S20200407024</t>
  </si>
  <si>
    <t>湖州新嘉怡丝织印花有限公司</t>
  </si>
  <si>
    <t>S20200407028</t>
  </si>
  <si>
    <t>S20200407030</t>
  </si>
  <si>
    <t>S20200407032</t>
  </si>
  <si>
    <t>S20200407034</t>
  </si>
  <si>
    <t>S20200407036</t>
  </si>
  <si>
    <t>S20200407041</t>
  </si>
  <si>
    <t>S20200407050</t>
  </si>
  <si>
    <t>S20200408005</t>
  </si>
  <si>
    <t>S20200408007</t>
  </si>
  <si>
    <t>德清友好木业有限公司</t>
  </si>
  <si>
    <t>南干</t>
    <phoneticPr fontId="1" type="noConversion"/>
  </si>
  <si>
    <t>华维</t>
    <phoneticPr fontId="1" type="noConversion"/>
  </si>
  <si>
    <t>利通</t>
    <phoneticPr fontId="1" type="noConversion"/>
  </si>
  <si>
    <t>东A</t>
    <phoneticPr fontId="1" type="noConversion"/>
  </si>
  <si>
    <t>东B</t>
    <phoneticPr fontId="1" type="noConversion"/>
  </si>
  <si>
    <t>西A</t>
    <phoneticPr fontId="1" type="noConversion"/>
  </si>
  <si>
    <t>西B</t>
    <phoneticPr fontId="1" type="noConversion"/>
  </si>
  <si>
    <t>S20200406011-1</t>
    <phoneticPr fontId="1" type="noConversion"/>
  </si>
  <si>
    <t>S20200406011-2</t>
  </si>
  <si>
    <t>20.6/59</t>
    <phoneticPr fontId="1" type="noConversion"/>
  </si>
  <si>
    <t>2020/4/8-1</t>
    <phoneticPr fontId="1" type="noConversion"/>
  </si>
  <si>
    <t>zk-27-02-5</t>
    <phoneticPr fontId="1" type="noConversion"/>
  </si>
  <si>
    <t>S20200410021</t>
    <phoneticPr fontId="4" type="noConversion"/>
  </si>
  <si>
    <t>浙江拓普药业股份有限公司</t>
  </si>
  <si>
    <t>S20200413001</t>
    <phoneticPr fontId="4" type="noConversion"/>
  </si>
  <si>
    <t>S20200413002</t>
    <phoneticPr fontId="4" type="noConversion"/>
  </si>
  <si>
    <t>S20200413003</t>
    <phoneticPr fontId="4" type="noConversion"/>
  </si>
  <si>
    <t>S20200413004</t>
    <phoneticPr fontId="4" type="noConversion"/>
  </si>
  <si>
    <t>S20200413005</t>
    <phoneticPr fontId="4" type="noConversion"/>
  </si>
  <si>
    <t>生化回用</t>
    <phoneticPr fontId="1" type="noConversion"/>
  </si>
  <si>
    <t>回用</t>
    <phoneticPr fontId="1" type="noConversion"/>
  </si>
  <si>
    <t>东生化出水</t>
    <phoneticPr fontId="1" type="noConversion"/>
  </si>
  <si>
    <t>西生化出水</t>
    <phoneticPr fontId="1" type="noConversion"/>
  </si>
  <si>
    <t>排放口</t>
    <phoneticPr fontId="1" type="noConversion"/>
  </si>
  <si>
    <t>不消解</t>
    <phoneticPr fontId="1" type="noConversion"/>
  </si>
  <si>
    <t>S20200401040</t>
  </si>
  <si>
    <t>月度</t>
    <phoneticPr fontId="1" type="noConversion"/>
  </si>
  <si>
    <t>S20200413006</t>
    <phoneticPr fontId="4" type="noConversion"/>
  </si>
  <si>
    <t>S20200413007</t>
    <phoneticPr fontId="4" type="noConversion"/>
  </si>
  <si>
    <t>S20200413008</t>
    <phoneticPr fontId="4" type="noConversion"/>
  </si>
  <si>
    <t>S20200413009</t>
    <phoneticPr fontId="4" type="noConversion"/>
  </si>
  <si>
    <t>y = 0.0101x - 0.0018</t>
  </si>
  <si>
    <t xml:space="preserve">r = 0.9999 </t>
    <phoneticPr fontId="1" type="noConversion"/>
  </si>
  <si>
    <t>.483~.605</t>
    <phoneticPr fontId="1" type="noConversion"/>
  </si>
  <si>
    <t>S20200409003-1</t>
    <phoneticPr fontId="4" type="noConversion"/>
  </si>
  <si>
    <t>S20200409003-2</t>
  </si>
  <si>
    <t>20.8/60</t>
    <phoneticPr fontId="1" type="noConversion"/>
  </si>
  <si>
    <t>20.7/58</t>
    <phoneticPr fontId="1" type="noConversion"/>
  </si>
  <si>
    <t>20.6/54</t>
    <phoneticPr fontId="1" type="noConversion"/>
  </si>
  <si>
    <t>不消解 方</t>
    <phoneticPr fontId="1" type="noConversion"/>
  </si>
  <si>
    <t>S20200414003</t>
    <phoneticPr fontId="4" type="noConversion"/>
  </si>
  <si>
    <t>浙江红旗机械有限公司</t>
    <phoneticPr fontId="4" type="noConversion"/>
  </si>
  <si>
    <t>S20200414005</t>
    <phoneticPr fontId="4" type="noConversion"/>
  </si>
  <si>
    <t>浙江省军工集团有限公司</t>
    <phoneticPr fontId="4" type="noConversion"/>
  </si>
  <si>
    <t>S20200414011</t>
    <phoneticPr fontId="4" type="noConversion"/>
  </si>
  <si>
    <t>湖州聚春实业有限公司</t>
    <phoneticPr fontId="4" type="noConversion"/>
  </si>
  <si>
    <t>浙江世佳科技股份有限公司</t>
    <phoneticPr fontId="4" type="noConversion"/>
  </si>
  <si>
    <t>21.1/58</t>
    <phoneticPr fontId="1" type="noConversion"/>
  </si>
  <si>
    <t>S20200415011</t>
  </si>
  <si>
    <t>S20200415012</t>
  </si>
  <si>
    <t>S20200415013</t>
  </si>
  <si>
    <t>S20200415015</t>
  </si>
  <si>
    <t>S20200415016</t>
  </si>
  <si>
    <t>S20200416001</t>
    <phoneticPr fontId="4" type="noConversion"/>
  </si>
  <si>
    <t>S20200415001</t>
    <phoneticPr fontId="4" type="noConversion"/>
  </si>
  <si>
    <t>漂莱特（中国）有限公司</t>
    <phoneticPr fontId="4" type="noConversion"/>
  </si>
  <si>
    <t>S20200414014-1</t>
    <phoneticPr fontId="4" type="noConversion"/>
  </si>
  <si>
    <t>S20200414014-2</t>
  </si>
  <si>
    <t>20.9/58</t>
    <phoneticPr fontId="1" type="noConversion"/>
  </si>
  <si>
    <t>S20200415002-1</t>
    <phoneticPr fontId="4" type="noConversion"/>
  </si>
  <si>
    <t>S20200415002-2</t>
  </si>
  <si>
    <t>报告</t>
    <phoneticPr fontId="1" type="noConversion"/>
  </si>
  <si>
    <t>S20200416006</t>
    <phoneticPr fontId="4" type="noConversion"/>
  </si>
  <si>
    <t>德清县一凡颜料有限公司</t>
    <phoneticPr fontId="4" type="noConversion"/>
  </si>
  <si>
    <t>S20200416007</t>
    <phoneticPr fontId="4" type="noConversion"/>
  </si>
  <si>
    <t>地表水</t>
    <phoneticPr fontId="1" type="noConversion"/>
  </si>
  <si>
    <t>月度</t>
    <phoneticPr fontId="1" type="noConversion"/>
  </si>
  <si>
    <t>S20200408022</t>
    <phoneticPr fontId="1" type="noConversion"/>
  </si>
  <si>
    <t>S20200420001</t>
  </si>
  <si>
    <t>S20200420002</t>
  </si>
  <si>
    <t>S20200420003</t>
  </si>
  <si>
    <t>新池</t>
  </si>
  <si>
    <t>回用</t>
  </si>
  <si>
    <t>东B</t>
  </si>
  <si>
    <t>S20200417001</t>
    <phoneticPr fontId="4" type="noConversion"/>
  </si>
  <si>
    <t>S20200418001-1</t>
    <phoneticPr fontId="4" type="noConversion"/>
  </si>
  <si>
    <t>S20200418001-2</t>
  </si>
  <si>
    <t>20.7/59</t>
    <phoneticPr fontId="1" type="noConversion"/>
  </si>
  <si>
    <t>自送</t>
    <phoneticPr fontId="1" type="noConversion"/>
  </si>
  <si>
    <t>S20200417017</t>
    <phoneticPr fontId="4" type="noConversion"/>
  </si>
  <si>
    <t>德清县昌隆绢纺染整有限公司</t>
    <phoneticPr fontId="4" type="noConversion"/>
  </si>
  <si>
    <t>报告</t>
    <phoneticPr fontId="1" type="noConversion"/>
  </si>
  <si>
    <t>S20200420004</t>
    <phoneticPr fontId="4" type="noConversion"/>
  </si>
  <si>
    <t>浙江世佳科技股份有限公司武康厂区</t>
    <phoneticPr fontId="4" type="noConversion"/>
  </si>
  <si>
    <t>S20200420005</t>
    <phoneticPr fontId="4" type="noConversion"/>
  </si>
  <si>
    <t>德清佳柔日化用品有限公司</t>
    <phoneticPr fontId="4" type="noConversion"/>
  </si>
  <si>
    <t>S20200421001</t>
    <phoneticPr fontId="4" type="noConversion"/>
  </si>
  <si>
    <t>S20200421002</t>
    <phoneticPr fontId="4" type="noConversion"/>
  </si>
  <si>
    <t>S20200421003</t>
    <phoneticPr fontId="4" type="noConversion"/>
  </si>
  <si>
    <t>月度</t>
    <phoneticPr fontId="1" type="noConversion"/>
  </si>
  <si>
    <t>S20200421005-01</t>
    <phoneticPr fontId="4" type="noConversion"/>
  </si>
  <si>
    <t>S20200421005-02</t>
  </si>
  <si>
    <t>S20200421005-03</t>
  </si>
  <si>
    <t>S20200421006-01</t>
    <phoneticPr fontId="4" type="noConversion"/>
  </si>
  <si>
    <t>S20200421006-02</t>
  </si>
  <si>
    <t>S20200421006-03</t>
  </si>
  <si>
    <t>20.5/57</t>
    <phoneticPr fontId="1" type="noConversion"/>
  </si>
  <si>
    <t>城南</t>
  </si>
  <si>
    <t>报告</t>
    <phoneticPr fontId="1" type="noConversion"/>
  </si>
  <si>
    <t>S20200409029</t>
    <phoneticPr fontId="1" type="noConversion"/>
  </si>
  <si>
    <t>德清振欣木业有限公司</t>
    <phoneticPr fontId="1" type="noConversion"/>
  </si>
  <si>
    <t>20.6/59</t>
    <phoneticPr fontId="1" type="noConversion"/>
  </si>
  <si>
    <t>S20200422009</t>
  </si>
  <si>
    <t>S20200422010</t>
  </si>
  <si>
    <t>S20200422011</t>
  </si>
  <si>
    <t>S20200422012</t>
  </si>
  <si>
    <t>S20200422015</t>
    <phoneticPr fontId="4" type="noConversion"/>
  </si>
  <si>
    <t>浙江明贺钢管有限公司</t>
    <phoneticPr fontId="4" type="noConversion"/>
  </si>
  <si>
    <t>S20200421022-1</t>
    <phoneticPr fontId="4" type="noConversion"/>
  </si>
  <si>
    <t>S20200421022-2</t>
  </si>
  <si>
    <t>湖州努特表面处理科技有限公司</t>
    <phoneticPr fontId="4" type="noConversion"/>
  </si>
  <si>
    <t>S20200422008-1</t>
    <phoneticPr fontId="4" type="noConversion"/>
  </si>
  <si>
    <t>S20200422008-2</t>
  </si>
  <si>
    <t>月度</t>
    <phoneticPr fontId="1" type="noConversion"/>
  </si>
  <si>
    <t>S20200409002</t>
    <phoneticPr fontId="4" type="noConversion"/>
  </si>
  <si>
    <t>20.7/57</t>
    <phoneticPr fontId="1" type="noConversion"/>
  </si>
  <si>
    <t>报告</t>
    <phoneticPr fontId="1" type="noConversion"/>
  </si>
  <si>
    <t>S20200427002</t>
    <phoneticPr fontId="16" type="noConversion"/>
  </si>
  <si>
    <t>浙江同创顶立表面技术有限公司</t>
  </si>
  <si>
    <t>S20200415014</t>
    <phoneticPr fontId="4" type="noConversion"/>
  </si>
  <si>
    <t>月度</t>
    <phoneticPr fontId="1" type="noConversion"/>
  </si>
  <si>
    <t>S20200427007</t>
    <phoneticPr fontId="16" type="noConversion"/>
  </si>
  <si>
    <t>S20200428002</t>
    <phoneticPr fontId="16" type="noConversion"/>
  </si>
  <si>
    <t>利通</t>
    <phoneticPr fontId="4" type="noConversion"/>
  </si>
  <si>
    <t>东A</t>
    <phoneticPr fontId="4" type="noConversion"/>
  </si>
  <si>
    <t>东B</t>
    <phoneticPr fontId="4" type="noConversion"/>
  </si>
  <si>
    <t>新初沉池</t>
    <phoneticPr fontId="4" type="noConversion"/>
  </si>
  <si>
    <t>新二沉池</t>
    <phoneticPr fontId="4" type="noConversion"/>
  </si>
  <si>
    <t>S20200424016-1</t>
    <phoneticPr fontId="4" type="noConversion"/>
  </si>
  <si>
    <t>S20200424016-2</t>
  </si>
  <si>
    <t>20.5/59</t>
    <phoneticPr fontId="1" type="noConversion"/>
  </si>
  <si>
    <t>S20200427005-1</t>
    <phoneticPr fontId="16" type="noConversion"/>
  </si>
  <si>
    <t>S20200427005-2</t>
  </si>
  <si>
    <t>报告</t>
    <phoneticPr fontId="1" type="noConversion"/>
  </si>
  <si>
    <t>S20200429008</t>
  </si>
  <si>
    <t>S20200429013</t>
  </si>
  <si>
    <t>S20200429014</t>
  </si>
  <si>
    <t>S20200429015</t>
  </si>
  <si>
    <t>S20200429016</t>
  </si>
  <si>
    <t>S20200429017</t>
  </si>
  <si>
    <t>S20200429020</t>
  </si>
  <si>
    <t>S20200430001</t>
  </si>
  <si>
    <t>S20200430002</t>
  </si>
  <si>
    <t>S20200430003</t>
  </si>
  <si>
    <t>S20200430004</t>
  </si>
  <si>
    <t>20.7/58</t>
    <phoneticPr fontId="1" type="noConversion"/>
  </si>
  <si>
    <t>S20200507001</t>
    <phoneticPr fontId="4" type="noConversion"/>
  </si>
  <si>
    <t>S20200507002</t>
    <phoneticPr fontId="4" type="noConversion"/>
  </si>
  <si>
    <t>S20200507004</t>
    <phoneticPr fontId="4" type="noConversion"/>
  </si>
  <si>
    <t>S20200507005</t>
    <phoneticPr fontId="4" type="noConversion"/>
  </si>
  <si>
    <t>S20200507003</t>
    <phoneticPr fontId="4" type="noConversion"/>
  </si>
  <si>
    <t>调节</t>
    <phoneticPr fontId="1" type="noConversion"/>
  </si>
  <si>
    <t>自送</t>
    <phoneticPr fontId="4" type="noConversion"/>
  </si>
  <si>
    <t>S20200507007</t>
    <phoneticPr fontId="4" type="noConversion"/>
  </si>
  <si>
    <t>水解池1</t>
    <phoneticPr fontId="4" type="noConversion"/>
  </si>
  <si>
    <t>S20200507008</t>
    <phoneticPr fontId="4" type="noConversion"/>
  </si>
  <si>
    <t>水解池2</t>
  </si>
  <si>
    <t>S20200507009</t>
    <phoneticPr fontId="4" type="noConversion"/>
  </si>
  <si>
    <t>水解池3</t>
  </si>
  <si>
    <t>S20200507010</t>
    <phoneticPr fontId="4" type="noConversion"/>
  </si>
  <si>
    <t>生化池4</t>
    <phoneticPr fontId="4" type="noConversion"/>
  </si>
  <si>
    <t>S20200507011</t>
    <phoneticPr fontId="4" type="noConversion"/>
  </si>
  <si>
    <t>生化池5</t>
  </si>
  <si>
    <t>S20200507012</t>
    <phoneticPr fontId="4" type="noConversion"/>
  </si>
  <si>
    <t>生化池6</t>
  </si>
  <si>
    <t>S20200507013</t>
    <phoneticPr fontId="4" type="noConversion"/>
  </si>
  <si>
    <t>生化池7</t>
  </si>
  <si>
    <t>S20200507015</t>
    <phoneticPr fontId="4" type="noConversion"/>
  </si>
  <si>
    <t xml:space="preserve">浙江深德环境技术有限公司 </t>
    <phoneticPr fontId="4" type="noConversion"/>
  </si>
  <si>
    <t xml:space="preserve"> </t>
    <phoneticPr fontId="4" type="noConversion"/>
  </si>
  <si>
    <t>S20200507016</t>
    <phoneticPr fontId="4" type="noConversion"/>
  </si>
  <si>
    <t>S20200507017</t>
    <phoneticPr fontId="4" type="noConversion"/>
  </si>
  <si>
    <t>S20200507031</t>
    <phoneticPr fontId="4" type="noConversion"/>
  </si>
  <si>
    <t>浙江浙北药业新市分公司</t>
    <phoneticPr fontId="4" type="noConversion"/>
  </si>
  <si>
    <t>S20200507032</t>
    <phoneticPr fontId="4" type="noConversion"/>
  </si>
  <si>
    <t>德清建宏传动材料有限公司</t>
    <phoneticPr fontId="4" type="noConversion"/>
  </si>
  <si>
    <t>S20200507033</t>
    <phoneticPr fontId="4" type="noConversion"/>
  </si>
  <si>
    <t>德清县荣昌冷轧带钢有限公司</t>
    <phoneticPr fontId="4" type="noConversion"/>
  </si>
  <si>
    <t>S20200507034</t>
    <phoneticPr fontId="4" type="noConversion"/>
  </si>
  <si>
    <t>浙江瑞胜带钢有限公司</t>
    <phoneticPr fontId="4" type="noConversion"/>
  </si>
  <si>
    <t>S20200507035</t>
    <phoneticPr fontId="4" type="noConversion"/>
  </si>
  <si>
    <t>德清堃源金属制品有限公司</t>
    <phoneticPr fontId="4" type="noConversion"/>
  </si>
  <si>
    <t>S20200507036</t>
    <phoneticPr fontId="4" type="noConversion"/>
  </si>
  <si>
    <t>浙江富日进精密金属股份有限公司</t>
    <phoneticPr fontId="4" type="noConversion"/>
  </si>
  <si>
    <t>季度报告</t>
    <phoneticPr fontId="1" type="noConversion"/>
  </si>
  <si>
    <t>调节池</t>
    <phoneticPr fontId="4" type="noConversion"/>
  </si>
  <si>
    <t>S20200506039</t>
    <phoneticPr fontId="4" type="noConversion"/>
  </si>
  <si>
    <t>浙江拓普药业股份有限公司</t>
    <phoneticPr fontId="4" type="noConversion"/>
  </si>
  <si>
    <t>S20200506024</t>
    <phoneticPr fontId="4" type="noConversion"/>
  </si>
  <si>
    <t>湖州新天纸业有限公司</t>
    <phoneticPr fontId="4" type="noConversion"/>
  </si>
  <si>
    <t>S20200506025</t>
    <phoneticPr fontId="4" type="noConversion"/>
  </si>
  <si>
    <t>浙江双桥纸业有限公司</t>
    <phoneticPr fontId="4" type="noConversion"/>
  </si>
  <si>
    <t>S20200506026</t>
    <phoneticPr fontId="4" type="noConversion"/>
  </si>
  <si>
    <t>德清县方毅纸业有限公司</t>
    <phoneticPr fontId="4" type="noConversion"/>
  </si>
  <si>
    <t>S20200506027</t>
    <phoneticPr fontId="4" type="noConversion"/>
  </si>
  <si>
    <t>湖州市韶春纸业有限公司</t>
    <phoneticPr fontId="4" type="noConversion"/>
  </si>
  <si>
    <t>S20200506028</t>
    <phoneticPr fontId="4" type="noConversion"/>
  </si>
  <si>
    <t>德清县上峰纸业有限公司</t>
    <phoneticPr fontId="4" type="noConversion"/>
  </si>
  <si>
    <t>S20200506029</t>
    <phoneticPr fontId="4" type="noConversion"/>
  </si>
  <si>
    <t>德清县东港纸业有限公司</t>
    <phoneticPr fontId="4" type="noConversion"/>
  </si>
  <si>
    <t>S20200506030</t>
    <phoneticPr fontId="4" type="noConversion"/>
  </si>
  <si>
    <t>湖州康力紙业有限公司</t>
    <phoneticPr fontId="4" type="noConversion"/>
  </si>
  <si>
    <t>总排</t>
    <phoneticPr fontId="4" type="noConversion"/>
  </si>
  <si>
    <t>S20200508001</t>
    <phoneticPr fontId="4" type="noConversion"/>
  </si>
  <si>
    <t>S20200508003</t>
    <phoneticPr fontId="4" type="noConversion"/>
  </si>
  <si>
    <t>新华机械制造有限公司</t>
    <phoneticPr fontId="4" type="noConversion"/>
  </si>
  <si>
    <t>S20200508007</t>
    <phoneticPr fontId="4" type="noConversion"/>
  </si>
  <si>
    <t>德清县市政管理处</t>
    <phoneticPr fontId="4" type="noConversion"/>
  </si>
  <si>
    <t>S20200508009</t>
    <phoneticPr fontId="4" type="noConversion"/>
  </si>
  <si>
    <t>德清华康纸业有限公司</t>
    <phoneticPr fontId="4" type="noConversion"/>
  </si>
  <si>
    <t>德清县南干二渠截污治理工程出水口</t>
  </si>
  <si>
    <t>20.1/56</t>
    <phoneticPr fontId="1" type="noConversion"/>
  </si>
  <si>
    <t>20.2/55</t>
    <phoneticPr fontId="1" type="noConversion"/>
  </si>
  <si>
    <t>20.3/55</t>
    <phoneticPr fontId="4" type="noConversion"/>
  </si>
  <si>
    <t>曝气池1</t>
    <phoneticPr fontId="4" type="noConversion"/>
  </si>
  <si>
    <t>曝气池2</t>
  </si>
  <si>
    <t>曝气池3</t>
  </si>
  <si>
    <t>曝气池4</t>
  </si>
  <si>
    <t>S20200511019</t>
  </si>
  <si>
    <t>S20200511021</t>
  </si>
  <si>
    <t>S20200511023</t>
  </si>
  <si>
    <t>S20200511027</t>
  </si>
  <si>
    <t>S20200511029</t>
  </si>
  <si>
    <t>S20200511031</t>
  </si>
  <si>
    <t>S20200511033</t>
  </si>
  <si>
    <t>S20200511040</t>
  </si>
  <si>
    <t>S20200511043</t>
  </si>
  <si>
    <t>S20200511044</t>
  </si>
  <si>
    <t>S20200511045</t>
  </si>
  <si>
    <t>S20200512001</t>
    <phoneticPr fontId="4" type="noConversion"/>
  </si>
  <si>
    <t>S20200512002</t>
    <phoneticPr fontId="4" type="noConversion"/>
  </si>
  <si>
    <t>水解池2</t>
    <phoneticPr fontId="4" type="noConversion"/>
  </si>
  <si>
    <t>S20200512003</t>
    <phoneticPr fontId="4" type="noConversion"/>
  </si>
  <si>
    <t>水解池3</t>
    <phoneticPr fontId="4" type="noConversion"/>
  </si>
  <si>
    <t>S20200512004</t>
    <phoneticPr fontId="4" type="noConversion"/>
  </si>
  <si>
    <t>好痒池4</t>
    <phoneticPr fontId="4" type="noConversion"/>
  </si>
  <si>
    <t>S20200512005</t>
    <phoneticPr fontId="4" type="noConversion"/>
  </si>
  <si>
    <t>好痒池5</t>
    <phoneticPr fontId="4" type="noConversion"/>
  </si>
  <si>
    <t>S20200512006</t>
    <phoneticPr fontId="4" type="noConversion"/>
  </si>
  <si>
    <t>好痒池6</t>
    <phoneticPr fontId="4" type="noConversion"/>
  </si>
  <si>
    <t>S20200512007</t>
    <phoneticPr fontId="4" type="noConversion"/>
  </si>
  <si>
    <t>好痒池7</t>
    <phoneticPr fontId="4" type="noConversion"/>
  </si>
  <si>
    <t>S20200512008</t>
    <phoneticPr fontId="4" type="noConversion"/>
  </si>
  <si>
    <t>西沉池8</t>
    <phoneticPr fontId="4" type="noConversion"/>
  </si>
  <si>
    <t>20.8/59</t>
    <phoneticPr fontId="4" type="noConversion"/>
  </si>
  <si>
    <t>y = 0.0097x + 0.0023</t>
  </si>
  <si>
    <t xml:space="preserve">r = 0.9998 </t>
    <phoneticPr fontId="4" type="noConversion"/>
  </si>
  <si>
    <t>zk-27-07-1-1</t>
    <phoneticPr fontId="1" type="noConversion"/>
  </si>
  <si>
    <t>zk-27-07-1-2</t>
  </si>
  <si>
    <t>.745~.865</t>
    <phoneticPr fontId="4" type="noConversion"/>
  </si>
  <si>
    <t>20.6/54</t>
    <phoneticPr fontId="4" type="noConversion"/>
  </si>
  <si>
    <t>年度</t>
    <phoneticPr fontId="4" type="noConversion"/>
  </si>
  <si>
    <t>德清县立荣金属粉末有限公司</t>
    <phoneticPr fontId="4" type="noConversion"/>
  </si>
  <si>
    <t>报告</t>
    <phoneticPr fontId="4" type="noConversion"/>
  </si>
  <si>
    <t>S20200513004</t>
    <phoneticPr fontId="4" type="noConversion"/>
  </si>
  <si>
    <t>德清县新市乐安污水处理厂</t>
    <phoneticPr fontId="4" type="noConversion"/>
  </si>
  <si>
    <t>地表水</t>
    <phoneticPr fontId="4" type="noConversion"/>
  </si>
  <si>
    <t>1#</t>
    <phoneticPr fontId="4" type="noConversion"/>
  </si>
  <si>
    <t>S20200513005</t>
    <phoneticPr fontId="4" type="noConversion"/>
  </si>
  <si>
    <t>2#</t>
    <phoneticPr fontId="4" type="noConversion"/>
  </si>
  <si>
    <t>S20200513006</t>
    <phoneticPr fontId="4" type="noConversion"/>
  </si>
  <si>
    <t>3#</t>
    <phoneticPr fontId="4" type="noConversion"/>
  </si>
  <si>
    <t>S20200513007</t>
    <phoneticPr fontId="4" type="noConversion"/>
  </si>
  <si>
    <t>4#</t>
    <phoneticPr fontId="4" type="noConversion"/>
  </si>
  <si>
    <t>S20200513008</t>
    <phoneticPr fontId="4" type="noConversion"/>
  </si>
  <si>
    <t>5#</t>
    <phoneticPr fontId="4" type="noConversion"/>
  </si>
  <si>
    <t>S20200513009</t>
    <phoneticPr fontId="4" type="noConversion"/>
  </si>
  <si>
    <t>6#</t>
    <phoneticPr fontId="4" type="noConversion"/>
  </si>
  <si>
    <t>S20200513010</t>
    <phoneticPr fontId="4" type="noConversion"/>
  </si>
  <si>
    <t>7#</t>
    <phoneticPr fontId="4" type="noConversion"/>
  </si>
  <si>
    <t>S20200513011</t>
    <phoneticPr fontId="4" type="noConversion"/>
  </si>
  <si>
    <t>8#</t>
    <phoneticPr fontId="4" type="noConversion"/>
  </si>
  <si>
    <t>S20200513012</t>
    <phoneticPr fontId="4" type="noConversion"/>
  </si>
  <si>
    <t>9#</t>
    <phoneticPr fontId="4" type="noConversion"/>
  </si>
  <si>
    <t>S20200513013</t>
    <phoneticPr fontId="4" type="noConversion"/>
  </si>
  <si>
    <t>10#</t>
    <phoneticPr fontId="4" type="noConversion"/>
  </si>
  <si>
    <t>S20200513014</t>
    <phoneticPr fontId="4" type="noConversion"/>
  </si>
  <si>
    <t>11#</t>
    <phoneticPr fontId="4" type="noConversion"/>
  </si>
  <si>
    <t>S20200513015</t>
    <phoneticPr fontId="4" type="noConversion"/>
  </si>
  <si>
    <t>12#</t>
    <phoneticPr fontId="4" type="noConversion"/>
  </si>
  <si>
    <t>S20200513029</t>
    <phoneticPr fontId="4" type="noConversion"/>
  </si>
  <si>
    <t>S20200513032</t>
    <phoneticPr fontId="4" type="noConversion"/>
  </si>
  <si>
    <t>S20200513033</t>
    <phoneticPr fontId="4" type="noConversion"/>
  </si>
  <si>
    <t>S20200513030</t>
    <phoneticPr fontId="4" type="noConversion"/>
  </si>
  <si>
    <t>S20200513031</t>
    <phoneticPr fontId="4" type="noConversion"/>
  </si>
  <si>
    <t>S20200513034</t>
    <phoneticPr fontId="4" type="noConversion"/>
  </si>
  <si>
    <t>S20200429021</t>
  </si>
  <si>
    <t>20.7/57</t>
    <phoneticPr fontId="4" type="noConversion"/>
  </si>
  <si>
    <t>月度</t>
    <phoneticPr fontId="4" type="noConversion"/>
  </si>
  <si>
    <t>S20200514002</t>
    <phoneticPr fontId="4" type="noConversion"/>
  </si>
  <si>
    <t>德清县环境卫生管理处</t>
    <phoneticPr fontId="4" type="noConversion"/>
  </si>
  <si>
    <t xml:space="preserve">月度 </t>
    <phoneticPr fontId="4" type="noConversion"/>
  </si>
  <si>
    <t>S20200514003</t>
    <phoneticPr fontId="4" type="noConversion"/>
  </si>
  <si>
    <t>S20200514004</t>
    <phoneticPr fontId="4" type="noConversion"/>
  </si>
  <si>
    <t>S20200514005</t>
    <phoneticPr fontId="4" type="noConversion"/>
  </si>
  <si>
    <t>S20200514006</t>
    <phoneticPr fontId="4" type="noConversion"/>
  </si>
  <si>
    <t>S20200514007</t>
    <phoneticPr fontId="4" type="noConversion"/>
  </si>
  <si>
    <t>S20200514008</t>
    <phoneticPr fontId="4" type="noConversion"/>
  </si>
  <si>
    <t>S20200514009</t>
    <phoneticPr fontId="4" type="noConversion"/>
  </si>
  <si>
    <t>S20200514010</t>
    <phoneticPr fontId="4" type="noConversion"/>
  </si>
  <si>
    <t>S20200514011</t>
    <phoneticPr fontId="4" type="noConversion"/>
  </si>
  <si>
    <t>S20200514012</t>
    <phoneticPr fontId="4" type="noConversion"/>
  </si>
  <si>
    <t>S20200514013</t>
    <phoneticPr fontId="4" type="noConversion"/>
  </si>
  <si>
    <t>S20200514014</t>
    <phoneticPr fontId="4" type="noConversion"/>
  </si>
  <si>
    <t>S20200514015</t>
    <phoneticPr fontId="4" type="noConversion"/>
  </si>
  <si>
    <t>S20200514037</t>
    <phoneticPr fontId="4" type="noConversion"/>
  </si>
  <si>
    <t>S20200515001</t>
    <phoneticPr fontId="4" type="noConversion"/>
  </si>
  <si>
    <t>S20200515002</t>
    <phoneticPr fontId="4" type="noConversion"/>
  </si>
  <si>
    <t>S20200515003</t>
    <phoneticPr fontId="4" type="noConversion"/>
  </si>
  <si>
    <t>S20200515004</t>
    <phoneticPr fontId="4" type="noConversion"/>
  </si>
  <si>
    <t>S20200515005</t>
    <phoneticPr fontId="4" type="noConversion"/>
  </si>
  <si>
    <t>S20200515006</t>
    <phoneticPr fontId="4" type="noConversion"/>
  </si>
  <si>
    <t>S20200515007</t>
    <phoneticPr fontId="4" type="noConversion"/>
  </si>
  <si>
    <t>S20200515008</t>
    <phoneticPr fontId="4" type="noConversion"/>
  </si>
  <si>
    <t>S20200515009</t>
    <phoneticPr fontId="4" type="noConversion"/>
  </si>
  <si>
    <t>S20200515010</t>
    <phoneticPr fontId="4" type="noConversion"/>
  </si>
  <si>
    <t>S20200515011</t>
    <phoneticPr fontId="4" type="noConversion"/>
  </si>
  <si>
    <t>S20200515012</t>
    <phoneticPr fontId="4" type="noConversion"/>
  </si>
  <si>
    <t>S20200513001-1</t>
    <phoneticPr fontId="4" type="noConversion"/>
  </si>
  <si>
    <t>S20200513001-2</t>
  </si>
  <si>
    <t>进口</t>
    <phoneticPr fontId="4" type="noConversion"/>
  </si>
  <si>
    <t>出口</t>
    <phoneticPr fontId="4" type="noConversion"/>
  </si>
  <si>
    <t>周样</t>
    <phoneticPr fontId="4" type="noConversion"/>
  </si>
  <si>
    <t>S20200513024</t>
  </si>
  <si>
    <t>S20200515032</t>
    <phoneticPr fontId="4" type="noConversion"/>
  </si>
  <si>
    <t>S20200515033</t>
    <phoneticPr fontId="4" type="noConversion"/>
  </si>
  <si>
    <t>浙江浙北药业有限公司</t>
    <phoneticPr fontId="4" type="noConversion"/>
  </si>
  <si>
    <t>S20200518024</t>
    <phoneticPr fontId="4" type="noConversion"/>
  </si>
  <si>
    <t>德清县佳伟线缆有限公司</t>
    <phoneticPr fontId="4" type="noConversion"/>
  </si>
  <si>
    <t>20.6/60</t>
    <phoneticPr fontId="4" type="noConversion"/>
  </si>
  <si>
    <t>21.1/59</t>
    <phoneticPr fontId="4" type="noConversion"/>
  </si>
  <si>
    <t>自送</t>
    <phoneticPr fontId="4" type="noConversion"/>
  </si>
  <si>
    <t>同创</t>
    <phoneticPr fontId="4" type="noConversion"/>
  </si>
  <si>
    <t>S20200521018</t>
  </si>
  <si>
    <t>北京中源创能工程技术有限公司</t>
  </si>
  <si>
    <t>自送</t>
    <phoneticPr fontId="4" type="noConversion"/>
  </si>
  <si>
    <t>20.8/59</t>
    <phoneticPr fontId="4" type="noConversion"/>
  </si>
  <si>
    <t>S20200519018-01</t>
    <phoneticPr fontId="4" type="noConversion"/>
  </si>
  <si>
    <t>德清县恒丰污水处理有限公司</t>
    <phoneticPr fontId="4" type="noConversion"/>
  </si>
  <si>
    <t>狮山</t>
    <phoneticPr fontId="4" type="noConversion"/>
  </si>
  <si>
    <t>S20200519018-02</t>
  </si>
  <si>
    <t>S20200519018-03</t>
  </si>
  <si>
    <t>城南</t>
    <phoneticPr fontId="4" type="noConversion"/>
  </si>
  <si>
    <t>S20200520001-02</t>
  </si>
  <si>
    <t>S20200520001-03</t>
  </si>
  <si>
    <t>S20200520001-01-1</t>
    <phoneticPr fontId="4" type="noConversion"/>
  </si>
  <si>
    <t>S20200520001-01-2</t>
  </si>
  <si>
    <t>21/55</t>
    <phoneticPr fontId="4" type="noConversion"/>
  </si>
  <si>
    <t>20.3/57</t>
    <phoneticPr fontId="4" type="noConversion"/>
  </si>
  <si>
    <t>S20200522001</t>
  </si>
  <si>
    <t>德清县丰盛食品有限公司新市肉类加工厂</t>
  </si>
  <si>
    <t>S20200522006</t>
  </si>
  <si>
    <t>S20200525027</t>
  </si>
  <si>
    <t>周样</t>
    <phoneticPr fontId="4" type="noConversion"/>
  </si>
  <si>
    <t>S20200525026</t>
  </si>
  <si>
    <t>20.1/57</t>
    <phoneticPr fontId="4" type="noConversion"/>
  </si>
  <si>
    <t>20.4/60</t>
    <phoneticPr fontId="4" type="noConversion"/>
  </si>
  <si>
    <t>月度报告</t>
    <phoneticPr fontId="4" type="noConversion"/>
  </si>
  <si>
    <t>月度</t>
    <phoneticPr fontId="4" type="noConversion"/>
  </si>
  <si>
    <t>S20200527016</t>
  </si>
  <si>
    <t>S20200527009</t>
  </si>
  <si>
    <t>S20200527010</t>
  </si>
  <si>
    <t>S20200527011</t>
  </si>
  <si>
    <t>S20200527012</t>
  </si>
  <si>
    <t>S20200527013</t>
  </si>
  <si>
    <t>20.5/55</t>
    <phoneticPr fontId="4" type="noConversion"/>
  </si>
  <si>
    <t>月度</t>
    <phoneticPr fontId="4" type="noConversion"/>
  </si>
  <si>
    <t>S20200528003</t>
  </si>
  <si>
    <t>20.7/57</t>
    <phoneticPr fontId="4" type="noConversion"/>
  </si>
  <si>
    <t>S20200601032</t>
  </si>
  <si>
    <t>S20200601033</t>
  </si>
  <si>
    <t>S20200601034</t>
  </si>
  <si>
    <t>S20200601035</t>
  </si>
  <si>
    <t>S20200601036</t>
  </si>
  <si>
    <t>S20200601037</t>
  </si>
  <si>
    <t>S20200601038</t>
  </si>
  <si>
    <t>S20200601039</t>
  </si>
  <si>
    <t>S20200601040</t>
  </si>
  <si>
    <t>S20200601041</t>
  </si>
  <si>
    <t>S20200601042</t>
  </si>
  <si>
    <t>S20200601043</t>
  </si>
  <si>
    <t>S20200601044</t>
  </si>
  <si>
    <t>S20200601045</t>
  </si>
  <si>
    <t>报告</t>
  </si>
  <si>
    <t>20.3/59</t>
    <phoneticPr fontId="1" type="noConversion"/>
  </si>
  <si>
    <t>S20200602001</t>
    <phoneticPr fontId="1" type="noConversion"/>
  </si>
  <si>
    <t>S20200603001</t>
  </si>
  <si>
    <t>S20200603002</t>
  </si>
  <si>
    <t>S20200603003</t>
  </si>
  <si>
    <t>调节池</t>
    <phoneticPr fontId="1" type="noConversion"/>
  </si>
  <si>
    <t>S20200603004</t>
  </si>
  <si>
    <t>德清县坝里污水处理有限公司</t>
  </si>
  <si>
    <t>S20200603005</t>
  </si>
  <si>
    <t>S20200603019</t>
  </si>
  <si>
    <t>S20200603026</t>
  </si>
  <si>
    <t>南干</t>
    <phoneticPr fontId="1" type="noConversion"/>
  </si>
  <si>
    <t>S20200603029</t>
  </si>
  <si>
    <t>进口</t>
    <phoneticPr fontId="1" type="noConversion"/>
  </si>
  <si>
    <t>S20200603030</t>
  </si>
  <si>
    <t>出口</t>
    <phoneticPr fontId="1" type="noConversion"/>
  </si>
  <si>
    <t>S20200603022</t>
  </si>
  <si>
    <t>20.5/54</t>
    <phoneticPr fontId="1" type="noConversion"/>
  </si>
  <si>
    <t>y = 0.0098x - 0.0025</t>
  </si>
  <si>
    <t xml:space="preserve">r = 0.9999 </t>
    <phoneticPr fontId="1" type="noConversion"/>
  </si>
  <si>
    <t>S20200605019</t>
  </si>
  <si>
    <t>S20200605020</t>
  </si>
  <si>
    <t>20.3/52</t>
    <phoneticPr fontId="1" type="noConversion"/>
  </si>
  <si>
    <t>1.32~1.50</t>
    <phoneticPr fontId="1" type="noConversion"/>
  </si>
  <si>
    <t>S20200608001</t>
  </si>
  <si>
    <t>S20200608003</t>
  </si>
  <si>
    <t>S20200605021</t>
  </si>
  <si>
    <t>S20200608006</t>
  </si>
  <si>
    <t>S20200608008</t>
  </si>
  <si>
    <t>S20200608010</t>
  </si>
  <si>
    <t>S20200608012</t>
  </si>
  <si>
    <t>S20200608014</t>
  </si>
  <si>
    <t>S20200608016</t>
  </si>
  <si>
    <t>S20200608018</t>
  </si>
  <si>
    <t>S20200608020</t>
  </si>
  <si>
    <t>S20200608021</t>
  </si>
  <si>
    <t>20.5/57</t>
    <phoneticPr fontId="1" type="noConversion"/>
  </si>
  <si>
    <t>S20200610001</t>
  </si>
  <si>
    <t>20.4/56</t>
    <phoneticPr fontId="1" type="noConversion"/>
  </si>
  <si>
    <t>S20200610010</t>
  </si>
  <si>
    <t>S20200610011</t>
  </si>
  <si>
    <t>S20200610012</t>
  </si>
  <si>
    <t>S20200610013</t>
  </si>
  <si>
    <t>S20200610014</t>
  </si>
  <si>
    <t>S20200610015</t>
  </si>
  <si>
    <t>S20200610018</t>
  </si>
  <si>
    <t>S20200610024</t>
  </si>
  <si>
    <t>S20200610002</t>
  </si>
  <si>
    <t>S20200531012</t>
  </si>
  <si>
    <t>S20200611001</t>
  </si>
  <si>
    <t>S20200611003</t>
  </si>
  <si>
    <t>20.4/59</t>
    <phoneticPr fontId="1" type="noConversion"/>
  </si>
  <si>
    <t>S20200611005</t>
  </si>
  <si>
    <t>S20200603021</t>
  </si>
  <si>
    <t>S20200615022</t>
  </si>
  <si>
    <t>S20200615023-1</t>
    <phoneticPr fontId="1" type="noConversion"/>
  </si>
  <si>
    <t>S20200615023-2</t>
  </si>
  <si>
    <t>20.6/56</t>
    <phoneticPr fontId="1" type="noConversion"/>
  </si>
  <si>
    <t>S20200616016</t>
    <phoneticPr fontId="1" type="noConversion"/>
  </si>
  <si>
    <t>S20200617008</t>
    <phoneticPr fontId="1" type="noConversion"/>
  </si>
  <si>
    <t>德清堃源金属制品有限公司</t>
    <phoneticPr fontId="1" type="noConversion"/>
  </si>
  <si>
    <t>S20200617009</t>
    <phoneticPr fontId="1" type="noConversion"/>
  </si>
  <si>
    <t>浙江富日进精密金属股份有限公司</t>
    <phoneticPr fontId="1" type="noConversion"/>
  </si>
  <si>
    <t>S20200617010</t>
    <phoneticPr fontId="1" type="noConversion"/>
  </si>
  <si>
    <t>S20200617011</t>
    <phoneticPr fontId="1" type="noConversion"/>
  </si>
  <si>
    <t>S20200617012</t>
    <phoneticPr fontId="1" type="noConversion"/>
  </si>
  <si>
    <t>S20200617013</t>
    <phoneticPr fontId="1" type="noConversion"/>
  </si>
  <si>
    <t>20.5/59</t>
    <phoneticPr fontId="1" type="noConversion"/>
  </si>
  <si>
    <t>S20200618017</t>
    <phoneticPr fontId="1" type="noConversion"/>
  </si>
  <si>
    <t>20.7/59</t>
    <phoneticPr fontId="1" type="noConversion"/>
  </si>
  <si>
    <t>S20200618019</t>
    <phoneticPr fontId="1" type="noConversion"/>
  </si>
  <si>
    <t>S20200531013</t>
    <phoneticPr fontId="4" type="noConversion"/>
  </si>
  <si>
    <t>沁道</t>
    <phoneticPr fontId="4" type="noConversion"/>
  </si>
  <si>
    <t>20.5/58</t>
    <phoneticPr fontId="1" type="noConversion"/>
  </si>
  <si>
    <t>S20200619017-1</t>
    <phoneticPr fontId="1" type="noConversion"/>
  </si>
  <si>
    <t>S20200619017-2</t>
  </si>
  <si>
    <t>S20200622001</t>
    <phoneticPr fontId="1" type="noConversion"/>
  </si>
  <si>
    <t>自送</t>
    <phoneticPr fontId="1" type="noConversion"/>
  </si>
  <si>
    <t>年度</t>
    <phoneticPr fontId="1" type="noConversion"/>
  </si>
  <si>
    <t>S20200622003</t>
    <phoneticPr fontId="1" type="noConversion"/>
  </si>
  <si>
    <t>浙江云峰莫干山装饰建材有限公司</t>
    <phoneticPr fontId="1" type="noConversion"/>
  </si>
  <si>
    <t>S20200508001</t>
    <phoneticPr fontId="4" type="noConversion"/>
  </si>
  <si>
    <t>S20200508003</t>
    <phoneticPr fontId="4" type="noConversion"/>
  </si>
  <si>
    <t>新华机械制造有限公司</t>
    <phoneticPr fontId="4" type="noConversion"/>
  </si>
  <si>
    <t>S20200508007</t>
    <phoneticPr fontId="4" type="noConversion"/>
  </si>
  <si>
    <t>德清县市政管理处</t>
    <phoneticPr fontId="4" type="noConversion"/>
  </si>
  <si>
    <t>S20200508009</t>
    <phoneticPr fontId="4" type="noConversion"/>
  </si>
  <si>
    <t>德清华康纸业有限公司</t>
    <phoneticPr fontId="4" type="noConversion"/>
  </si>
  <si>
    <t>季度报告</t>
  </si>
  <si>
    <t>浙江省军工集团有限公司</t>
    <phoneticPr fontId="4" type="noConversion"/>
  </si>
  <si>
    <t>S20200102001</t>
  </si>
</sst>
</file>

<file path=xl/styles.xml><?xml version="1.0" encoding="utf-8"?>
<styleSheet xmlns="http://schemas.openxmlformats.org/spreadsheetml/2006/main">
  <numFmts count="12">
    <numFmt numFmtId="176" formatCode="_ * #,##0.00_ ;_ * \-#,##0.00_ ;_ * &quot;-&quot;??_ ;_ @_ "/>
    <numFmt numFmtId="177" formatCode="0_ "/>
    <numFmt numFmtId="178" formatCode="0.0000_ "/>
    <numFmt numFmtId="179" formatCode="0.000_);[Red]\(0.000\)"/>
    <numFmt numFmtId="180" formatCode="_ * #,##0.000_ ;_ * \-#,##0.000_ ;_ * &quot;-&quot;??_ ;_ @_ "/>
    <numFmt numFmtId="181" formatCode="0.0000_);[Red]\(0.0000\)"/>
    <numFmt numFmtId="182" formatCode="0.000_ "/>
    <numFmt numFmtId="183" formatCode="0_);[Red]\(0\)"/>
    <numFmt numFmtId="184" formatCode="0.0_ "/>
    <numFmt numFmtId="185" formatCode="0.0_);[Red]\(0.0\)"/>
    <numFmt numFmtId="186" formatCode="0.00_);[Red]\(0.00\)"/>
    <numFmt numFmtId="187" formatCode="0.00_ "/>
  </numFmts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name val="Arial"/>
      <family val="2"/>
    </font>
    <font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2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  <font>
      <sz val="11"/>
      <color indexed="9"/>
      <name val="宋体"/>
      <family val="2"/>
      <charset val="134"/>
      <scheme val="minor"/>
    </font>
    <font>
      <sz val="11"/>
      <color indexed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3" fillId="0" borderId="1" xfId="0" applyFont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left" vertical="center" wrapText="1"/>
    </xf>
    <xf numFmtId="177" fontId="5" fillId="2" borderId="1" xfId="0" applyNumberFormat="1" applyFont="1" applyFill="1" applyBorder="1" applyAlignment="1" applyProtection="1">
      <alignment horizontal="center" vertical="center" wrapText="1"/>
    </xf>
    <xf numFmtId="179" fontId="5" fillId="3" borderId="1" xfId="0" applyNumberFormat="1" applyFont="1" applyFill="1" applyBorder="1" applyAlignment="1" applyProtection="1">
      <alignment horizontal="center" vertical="center" wrapText="1"/>
    </xf>
    <xf numFmtId="180" fontId="5" fillId="4" borderId="1" xfId="1" applyNumberFormat="1" applyFont="1" applyFill="1" applyBorder="1" applyAlignment="1" applyProtection="1">
      <alignment horizontal="center" vertical="center" wrapText="1"/>
    </xf>
    <xf numFmtId="179" fontId="5" fillId="4" borderId="1" xfId="0" applyNumberFormat="1" applyFont="1" applyFill="1" applyBorder="1" applyAlignment="1" applyProtection="1">
      <alignment horizontal="center" vertical="center" wrapText="1"/>
    </xf>
    <xf numFmtId="179" fontId="5" fillId="2" borderId="1" xfId="0" applyNumberFormat="1" applyFont="1" applyFill="1" applyBorder="1" applyAlignment="1" applyProtection="1">
      <alignment horizontal="center" vertical="center" wrapText="1"/>
    </xf>
    <xf numFmtId="181" fontId="5" fillId="2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58" fontId="0" fillId="0" borderId="1" xfId="0" applyNumberFormat="1" applyBorder="1">
      <alignment vertical="center"/>
    </xf>
    <xf numFmtId="178" fontId="5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>
      <alignment vertical="center"/>
    </xf>
    <xf numFmtId="0" fontId="5" fillId="0" borderId="0" xfId="0" applyFont="1">
      <alignment vertical="center"/>
    </xf>
    <xf numFmtId="182" fontId="0" fillId="0" borderId="0" xfId="0" applyNumberFormat="1">
      <alignment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9" fontId="0" fillId="5" borderId="1" xfId="0" applyNumberFormat="1" applyFill="1" applyBorder="1" applyAlignment="1">
      <alignment horizontal="center" vertical="center"/>
    </xf>
    <xf numFmtId="180" fontId="0" fillId="5" borderId="1" xfId="1" applyNumberFormat="1" applyFont="1" applyFill="1" applyBorder="1" applyAlignment="1">
      <alignment horizontal="center" vertical="center"/>
    </xf>
    <xf numFmtId="181" fontId="0" fillId="5" borderId="1" xfId="0" applyNumberForma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8" fillId="0" borderId="0" xfId="0" applyFont="1" applyAlignment="1">
      <alignment horizontal="left" vertical="center" readingOrder="1"/>
    </xf>
    <xf numFmtId="0" fontId="5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/>
    </xf>
    <xf numFmtId="180" fontId="0" fillId="6" borderId="1" xfId="1" applyNumberFormat="1" applyFont="1" applyFill="1" applyBorder="1" applyAlignment="1">
      <alignment horizontal="center" vertical="center"/>
    </xf>
    <xf numFmtId="181" fontId="0" fillId="6" borderId="1" xfId="0" applyNumberForma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3" fillId="7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9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10" borderId="1" xfId="0" applyFont="1" applyFill="1" applyBorder="1">
      <alignment vertical="center"/>
    </xf>
    <xf numFmtId="0" fontId="0" fillId="9" borderId="1" xfId="0" applyFill="1" applyBorder="1">
      <alignment vertical="center"/>
    </xf>
    <xf numFmtId="0" fontId="7" fillId="9" borderId="1" xfId="0" applyFont="1" applyFill="1" applyBorder="1" applyAlignment="1">
      <alignment horizontal="center" vertical="center"/>
    </xf>
    <xf numFmtId="58" fontId="0" fillId="9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11" fillId="0" borderId="0" xfId="0" applyFont="1" applyAlignment="1">
      <alignment horizontal="left" vertical="center" readingOrder="1"/>
    </xf>
    <xf numFmtId="177" fontId="0" fillId="0" borderId="1" xfId="0" applyNumberForma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84" fontId="10" fillId="0" borderId="1" xfId="0" applyNumberFormat="1" applyFont="1" applyBorder="1" applyAlignment="1">
      <alignment horizontal="center" vertical="center"/>
    </xf>
    <xf numFmtId="185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178" fontId="0" fillId="0" borderId="1" xfId="0" applyNumberFormat="1" applyBorder="1">
      <alignment vertical="center"/>
    </xf>
    <xf numFmtId="183" fontId="5" fillId="2" borderId="1" xfId="0" applyNumberFormat="1" applyFont="1" applyFill="1" applyBorder="1" applyAlignment="1" applyProtection="1">
      <alignment horizontal="center" vertical="center" wrapText="1"/>
    </xf>
    <xf numFmtId="183" fontId="0" fillId="5" borderId="1" xfId="0" applyNumberFormat="1" applyFill="1" applyBorder="1" applyAlignment="1">
      <alignment horizontal="center" vertical="center"/>
    </xf>
    <xf numFmtId="183" fontId="0" fillId="6" borderId="1" xfId="0" applyNumberForma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9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3" fillId="11" borderId="1" xfId="0" applyFont="1" applyFill="1" applyBorder="1">
      <alignment vertical="center"/>
    </xf>
    <xf numFmtId="0" fontId="12" fillId="0" borderId="0" xfId="0" applyFont="1" applyFill="1" applyBorder="1" applyAlignment="1" applyProtection="1"/>
    <xf numFmtId="184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49" fontId="13" fillId="9" borderId="2" xfId="0" applyNumberFormat="1" applyFont="1" applyFill="1" applyBorder="1" applyAlignment="1">
      <alignment horizontal="center" vertical="center" wrapText="1"/>
    </xf>
    <xf numFmtId="186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3" fillId="12" borderId="1" xfId="0" applyFont="1" applyFill="1" applyBorder="1">
      <alignment vertical="center"/>
    </xf>
    <xf numFmtId="58" fontId="0" fillId="9" borderId="1" xfId="0" applyNumberFormat="1" applyFill="1" applyBorder="1" applyAlignment="1">
      <alignment horizontal="left" vertical="center"/>
    </xf>
    <xf numFmtId="0" fontId="15" fillId="0" borderId="0" xfId="0" applyFont="1" applyAlignment="1">
      <alignment horizontal="left" vertical="center" readingOrder="1"/>
    </xf>
    <xf numFmtId="180" fontId="5" fillId="4" borderId="1" xfId="0" applyNumberFormat="1" applyFont="1" applyFill="1" applyBorder="1" applyAlignment="1" applyProtection="1">
      <alignment horizontal="center" vertical="center" wrapText="1"/>
    </xf>
    <xf numFmtId="180" fontId="0" fillId="0" borderId="1" xfId="0" applyNumberFormat="1" applyBorder="1">
      <alignment vertical="center"/>
    </xf>
    <xf numFmtId="180" fontId="5" fillId="0" borderId="1" xfId="0" applyNumberFormat="1" applyFont="1" applyBorder="1" applyAlignment="1">
      <alignment horizontal="center" vertical="center"/>
    </xf>
    <xf numFmtId="180" fontId="5" fillId="9" borderId="1" xfId="0" applyNumberFormat="1" applyFont="1" applyFill="1" applyBorder="1" applyAlignment="1">
      <alignment horizontal="center" vertical="center"/>
    </xf>
    <xf numFmtId="180" fontId="0" fillId="6" borderId="1" xfId="0" applyNumberFormat="1" applyFill="1" applyBorder="1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12" fillId="0" borderId="0" xfId="0" applyFont="1" applyFill="1" applyBorder="1" applyAlignment="1" applyProtection="1">
      <alignment horizontal="center"/>
    </xf>
    <xf numFmtId="0" fontId="0" fillId="7" borderId="0" xfId="0" applyFill="1">
      <alignment vertical="center"/>
    </xf>
    <xf numFmtId="0" fontId="5" fillId="7" borderId="0" xfId="0" applyFont="1" applyFill="1">
      <alignment vertical="center"/>
    </xf>
    <xf numFmtId="0" fontId="17" fillId="0" borderId="0" xfId="0" applyFont="1" applyFill="1" applyBorder="1" applyAlignment="1" applyProtection="1"/>
    <xf numFmtId="0" fontId="0" fillId="5" borderId="1" xfId="0" applyFill="1" applyBorder="1" applyAlignment="1">
      <alignment horizontal="left" vertical="center"/>
    </xf>
    <xf numFmtId="184" fontId="0" fillId="0" borderId="1" xfId="0" applyNumberFormat="1" applyBorder="1" applyAlignment="1">
      <alignment horizontal="center" vertical="center"/>
    </xf>
    <xf numFmtId="182" fontId="0" fillId="0" borderId="1" xfId="0" applyNumberFormat="1" applyBorder="1">
      <alignment vertical="center"/>
    </xf>
    <xf numFmtId="187" fontId="0" fillId="0" borderId="1" xfId="0" applyNumberFormat="1" applyBorder="1">
      <alignment vertical="center"/>
    </xf>
    <xf numFmtId="49" fontId="18" fillId="13" borderId="2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 applyProtection="1"/>
    <xf numFmtId="0" fontId="0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58" fontId="5" fillId="0" borderId="1" xfId="0" applyNumberFormat="1" applyFont="1" applyBorder="1">
      <alignment vertical="center"/>
    </xf>
    <xf numFmtId="0" fontId="20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182" fontId="5" fillId="0" borderId="1" xfId="0" applyNumberFormat="1" applyFont="1" applyBorder="1" applyAlignment="1">
      <alignment horizontal="center" vertical="center"/>
    </xf>
    <xf numFmtId="182" fontId="5" fillId="9" borderId="1" xfId="0" applyNumberFormat="1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12" fillId="6" borderId="0" xfId="0" applyFont="1" applyFill="1" applyBorder="1" applyAlignment="1" applyProtection="1"/>
    <xf numFmtId="0" fontId="21" fillId="0" borderId="0" xfId="0" applyFont="1" applyAlignment="1">
      <alignment vertical="center" readingOrder="1"/>
    </xf>
    <xf numFmtId="0" fontId="0" fillId="6" borderId="1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0" fillId="10" borderId="1" xfId="0" applyFont="1" applyFill="1" applyBorder="1">
      <alignment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22" fillId="14" borderId="1" xfId="0" applyFont="1" applyFill="1" applyBorder="1">
      <alignment vertical="center"/>
    </xf>
    <xf numFmtId="0" fontId="3" fillId="10" borderId="1" xfId="0" applyFont="1" applyFill="1" applyBorder="1" applyAlignment="1" applyProtection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3" fillId="14" borderId="1" xfId="0" applyFont="1" applyFill="1" applyBorder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892410323710888"/>
                  <c:y val="-9.733887430737824E-3"/>
                </c:manualLayout>
              </c:layout>
              <c:numFmt formatCode="General" sourceLinked="0"/>
            </c:trendlineLbl>
          </c:trendline>
          <c:xVal>
            <c:numRef>
              <c:f>标线!$A$5:$A$10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70</c:v>
                </c:pt>
              </c:numCache>
            </c:numRef>
          </c:xVal>
          <c:yVal>
            <c:numRef>
              <c:f>标线!$G$5:$G$10</c:f>
              <c:numCache>
                <c:formatCode>0.000_ </c:formatCode>
                <c:ptCount val="6"/>
                <c:pt idx="0">
                  <c:v>0</c:v>
                </c:pt>
                <c:pt idx="1">
                  <c:v>2.300000000000002E-2</c:v>
                </c:pt>
                <c:pt idx="2">
                  <c:v>5.400000000000002E-2</c:v>
                </c:pt>
                <c:pt idx="3">
                  <c:v>9.1999999999999998E-2</c:v>
                </c:pt>
                <c:pt idx="4">
                  <c:v>0.29299999999999998</c:v>
                </c:pt>
                <c:pt idx="5">
                  <c:v>0.63800000000000001</c:v>
                </c:pt>
              </c:numCache>
            </c:numRef>
          </c:yVal>
        </c:ser>
        <c:axId val="114885376"/>
        <c:axId val="114887296"/>
      </c:scatterChart>
      <c:valAx>
        <c:axId val="114885376"/>
        <c:scaling>
          <c:orientation val="minMax"/>
        </c:scaling>
        <c:axPos val="b"/>
        <c:numFmt formatCode="General" sourceLinked="1"/>
        <c:tickLblPos val="nextTo"/>
        <c:crossAx val="114887296"/>
        <c:crosses val="autoZero"/>
        <c:crossBetween val="midCat"/>
      </c:valAx>
      <c:valAx>
        <c:axId val="114887296"/>
        <c:scaling>
          <c:orientation val="minMax"/>
        </c:scaling>
        <c:axPos val="l"/>
        <c:majorGridlines/>
        <c:numFmt formatCode="0.000_ " sourceLinked="1"/>
        <c:tickLblPos val="nextTo"/>
        <c:crossAx val="1148853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1377" l="0.70000000000000062" r="0.70000000000000062" t="0.750000000000013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281299212599767"/>
                  <c:y val="-5.2606080489939012E-2"/>
                </c:manualLayout>
              </c:layout>
              <c:numFmt formatCode="General" sourceLinked="0"/>
            </c:trendlineLbl>
          </c:trendline>
          <c:xVal>
            <c:numRef>
              <c:f>标线!$J$5:$J$10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70</c:v>
                </c:pt>
              </c:numCache>
            </c:numRef>
          </c:xVal>
          <c:yVal>
            <c:numRef>
              <c:f>标线!$P$5:$P$10</c:f>
              <c:numCache>
                <c:formatCode>0.000_ </c:formatCode>
                <c:ptCount val="6"/>
                <c:pt idx="0">
                  <c:v>0</c:v>
                </c:pt>
                <c:pt idx="1">
                  <c:v>2.0999999999999998E-2</c:v>
                </c:pt>
                <c:pt idx="2">
                  <c:v>5.2999999999999999E-2</c:v>
                </c:pt>
                <c:pt idx="3">
                  <c:v>9.6000000000000002E-2</c:v>
                </c:pt>
                <c:pt idx="4">
                  <c:v>0.3</c:v>
                </c:pt>
                <c:pt idx="5">
                  <c:v>0.66599999999999993</c:v>
                </c:pt>
              </c:numCache>
            </c:numRef>
          </c:yVal>
        </c:ser>
        <c:axId val="135022848"/>
        <c:axId val="137581696"/>
      </c:scatterChart>
      <c:valAx>
        <c:axId val="135022848"/>
        <c:scaling>
          <c:orientation val="minMax"/>
        </c:scaling>
        <c:axPos val="b"/>
        <c:numFmt formatCode="General" sourceLinked="1"/>
        <c:tickLblPos val="nextTo"/>
        <c:crossAx val="137581696"/>
        <c:crosses val="autoZero"/>
        <c:crossBetween val="midCat"/>
      </c:valAx>
      <c:valAx>
        <c:axId val="137581696"/>
        <c:scaling>
          <c:orientation val="minMax"/>
        </c:scaling>
        <c:axPos val="l"/>
        <c:majorGridlines/>
        <c:numFmt formatCode="0.000_ " sourceLinked="1"/>
        <c:tickLblPos val="nextTo"/>
        <c:crossAx val="1350228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1243" l="0.70000000000000062" r="0.70000000000000062" t="0.7500000000000124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434076990376943"/>
                  <c:y val="-1.1638961796442127E-2"/>
                </c:manualLayout>
              </c:layout>
              <c:numFmt formatCode="General" sourceLinked="0"/>
            </c:trendlineLbl>
          </c:trendline>
          <c:xVal>
            <c:numRef>
              <c:f>标线!$S$5:$S$10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70</c:v>
                </c:pt>
              </c:numCache>
            </c:numRef>
          </c:xVal>
          <c:yVal>
            <c:numRef>
              <c:f>标线!$Y$5:$Y$10</c:f>
              <c:numCache>
                <c:formatCode>General</c:formatCode>
                <c:ptCount val="6"/>
                <c:pt idx="0">
                  <c:v>0</c:v>
                </c:pt>
                <c:pt idx="1">
                  <c:v>2.5000000000000008E-2</c:v>
                </c:pt>
                <c:pt idx="2">
                  <c:v>5.8999999999999997E-2</c:v>
                </c:pt>
                <c:pt idx="3">
                  <c:v>0.115</c:v>
                </c:pt>
                <c:pt idx="4">
                  <c:v>0.30299999999999994</c:v>
                </c:pt>
                <c:pt idx="5">
                  <c:v>0.68</c:v>
                </c:pt>
              </c:numCache>
            </c:numRef>
          </c:yVal>
        </c:ser>
        <c:axId val="137751168"/>
        <c:axId val="141193216"/>
      </c:scatterChart>
      <c:valAx>
        <c:axId val="137751168"/>
        <c:scaling>
          <c:orientation val="minMax"/>
        </c:scaling>
        <c:axPos val="b"/>
        <c:numFmt formatCode="General" sourceLinked="1"/>
        <c:tickLblPos val="nextTo"/>
        <c:crossAx val="141193216"/>
        <c:crosses val="autoZero"/>
        <c:crossBetween val="midCat"/>
      </c:valAx>
      <c:valAx>
        <c:axId val="141193216"/>
        <c:scaling>
          <c:orientation val="minMax"/>
        </c:scaling>
        <c:axPos val="l"/>
        <c:majorGridlines/>
        <c:numFmt formatCode="General" sourceLinked="1"/>
        <c:tickLblPos val="nextTo"/>
        <c:crossAx val="1377511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2389326334208224E-2"/>
                  <c:y val="-2.7323199183435405E-2"/>
                </c:manualLayout>
              </c:layout>
              <c:numFmt formatCode="General" sourceLinked="0"/>
            </c:trendlineLbl>
          </c:trendline>
          <c:xVal>
            <c:numRef>
              <c:f>标线!$AA$5:$AA$10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70</c:v>
                </c:pt>
              </c:numCache>
            </c:numRef>
          </c:xVal>
          <c:yVal>
            <c:numRef>
              <c:f>标线!$AG$5:$AG$10</c:f>
              <c:numCache>
                <c:formatCode>General</c:formatCode>
                <c:ptCount val="6"/>
                <c:pt idx="0">
                  <c:v>0</c:v>
                </c:pt>
                <c:pt idx="1">
                  <c:v>2.0000000000000018E-2</c:v>
                </c:pt>
                <c:pt idx="2">
                  <c:v>4.9000000000000016E-2</c:v>
                </c:pt>
                <c:pt idx="3">
                  <c:v>9.6000000000000002E-2</c:v>
                </c:pt>
                <c:pt idx="4">
                  <c:v>0.29899999999999999</c:v>
                </c:pt>
                <c:pt idx="5">
                  <c:v>0.70599999999999996</c:v>
                </c:pt>
              </c:numCache>
            </c:numRef>
          </c:yVal>
        </c:ser>
        <c:axId val="133298432"/>
        <c:axId val="133308416"/>
      </c:scatterChart>
      <c:valAx>
        <c:axId val="133298432"/>
        <c:scaling>
          <c:orientation val="minMax"/>
        </c:scaling>
        <c:axPos val="b"/>
        <c:numFmt formatCode="General" sourceLinked="1"/>
        <c:tickLblPos val="nextTo"/>
        <c:crossAx val="133308416"/>
        <c:crosses val="autoZero"/>
        <c:crossBetween val="midCat"/>
      </c:valAx>
      <c:valAx>
        <c:axId val="133308416"/>
        <c:scaling>
          <c:orientation val="minMax"/>
        </c:scaling>
        <c:axPos val="l"/>
        <c:majorGridlines/>
        <c:numFmt formatCode="General" sourceLinked="1"/>
        <c:tickLblPos val="nextTo"/>
        <c:crossAx val="1332984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10074365704287"/>
                  <c:y val="-2.9519539224263636E-2"/>
                </c:manualLayout>
              </c:layout>
              <c:numFmt formatCode="General" sourceLinked="0"/>
            </c:trendlineLbl>
          </c:trendline>
          <c:xVal>
            <c:numRef>
              <c:f>标线!$A$40:$A$45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70</c:v>
                </c:pt>
              </c:numCache>
            </c:numRef>
          </c:xVal>
          <c:yVal>
            <c:numRef>
              <c:f>标线!$G$40:$G$45</c:f>
              <c:numCache>
                <c:formatCode>General</c:formatCode>
                <c:ptCount val="6"/>
                <c:pt idx="0">
                  <c:v>0</c:v>
                </c:pt>
                <c:pt idx="1">
                  <c:v>2.0000000000000004E-2</c:v>
                </c:pt>
                <c:pt idx="2">
                  <c:v>5.2000000000000005E-2</c:v>
                </c:pt>
                <c:pt idx="3">
                  <c:v>0.10199999999999999</c:v>
                </c:pt>
                <c:pt idx="4">
                  <c:v>0.29599999999999999</c:v>
                </c:pt>
                <c:pt idx="5">
                  <c:v>0.66700000000000004</c:v>
                </c:pt>
              </c:numCache>
            </c:numRef>
          </c:yVal>
        </c:ser>
        <c:axId val="133341184"/>
        <c:axId val="133342720"/>
      </c:scatterChart>
      <c:valAx>
        <c:axId val="133341184"/>
        <c:scaling>
          <c:orientation val="minMax"/>
        </c:scaling>
        <c:axPos val="b"/>
        <c:numFmt formatCode="General" sourceLinked="1"/>
        <c:tickLblPos val="nextTo"/>
        <c:crossAx val="133342720"/>
        <c:crosses val="autoZero"/>
        <c:crossBetween val="midCat"/>
      </c:valAx>
      <c:valAx>
        <c:axId val="133342720"/>
        <c:scaling>
          <c:orientation val="minMax"/>
        </c:scaling>
        <c:axPos val="l"/>
        <c:majorGridlines/>
        <c:numFmt formatCode="General" sourceLinked="1"/>
        <c:tickLblPos val="nextTo"/>
        <c:crossAx val="1333411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794488188977426"/>
                  <c:y val="4.6150481189851334E-3"/>
                </c:manualLayout>
              </c:layout>
              <c:numFmt formatCode="General" sourceLinked="0"/>
            </c:trendlineLbl>
          </c:trendline>
          <c:xVal>
            <c:numRef>
              <c:f>标线!$I$40:$I$45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70</c:v>
                </c:pt>
              </c:numCache>
            </c:numRef>
          </c:xVal>
          <c:yVal>
            <c:numRef>
              <c:f>标线!$O$40:$O$45</c:f>
              <c:numCache>
                <c:formatCode>General</c:formatCode>
                <c:ptCount val="6"/>
                <c:pt idx="0">
                  <c:v>0</c:v>
                </c:pt>
                <c:pt idx="1">
                  <c:v>1.5000000000000003E-2</c:v>
                </c:pt>
                <c:pt idx="2">
                  <c:v>4.8999999999999995E-2</c:v>
                </c:pt>
                <c:pt idx="3">
                  <c:v>9.5999999999999988E-2</c:v>
                </c:pt>
                <c:pt idx="4">
                  <c:v>0.29299999999999998</c:v>
                </c:pt>
                <c:pt idx="5">
                  <c:v>0.67500000000000004</c:v>
                </c:pt>
              </c:numCache>
            </c:numRef>
          </c:yVal>
        </c:ser>
        <c:axId val="133359104"/>
        <c:axId val="133360640"/>
      </c:scatterChart>
      <c:valAx>
        <c:axId val="133359104"/>
        <c:scaling>
          <c:orientation val="minMax"/>
        </c:scaling>
        <c:axPos val="b"/>
        <c:numFmt formatCode="General" sourceLinked="1"/>
        <c:tickLblPos val="nextTo"/>
        <c:crossAx val="133360640"/>
        <c:crosses val="autoZero"/>
        <c:crossBetween val="midCat"/>
      </c:valAx>
      <c:valAx>
        <c:axId val="133360640"/>
        <c:scaling>
          <c:orientation val="minMax"/>
        </c:scaling>
        <c:axPos val="l"/>
        <c:majorGridlines/>
        <c:numFmt formatCode="General" sourceLinked="1"/>
        <c:tickLblPos val="nextTo"/>
        <c:crossAx val="1333591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10074365704287"/>
                  <c:y val="1.9502770487022806E-4"/>
                </c:manualLayout>
              </c:layout>
              <c:numFmt formatCode="General" sourceLinked="0"/>
            </c:trendlineLbl>
          </c:trendline>
          <c:xVal>
            <c:numRef>
              <c:f>标线!$S$40:$S$45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70</c:v>
                </c:pt>
              </c:numCache>
            </c:numRef>
          </c:xVal>
          <c:yVal>
            <c:numRef>
              <c:f>标线!$X$40:$X$45</c:f>
              <c:numCache>
                <c:formatCode>General</c:formatCode>
                <c:ptCount val="6"/>
                <c:pt idx="0">
                  <c:v>0</c:v>
                </c:pt>
                <c:pt idx="1">
                  <c:v>2.5000000000000008E-2</c:v>
                </c:pt>
                <c:pt idx="2">
                  <c:v>5.2000000000000005E-2</c:v>
                </c:pt>
                <c:pt idx="3">
                  <c:v>9.4000000000000014E-2</c:v>
                </c:pt>
                <c:pt idx="4">
                  <c:v>0.29799999999999999</c:v>
                </c:pt>
                <c:pt idx="5">
                  <c:v>0.67999999999999994</c:v>
                </c:pt>
              </c:numCache>
            </c:numRef>
          </c:yVal>
        </c:ser>
        <c:axId val="133405696"/>
        <c:axId val="133411584"/>
      </c:scatterChart>
      <c:valAx>
        <c:axId val="133405696"/>
        <c:scaling>
          <c:orientation val="minMax"/>
        </c:scaling>
        <c:axPos val="b"/>
        <c:numFmt formatCode="General" sourceLinked="1"/>
        <c:tickLblPos val="nextTo"/>
        <c:crossAx val="133411584"/>
        <c:crosses val="autoZero"/>
        <c:crossBetween val="midCat"/>
      </c:valAx>
      <c:valAx>
        <c:axId val="133411584"/>
        <c:scaling>
          <c:orientation val="minMax"/>
        </c:scaling>
        <c:axPos val="l"/>
        <c:majorGridlines/>
        <c:numFmt formatCode="General" sourceLinked="1"/>
        <c:tickLblPos val="nextTo"/>
        <c:crossAx val="1334056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072265966754415"/>
                  <c:y val="3.8746719160105002E-3"/>
                </c:manualLayout>
              </c:layout>
              <c:numFmt formatCode="General" sourceLinked="0"/>
            </c:trendlineLbl>
          </c:trendline>
          <c:xVal>
            <c:numRef>
              <c:f>标线!$AB$40:$AB$45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70</c:v>
                </c:pt>
              </c:numCache>
            </c:numRef>
          </c:xVal>
          <c:yVal>
            <c:numRef>
              <c:f>标线!$AH$40:$AH$45</c:f>
              <c:numCache>
                <c:formatCode>General</c:formatCode>
                <c:ptCount val="6"/>
                <c:pt idx="0">
                  <c:v>0</c:v>
                </c:pt>
                <c:pt idx="1">
                  <c:v>1.6E-2</c:v>
                </c:pt>
                <c:pt idx="2">
                  <c:v>4.2999999999999997E-2</c:v>
                </c:pt>
                <c:pt idx="3">
                  <c:v>9.5999999999999988E-2</c:v>
                </c:pt>
                <c:pt idx="4">
                  <c:v>0.29499999999999998</c:v>
                </c:pt>
                <c:pt idx="5">
                  <c:v>0.68400000000000005</c:v>
                </c:pt>
              </c:numCache>
            </c:numRef>
          </c:yVal>
        </c:ser>
        <c:axId val="134832896"/>
        <c:axId val="134834432"/>
      </c:scatterChart>
      <c:valAx>
        <c:axId val="134832896"/>
        <c:scaling>
          <c:orientation val="minMax"/>
        </c:scaling>
        <c:axPos val="b"/>
        <c:numFmt formatCode="General" sourceLinked="1"/>
        <c:tickLblPos val="nextTo"/>
        <c:crossAx val="134834432"/>
        <c:crosses val="autoZero"/>
        <c:crossBetween val="midCat"/>
      </c:valAx>
      <c:valAx>
        <c:axId val="134834432"/>
        <c:scaling>
          <c:orientation val="minMax"/>
        </c:scaling>
        <c:axPos val="l"/>
        <c:majorGridlines/>
        <c:numFmt formatCode="General" sourceLinked="1"/>
        <c:tickLblPos val="nextTo"/>
        <c:crossAx val="1348328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15</xdr:row>
      <xdr:rowOff>38100</xdr:rowOff>
    </xdr:from>
    <xdr:to>
      <xdr:col>7</xdr:col>
      <xdr:colOff>371475</xdr:colOff>
      <xdr:row>31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390525</xdr:colOff>
      <xdr:row>16</xdr:row>
      <xdr:rowOff>104775</xdr:rowOff>
    </xdr:from>
    <xdr:to>
      <xdr:col>16</xdr:col>
      <xdr:colOff>161925</xdr:colOff>
      <xdr:row>32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609600</xdr:colOff>
      <xdr:row>15</xdr:row>
      <xdr:rowOff>57150</xdr:rowOff>
    </xdr:from>
    <xdr:to>
      <xdr:col>25</xdr:col>
      <xdr:colOff>381000</xdr:colOff>
      <xdr:row>31</xdr:row>
      <xdr:rowOff>57150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85725</xdr:colOff>
      <xdr:row>12</xdr:row>
      <xdr:rowOff>114300</xdr:rowOff>
    </xdr:from>
    <xdr:to>
      <xdr:col>32</xdr:col>
      <xdr:colOff>542925</xdr:colOff>
      <xdr:row>28</xdr:row>
      <xdr:rowOff>114300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</xdr:colOff>
      <xdr:row>46</xdr:row>
      <xdr:rowOff>47625</xdr:rowOff>
    </xdr:from>
    <xdr:to>
      <xdr:col>6</xdr:col>
      <xdr:colOff>647700</xdr:colOff>
      <xdr:row>62</xdr:row>
      <xdr:rowOff>47625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38100</xdr:colOff>
      <xdr:row>46</xdr:row>
      <xdr:rowOff>0</xdr:rowOff>
    </xdr:from>
    <xdr:to>
      <xdr:col>14</xdr:col>
      <xdr:colOff>495300</xdr:colOff>
      <xdr:row>62</xdr:row>
      <xdr:rowOff>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219075</xdr:colOff>
      <xdr:row>45</xdr:row>
      <xdr:rowOff>47625</xdr:rowOff>
    </xdr:from>
    <xdr:to>
      <xdr:col>23</xdr:col>
      <xdr:colOff>676275</xdr:colOff>
      <xdr:row>61</xdr:row>
      <xdr:rowOff>47625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495300</xdr:colOff>
      <xdr:row>46</xdr:row>
      <xdr:rowOff>114300</xdr:rowOff>
    </xdr:from>
    <xdr:to>
      <xdr:col>33</xdr:col>
      <xdr:colOff>266700</xdr:colOff>
      <xdr:row>62</xdr:row>
      <xdr:rowOff>114300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D119"/>
  <sheetViews>
    <sheetView tabSelected="1" workbookViewId="0">
      <pane ySplit="1" topLeftCell="A95" activePane="bottomLeft" state="frozen"/>
      <selection pane="bottomLeft"/>
    </sheetView>
  </sheetViews>
  <sheetFormatPr defaultRowHeight="13.5"/>
  <cols>
    <col min="1" max="1" width="9" style="45"/>
    <col min="2" max="2" width="9" style="12"/>
    <col min="3" max="3" width="22" style="12" customWidth="1"/>
    <col min="4" max="4" width="20" style="12" customWidth="1"/>
    <col min="5" max="6" width="2.5" style="12" customWidth="1"/>
    <col min="7" max="7" width="9" style="12"/>
    <col min="8" max="12" width="9" style="15"/>
    <col min="13" max="13" width="9" style="44"/>
    <col min="14" max="17" width="9" style="15"/>
    <col min="18" max="16384" width="9" style="12"/>
  </cols>
  <sheetData>
    <row r="1" spans="1:24" s="11" customFormat="1" ht="34.5" customHeight="1">
      <c r="A1" s="106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14" t="s">
        <v>8</v>
      </c>
      <c r="J1" s="14" t="s">
        <v>9</v>
      </c>
      <c r="K1" s="5" t="s">
        <v>10</v>
      </c>
      <c r="L1" s="5" t="s">
        <v>10</v>
      </c>
      <c r="M1" s="5" t="s">
        <v>10</v>
      </c>
      <c r="N1" s="6" t="s">
        <v>10</v>
      </c>
      <c r="O1" s="7" t="s">
        <v>10</v>
      </c>
      <c r="P1" s="7" t="s">
        <v>10</v>
      </c>
      <c r="Q1" s="8" t="s">
        <v>10</v>
      </c>
      <c r="R1" s="9" t="s">
        <v>11</v>
      </c>
      <c r="S1" s="9" t="s">
        <v>12</v>
      </c>
      <c r="T1" s="10" t="s">
        <v>13</v>
      </c>
      <c r="U1" s="10" t="s">
        <v>14</v>
      </c>
      <c r="V1" s="11" t="s">
        <v>15</v>
      </c>
    </row>
    <row r="2" spans="1:24">
      <c r="A2" s="39" t="s">
        <v>16</v>
      </c>
      <c r="B2" s="13">
        <v>43833</v>
      </c>
      <c r="C2" s="12" t="s">
        <v>88</v>
      </c>
      <c r="D2" s="12" t="s">
        <v>17</v>
      </c>
      <c r="H2" s="15">
        <v>1</v>
      </c>
      <c r="I2" s="15">
        <v>3.2000000000000002E-3</v>
      </c>
      <c r="J2" s="15">
        <v>9.5999999999999992E-3</v>
      </c>
      <c r="K2" s="15">
        <v>3.6999999999999998E-2</v>
      </c>
      <c r="L2" s="15">
        <v>4.0000000000000001E-3</v>
      </c>
      <c r="M2" s="44">
        <f t="shared" ref="M2:M22" si="0">K2-2*L2</f>
        <v>2.8999999999999998E-2</v>
      </c>
      <c r="N2" s="15">
        <v>0.51300000000000001</v>
      </c>
      <c r="O2" s="15">
        <v>7.0000000000000062E-3</v>
      </c>
      <c r="P2" s="15">
        <f t="shared" ref="P2:P23" si="1">N2-2*O2</f>
        <v>0.499</v>
      </c>
      <c r="Q2" s="15">
        <f t="shared" ref="Q2:Q23" si="2">P2-M2</f>
        <v>0.47</v>
      </c>
      <c r="R2" s="12">
        <f t="shared" ref="R2:R25" si="3">(Q2-I2)/J2</f>
        <v>48.625</v>
      </c>
      <c r="S2" s="12">
        <f t="shared" ref="S2:S25" si="4">R2*H2/10</f>
        <v>4.8624999999999998</v>
      </c>
    </row>
    <row r="3" spans="1:24">
      <c r="A3" s="39" t="s">
        <v>16</v>
      </c>
      <c r="B3" s="12" t="s">
        <v>90</v>
      </c>
      <c r="C3" s="12" t="s">
        <v>89</v>
      </c>
      <c r="H3" s="15">
        <v>1</v>
      </c>
      <c r="I3" s="15">
        <v>3.2000000000000002E-3</v>
      </c>
      <c r="J3" s="15">
        <v>9.5999999999999992E-3</v>
      </c>
      <c r="K3" s="15">
        <v>3.6999999999999998E-2</v>
      </c>
      <c r="L3" s="15">
        <v>4.0000000000000001E-3</v>
      </c>
      <c r="M3" s="44">
        <f t="shared" si="0"/>
        <v>2.8999999999999998E-2</v>
      </c>
      <c r="N3" s="15">
        <v>0.51400000000000001</v>
      </c>
      <c r="O3" s="15">
        <v>7.0000000000000062E-3</v>
      </c>
      <c r="P3" s="15">
        <f t="shared" si="1"/>
        <v>0.5</v>
      </c>
      <c r="Q3" s="15">
        <f t="shared" si="2"/>
        <v>0.47099999999999997</v>
      </c>
      <c r="R3" s="12">
        <f t="shared" si="3"/>
        <v>48.729166666666671</v>
      </c>
      <c r="S3" s="12">
        <f t="shared" si="4"/>
        <v>4.8729166666666668</v>
      </c>
    </row>
    <row r="4" spans="1:24">
      <c r="A4" s="39"/>
      <c r="C4" s="30" t="s">
        <v>87</v>
      </c>
      <c r="D4" s="30"/>
      <c r="E4" s="31"/>
      <c r="F4" s="31"/>
      <c r="G4" s="32"/>
      <c r="H4" s="33">
        <v>1</v>
      </c>
      <c r="I4" s="34">
        <v>3.2000000000000002E-3</v>
      </c>
      <c r="J4" s="34">
        <v>9.5999999999999992E-3</v>
      </c>
      <c r="K4" s="35">
        <v>3.6999999999999998E-2</v>
      </c>
      <c r="L4" s="35">
        <v>4.0000000000000001E-3</v>
      </c>
      <c r="M4" s="35">
        <f t="shared" si="0"/>
        <v>2.8999999999999998E-2</v>
      </c>
      <c r="N4" s="36">
        <v>0.14299999999999999</v>
      </c>
      <c r="O4" s="35">
        <v>6.0000000000000001E-3</v>
      </c>
      <c r="P4" s="35">
        <f t="shared" si="1"/>
        <v>0.13099999999999998</v>
      </c>
      <c r="Q4" s="35">
        <f t="shared" si="2"/>
        <v>0.10199999999999998</v>
      </c>
      <c r="R4" s="37">
        <f t="shared" si="3"/>
        <v>10.291666666666666</v>
      </c>
      <c r="S4" s="38">
        <f t="shared" si="4"/>
        <v>1.0291666666666666</v>
      </c>
    </row>
    <row r="5" spans="1:24">
      <c r="A5" s="39" t="s">
        <v>16</v>
      </c>
      <c r="C5" s="12" t="s">
        <v>18</v>
      </c>
      <c r="D5" s="12" t="s">
        <v>37</v>
      </c>
      <c r="H5" s="15">
        <v>5</v>
      </c>
      <c r="I5" s="15">
        <v>3.2000000000000002E-3</v>
      </c>
      <c r="J5" s="15">
        <v>9.5999999999999992E-3</v>
      </c>
      <c r="K5" s="15">
        <v>3.6999999999999998E-2</v>
      </c>
      <c r="L5" s="15">
        <v>4.0000000000000001E-3</v>
      </c>
      <c r="M5" s="44">
        <f t="shared" si="0"/>
        <v>2.8999999999999998E-2</v>
      </c>
      <c r="N5" s="15">
        <v>0.108</v>
      </c>
      <c r="O5" s="15">
        <v>8.0000000000000002E-3</v>
      </c>
      <c r="P5" s="15">
        <f t="shared" si="1"/>
        <v>9.1999999999999998E-2</v>
      </c>
      <c r="Q5" s="15">
        <f t="shared" si="2"/>
        <v>6.3E-2</v>
      </c>
      <c r="R5" s="12">
        <f t="shared" si="3"/>
        <v>6.229166666666667</v>
      </c>
      <c r="S5" s="12">
        <f t="shared" si="4"/>
        <v>3.1145833333333335</v>
      </c>
      <c r="U5" s="12">
        <v>0.113</v>
      </c>
      <c r="V5" s="12">
        <v>5.0999999999999997E-2</v>
      </c>
      <c r="W5" s="12">
        <f t="shared" ref="W5:W14" si="5">U5-0.113</f>
        <v>0</v>
      </c>
      <c r="X5" s="12">
        <f t="shared" ref="X5:X14" si="6">V5-0.051</f>
        <v>0</v>
      </c>
    </row>
    <row r="6" spans="1:24">
      <c r="A6" s="39" t="s">
        <v>16</v>
      </c>
      <c r="C6" s="12" t="s">
        <v>19</v>
      </c>
      <c r="D6" s="12" t="s">
        <v>20</v>
      </c>
      <c r="H6" s="15">
        <v>5</v>
      </c>
      <c r="I6" s="15">
        <v>3.2000000000000002E-3</v>
      </c>
      <c r="J6" s="15">
        <v>9.5999999999999992E-3</v>
      </c>
      <c r="K6" s="15">
        <v>3.6999999999999998E-2</v>
      </c>
      <c r="L6" s="15">
        <v>4.0000000000000001E-3</v>
      </c>
      <c r="M6" s="44">
        <f t="shared" si="0"/>
        <v>2.8999999999999998E-2</v>
      </c>
      <c r="N6" s="15">
        <v>0.13900000000000001</v>
      </c>
      <c r="O6" s="15">
        <v>5.0000000000000044E-3</v>
      </c>
      <c r="P6" s="15">
        <f t="shared" si="1"/>
        <v>0.129</v>
      </c>
      <c r="Q6" s="15">
        <f t="shared" si="2"/>
        <v>0.1</v>
      </c>
      <c r="R6" s="12">
        <f t="shared" si="3"/>
        <v>10.083333333333336</v>
      </c>
      <c r="S6" s="16">
        <f t="shared" si="4"/>
        <v>5.0416666666666679</v>
      </c>
      <c r="U6" s="12">
        <v>0.15</v>
      </c>
      <c r="V6" s="12">
        <v>5.5E-2</v>
      </c>
      <c r="W6" s="12">
        <f t="shared" si="5"/>
        <v>3.6999999999999991E-2</v>
      </c>
      <c r="X6" s="12">
        <f t="shared" si="6"/>
        <v>4.0000000000000036E-3</v>
      </c>
    </row>
    <row r="7" spans="1:24">
      <c r="A7" s="39" t="s">
        <v>16</v>
      </c>
      <c r="C7" s="12" t="s">
        <v>21</v>
      </c>
      <c r="D7" s="12" t="s">
        <v>22</v>
      </c>
      <c r="H7" s="15">
        <v>1</v>
      </c>
      <c r="I7" s="15">
        <v>3.2000000000000002E-3</v>
      </c>
      <c r="J7" s="15">
        <v>9.5999999999999992E-3</v>
      </c>
      <c r="K7" s="15">
        <v>3.6999999999999998E-2</v>
      </c>
      <c r="L7" s="15">
        <v>4.0000000000000001E-3</v>
      </c>
      <c r="M7" s="44">
        <f t="shared" si="0"/>
        <v>2.8999999999999998E-2</v>
      </c>
      <c r="N7" s="15">
        <v>0.53200000000000003</v>
      </c>
      <c r="O7" s="15">
        <v>1.8000000000000009E-2</v>
      </c>
      <c r="P7" s="15">
        <f t="shared" si="1"/>
        <v>0.496</v>
      </c>
      <c r="Q7" s="15">
        <f t="shared" si="2"/>
        <v>0.46699999999999997</v>
      </c>
      <c r="R7" s="12">
        <f t="shared" si="3"/>
        <v>48.3125</v>
      </c>
      <c r="S7" s="12">
        <f t="shared" si="4"/>
        <v>4.8312499999999998</v>
      </c>
      <c r="U7" s="12">
        <v>0.20599999999999999</v>
      </c>
      <c r="V7" s="12">
        <v>5.8000000000000003E-2</v>
      </c>
      <c r="W7" s="12">
        <f t="shared" si="5"/>
        <v>9.2999999999999985E-2</v>
      </c>
      <c r="X7" s="12">
        <f t="shared" si="6"/>
        <v>7.0000000000000062E-3</v>
      </c>
    </row>
    <row r="8" spans="1:24">
      <c r="A8" s="39" t="s">
        <v>16</v>
      </c>
      <c r="C8" s="12" t="s">
        <v>23</v>
      </c>
      <c r="D8" s="12" t="s">
        <v>24</v>
      </c>
      <c r="H8" s="15">
        <v>5</v>
      </c>
      <c r="I8" s="15">
        <v>3.2000000000000002E-3</v>
      </c>
      <c r="J8" s="15">
        <v>9.5999999999999992E-3</v>
      </c>
      <c r="K8" s="15">
        <v>3.6999999999999998E-2</v>
      </c>
      <c r="L8" s="15">
        <v>4.0000000000000001E-3</v>
      </c>
      <c r="M8" s="44">
        <f t="shared" si="0"/>
        <v>2.8999999999999998E-2</v>
      </c>
      <c r="N8" s="15">
        <v>0.13900000000000001</v>
      </c>
      <c r="O8" s="15">
        <v>4.0000000000000036E-3</v>
      </c>
      <c r="P8" s="15">
        <f t="shared" si="1"/>
        <v>0.13100000000000001</v>
      </c>
      <c r="Q8" s="15">
        <f t="shared" si="2"/>
        <v>0.10200000000000001</v>
      </c>
      <c r="R8" s="12">
        <f t="shared" si="3"/>
        <v>10.29166666666667</v>
      </c>
      <c r="S8" s="12">
        <f t="shared" si="4"/>
        <v>5.1458333333333348</v>
      </c>
      <c r="U8" s="12">
        <v>0.221</v>
      </c>
      <c r="V8" s="12">
        <v>5.8999999999999997E-2</v>
      </c>
      <c r="W8" s="12">
        <f t="shared" si="5"/>
        <v>0.108</v>
      </c>
      <c r="X8" s="12">
        <f t="shared" si="6"/>
        <v>8.0000000000000002E-3</v>
      </c>
    </row>
    <row r="9" spans="1:24">
      <c r="A9" s="39" t="s">
        <v>16</v>
      </c>
      <c r="C9" s="12" t="s">
        <v>25</v>
      </c>
      <c r="D9" s="12" t="s">
        <v>26</v>
      </c>
      <c r="H9" s="15">
        <v>1</v>
      </c>
      <c r="I9" s="15">
        <v>3.2000000000000002E-3</v>
      </c>
      <c r="J9" s="15">
        <v>9.5999999999999992E-3</v>
      </c>
      <c r="K9" s="15">
        <v>3.6999999999999998E-2</v>
      </c>
      <c r="L9" s="15">
        <v>4.0000000000000001E-3</v>
      </c>
      <c r="M9" s="44">
        <f t="shared" si="0"/>
        <v>2.8999999999999998E-2</v>
      </c>
      <c r="N9" s="15">
        <v>0.112</v>
      </c>
      <c r="O9" s="15">
        <v>8.0000000000000002E-3</v>
      </c>
      <c r="P9" s="15">
        <f t="shared" si="1"/>
        <v>9.6000000000000002E-2</v>
      </c>
      <c r="Q9" s="15">
        <f t="shared" si="2"/>
        <v>6.7000000000000004E-2</v>
      </c>
      <c r="R9" s="12">
        <f t="shared" si="3"/>
        <v>6.6458333333333348</v>
      </c>
      <c r="S9" s="12">
        <f t="shared" si="4"/>
        <v>0.66458333333333353</v>
      </c>
      <c r="U9" s="12">
        <v>0.443</v>
      </c>
      <c r="V9" s="12">
        <v>5.6000000000000001E-2</v>
      </c>
      <c r="W9" s="12">
        <f t="shared" si="5"/>
        <v>0.33</v>
      </c>
      <c r="X9" s="12">
        <f t="shared" si="6"/>
        <v>5.0000000000000044E-3</v>
      </c>
    </row>
    <row r="10" spans="1:24">
      <c r="A10" s="39" t="s">
        <v>16</v>
      </c>
      <c r="C10" s="12" t="s">
        <v>27</v>
      </c>
      <c r="D10" s="12" t="s">
        <v>28</v>
      </c>
      <c r="H10" s="15">
        <v>1</v>
      </c>
      <c r="I10" s="15">
        <v>3.2000000000000002E-3</v>
      </c>
      <c r="J10" s="15">
        <v>9.5999999999999992E-3</v>
      </c>
      <c r="K10" s="15">
        <v>3.6999999999999998E-2</v>
      </c>
      <c r="L10" s="15">
        <v>4.0000000000000001E-3</v>
      </c>
      <c r="M10" s="44">
        <f t="shared" si="0"/>
        <v>2.8999999999999998E-2</v>
      </c>
      <c r="N10" s="15">
        <v>0.27100000000000002</v>
      </c>
      <c r="O10" s="15">
        <v>8.0000000000000002E-3</v>
      </c>
      <c r="P10" s="15">
        <f t="shared" si="1"/>
        <v>0.255</v>
      </c>
      <c r="Q10" s="15">
        <f t="shared" si="2"/>
        <v>0.22600000000000001</v>
      </c>
      <c r="R10" s="12">
        <f t="shared" si="3"/>
        <v>23.208333333333336</v>
      </c>
      <c r="S10" s="12">
        <f t="shared" si="4"/>
        <v>2.3208333333333337</v>
      </c>
      <c r="U10" s="12">
        <v>0.64500000000000002</v>
      </c>
      <c r="V10" s="12">
        <v>6.9000000000000006E-2</v>
      </c>
      <c r="W10" s="12">
        <f t="shared" si="5"/>
        <v>0.53200000000000003</v>
      </c>
      <c r="X10" s="12">
        <f t="shared" si="6"/>
        <v>1.8000000000000009E-2</v>
      </c>
    </row>
    <row r="11" spans="1:24">
      <c r="A11" s="39" t="s">
        <v>16</v>
      </c>
      <c r="C11" s="12" t="s">
        <v>29</v>
      </c>
      <c r="D11" s="12" t="s">
        <v>30</v>
      </c>
      <c r="H11" s="15">
        <v>5</v>
      </c>
      <c r="I11" s="15">
        <v>3.2000000000000002E-3</v>
      </c>
      <c r="J11" s="15">
        <v>9.5999999999999992E-3</v>
      </c>
      <c r="K11" s="15">
        <v>3.6999999999999998E-2</v>
      </c>
      <c r="L11" s="15">
        <v>4.0000000000000001E-3</v>
      </c>
      <c r="M11" s="44">
        <f t="shared" si="0"/>
        <v>2.8999999999999998E-2</v>
      </c>
      <c r="N11" s="15">
        <v>0.28100000000000003</v>
      </c>
      <c r="O11" s="15">
        <v>3.0000000000000006E-2</v>
      </c>
      <c r="P11" s="15">
        <f t="shared" si="1"/>
        <v>0.22100000000000003</v>
      </c>
      <c r="Q11" s="15">
        <f t="shared" si="2"/>
        <v>0.19200000000000003</v>
      </c>
      <c r="R11" s="12">
        <f t="shared" si="3"/>
        <v>19.666666666666671</v>
      </c>
      <c r="S11" s="16">
        <f t="shared" si="4"/>
        <v>9.8333333333333357</v>
      </c>
      <c r="T11" s="12">
        <v>369</v>
      </c>
      <c r="U11" s="12">
        <v>0.252</v>
      </c>
      <c r="V11" s="12">
        <v>5.5E-2</v>
      </c>
      <c r="W11" s="12">
        <f t="shared" si="5"/>
        <v>0.13900000000000001</v>
      </c>
      <c r="X11" s="12">
        <f t="shared" si="6"/>
        <v>4.0000000000000036E-3</v>
      </c>
    </row>
    <row r="12" spans="1:24">
      <c r="A12" s="39" t="s">
        <v>16</v>
      </c>
      <c r="C12" s="12" t="s">
        <v>31</v>
      </c>
      <c r="D12" s="12" t="s">
        <v>32</v>
      </c>
      <c r="H12" s="15">
        <v>10</v>
      </c>
      <c r="I12" s="15">
        <v>3.2000000000000002E-3</v>
      </c>
      <c r="J12" s="15">
        <v>9.5999999999999992E-3</v>
      </c>
      <c r="K12" s="15">
        <v>3.6999999999999998E-2</v>
      </c>
      <c r="L12" s="15">
        <v>4.0000000000000001E-3</v>
      </c>
      <c r="M12" s="44">
        <f t="shared" si="0"/>
        <v>2.8999999999999998E-2</v>
      </c>
      <c r="N12" s="15">
        <v>0.152</v>
      </c>
      <c r="O12" s="15">
        <v>1.1000000000000003E-2</v>
      </c>
      <c r="P12" s="15">
        <f t="shared" si="1"/>
        <v>0.13</v>
      </c>
      <c r="Q12" s="15">
        <f t="shared" si="2"/>
        <v>0.10100000000000001</v>
      </c>
      <c r="R12" s="12">
        <f t="shared" si="3"/>
        <v>10.187500000000002</v>
      </c>
      <c r="S12" s="12">
        <f t="shared" si="4"/>
        <v>10.187500000000002</v>
      </c>
      <c r="U12" s="12">
        <v>0.17399999999999999</v>
      </c>
      <c r="V12" s="12">
        <v>5.8999999999999997E-2</v>
      </c>
      <c r="W12" s="12">
        <f t="shared" si="5"/>
        <v>6.0999999999999985E-2</v>
      </c>
      <c r="X12" s="12">
        <f t="shared" si="6"/>
        <v>8.0000000000000002E-3</v>
      </c>
    </row>
    <row r="13" spans="1:24">
      <c r="A13" s="39" t="s">
        <v>16</v>
      </c>
      <c r="C13" s="12" t="s">
        <v>33</v>
      </c>
      <c r="D13" s="12" t="s">
        <v>34</v>
      </c>
      <c r="H13" s="15">
        <v>10</v>
      </c>
      <c r="I13" s="15">
        <v>3.2000000000000002E-3</v>
      </c>
      <c r="J13" s="15">
        <v>9.5999999999999992E-3</v>
      </c>
      <c r="K13" s="15">
        <v>3.6999999999999998E-2</v>
      </c>
      <c r="L13" s="15">
        <v>4.0000000000000001E-3</v>
      </c>
      <c r="M13" s="44">
        <f t="shared" si="0"/>
        <v>2.8999999999999998E-2</v>
      </c>
      <c r="N13" s="15">
        <v>0.192</v>
      </c>
      <c r="O13" s="15">
        <v>1.2000000000000004E-2</v>
      </c>
      <c r="P13" s="15">
        <f t="shared" si="1"/>
        <v>0.16799999999999998</v>
      </c>
      <c r="Q13" s="15">
        <f t="shared" si="2"/>
        <v>0.13899999999999998</v>
      </c>
      <c r="R13" s="12">
        <f t="shared" si="3"/>
        <v>14.145833333333332</v>
      </c>
      <c r="S13" s="12">
        <f t="shared" si="4"/>
        <v>14.145833333333332</v>
      </c>
      <c r="U13" s="12">
        <v>0.20599999999999999</v>
      </c>
      <c r="V13" s="12">
        <v>5.8999999999999997E-2</v>
      </c>
      <c r="W13" s="12">
        <f t="shared" si="5"/>
        <v>9.2999999999999985E-2</v>
      </c>
      <c r="X13" s="12">
        <f t="shared" si="6"/>
        <v>8.0000000000000002E-3</v>
      </c>
    </row>
    <row r="14" spans="1:24">
      <c r="A14" s="39"/>
      <c r="C14" s="12" t="s">
        <v>35</v>
      </c>
      <c r="D14" s="12" t="s">
        <v>36</v>
      </c>
      <c r="H14" s="15">
        <v>5</v>
      </c>
      <c r="I14" s="15">
        <v>3.2000000000000002E-3</v>
      </c>
      <c r="J14" s="15">
        <v>9.5999999999999992E-3</v>
      </c>
      <c r="K14" s="15">
        <v>3.6999999999999998E-2</v>
      </c>
      <c r="L14" s="15">
        <v>4.0000000000000001E-3</v>
      </c>
      <c r="M14" s="44">
        <f t="shared" si="0"/>
        <v>2.8999999999999998E-2</v>
      </c>
      <c r="N14" s="15">
        <v>0.115</v>
      </c>
      <c r="O14" s="15">
        <v>8.9999999999999993E-3</v>
      </c>
      <c r="P14" s="15">
        <f t="shared" si="1"/>
        <v>9.7000000000000003E-2</v>
      </c>
      <c r="Q14" s="15">
        <f t="shared" si="2"/>
        <v>6.8000000000000005E-2</v>
      </c>
      <c r="R14" s="12">
        <f t="shared" si="3"/>
        <v>6.7500000000000018</v>
      </c>
      <c r="S14" s="12">
        <f t="shared" si="4"/>
        <v>3.3750000000000009</v>
      </c>
      <c r="U14" s="12">
        <v>0.91400000000000003</v>
      </c>
      <c r="V14" s="12">
        <v>8.1000000000000003E-2</v>
      </c>
      <c r="W14" s="12">
        <f t="shared" si="5"/>
        <v>0.80100000000000005</v>
      </c>
      <c r="X14" s="12">
        <f t="shared" si="6"/>
        <v>3.0000000000000006E-2</v>
      </c>
    </row>
    <row r="15" spans="1:24">
      <c r="A15" s="39" t="s">
        <v>16</v>
      </c>
      <c r="B15" s="13">
        <v>43836</v>
      </c>
      <c r="C15" s="12" t="s">
        <v>53</v>
      </c>
      <c r="D15" s="12" t="s">
        <v>54</v>
      </c>
      <c r="H15" s="15">
        <v>1</v>
      </c>
      <c r="I15" s="15">
        <v>5.5999999999999999E-3</v>
      </c>
      <c r="J15" s="15">
        <v>9.1000000000000004E-3</v>
      </c>
      <c r="K15" s="15">
        <v>2.1999999999999999E-2</v>
      </c>
      <c r="L15" s="15">
        <v>2E-3</v>
      </c>
      <c r="M15" s="44">
        <f t="shared" si="0"/>
        <v>1.7999999999999999E-2</v>
      </c>
      <c r="N15" s="15">
        <v>0.29299999999999998</v>
      </c>
      <c r="O15" s="15">
        <v>5.0000000000000001E-3</v>
      </c>
      <c r="P15" s="15">
        <f t="shared" si="1"/>
        <v>0.28299999999999997</v>
      </c>
      <c r="Q15" s="15">
        <f t="shared" si="2"/>
        <v>0.26499999999999996</v>
      </c>
      <c r="R15" s="12">
        <f t="shared" si="3"/>
        <v>28.5054945054945</v>
      </c>
      <c r="S15" s="12">
        <f t="shared" si="4"/>
        <v>2.8505494505494502</v>
      </c>
    </row>
    <row r="16" spans="1:24">
      <c r="A16" s="39" t="s">
        <v>16</v>
      </c>
      <c r="B16" s="12" t="s">
        <v>91</v>
      </c>
      <c r="C16" s="12" t="s">
        <v>38</v>
      </c>
      <c r="D16" s="12" t="s">
        <v>39</v>
      </c>
      <c r="H16" s="15">
        <v>5</v>
      </c>
      <c r="I16" s="15">
        <v>5.5999999999999999E-3</v>
      </c>
      <c r="J16" s="15">
        <v>9.1000000000000004E-3</v>
      </c>
      <c r="K16" s="15">
        <v>2.1999999999999999E-2</v>
      </c>
      <c r="L16" s="15">
        <v>2E-3</v>
      </c>
      <c r="M16" s="44">
        <f t="shared" si="0"/>
        <v>1.7999999999999999E-2</v>
      </c>
      <c r="N16" s="15">
        <v>0.23599999999999999</v>
      </c>
      <c r="O16" s="15">
        <v>3.9999999999999966E-3</v>
      </c>
      <c r="P16" s="15">
        <f t="shared" si="1"/>
        <v>0.22799999999999998</v>
      </c>
      <c r="Q16" s="15">
        <f t="shared" si="2"/>
        <v>0.21</v>
      </c>
      <c r="R16" s="12">
        <f t="shared" si="3"/>
        <v>22.46153846153846</v>
      </c>
      <c r="S16" s="12">
        <f t="shared" si="4"/>
        <v>11.23076923076923</v>
      </c>
      <c r="U16" s="12">
        <v>0.11600000000000001</v>
      </c>
      <c r="V16" s="12">
        <v>5.5E-2</v>
      </c>
      <c r="W16" s="12">
        <f t="shared" ref="W16:W22" si="7">U16-0.116</f>
        <v>0</v>
      </c>
      <c r="X16" s="12">
        <f t="shared" ref="X16:X22" si="8">V16-0.055</f>
        <v>0</v>
      </c>
    </row>
    <row r="17" spans="1:30" ht="12.75" customHeight="1">
      <c r="A17" s="39" t="s">
        <v>16</v>
      </c>
      <c r="C17" s="12" t="s">
        <v>40</v>
      </c>
      <c r="D17" s="12" t="s">
        <v>41</v>
      </c>
      <c r="H17" s="15">
        <v>2</v>
      </c>
      <c r="I17" s="15">
        <v>5.5999999999999999E-3</v>
      </c>
      <c r="J17" s="15">
        <v>9.1000000000000004E-3</v>
      </c>
      <c r="K17" s="15">
        <v>2.1999999999999999E-2</v>
      </c>
      <c r="L17" s="15">
        <v>2E-3</v>
      </c>
      <c r="M17" s="44">
        <f t="shared" si="0"/>
        <v>1.7999999999999999E-2</v>
      </c>
      <c r="N17" s="15">
        <v>0.105</v>
      </c>
      <c r="O17" s="15">
        <v>4.9999999999999975E-3</v>
      </c>
      <c r="P17" s="15">
        <f t="shared" si="1"/>
        <v>9.5000000000000001E-2</v>
      </c>
      <c r="Q17" s="15">
        <f t="shared" si="2"/>
        <v>7.6999999999999999E-2</v>
      </c>
      <c r="R17" s="12">
        <f t="shared" si="3"/>
        <v>7.8461538461538467</v>
      </c>
      <c r="S17" s="12">
        <f t="shared" si="4"/>
        <v>1.5692307692307694</v>
      </c>
      <c r="U17" s="12">
        <v>0.13800000000000001</v>
      </c>
      <c r="V17" s="12">
        <v>5.7000000000000002E-2</v>
      </c>
      <c r="W17" s="12">
        <f t="shared" si="7"/>
        <v>2.2000000000000006E-2</v>
      </c>
      <c r="X17" s="12">
        <f t="shared" si="8"/>
        <v>2.0000000000000018E-3</v>
      </c>
    </row>
    <row r="18" spans="1:30">
      <c r="A18" s="39" t="s">
        <v>16</v>
      </c>
      <c r="C18" s="12" t="s">
        <v>42</v>
      </c>
      <c r="D18" s="12" t="s">
        <v>43</v>
      </c>
      <c r="H18" s="15">
        <v>2</v>
      </c>
      <c r="I18" s="15">
        <v>5.5999999999999999E-3</v>
      </c>
      <c r="J18" s="15">
        <v>9.1000000000000004E-3</v>
      </c>
      <c r="K18" s="15">
        <v>2.1999999999999999E-2</v>
      </c>
      <c r="L18" s="15">
        <v>2E-3</v>
      </c>
      <c r="M18" s="44">
        <f t="shared" si="0"/>
        <v>1.7999999999999999E-2</v>
      </c>
      <c r="N18" s="15">
        <v>0.48799999999999999</v>
      </c>
      <c r="O18" s="15">
        <v>4.9999999999999975E-3</v>
      </c>
      <c r="P18" s="15">
        <f t="shared" si="1"/>
        <v>0.47799999999999998</v>
      </c>
      <c r="Q18" s="15">
        <f t="shared" si="2"/>
        <v>0.45999999999999996</v>
      </c>
      <c r="R18" s="12">
        <f t="shared" si="3"/>
        <v>49.934065934065927</v>
      </c>
      <c r="S18" s="12">
        <f t="shared" si="4"/>
        <v>9.9868131868131851</v>
      </c>
      <c r="U18" s="12">
        <v>0.35199999999999998</v>
      </c>
      <c r="V18" s="12">
        <v>5.8999999999999997E-2</v>
      </c>
      <c r="W18" s="12">
        <f t="shared" si="7"/>
        <v>0.23599999999999999</v>
      </c>
      <c r="X18" s="12">
        <f t="shared" si="8"/>
        <v>3.9999999999999966E-3</v>
      </c>
    </row>
    <row r="19" spans="1:30" ht="12.75" customHeight="1">
      <c r="A19" s="39" t="s">
        <v>44</v>
      </c>
      <c r="C19" s="12" t="s">
        <v>45</v>
      </c>
      <c r="D19" s="12" t="s">
        <v>46</v>
      </c>
      <c r="H19" s="15">
        <v>2</v>
      </c>
      <c r="I19" s="15">
        <v>5.5999999999999999E-3</v>
      </c>
      <c r="J19" s="15">
        <v>9.1000000000000004E-3</v>
      </c>
      <c r="K19" s="15">
        <v>2.1999999999999999E-2</v>
      </c>
      <c r="L19" s="15">
        <v>2E-3</v>
      </c>
      <c r="M19" s="44">
        <f t="shared" si="0"/>
        <v>1.7999999999999999E-2</v>
      </c>
      <c r="N19" s="15">
        <v>0.254</v>
      </c>
      <c r="O19" s="15">
        <v>3.0000000000000027E-3</v>
      </c>
      <c r="P19" s="15">
        <f t="shared" si="1"/>
        <v>0.248</v>
      </c>
      <c r="Q19" s="15">
        <f t="shared" si="2"/>
        <v>0.23</v>
      </c>
      <c r="R19" s="12">
        <f t="shared" si="3"/>
        <v>24.659340659340661</v>
      </c>
      <c r="S19" s="12">
        <f t="shared" si="4"/>
        <v>4.9318681318681321</v>
      </c>
      <c r="U19" s="12">
        <v>0.221</v>
      </c>
      <c r="V19" s="12">
        <v>0.06</v>
      </c>
      <c r="W19" s="12">
        <f t="shared" si="7"/>
        <v>0.105</v>
      </c>
      <c r="X19" s="12">
        <f t="shared" si="8"/>
        <v>4.9999999999999975E-3</v>
      </c>
    </row>
    <row r="20" spans="1:30" ht="12.75" customHeight="1">
      <c r="A20" s="39" t="s">
        <v>44</v>
      </c>
      <c r="C20" s="12" t="s">
        <v>47</v>
      </c>
      <c r="H20" s="15">
        <v>2</v>
      </c>
      <c r="I20" s="15">
        <v>5.5999999999999999E-3</v>
      </c>
      <c r="J20" s="15">
        <v>9.1000000000000004E-3</v>
      </c>
      <c r="K20" s="15">
        <v>2.1999999999999999E-2</v>
      </c>
      <c r="L20" s="15">
        <v>2E-3</v>
      </c>
      <c r="M20" s="44">
        <f t="shared" si="0"/>
        <v>1.7999999999999999E-2</v>
      </c>
      <c r="N20" s="15">
        <v>0.251</v>
      </c>
      <c r="O20" s="15">
        <v>2E-3</v>
      </c>
      <c r="P20" s="15">
        <f t="shared" si="1"/>
        <v>0.247</v>
      </c>
      <c r="Q20" s="15">
        <f t="shared" si="2"/>
        <v>0.22900000000000001</v>
      </c>
      <c r="R20" s="12">
        <f t="shared" si="3"/>
        <v>24.549450549450551</v>
      </c>
      <c r="S20" s="12">
        <f t="shared" si="4"/>
        <v>4.9098901098901102</v>
      </c>
      <c r="U20" s="12">
        <v>0.19500000000000001</v>
      </c>
      <c r="V20" s="12">
        <v>0.06</v>
      </c>
      <c r="W20" s="12">
        <f t="shared" si="7"/>
        <v>7.9000000000000001E-2</v>
      </c>
      <c r="X20" s="12">
        <f t="shared" si="8"/>
        <v>4.9999999999999975E-3</v>
      </c>
    </row>
    <row r="21" spans="1:30" ht="12.75" customHeight="1">
      <c r="A21" s="39" t="s">
        <v>44</v>
      </c>
      <c r="C21" s="12" t="s">
        <v>48</v>
      </c>
      <c r="H21" s="15">
        <v>2</v>
      </c>
      <c r="I21" s="15">
        <v>5.5999999999999999E-3</v>
      </c>
      <c r="J21" s="15">
        <v>9.1000000000000004E-3</v>
      </c>
      <c r="K21" s="15">
        <v>2.1999999999999999E-2</v>
      </c>
      <c r="L21" s="15">
        <v>2E-3</v>
      </c>
      <c r="M21" s="44">
        <f t="shared" si="0"/>
        <v>1.7999999999999999E-2</v>
      </c>
      <c r="N21" s="15">
        <v>0.25900000000000001</v>
      </c>
      <c r="O21" s="15">
        <v>4.0000000000000001E-3</v>
      </c>
      <c r="P21" s="15">
        <f t="shared" si="1"/>
        <v>0.251</v>
      </c>
      <c r="Q21" s="15">
        <f t="shared" si="2"/>
        <v>0.23300000000000001</v>
      </c>
      <c r="R21" s="12">
        <f t="shared" si="3"/>
        <v>24.989010989010989</v>
      </c>
      <c r="S21" s="12">
        <f t="shared" si="4"/>
        <v>4.9978021978021978</v>
      </c>
      <c r="U21" s="12">
        <v>0.16800000000000001</v>
      </c>
      <c r="V21" s="12">
        <v>5.8000000000000003E-2</v>
      </c>
      <c r="W21" s="12">
        <f t="shared" si="7"/>
        <v>5.2000000000000005E-2</v>
      </c>
      <c r="X21" s="12">
        <f t="shared" si="8"/>
        <v>3.0000000000000027E-3</v>
      </c>
    </row>
    <row r="22" spans="1:30" ht="12.75" customHeight="1">
      <c r="A22" s="39" t="s">
        <v>44</v>
      </c>
      <c r="C22" s="12" t="s">
        <v>49</v>
      </c>
      <c r="H22" s="15">
        <v>2</v>
      </c>
      <c r="I22" s="15">
        <v>5.5999999999999999E-3</v>
      </c>
      <c r="J22" s="15">
        <v>9.1000000000000004E-3</v>
      </c>
      <c r="K22" s="15">
        <v>2.1999999999999999E-2</v>
      </c>
      <c r="L22" s="15">
        <v>2E-3</v>
      </c>
      <c r="M22" s="44">
        <f t="shared" si="0"/>
        <v>1.7999999999999999E-2</v>
      </c>
      <c r="N22" s="15">
        <v>0.255</v>
      </c>
      <c r="O22" s="15">
        <v>4.0000000000000001E-3</v>
      </c>
      <c r="P22" s="15">
        <f t="shared" si="1"/>
        <v>0.247</v>
      </c>
      <c r="Q22" s="15">
        <f t="shared" si="2"/>
        <v>0.22900000000000001</v>
      </c>
      <c r="R22" s="12">
        <f t="shared" si="3"/>
        <v>24.549450549450551</v>
      </c>
      <c r="S22" s="12">
        <f t="shared" si="4"/>
        <v>4.9098901098901102</v>
      </c>
      <c r="U22" s="12">
        <v>0.38200000000000001</v>
      </c>
      <c r="V22" s="12">
        <v>6.0999999999999999E-2</v>
      </c>
      <c r="W22" s="12">
        <f t="shared" si="7"/>
        <v>0.26600000000000001</v>
      </c>
      <c r="X22" s="12">
        <f t="shared" si="8"/>
        <v>5.9999999999999984E-3</v>
      </c>
    </row>
    <row r="23" spans="1:30">
      <c r="A23" s="39" t="s">
        <v>189</v>
      </c>
      <c r="C23" s="12" t="s">
        <v>190</v>
      </c>
      <c r="D23" s="12" t="s">
        <v>191</v>
      </c>
      <c r="G23" s="15" t="s">
        <v>192</v>
      </c>
      <c r="H23" s="15">
        <v>50</v>
      </c>
      <c r="I23" s="15">
        <v>5.5999999999999999E-3</v>
      </c>
      <c r="J23" s="15">
        <v>9.1000000000000004E-3</v>
      </c>
      <c r="K23" s="15">
        <v>2.1999999999999999E-2</v>
      </c>
      <c r="L23" s="15">
        <v>2E-3</v>
      </c>
      <c r="M23" s="44">
        <f t="shared" ref="M23:M26" si="9">K23-2*L23</f>
        <v>1.7999999999999999E-2</v>
      </c>
      <c r="N23" s="15">
        <v>0.67900000000000005</v>
      </c>
      <c r="O23" s="15">
        <v>4.0000000000000001E-3</v>
      </c>
      <c r="P23" s="15">
        <f t="shared" si="1"/>
        <v>0.67100000000000004</v>
      </c>
      <c r="Q23" s="15">
        <f t="shared" si="2"/>
        <v>0.65300000000000002</v>
      </c>
      <c r="R23" s="11">
        <f t="shared" si="3"/>
        <v>71.142857142857139</v>
      </c>
      <c r="S23" s="12">
        <f t="shared" si="4"/>
        <v>355.71428571428567</v>
      </c>
      <c r="W23" s="12" t="s">
        <v>179</v>
      </c>
      <c r="X23" s="12" t="s">
        <v>180</v>
      </c>
      <c r="AA23" s="15" t="s">
        <v>193</v>
      </c>
      <c r="AB23" s="52">
        <v>165.52777777777777</v>
      </c>
      <c r="AC23" s="53">
        <v>249.89473684210529</v>
      </c>
      <c r="AD23" s="15"/>
    </row>
    <row r="24" spans="1:30">
      <c r="A24" s="39" t="s">
        <v>189</v>
      </c>
      <c r="C24" s="12" t="s">
        <v>194</v>
      </c>
      <c r="G24" s="15"/>
      <c r="H24" s="15">
        <v>50</v>
      </c>
      <c r="I24" s="15">
        <v>5.5999999999999999E-3</v>
      </c>
      <c r="J24" s="15">
        <v>9.1000000000000004E-3</v>
      </c>
      <c r="K24" s="15">
        <v>2.1999999999999999E-2</v>
      </c>
      <c r="L24" s="15">
        <v>2E-3</v>
      </c>
      <c r="M24" s="44">
        <f t="shared" si="9"/>
        <v>1.7999999999999999E-2</v>
      </c>
      <c r="N24" s="15">
        <v>0.67500000000000004</v>
      </c>
      <c r="O24" s="15">
        <v>5.0000000000000001E-3</v>
      </c>
      <c r="P24" s="15">
        <f t="shared" ref="P24:P25" si="10">N24-2*O24</f>
        <v>0.66500000000000004</v>
      </c>
      <c r="Q24" s="15">
        <f t="shared" ref="Q24:Q25" si="11">P24-M24</f>
        <v>0.64700000000000002</v>
      </c>
      <c r="R24" s="12">
        <f t="shared" si="3"/>
        <v>70.483516483516482</v>
      </c>
      <c r="S24" s="12">
        <f t="shared" si="4"/>
        <v>352.41758241758237</v>
      </c>
      <c r="W24" s="12" t="s">
        <v>181</v>
      </c>
      <c r="AA24" s="15" t="s">
        <v>195</v>
      </c>
      <c r="AB24" s="54">
        <v>10.136111111111111</v>
      </c>
      <c r="AC24" s="55">
        <v>13.600000000000005</v>
      </c>
      <c r="AD24" s="15"/>
    </row>
    <row r="25" spans="1:30">
      <c r="A25" s="39" t="s">
        <v>189</v>
      </c>
      <c r="C25" s="12" t="s">
        <v>196</v>
      </c>
      <c r="G25" s="15"/>
      <c r="H25" s="15">
        <v>50</v>
      </c>
      <c r="I25" s="15">
        <v>5.5999999999999999E-3</v>
      </c>
      <c r="J25" s="15">
        <v>9.1000000000000004E-3</v>
      </c>
      <c r="K25" s="15">
        <v>2.1999999999999999E-2</v>
      </c>
      <c r="L25" s="15">
        <v>2E-3</v>
      </c>
      <c r="M25" s="44">
        <f t="shared" si="9"/>
        <v>1.7999999999999999E-2</v>
      </c>
      <c r="N25" s="15">
        <v>0.67700000000000005</v>
      </c>
      <c r="O25" s="15">
        <v>4.0000000000000001E-3</v>
      </c>
      <c r="P25" s="48">
        <f t="shared" si="10"/>
        <v>0.66900000000000004</v>
      </c>
      <c r="Q25" s="15">
        <f t="shared" si="11"/>
        <v>0.65100000000000002</v>
      </c>
      <c r="R25" s="12">
        <f t="shared" si="3"/>
        <v>70.92307692307692</v>
      </c>
      <c r="S25" s="12">
        <f t="shared" si="4"/>
        <v>354.61538461538464</v>
      </c>
      <c r="AA25" s="15"/>
      <c r="AB25" s="15"/>
      <c r="AC25" s="44"/>
      <c r="AD25" s="15"/>
    </row>
    <row r="26" spans="1:30">
      <c r="A26" s="39" t="s">
        <v>189</v>
      </c>
      <c r="C26" s="12" t="s">
        <v>197</v>
      </c>
      <c r="G26" s="15"/>
      <c r="H26" s="15">
        <v>50</v>
      </c>
      <c r="I26" s="15">
        <v>5.5999999999999999E-3</v>
      </c>
      <c r="J26" s="15">
        <v>9.1000000000000004E-3</v>
      </c>
      <c r="K26" s="15">
        <v>2.1999999999999999E-2</v>
      </c>
      <c r="L26" s="15">
        <v>2E-3</v>
      </c>
      <c r="M26" s="44">
        <f t="shared" si="9"/>
        <v>1.7999999999999999E-2</v>
      </c>
      <c r="N26" s="15">
        <v>0.68</v>
      </c>
      <c r="O26" s="15">
        <v>5.0000000000000001E-3</v>
      </c>
      <c r="P26" s="48">
        <f t="shared" ref="P26" si="12">N26-2*O26</f>
        <v>0.67</v>
      </c>
      <c r="Q26" s="15">
        <f t="shared" ref="Q26" si="13">P26-M26</f>
        <v>0.65200000000000002</v>
      </c>
      <c r="R26" s="12">
        <f t="shared" ref="R26" si="14">(Q26-I26)/J26</f>
        <v>71.032967032967022</v>
      </c>
      <c r="S26" s="12">
        <f t="shared" ref="S26" si="15">R26*H26/10</f>
        <v>355.16483516483515</v>
      </c>
      <c r="AA26" s="15"/>
      <c r="AB26" s="15"/>
      <c r="AC26" s="44"/>
      <c r="AD26" s="15"/>
    </row>
    <row r="27" spans="1:30">
      <c r="A27" s="39" t="s">
        <v>44</v>
      </c>
      <c r="C27" s="12" t="s">
        <v>93</v>
      </c>
      <c r="D27" s="12" t="s">
        <v>46</v>
      </c>
      <c r="H27" s="15">
        <v>2</v>
      </c>
      <c r="I27" s="15">
        <v>5.5999999999999999E-3</v>
      </c>
      <c r="J27" s="15">
        <v>9.1000000000000004E-3</v>
      </c>
      <c r="K27" s="15">
        <v>2.1999999999999999E-2</v>
      </c>
      <c r="L27" s="15">
        <v>2E-3</v>
      </c>
      <c r="M27" s="44">
        <f t="shared" ref="M27:M42" si="16">K27-2*L27</f>
        <v>1.7999999999999999E-2</v>
      </c>
      <c r="N27" s="15">
        <v>0.26200000000000001</v>
      </c>
      <c r="O27" s="15">
        <v>3.0000000000000027E-3</v>
      </c>
      <c r="P27" s="15">
        <f t="shared" ref="P27:P42" si="17">N27-2*O27</f>
        <v>0.25600000000000001</v>
      </c>
      <c r="Q27" s="15">
        <f t="shared" ref="Q27:Q42" si="18">P27-M27</f>
        <v>0.23800000000000002</v>
      </c>
      <c r="R27" s="12">
        <f t="shared" ref="R27:R42" si="19">(Q27-I27)/J27</f>
        <v>25.53846153846154</v>
      </c>
      <c r="S27" s="12">
        <f t="shared" ref="S27:S42" si="20">R27*H27/10</f>
        <v>5.1076923076923082</v>
      </c>
      <c r="U27" s="12">
        <v>0.16300000000000001</v>
      </c>
      <c r="V27" s="12">
        <v>6.0999999999999999E-2</v>
      </c>
      <c r="W27" s="12">
        <f>U27-0.116</f>
        <v>4.7E-2</v>
      </c>
      <c r="X27" s="12">
        <f>V27-0.055</f>
        <v>5.9999999999999984E-3</v>
      </c>
    </row>
    <row r="28" spans="1:30">
      <c r="A28" s="39" t="s">
        <v>44</v>
      </c>
      <c r="C28" s="12" t="s">
        <v>94</v>
      </c>
      <c r="H28" s="15">
        <v>2</v>
      </c>
      <c r="I28" s="15">
        <v>5.5999999999999999E-3</v>
      </c>
      <c r="J28" s="15">
        <v>9.1000000000000004E-3</v>
      </c>
      <c r="K28" s="15">
        <v>2.1999999999999999E-2</v>
      </c>
      <c r="L28" s="15">
        <v>2E-3</v>
      </c>
      <c r="M28" s="44">
        <f t="shared" si="16"/>
        <v>1.7999999999999999E-2</v>
      </c>
      <c r="N28" s="15">
        <v>0.26300000000000001</v>
      </c>
      <c r="O28" s="15">
        <v>4.0000000000000001E-3</v>
      </c>
      <c r="P28" s="15">
        <f t="shared" si="17"/>
        <v>0.255</v>
      </c>
      <c r="Q28" s="15">
        <f t="shared" si="18"/>
        <v>0.23700000000000002</v>
      </c>
      <c r="R28" s="12">
        <f t="shared" si="19"/>
        <v>25.428571428571431</v>
      </c>
      <c r="S28" s="12">
        <f t="shared" si="20"/>
        <v>5.0857142857142863</v>
      </c>
    </row>
    <row r="29" spans="1:30" ht="13.5" customHeight="1">
      <c r="A29" s="39" t="s">
        <v>44</v>
      </c>
      <c r="C29" s="12" t="s">
        <v>50</v>
      </c>
      <c r="H29" s="15">
        <v>2</v>
      </c>
      <c r="I29" s="15">
        <v>5.5999999999999999E-3</v>
      </c>
      <c r="J29" s="15">
        <v>9.1000000000000004E-3</v>
      </c>
      <c r="K29" s="15">
        <v>2.1999999999999999E-2</v>
      </c>
      <c r="L29" s="15">
        <v>2E-3</v>
      </c>
      <c r="M29" s="44">
        <f t="shared" si="16"/>
        <v>1.7999999999999999E-2</v>
      </c>
      <c r="N29" s="15">
        <v>0.26500000000000001</v>
      </c>
      <c r="O29" s="15">
        <v>3.0000000000000001E-3</v>
      </c>
      <c r="P29" s="15">
        <f t="shared" si="17"/>
        <v>0.25900000000000001</v>
      </c>
      <c r="Q29" s="15">
        <f t="shared" si="18"/>
        <v>0.24100000000000002</v>
      </c>
      <c r="R29" s="12">
        <f t="shared" si="19"/>
        <v>25.868131868131869</v>
      </c>
      <c r="S29" s="12">
        <f t="shared" si="20"/>
        <v>5.1736263736263739</v>
      </c>
      <c r="U29" s="12">
        <v>0.30099999999999999</v>
      </c>
      <c r="V29" s="12">
        <v>6.3E-2</v>
      </c>
      <c r="W29" s="12">
        <f>U29-0.116</f>
        <v>0.185</v>
      </c>
      <c r="X29" s="12">
        <f>V29-0.055</f>
        <v>8.0000000000000002E-3</v>
      </c>
    </row>
    <row r="30" spans="1:30" ht="13.5" customHeight="1">
      <c r="A30" s="39" t="s">
        <v>44</v>
      </c>
      <c r="C30" s="12" t="s">
        <v>51</v>
      </c>
      <c r="H30" s="15">
        <v>2</v>
      </c>
      <c r="I30" s="15">
        <v>5.5999999999999999E-3</v>
      </c>
      <c r="J30" s="15">
        <v>9.1000000000000004E-3</v>
      </c>
      <c r="K30" s="15">
        <v>2.1999999999999999E-2</v>
      </c>
      <c r="L30" s="15">
        <v>2E-3</v>
      </c>
      <c r="M30" s="44">
        <f t="shared" si="16"/>
        <v>1.7999999999999999E-2</v>
      </c>
      <c r="N30" s="15">
        <v>0.26600000000000001</v>
      </c>
      <c r="O30" s="15">
        <v>5.0000000000000001E-3</v>
      </c>
      <c r="P30" s="15">
        <f t="shared" si="17"/>
        <v>0.25600000000000001</v>
      </c>
      <c r="Q30" s="15">
        <f t="shared" si="18"/>
        <v>0.23800000000000002</v>
      </c>
      <c r="R30" s="12">
        <f t="shared" si="19"/>
        <v>25.53846153846154</v>
      </c>
      <c r="S30" s="12">
        <f t="shared" si="20"/>
        <v>5.1076923076923082</v>
      </c>
      <c r="U30" s="12">
        <v>0.192</v>
      </c>
      <c r="V30" s="12">
        <v>6.0999999999999999E-2</v>
      </c>
      <c r="W30" s="12">
        <f>U30-0.116</f>
        <v>7.5999999999999998E-2</v>
      </c>
      <c r="X30" s="12">
        <f>V30-0.055</f>
        <v>5.9999999999999984E-3</v>
      </c>
    </row>
    <row r="31" spans="1:30" ht="13.5" customHeight="1">
      <c r="A31" s="39" t="s">
        <v>44</v>
      </c>
      <c r="C31" s="12" t="s">
        <v>52</v>
      </c>
      <c r="H31" s="15">
        <v>2</v>
      </c>
      <c r="I31" s="15">
        <v>5.5999999999999999E-3</v>
      </c>
      <c r="J31" s="15">
        <v>9.1000000000000004E-3</v>
      </c>
      <c r="K31" s="15">
        <v>2.1999999999999999E-2</v>
      </c>
      <c r="L31" s="15">
        <v>2E-3</v>
      </c>
      <c r="M31" s="44">
        <f t="shared" si="16"/>
        <v>1.7999999999999999E-2</v>
      </c>
      <c r="N31" s="15">
        <v>0.26100000000000001</v>
      </c>
      <c r="O31" s="15">
        <v>5.0000000000000001E-3</v>
      </c>
      <c r="P31" s="15">
        <f t="shared" si="17"/>
        <v>0.251</v>
      </c>
      <c r="Q31" s="15">
        <f t="shared" si="18"/>
        <v>0.23300000000000001</v>
      </c>
      <c r="R31" s="12">
        <f t="shared" si="19"/>
        <v>24.989010989010989</v>
      </c>
      <c r="S31" s="12">
        <f t="shared" si="20"/>
        <v>4.9978021978021978</v>
      </c>
    </row>
    <row r="32" spans="1:30">
      <c r="A32" s="39"/>
      <c r="C32" s="30" t="s">
        <v>87</v>
      </c>
      <c r="D32" s="30"/>
      <c r="E32" s="31"/>
      <c r="F32" s="31"/>
      <c r="G32" s="32"/>
      <c r="H32" s="33">
        <v>1</v>
      </c>
      <c r="I32" s="34">
        <v>5.5999999999999999E-3</v>
      </c>
      <c r="J32" s="34">
        <v>9.1000000000000004E-3</v>
      </c>
      <c r="K32" s="35">
        <v>2.1999999999999999E-2</v>
      </c>
      <c r="L32" s="35">
        <v>2E-3</v>
      </c>
      <c r="M32" s="35">
        <f t="shared" si="16"/>
        <v>1.7999999999999999E-2</v>
      </c>
      <c r="N32" s="36">
        <v>0.129</v>
      </c>
      <c r="O32" s="35">
        <v>5.0000000000000001E-3</v>
      </c>
      <c r="P32" s="35">
        <f t="shared" si="17"/>
        <v>0.11900000000000001</v>
      </c>
      <c r="Q32" s="35">
        <f t="shared" si="18"/>
        <v>0.10100000000000001</v>
      </c>
      <c r="R32" s="37">
        <f t="shared" si="19"/>
        <v>10.483516483516484</v>
      </c>
      <c r="S32" s="38">
        <f t="shared" si="20"/>
        <v>1.0483516483516484</v>
      </c>
    </row>
    <row r="33" spans="1:30">
      <c r="A33" s="46" t="s">
        <v>266</v>
      </c>
      <c r="B33" s="13"/>
      <c r="C33" s="19" t="s">
        <v>172</v>
      </c>
      <c r="D33" s="19"/>
      <c r="E33" s="20"/>
      <c r="F33" s="20"/>
      <c r="G33" s="21"/>
      <c r="H33" s="22">
        <v>1</v>
      </c>
      <c r="I33" s="23">
        <v>5.5999999999999999E-3</v>
      </c>
      <c r="J33" s="23">
        <v>9.1000000000000004E-3</v>
      </c>
      <c r="K33" s="24">
        <v>2.1999999999999999E-2</v>
      </c>
      <c r="L33" s="24">
        <v>1.9999999999999948E-3</v>
      </c>
      <c r="M33" s="24">
        <f t="shared" si="16"/>
        <v>1.8000000000000009E-2</v>
      </c>
      <c r="N33" s="25">
        <v>0.13400000000000001</v>
      </c>
      <c r="O33" s="24">
        <v>2.9999999999999957E-3</v>
      </c>
      <c r="P33" s="24">
        <f t="shared" si="17"/>
        <v>0.128</v>
      </c>
      <c r="Q33" s="24">
        <f t="shared" si="18"/>
        <v>0.10999999999999999</v>
      </c>
      <c r="R33" s="26">
        <f t="shared" si="19"/>
        <v>11.472527472527471</v>
      </c>
      <c r="S33" s="27">
        <f t="shared" si="20"/>
        <v>1.1472527472527472</v>
      </c>
      <c r="T33" s="28" t="s">
        <v>62</v>
      </c>
      <c r="V33" s="29" t="s">
        <v>60</v>
      </c>
    </row>
    <row r="34" spans="1:30">
      <c r="A34" s="46" t="s">
        <v>266</v>
      </c>
      <c r="C34" s="19" t="s">
        <v>173</v>
      </c>
      <c r="D34" s="19"/>
      <c r="E34" s="20"/>
      <c r="F34" s="20"/>
      <c r="G34" s="21"/>
      <c r="H34" s="22">
        <v>1</v>
      </c>
      <c r="I34" s="23">
        <v>5.5999999999999999E-3</v>
      </c>
      <c r="J34" s="23">
        <v>9.1000000000000004E-3</v>
      </c>
      <c r="K34" s="24">
        <v>2.1999999999999999E-2</v>
      </c>
      <c r="L34" s="24">
        <v>1.9999999999999948E-3</v>
      </c>
      <c r="M34" s="24">
        <f t="shared" si="16"/>
        <v>1.8000000000000009E-2</v>
      </c>
      <c r="N34" s="25">
        <v>0.13500000000000001</v>
      </c>
      <c r="O34" s="24">
        <v>2.9999999999999957E-3</v>
      </c>
      <c r="P34" s="24">
        <f t="shared" si="17"/>
        <v>0.129</v>
      </c>
      <c r="Q34" s="24">
        <f t="shared" si="18"/>
        <v>0.11099999999999999</v>
      </c>
      <c r="R34" s="26">
        <f t="shared" si="19"/>
        <v>11.58241758241758</v>
      </c>
      <c r="S34" s="27">
        <f t="shared" si="20"/>
        <v>1.1582417582417581</v>
      </c>
      <c r="V34" s="29" t="s">
        <v>61</v>
      </c>
    </row>
    <row r="35" spans="1:30">
      <c r="A35" s="39" t="s">
        <v>266</v>
      </c>
      <c r="C35" s="19" t="s">
        <v>262</v>
      </c>
      <c r="D35" s="19"/>
      <c r="E35" s="20"/>
      <c r="F35" s="20"/>
      <c r="G35" s="21"/>
      <c r="H35" s="22">
        <v>1</v>
      </c>
      <c r="I35" s="23">
        <v>5.5999999999999999E-3</v>
      </c>
      <c r="J35" s="23">
        <v>9.1000000000000004E-3</v>
      </c>
      <c r="K35" s="24">
        <v>2.1999999999999999E-2</v>
      </c>
      <c r="L35" s="24">
        <v>1.9999999999999948E-3</v>
      </c>
      <c r="M35" s="24">
        <f t="shared" ref="M35:M38" si="21">K35-2*L35</f>
        <v>1.8000000000000009E-2</v>
      </c>
      <c r="N35" s="25">
        <v>0.14000000000000001</v>
      </c>
      <c r="O35" s="24">
        <v>6.0000000000000001E-3</v>
      </c>
      <c r="P35" s="24">
        <f t="shared" ref="P35:P38" si="22">N35-2*O35</f>
        <v>0.128</v>
      </c>
      <c r="Q35" s="24">
        <f t="shared" ref="Q35:Q38" si="23">P35-M35</f>
        <v>0.10999999999999999</v>
      </c>
      <c r="R35" s="26">
        <f t="shared" ref="R35:R38" si="24">(Q35-I35)/J35</f>
        <v>11.472527472527471</v>
      </c>
      <c r="S35" s="27">
        <f t="shared" ref="S35:S38" si="25">R35*H35/10</f>
        <v>1.1472527472527472</v>
      </c>
      <c r="V35" s="29"/>
    </row>
    <row r="36" spans="1:30">
      <c r="A36" s="39" t="s">
        <v>266</v>
      </c>
      <c r="C36" s="19" t="s">
        <v>263</v>
      </c>
      <c r="D36" s="19"/>
      <c r="E36" s="20"/>
      <c r="F36" s="20"/>
      <c r="G36" s="21"/>
      <c r="H36" s="22">
        <v>1</v>
      </c>
      <c r="I36" s="23">
        <v>5.5999999999999999E-3</v>
      </c>
      <c r="J36" s="23">
        <v>9.1000000000000004E-3</v>
      </c>
      <c r="K36" s="24">
        <v>2.1999999999999999E-2</v>
      </c>
      <c r="L36" s="24">
        <v>1.9999999999999948E-3</v>
      </c>
      <c r="M36" s="24">
        <f t="shared" si="21"/>
        <v>1.8000000000000009E-2</v>
      </c>
      <c r="N36" s="25">
        <v>0.13700000000000001</v>
      </c>
      <c r="O36" s="24">
        <v>5.0000000000000001E-3</v>
      </c>
      <c r="P36" s="24">
        <f t="shared" si="22"/>
        <v>0.127</v>
      </c>
      <c r="Q36" s="24">
        <f t="shared" si="23"/>
        <v>0.10899999999999999</v>
      </c>
      <c r="R36" s="26">
        <f t="shared" si="24"/>
        <v>11.362637362637361</v>
      </c>
      <c r="S36" s="27">
        <f t="shared" si="25"/>
        <v>1.1362637362637362</v>
      </c>
      <c r="V36" s="29"/>
    </row>
    <row r="37" spans="1:30">
      <c r="A37" s="39" t="s">
        <v>266</v>
      </c>
      <c r="C37" s="19" t="s">
        <v>264</v>
      </c>
      <c r="D37" s="19"/>
      <c r="E37" s="20"/>
      <c r="F37" s="20"/>
      <c r="G37" s="21"/>
      <c r="H37" s="22">
        <v>1</v>
      </c>
      <c r="I37" s="23">
        <v>5.5999999999999999E-3</v>
      </c>
      <c r="J37" s="23">
        <v>9.1000000000000004E-3</v>
      </c>
      <c r="K37" s="24">
        <v>2.1999999999999999E-2</v>
      </c>
      <c r="L37" s="24">
        <v>1.9999999999999948E-3</v>
      </c>
      <c r="M37" s="24">
        <f t="shared" si="21"/>
        <v>1.8000000000000009E-2</v>
      </c>
      <c r="N37" s="25">
        <v>0.13800000000000001</v>
      </c>
      <c r="O37" s="24">
        <v>6.0000000000000001E-3</v>
      </c>
      <c r="P37" s="24">
        <f t="shared" si="22"/>
        <v>0.126</v>
      </c>
      <c r="Q37" s="24">
        <f t="shared" si="23"/>
        <v>0.10799999999999998</v>
      </c>
      <c r="R37" s="26">
        <f t="shared" si="24"/>
        <v>11.252747252747252</v>
      </c>
      <c r="S37" s="27">
        <f t="shared" si="25"/>
        <v>1.1252747252747253</v>
      </c>
      <c r="T37" s="12" t="s">
        <v>267</v>
      </c>
      <c r="U37" s="12">
        <f>AVERAGE(S33:S38)</f>
        <v>1.1454212454212451</v>
      </c>
      <c r="V37" s="29"/>
    </row>
    <row r="38" spans="1:30">
      <c r="A38" s="39" t="s">
        <v>266</v>
      </c>
      <c r="C38" s="19" t="s">
        <v>265</v>
      </c>
      <c r="D38" s="19"/>
      <c r="E38" s="20"/>
      <c r="F38" s="20"/>
      <c r="G38" s="21"/>
      <c r="H38" s="22">
        <v>1</v>
      </c>
      <c r="I38" s="23">
        <v>5.5999999999999999E-3</v>
      </c>
      <c r="J38" s="23">
        <v>9.1000000000000004E-3</v>
      </c>
      <c r="K38" s="24">
        <v>2.1999999999999999E-2</v>
      </c>
      <c r="L38" s="24">
        <v>1.9999999999999948E-3</v>
      </c>
      <c r="M38" s="24">
        <f t="shared" si="21"/>
        <v>1.8000000000000009E-2</v>
      </c>
      <c r="N38" s="25">
        <v>0.13900000000000001</v>
      </c>
      <c r="O38" s="24">
        <v>5.0000000000000001E-3</v>
      </c>
      <c r="P38" s="24">
        <f t="shared" si="22"/>
        <v>0.129</v>
      </c>
      <c r="Q38" s="24">
        <f t="shared" si="23"/>
        <v>0.11099999999999999</v>
      </c>
      <c r="R38" s="26">
        <f t="shared" si="24"/>
        <v>11.58241758241758</v>
      </c>
      <c r="S38" s="27">
        <f t="shared" si="25"/>
        <v>1.1582417582417581</v>
      </c>
      <c r="T38" s="12" t="s">
        <v>268</v>
      </c>
      <c r="U38" s="12">
        <f>STDEV(S33:S38)</f>
        <v>1.2846650488461626E-2</v>
      </c>
      <c r="V38" s="29">
        <f>U38/U37</f>
        <v>1.1215655846978013E-2</v>
      </c>
    </row>
    <row r="39" spans="1:30">
      <c r="A39" s="39" t="s">
        <v>189</v>
      </c>
      <c r="C39" s="12" t="s">
        <v>198</v>
      </c>
      <c r="D39" s="12" t="s">
        <v>191</v>
      </c>
      <c r="G39" s="15" t="s">
        <v>192</v>
      </c>
      <c r="H39" s="15">
        <v>50</v>
      </c>
      <c r="I39" s="15">
        <v>5.5999999999999999E-3</v>
      </c>
      <c r="J39" s="15">
        <v>9.1000000000000004E-3</v>
      </c>
      <c r="K39" s="15">
        <v>2.1999999999999999E-2</v>
      </c>
      <c r="L39" s="15">
        <v>2E-3</v>
      </c>
      <c r="M39" s="44">
        <f t="shared" si="16"/>
        <v>1.7999999999999999E-2</v>
      </c>
      <c r="N39" s="15">
        <v>0.67100000000000004</v>
      </c>
      <c r="O39" s="15">
        <v>5.0000000000000001E-3</v>
      </c>
      <c r="P39" s="15">
        <f t="shared" si="17"/>
        <v>0.66100000000000003</v>
      </c>
      <c r="Q39" s="15">
        <f t="shared" si="18"/>
        <v>0.64300000000000002</v>
      </c>
      <c r="R39" s="11">
        <f t="shared" si="19"/>
        <v>70.043956043956044</v>
      </c>
      <c r="S39" s="12">
        <f t="shared" si="20"/>
        <v>350.2197802197802</v>
      </c>
      <c r="AA39" s="15"/>
      <c r="AB39" s="15"/>
      <c r="AC39" s="44"/>
      <c r="AD39" s="15"/>
    </row>
    <row r="40" spans="1:30">
      <c r="A40" s="39" t="s">
        <v>189</v>
      </c>
      <c r="C40" s="12" t="s">
        <v>199</v>
      </c>
      <c r="G40" s="15"/>
      <c r="H40" s="15">
        <v>50</v>
      </c>
      <c r="I40" s="15">
        <v>5.5999999999999999E-3</v>
      </c>
      <c r="J40" s="15">
        <v>9.1000000000000004E-3</v>
      </c>
      <c r="K40" s="15">
        <v>2.1999999999999999E-2</v>
      </c>
      <c r="L40" s="15">
        <v>2E-3</v>
      </c>
      <c r="M40" s="44">
        <f t="shared" si="16"/>
        <v>1.7999999999999999E-2</v>
      </c>
      <c r="N40" s="15">
        <v>0.67200000000000004</v>
      </c>
      <c r="O40" s="15">
        <v>5.0000000000000001E-3</v>
      </c>
      <c r="P40" s="15">
        <f t="shared" si="17"/>
        <v>0.66200000000000003</v>
      </c>
      <c r="Q40" s="15">
        <f t="shared" si="18"/>
        <v>0.64400000000000002</v>
      </c>
      <c r="R40" s="12">
        <f t="shared" si="19"/>
        <v>70.153846153846146</v>
      </c>
      <c r="S40" s="12">
        <f t="shared" si="20"/>
        <v>350.76923076923072</v>
      </c>
    </row>
    <row r="41" spans="1:30">
      <c r="A41" s="39" t="s">
        <v>189</v>
      </c>
      <c r="C41" s="12" t="s">
        <v>200</v>
      </c>
      <c r="G41" s="15"/>
      <c r="H41" s="15">
        <v>50</v>
      </c>
      <c r="I41" s="15">
        <v>5.5999999999999999E-3</v>
      </c>
      <c r="J41" s="15">
        <v>9.1000000000000004E-3</v>
      </c>
      <c r="K41" s="15">
        <v>2.1999999999999999E-2</v>
      </c>
      <c r="L41" s="15">
        <v>2E-3</v>
      </c>
      <c r="M41" s="44">
        <f t="shared" si="16"/>
        <v>1.7999999999999999E-2</v>
      </c>
      <c r="N41" s="15">
        <v>0.66800000000000004</v>
      </c>
      <c r="O41" s="15">
        <v>4.0000000000000001E-3</v>
      </c>
      <c r="P41" s="48">
        <f t="shared" si="17"/>
        <v>0.66</v>
      </c>
      <c r="Q41" s="15">
        <f t="shared" si="18"/>
        <v>0.64200000000000002</v>
      </c>
      <c r="R41" s="12">
        <f t="shared" si="19"/>
        <v>69.934065934065927</v>
      </c>
      <c r="S41" s="12">
        <f t="shared" si="20"/>
        <v>349.67032967032964</v>
      </c>
      <c r="U41" s="12">
        <v>0.17599999999999999</v>
      </c>
      <c r="V41" s="12">
        <v>7.3999999999999996E-2</v>
      </c>
      <c r="W41" s="12">
        <f>U41-0.147</f>
        <v>2.8999999999999998E-2</v>
      </c>
      <c r="X41" s="12">
        <f>V41-0.073</f>
        <v>1.0000000000000009E-3</v>
      </c>
    </row>
    <row r="42" spans="1:30">
      <c r="A42" s="39" t="s">
        <v>189</v>
      </c>
      <c r="C42" s="12" t="s">
        <v>201</v>
      </c>
      <c r="G42" s="15"/>
      <c r="H42" s="15">
        <v>50</v>
      </c>
      <c r="I42" s="15">
        <v>5.5999999999999999E-3</v>
      </c>
      <c r="J42" s="15">
        <v>9.1000000000000004E-3</v>
      </c>
      <c r="K42" s="15">
        <v>2.1999999999999999E-2</v>
      </c>
      <c r="L42" s="15">
        <v>2E-3</v>
      </c>
      <c r="M42" s="44">
        <f t="shared" si="16"/>
        <v>1.7999999999999999E-2</v>
      </c>
      <c r="N42" s="15">
        <v>0.66800000000000004</v>
      </c>
      <c r="O42" s="15">
        <v>5.0000000000000001E-3</v>
      </c>
      <c r="P42" s="48">
        <f t="shared" si="17"/>
        <v>0.65800000000000003</v>
      </c>
      <c r="Q42" s="15">
        <f t="shared" si="18"/>
        <v>0.64</v>
      </c>
      <c r="R42" s="12">
        <f t="shared" si="19"/>
        <v>69.714285714285708</v>
      </c>
      <c r="S42" s="12">
        <f t="shared" si="20"/>
        <v>348.57142857142856</v>
      </c>
      <c r="U42" s="12">
        <v>0.83499999999999996</v>
      </c>
      <c r="V42" s="12">
        <v>7.6999999999999999E-2</v>
      </c>
      <c r="W42" s="12">
        <f t="shared" ref="W42:W43" si="26">U42-0.147</f>
        <v>0.68799999999999994</v>
      </c>
      <c r="X42" s="12">
        <f t="shared" ref="X42:X43" si="27">V42-0.073</f>
        <v>4.0000000000000036E-3</v>
      </c>
    </row>
    <row r="43" spans="1:30">
      <c r="A43" s="40" t="s">
        <v>59</v>
      </c>
      <c r="D43" s="12" t="s">
        <v>55</v>
      </c>
      <c r="H43" s="15">
        <v>100</v>
      </c>
      <c r="I43" s="15">
        <v>5.5999999999999999E-3</v>
      </c>
      <c r="J43" s="15">
        <v>9.1000000000000004E-3</v>
      </c>
      <c r="K43" s="15">
        <v>2.1999999999999999E-2</v>
      </c>
      <c r="L43" s="15">
        <v>2E-3</v>
      </c>
      <c r="M43" s="44">
        <f t="shared" ref="M43:M74" si="28">K43-2*L43</f>
        <v>1.7999999999999999E-2</v>
      </c>
      <c r="N43" s="15">
        <v>0.26600000000000001</v>
      </c>
      <c r="O43" s="15">
        <v>5.9999999999999984E-3</v>
      </c>
      <c r="P43" s="15">
        <f t="shared" ref="P43:P74" si="29">N43-2*O43</f>
        <v>0.254</v>
      </c>
      <c r="Q43" s="15">
        <f t="shared" ref="Q43:Q74" si="30">P43-M43</f>
        <v>0.23600000000000002</v>
      </c>
      <c r="R43" s="12">
        <f t="shared" ref="R43:R71" si="31">(Q43-I43)/J43</f>
        <v>25.318681318681321</v>
      </c>
      <c r="S43" s="12">
        <f t="shared" ref="S43:S74" si="32">R43*H43/10</f>
        <v>253.1868131868132</v>
      </c>
      <c r="U43" s="12">
        <v>0.20899999999999999</v>
      </c>
      <c r="V43" s="12">
        <v>7.6999999999999999E-2</v>
      </c>
      <c r="W43" s="12">
        <f t="shared" si="26"/>
        <v>6.2E-2</v>
      </c>
      <c r="X43" s="12">
        <f t="shared" si="27"/>
        <v>4.0000000000000036E-3</v>
      </c>
    </row>
    <row r="44" spans="1:30">
      <c r="A44" s="40" t="s">
        <v>59</v>
      </c>
      <c r="D44" s="12" t="s">
        <v>56</v>
      </c>
      <c r="H44" s="15">
        <v>20</v>
      </c>
      <c r="I44" s="15">
        <v>5.5999999999999999E-3</v>
      </c>
      <c r="J44" s="15">
        <v>9.1000000000000004E-3</v>
      </c>
      <c r="K44" s="15">
        <v>2.1999999999999999E-2</v>
      </c>
      <c r="L44" s="15">
        <v>2E-3</v>
      </c>
      <c r="M44" s="44">
        <f t="shared" si="28"/>
        <v>1.7999999999999999E-2</v>
      </c>
      <c r="N44" s="15">
        <v>4.7E-2</v>
      </c>
      <c r="O44" s="15">
        <v>5.9999999999999984E-3</v>
      </c>
      <c r="P44" s="15">
        <f t="shared" si="29"/>
        <v>3.5000000000000003E-2</v>
      </c>
      <c r="Q44" s="15">
        <f t="shared" si="30"/>
        <v>1.7000000000000005E-2</v>
      </c>
      <c r="R44" s="12">
        <f t="shared" si="31"/>
        <v>1.2527472527472532</v>
      </c>
      <c r="S44" s="12">
        <f t="shared" si="32"/>
        <v>2.5054945054945064</v>
      </c>
    </row>
    <row r="45" spans="1:30">
      <c r="A45" s="40" t="s">
        <v>59</v>
      </c>
      <c r="D45" s="12" t="s">
        <v>57</v>
      </c>
      <c r="H45" s="15">
        <v>100</v>
      </c>
      <c r="I45" s="15">
        <v>5.5999999999999999E-3</v>
      </c>
      <c r="J45" s="15">
        <v>9.1000000000000004E-3</v>
      </c>
      <c r="K45" s="15">
        <v>2.1999999999999999E-2</v>
      </c>
      <c r="L45" s="15">
        <v>2E-3</v>
      </c>
      <c r="M45" s="44">
        <f t="shared" si="28"/>
        <v>1.7999999999999999E-2</v>
      </c>
      <c r="N45" s="15">
        <v>0.185</v>
      </c>
      <c r="O45" s="15">
        <v>8.0000000000000002E-3</v>
      </c>
      <c r="P45" s="15">
        <f t="shared" si="29"/>
        <v>0.16899999999999998</v>
      </c>
      <c r="Q45" s="15">
        <f t="shared" si="30"/>
        <v>0.151</v>
      </c>
      <c r="R45" s="12">
        <f t="shared" si="31"/>
        <v>15.978021978021978</v>
      </c>
      <c r="S45" s="12">
        <f t="shared" si="32"/>
        <v>159.78021978021977</v>
      </c>
    </row>
    <row r="46" spans="1:30">
      <c r="A46" s="40" t="s">
        <v>59</v>
      </c>
      <c r="D46" s="12" t="s">
        <v>58</v>
      </c>
      <c r="H46" s="15">
        <v>20</v>
      </c>
      <c r="I46" s="15">
        <v>5.5999999999999999E-3</v>
      </c>
      <c r="J46" s="15">
        <v>9.1000000000000004E-3</v>
      </c>
      <c r="K46" s="15">
        <v>2.1999999999999999E-2</v>
      </c>
      <c r="L46" s="15">
        <v>2E-3</v>
      </c>
      <c r="M46" s="44">
        <f t="shared" si="28"/>
        <v>1.7999999999999999E-2</v>
      </c>
      <c r="N46" s="15">
        <v>7.5999999999999998E-2</v>
      </c>
      <c r="O46" s="15">
        <v>5.9999999999999984E-3</v>
      </c>
      <c r="P46" s="15">
        <f t="shared" si="29"/>
        <v>6.4000000000000001E-2</v>
      </c>
      <c r="Q46" s="15">
        <f t="shared" si="30"/>
        <v>4.5999999999999999E-2</v>
      </c>
      <c r="R46" s="12">
        <f t="shared" si="31"/>
        <v>4.4395604395604389</v>
      </c>
      <c r="S46" s="12">
        <f t="shared" si="32"/>
        <v>8.8791208791208778</v>
      </c>
    </row>
    <row r="47" spans="1:30">
      <c r="A47" s="39" t="s">
        <v>16</v>
      </c>
      <c r="B47" s="13">
        <v>43837</v>
      </c>
      <c r="C47" s="12" t="s">
        <v>95</v>
      </c>
      <c r="D47" s="12" t="s">
        <v>63</v>
      </c>
      <c r="H47" s="15">
        <v>20</v>
      </c>
      <c r="I47" s="15">
        <v>5.5999999999999999E-3</v>
      </c>
      <c r="J47" s="15">
        <v>9.1000000000000004E-3</v>
      </c>
      <c r="K47" s="15">
        <v>2.5000000000000001E-2</v>
      </c>
      <c r="L47" s="15">
        <v>1E-3</v>
      </c>
      <c r="M47" s="44">
        <f t="shared" si="28"/>
        <v>2.3E-2</v>
      </c>
      <c r="N47" s="15">
        <v>0.21400000000000002</v>
      </c>
      <c r="O47" s="15">
        <v>1.1000000000000003E-2</v>
      </c>
      <c r="P47" s="15">
        <f t="shared" si="29"/>
        <v>0.192</v>
      </c>
      <c r="Q47" s="15">
        <f t="shared" si="30"/>
        <v>0.16900000000000001</v>
      </c>
      <c r="R47" s="12">
        <f t="shared" si="31"/>
        <v>17.956043956043956</v>
      </c>
      <c r="S47" s="12">
        <f t="shared" si="32"/>
        <v>35.912087912087912</v>
      </c>
    </row>
    <row r="48" spans="1:30">
      <c r="A48" s="39" t="s">
        <v>16</v>
      </c>
      <c r="B48" s="12" t="s">
        <v>92</v>
      </c>
      <c r="C48" s="12" t="s">
        <v>96</v>
      </c>
      <c r="H48" s="15">
        <v>20</v>
      </c>
      <c r="I48" s="15">
        <v>5.5999999999999999E-3</v>
      </c>
      <c r="J48" s="15">
        <v>9.1000000000000004E-3</v>
      </c>
      <c r="K48" s="15">
        <v>2.5000000000000001E-2</v>
      </c>
      <c r="L48" s="15">
        <v>1E-3</v>
      </c>
      <c r="M48" s="44">
        <f t="shared" si="28"/>
        <v>2.3E-2</v>
      </c>
      <c r="N48" s="15">
        <v>0.21299999999999999</v>
      </c>
      <c r="O48" s="15">
        <v>0.01</v>
      </c>
      <c r="P48" s="15">
        <f t="shared" si="29"/>
        <v>0.193</v>
      </c>
      <c r="Q48" s="15">
        <f t="shared" si="30"/>
        <v>0.17</v>
      </c>
      <c r="R48" s="12">
        <f t="shared" si="31"/>
        <v>18.065934065934066</v>
      </c>
      <c r="S48" s="12">
        <f t="shared" si="32"/>
        <v>36.131868131868131</v>
      </c>
    </row>
    <row r="49" spans="1:24">
      <c r="A49" s="39"/>
      <c r="C49" s="30" t="s">
        <v>87</v>
      </c>
      <c r="D49" s="30"/>
      <c r="E49" s="31"/>
      <c r="F49" s="31"/>
      <c r="G49" s="32"/>
      <c r="H49" s="33">
        <v>1</v>
      </c>
      <c r="I49" s="34">
        <v>5.5999999999999999E-3</v>
      </c>
      <c r="J49" s="34">
        <v>9.1000000000000004E-3</v>
      </c>
      <c r="K49" s="35">
        <v>2.5000000000000001E-2</v>
      </c>
      <c r="L49" s="35">
        <v>1E-3</v>
      </c>
      <c r="M49" s="35">
        <f t="shared" si="28"/>
        <v>2.3E-2</v>
      </c>
      <c r="N49" s="36">
        <v>0.13100000000000001</v>
      </c>
      <c r="O49" s="35">
        <v>6.0000000000000001E-3</v>
      </c>
      <c r="P49" s="35">
        <f t="shared" si="29"/>
        <v>0.11900000000000001</v>
      </c>
      <c r="Q49" s="35">
        <f t="shared" si="30"/>
        <v>9.6000000000000002E-2</v>
      </c>
      <c r="R49" s="37">
        <f t="shared" si="31"/>
        <v>9.9340659340659343</v>
      </c>
      <c r="S49" s="38">
        <f t="shared" si="32"/>
        <v>0.99340659340659343</v>
      </c>
    </row>
    <row r="50" spans="1:24" ht="17.25" customHeight="1">
      <c r="A50" s="39" t="s">
        <v>16</v>
      </c>
      <c r="C50" s="12" t="s">
        <v>64</v>
      </c>
      <c r="D50" s="12" t="s">
        <v>65</v>
      </c>
      <c r="H50" s="15">
        <v>5</v>
      </c>
      <c r="I50" s="15">
        <v>5.5999999999999999E-3</v>
      </c>
      <c r="J50" s="15">
        <v>9.1000000000000004E-3</v>
      </c>
      <c r="K50" s="15">
        <v>2.5000000000000001E-2</v>
      </c>
      <c r="L50" s="15">
        <v>1E-3</v>
      </c>
      <c r="M50" s="44">
        <f t="shared" si="28"/>
        <v>2.3E-2</v>
      </c>
      <c r="N50" s="15">
        <v>0.16499999999999998</v>
      </c>
      <c r="O50" s="15">
        <v>1.9999999999999948E-3</v>
      </c>
      <c r="P50" s="15">
        <f t="shared" si="29"/>
        <v>0.16099999999999998</v>
      </c>
      <c r="Q50" s="15">
        <f t="shared" si="30"/>
        <v>0.13799999999999998</v>
      </c>
      <c r="R50" s="12">
        <f t="shared" si="31"/>
        <v>14.549450549450547</v>
      </c>
      <c r="S50" s="12">
        <f t="shared" si="32"/>
        <v>7.2747252747252729</v>
      </c>
      <c r="U50" s="12">
        <v>0.151</v>
      </c>
      <c r="V50" s="12">
        <v>5.8999999999999997E-2</v>
      </c>
      <c r="W50" s="12">
        <f>U50-0.126</f>
        <v>2.4999999999999994E-2</v>
      </c>
      <c r="X50" s="12">
        <f>V50-0.058</f>
        <v>9.9999999999999395E-4</v>
      </c>
    </row>
    <row r="51" spans="1:24">
      <c r="A51" s="39" t="s">
        <v>16</v>
      </c>
      <c r="C51" s="12" t="s">
        <v>137</v>
      </c>
      <c r="G51" s="15" t="s">
        <v>138</v>
      </c>
      <c r="H51" s="15">
        <v>20</v>
      </c>
      <c r="I51" s="15">
        <v>5.5999999999999999E-3</v>
      </c>
      <c r="J51" s="15">
        <v>9.1000000000000004E-3</v>
      </c>
      <c r="K51" s="15">
        <v>2.5000000000000001E-2</v>
      </c>
      <c r="L51" s="15">
        <v>1E-3</v>
      </c>
      <c r="M51" s="44">
        <f t="shared" si="28"/>
        <v>2.3E-2</v>
      </c>
      <c r="N51" s="15">
        <v>0.14599999999999999</v>
      </c>
      <c r="O51" s="42">
        <v>8.0000000000000002E-3</v>
      </c>
      <c r="P51" s="15">
        <f t="shared" si="29"/>
        <v>0.13</v>
      </c>
      <c r="Q51" s="15">
        <f t="shared" si="30"/>
        <v>0.10700000000000001</v>
      </c>
      <c r="R51" s="12">
        <f t="shared" si="31"/>
        <v>11.142857142857144</v>
      </c>
      <c r="S51" s="12">
        <f t="shared" si="32"/>
        <v>22.285714285714288</v>
      </c>
    </row>
    <row r="52" spans="1:24">
      <c r="A52" s="39" t="s">
        <v>16</v>
      </c>
      <c r="C52" s="12" t="s">
        <v>66</v>
      </c>
      <c r="D52" s="12" t="s">
        <v>67</v>
      </c>
      <c r="H52" s="15">
        <v>5</v>
      </c>
      <c r="I52" s="15">
        <v>5.5999999999999999E-3</v>
      </c>
      <c r="J52" s="15">
        <v>9.1000000000000004E-3</v>
      </c>
      <c r="K52" s="15">
        <v>2.5000000000000001E-2</v>
      </c>
      <c r="L52" s="15">
        <v>1E-3</v>
      </c>
      <c r="M52" s="44">
        <f t="shared" si="28"/>
        <v>2.3E-2</v>
      </c>
      <c r="N52" s="15">
        <v>0.13900000000000001</v>
      </c>
      <c r="O52" s="15">
        <v>3.9999999999999966E-3</v>
      </c>
      <c r="P52" s="15">
        <f t="shared" si="29"/>
        <v>0.13100000000000001</v>
      </c>
      <c r="Q52" s="15">
        <f t="shared" si="30"/>
        <v>0.10800000000000001</v>
      </c>
      <c r="R52" s="12">
        <f t="shared" si="31"/>
        <v>11.252747252747254</v>
      </c>
      <c r="S52" s="12">
        <f t="shared" si="32"/>
        <v>5.6263736263736268</v>
      </c>
      <c r="U52" s="12">
        <v>0.29099999999999998</v>
      </c>
      <c r="V52" s="12">
        <v>0.06</v>
      </c>
      <c r="W52" s="12">
        <f>U52-0.126</f>
        <v>0.16499999999999998</v>
      </c>
      <c r="X52" s="12">
        <f>V52-0.058</f>
        <v>1.9999999999999948E-3</v>
      </c>
    </row>
    <row r="53" spans="1:24">
      <c r="A53" s="39" t="s">
        <v>16</v>
      </c>
      <c r="C53" s="12" t="s">
        <v>68</v>
      </c>
      <c r="D53" s="12" t="s">
        <v>69</v>
      </c>
      <c r="H53" s="15">
        <v>10</v>
      </c>
      <c r="I53" s="15">
        <v>5.5999999999999999E-3</v>
      </c>
      <c r="J53" s="15">
        <v>9.1000000000000004E-3</v>
      </c>
      <c r="K53" s="15">
        <v>2.5000000000000001E-2</v>
      </c>
      <c r="L53" s="15">
        <v>1E-3</v>
      </c>
      <c r="M53" s="44">
        <f t="shared" si="28"/>
        <v>2.3E-2</v>
      </c>
      <c r="N53" s="15">
        <v>0.14400000000000002</v>
      </c>
      <c r="O53" s="15">
        <v>9.9999999999999395E-4</v>
      </c>
      <c r="P53" s="15">
        <f t="shared" si="29"/>
        <v>0.14200000000000002</v>
      </c>
      <c r="Q53" s="15">
        <f t="shared" si="30"/>
        <v>0.11900000000000002</v>
      </c>
      <c r="R53" s="12">
        <f t="shared" si="31"/>
        <v>12.461538461538463</v>
      </c>
      <c r="S53" s="12">
        <f t="shared" si="32"/>
        <v>12.461538461538463</v>
      </c>
      <c r="U53" s="12">
        <v>0.26500000000000001</v>
      </c>
      <c r="V53" s="12">
        <v>6.2E-2</v>
      </c>
      <c r="W53" s="12">
        <f>U53-0.126</f>
        <v>0.13900000000000001</v>
      </c>
      <c r="X53" s="12">
        <f>V53-0.058</f>
        <v>3.9999999999999966E-3</v>
      </c>
    </row>
    <row r="54" spans="1:24">
      <c r="A54" s="39" t="s">
        <v>16</v>
      </c>
      <c r="C54" s="12" t="s">
        <v>70</v>
      </c>
      <c r="D54" s="12" t="s">
        <v>71</v>
      </c>
      <c r="F54" s="12" t="s">
        <v>86</v>
      </c>
      <c r="H54" s="15">
        <v>5</v>
      </c>
      <c r="I54" s="15">
        <v>5.5999999999999999E-3</v>
      </c>
      <c r="J54" s="15">
        <v>9.1000000000000004E-3</v>
      </c>
      <c r="K54" s="15">
        <v>2.5000000000000001E-2</v>
      </c>
      <c r="L54" s="15">
        <v>1E-3</v>
      </c>
      <c r="M54" s="44">
        <f t="shared" si="28"/>
        <v>2.3E-2</v>
      </c>
      <c r="N54" s="15">
        <v>0.17299999999999999</v>
      </c>
      <c r="O54" s="15">
        <v>5.9999999999999984E-3</v>
      </c>
      <c r="P54" s="15">
        <f t="shared" si="29"/>
        <v>0.16099999999999998</v>
      </c>
      <c r="Q54" s="15">
        <f t="shared" si="30"/>
        <v>0.13799999999999998</v>
      </c>
      <c r="R54" s="12">
        <f t="shared" si="31"/>
        <v>14.549450549450547</v>
      </c>
      <c r="S54" s="12">
        <f t="shared" si="32"/>
        <v>7.2747252747252729</v>
      </c>
      <c r="U54" s="12">
        <v>0.27</v>
      </c>
      <c r="V54" s="12">
        <v>5.8999999999999997E-2</v>
      </c>
      <c r="W54" s="12">
        <f>U54-0.126</f>
        <v>0.14400000000000002</v>
      </c>
      <c r="X54" s="12">
        <f>V54-0.058</f>
        <v>9.9999999999999395E-4</v>
      </c>
    </row>
    <row r="55" spans="1:24">
      <c r="A55" s="39" t="s">
        <v>16</v>
      </c>
      <c r="C55" s="12" t="s">
        <v>100</v>
      </c>
      <c r="D55" s="12" t="s">
        <v>101</v>
      </c>
      <c r="H55" s="15">
        <v>1</v>
      </c>
      <c r="I55" s="15">
        <v>5.5999999999999999E-3</v>
      </c>
      <c r="J55" s="15">
        <v>9.1000000000000004E-3</v>
      </c>
      <c r="K55" s="15">
        <v>2.5000000000000001E-2</v>
      </c>
      <c r="L55" s="15">
        <v>1E-3</v>
      </c>
      <c r="M55" s="44">
        <f t="shared" si="28"/>
        <v>2.3E-2</v>
      </c>
      <c r="N55" s="12">
        <v>0.27700000000000002</v>
      </c>
      <c r="O55" s="15">
        <v>5.0000000000000001E-3</v>
      </c>
      <c r="P55" s="15">
        <f t="shared" si="29"/>
        <v>0.26700000000000002</v>
      </c>
      <c r="Q55" s="15">
        <f t="shared" si="30"/>
        <v>0.24400000000000002</v>
      </c>
      <c r="R55" s="12">
        <f t="shared" si="31"/>
        <v>26.197802197802201</v>
      </c>
      <c r="S55" s="12">
        <f t="shared" si="32"/>
        <v>2.6197802197802202</v>
      </c>
    </row>
    <row r="56" spans="1:24" ht="18.75" customHeight="1">
      <c r="A56" s="39" t="s">
        <v>16</v>
      </c>
      <c r="C56" s="12" t="s">
        <v>102</v>
      </c>
      <c r="D56" s="12" t="s">
        <v>103</v>
      </c>
      <c r="H56" s="15">
        <v>1</v>
      </c>
      <c r="I56" s="15">
        <v>5.5999999999999999E-3</v>
      </c>
      <c r="J56" s="15">
        <v>9.1000000000000004E-3</v>
      </c>
      <c r="K56" s="15">
        <v>2.5000000000000001E-2</v>
      </c>
      <c r="L56" s="15">
        <v>1E-3</v>
      </c>
      <c r="M56" s="44">
        <f t="shared" si="28"/>
        <v>2.3E-2</v>
      </c>
      <c r="N56" s="15">
        <v>0.18</v>
      </c>
      <c r="O56" s="15">
        <v>5.0000000000000044E-3</v>
      </c>
      <c r="P56" s="15">
        <f t="shared" si="29"/>
        <v>0.16999999999999998</v>
      </c>
      <c r="Q56" s="15">
        <f t="shared" si="30"/>
        <v>0.14699999999999999</v>
      </c>
      <c r="R56" s="12">
        <f t="shared" si="31"/>
        <v>15.538461538461538</v>
      </c>
      <c r="S56" s="12">
        <f t="shared" si="32"/>
        <v>1.5538461538461539</v>
      </c>
    </row>
    <row r="57" spans="1:24">
      <c r="A57" s="39" t="s">
        <v>16</v>
      </c>
      <c r="C57" s="12" t="s">
        <v>104</v>
      </c>
      <c r="D57" s="12" t="s">
        <v>105</v>
      </c>
      <c r="H57" s="15">
        <v>5</v>
      </c>
      <c r="I57" s="15">
        <v>5.5999999999999999E-3</v>
      </c>
      <c r="J57" s="15">
        <v>9.1000000000000004E-3</v>
      </c>
      <c r="K57" s="15">
        <v>2.5000000000000001E-2</v>
      </c>
      <c r="L57" s="15">
        <v>1E-3</v>
      </c>
      <c r="M57" s="44">
        <f t="shared" si="28"/>
        <v>2.3E-2</v>
      </c>
      <c r="N57" s="15">
        <v>0.109</v>
      </c>
      <c r="O57" s="15">
        <v>5.9999999999999915E-3</v>
      </c>
      <c r="P57" s="15">
        <f t="shared" si="29"/>
        <v>9.7000000000000017E-2</v>
      </c>
      <c r="Q57" s="15">
        <f t="shared" si="30"/>
        <v>7.400000000000001E-2</v>
      </c>
      <c r="R57" s="12">
        <f t="shared" si="31"/>
        <v>7.5164835164835182</v>
      </c>
      <c r="S57" s="12">
        <f t="shared" si="32"/>
        <v>3.7582417582417591</v>
      </c>
    </row>
    <row r="58" spans="1:24" ht="15" customHeight="1">
      <c r="A58" s="39" t="s">
        <v>16</v>
      </c>
      <c r="C58" s="12" t="s">
        <v>106</v>
      </c>
      <c r="D58" s="12" t="s">
        <v>107</v>
      </c>
      <c r="H58" s="15">
        <v>2</v>
      </c>
      <c r="I58" s="15">
        <v>5.5999999999999999E-3</v>
      </c>
      <c r="J58" s="15">
        <v>9.1000000000000004E-3</v>
      </c>
      <c r="K58" s="15">
        <v>2.5000000000000001E-2</v>
      </c>
      <c r="L58" s="15">
        <v>1E-3</v>
      </c>
      <c r="M58" s="44">
        <f t="shared" si="28"/>
        <v>2.3E-2</v>
      </c>
      <c r="N58" s="15">
        <v>9.2999999999999985E-2</v>
      </c>
      <c r="O58" s="15">
        <v>3.0000000000000027E-3</v>
      </c>
      <c r="P58" s="15">
        <f t="shared" si="29"/>
        <v>8.699999999999998E-2</v>
      </c>
      <c r="Q58" s="15">
        <f t="shared" si="30"/>
        <v>6.3999999999999974E-2</v>
      </c>
      <c r="R58" s="12">
        <f t="shared" si="31"/>
        <v>6.4175824175824143</v>
      </c>
      <c r="S58" s="12">
        <f t="shared" si="32"/>
        <v>1.283516483516483</v>
      </c>
    </row>
    <row r="59" spans="1:24">
      <c r="A59" s="39" t="s">
        <v>16</v>
      </c>
      <c r="C59" s="12" t="s">
        <v>108</v>
      </c>
      <c r="D59" s="12" t="s">
        <v>109</v>
      </c>
      <c r="H59" s="15">
        <v>10</v>
      </c>
      <c r="I59" s="15">
        <v>5.5999999999999999E-3</v>
      </c>
      <c r="J59" s="15">
        <v>9.1000000000000004E-3</v>
      </c>
      <c r="K59" s="15">
        <v>2.5000000000000001E-2</v>
      </c>
      <c r="L59" s="15">
        <v>1E-3</v>
      </c>
      <c r="M59" s="44">
        <f t="shared" si="28"/>
        <v>2.3E-2</v>
      </c>
      <c r="N59" s="15">
        <v>0.4</v>
      </c>
      <c r="O59" s="15">
        <v>1.2999999999999998E-2</v>
      </c>
      <c r="P59" s="15">
        <f t="shared" si="29"/>
        <v>0.374</v>
      </c>
      <c r="Q59" s="15">
        <f t="shared" si="30"/>
        <v>0.35099999999999998</v>
      </c>
      <c r="R59" s="12">
        <f t="shared" si="31"/>
        <v>37.956043956043949</v>
      </c>
      <c r="S59" s="12">
        <f t="shared" si="32"/>
        <v>37.956043956043949</v>
      </c>
    </row>
    <row r="60" spans="1:24" ht="14.25" customHeight="1">
      <c r="A60" s="39" t="s">
        <v>72</v>
      </c>
      <c r="B60" s="13">
        <v>43838</v>
      </c>
      <c r="C60" s="12" t="s">
        <v>98</v>
      </c>
      <c r="D60" s="12" t="s">
        <v>73</v>
      </c>
      <c r="H60" s="15">
        <v>5</v>
      </c>
      <c r="I60" s="15">
        <v>5.5999999999999999E-3</v>
      </c>
      <c r="J60" s="15">
        <v>9.1000000000000004E-3</v>
      </c>
      <c r="K60" s="15">
        <v>2.5000000000000001E-2</v>
      </c>
      <c r="L60" s="15">
        <v>1E-3</v>
      </c>
      <c r="M60" s="44">
        <f t="shared" si="28"/>
        <v>2.3E-2</v>
      </c>
      <c r="N60" s="15">
        <v>0.373</v>
      </c>
      <c r="O60" s="15">
        <v>6.9999999999999993E-3</v>
      </c>
      <c r="P60" s="15">
        <f t="shared" si="29"/>
        <v>0.35899999999999999</v>
      </c>
      <c r="Q60" s="15">
        <f t="shared" si="30"/>
        <v>0.33599999999999997</v>
      </c>
      <c r="R60" s="12">
        <f t="shared" si="31"/>
        <v>36.307692307692299</v>
      </c>
      <c r="S60" s="12">
        <f t="shared" si="32"/>
        <v>18.15384615384615</v>
      </c>
      <c r="U60" s="12">
        <v>0.29899999999999999</v>
      </c>
      <c r="V60" s="12">
        <v>6.4000000000000001E-2</v>
      </c>
      <c r="W60" s="12">
        <f>U60-0.126</f>
        <v>0.17299999999999999</v>
      </c>
      <c r="X60" s="12">
        <f>V60-0.058</f>
        <v>5.9999999999999984E-3</v>
      </c>
    </row>
    <row r="61" spans="1:24" ht="14.25" customHeight="1">
      <c r="A61" s="39" t="s">
        <v>72</v>
      </c>
      <c r="B61" s="12" t="s">
        <v>97</v>
      </c>
      <c r="C61" s="12" t="s">
        <v>99</v>
      </c>
      <c r="H61" s="15">
        <v>5</v>
      </c>
      <c r="I61" s="15">
        <v>5.5999999999999999E-3</v>
      </c>
      <c r="J61" s="15">
        <v>9.1000000000000004E-3</v>
      </c>
      <c r="K61" s="15">
        <v>2.5000000000000001E-2</v>
      </c>
      <c r="L61" s="15">
        <v>1E-3</v>
      </c>
      <c r="M61" s="44">
        <f t="shared" si="28"/>
        <v>2.3E-2</v>
      </c>
      <c r="N61" s="15">
        <v>0.372</v>
      </c>
      <c r="O61" s="15">
        <v>6.9999999999999993E-3</v>
      </c>
      <c r="P61" s="15">
        <f t="shared" si="29"/>
        <v>0.35799999999999998</v>
      </c>
      <c r="Q61" s="15">
        <f t="shared" si="30"/>
        <v>0.33499999999999996</v>
      </c>
      <c r="R61" s="12">
        <f t="shared" si="31"/>
        <v>36.19780219780219</v>
      </c>
      <c r="S61" s="12">
        <f t="shared" si="32"/>
        <v>18.098901098901095</v>
      </c>
    </row>
    <row r="62" spans="1:24">
      <c r="A62" s="39"/>
      <c r="C62" s="30" t="s">
        <v>87</v>
      </c>
      <c r="D62" s="30"/>
      <c r="E62" s="31"/>
      <c r="F62" s="31"/>
      <c r="G62" s="32"/>
      <c r="H62" s="33">
        <v>1</v>
      </c>
      <c r="I62" s="34">
        <v>5.5999999999999999E-3</v>
      </c>
      <c r="J62" s="34">
        <v>9.1000000000000004E-3</v>
      </c>
      <c r="K62" s="35">
        <v>2.5000000000000001E-2</v>
      </c>
      <c r="L62" s="35">
        <v>1E-3</v>
      </c>
      <c r="M62" s="35">
        <f t="shared" si="28"/>
        <v>2.3E-2</v>
      </c>
      <c r="N62" s="36">
        <v>0.13100000000000001</v>
      </c>
      <c r="O62" s="35">
        <v>6.0000000000000001E-3</v>
      </c>
      <c r="P62" s="35">
        <f t="shared" si="29"/>
        <v>0.11900000000000001</v>
      </c>
      <c r="Q62" s="35">
        <f t="shared" si="30"/>
        <v>9.6000000000000002E-2</v>
      </c>
      <c r="R62" s="37">
        <f t="shared" si="31"/>
        <v>9.9340659340659343</v>
      </c>
      <c r="S62" s="38">
        <f t="shared" si="32"/>
        <v>0.99340659340659343</v>
      </c>
    </row>
    <row r="63" spans="1:24" ht="14.25" customHeight="1">
      <c r="A63" s="39" t="s">
        <v>72</v>
      </c>
      <c r="C63" s="12" t="s">
        <v>74</v>
      </c>
      <c r="D63" s="12" t="s">
        <v>75</v>
      </c>
      <c r="H63" s="15">
        <v>2</v>
      </c>
      <c r="I63" s="15">
        <v>5.5999999999999999E-3</v>
      </c>
      <c r="J63" s="15">
        <v>9.1000000000000004E-3</v>
      </c>
      <c r="K63" s="15">
        <v>2.5000000000000001E-2</v>
      </c>
      <c r="L63" s="15">
        <v>1E-3</v>
      </c>
      <c r="M63" s="44">
        <f t="shared" si="28"/>
        <v>2.3E-2</v>
      </c>
      <c r="N63" s="15">
        <v>0.15500000000000003</v>
      </c>
      <c r="O63" s="15">
        <v>3.9999999999999966E-3</v>
      </c>
      <c r="P63" s="15">
        <f t="shared" si="29"/>
        <v>0.14700000000000002</v>
      </c>
      <c r="Q63" s="15">
        <f t="shared" si="30"/>
        <v>0.12400000000000003</v>
      </c>
      <c r="R63" s="12">
        <f t="shared" si="31"/>
        <v>13.010989010989015</v>
      </c>
      <c r="S63" s="12">
        <f t="shared" si="32"/>
        <v>2.6021978021978027</v>
      </c>
      <c r="U63" s="12">
        <v>0.34</v>
      </c>
      <c r="V63" s="12">
        <v>6.9000000000000006E-2</v>
      </c>
      <c r="W63" s="12">
        <f t="shared" ref="W63:W68" si="33">U63-0.126</f>
        <v>0.21400000000000002</v>
      </c>
      <c r="X63" s="12">
        <f t="shared" ref="X63:X68" si="34">V63-0.058</f>
        <v>1.1000000000000003E-2</v>
      </c>
    </row>
    <row r="64" spans="1:24" ht="14.25" customHeight="1">
      <c r="A64" s="39" t="s">
        <v>72</v>
      </c>
      <c r="C64" s="12" t="s">
        <v>76</v>
      </c>
      <c r="D64" s="12" t="s">
        <v>77</v>
      </c>
      <c r="H64" s="15">
        <v>1</v>
      </c>
      <c r="I64" s="15">
        <v>5.5999999999999999E-3</v>
      </c>
      <c r="J64" s="15">
        <v>9.1000000000000004E-3</v>
      </c>
      <c r="K64" s="15">
        <v>2.5000000000000001E-2</v>
      </c>
      <c r="L64" s="15">
        <v>1E-3</v>
      </c>
      <c r="M64" s="44">
        <f t="shared" si="28"/>
        <v>2.3E-2</v>
      </c>
      <c r="N64" s="15">
        <v>0.94499999999999995</v>
      </c>
      <c r="O64" s="15">
        <v>1.5999999999999993E-2</v>
      </c>
      <c r="P64" s="15">
        <f t="shared" si="29"/>
        <v>0.91299999999999992</v>
      </c>
      <c r="Q64" s="15">
        <f t="shared" si="30"/>
        <v>0.8899999999999999</v>
      </c>
      <c r="R64" s="12">
        <f t="shared" si="31"/>
        <v>97.186813186813168</v>
      </c>
      <c r="S64" s="12">
        <f t="shared" si="32"/>
        <v>9.7186813186813161</v>
      </c>
      <c r="U64" s="12">
        <v>0.499</v>
      </c>
      <c r="V64" s="12">
        <v>6.5000000000000002E-2</v>
      </c>
      <c r="W64" s="12">
        <f t="shared" si="33"/>
        <v>0.373</v>
      </c>
      <c r="X64" s="12">
        <f t="shared" si="34"/>
        <v>6.9999999999999993E-3</v>
      </c>
    </row>
    <row r="65" spans="1:24" ht="14.25" customHeight="1">
      <c r="A65" s="39" t="s">
        <v>72</v>
      </c>
      <c r="C65" s="12" t="s">
        <v>78</v>
      </c>
      <c r="D65" s="12" t="s">
        <v>79</v>
      </c>
      <c r="H65" s="15">
        <v>5</v>
      </c>
      <c r="I65" s="15">
        <v>5.5999999999999999E-3</v>
      </c>
      <c r="J65" s="15">
        <v>9.1000000000000004E-3</v>
      </c>
      <c r="K65" s="15">
        <v>2.5000000000000001E-2</v>
      </c>
      <c r="L65" s="15">
        <v>1E-3</v>
      </c>
      <c r="M65" s="44">
        <f t="shared" si="28"/>
        <v>2.3E-2</v>
      </c>
      <c r="N65" s="15">
        <v>0.52500000000000002</v>
      </c>
      <c r="O65" s="15">
        <v>6.9999999999999993E-3</v>
      </c>
      <c r="P65" s="15">
        <f t="shared" si="29"/>
        <v>0.51100000000000001</v>
      </c>
      <c r="Q65" s="15">
        <f t="shared" si="30"/>
        <v>0.48799999999999999</v>
      </c>
      <c r="R65" s="12">
        <f t="shared" si="31"/>
        <v>53.010989010989007</v>
      </c>
      <c r="S65" s="12">
        <f t="shared" si="32"/>
        <v>26.505494505494504</v>
      </c>
      <c r="U65" s="12">
        <v>0.28100000000000003</v>
      </c>
      <c r="V65" s="12">
        <v>6.2E-2</v>
      </c>
      <c r="W65" s="12">
        <f t="shared" si="33"/>
        <v>0.15500000000000003</v>
      </c>
      <c r="X65" s="12">
        <f t="shared" si="34"/>
        <v>3.9999999999999966E-3</v>
      </c>
    </row>
    <row r="66" spans="1:24" ht="14.25" customHeight="1">
      <c r="A66" s="39" t="s">
        <v>72</v>
      </c>
      <c r="C66" s="12" t="s">
        <v>80</v>
      </c>
      <c r="D66" s="12" t="s">
        <v>81</v>
      </c>
      <c r="H66" s="15">
        <v>5</v>
      </c>
      <c r="I66" s="15">
        <v>5.5999999999999999E-3</v>
      </c>
      <c r="J66" s="15">
        <v>9.1000000000000004E-3</v>
      </c>
      <c r="K66" s="15">
        <v>2.5000000000000001E-2</v>
      </c>
      <c r="L66" s="15">
        <v>1E-3</v>
      </c>
      <c r="M66" s="44">
        <f t="shared" si="28"/>
        <v>2.3E-2</v>
      </c>
      <c r="N66" s="15">
        <v>0.29599999999999999</v>
      </c>
      <c r="O66" s="15">
        <v>8.0000000000000002E-3</v>
      </c>
      <c r="P66" s="15">
        <f t="shared" si="29"/>
        <v>0.27999999999999997</v>
      </c>
      <c r="Q66" s="15">
        <f t="shared" si="30"/>
        <v>0.25699999999999995</v>
      </c>
      <c r="R66" s="12">
        <f t="shared" si="31"/>
        <v>27.626373626373621</v>
      </c>
      <c r="S66" s="12">
        <f t="shared" si="32"/>
        <v>13.813186813186809</v>
      </c>
      <c r="U66" s="12">
        <v>1.071</v>
      </c>
      <c r="V66" s="12">
        <v>7.3999999999999996E-2</v>
      </c>
      <c r="W66" s="12">
        <f t="shared" si="33"/>
        <v>0.94499999999999995</v>
      </c>
      <c r="X66" s="12">
        <f t="shared" si="34"/>
        <v>1.5999999999999993E-2</v>
      </c>
    </row>
    <row r="67" spans="1:24" ht="14.25" customHeight="1">
      <c r="A67" s="39" t="s">
        <v>72</v>
      </c>
      <c r="C67" s="12" t="s">
        <v>82</v>
      </c>
      <c r="D67" s="12" t="s">
        <v>83</v>
      </c>
      <c r="H67" s="15">
        <v>5</v>
      </c>
      <c r="I67" s="15">
        <v>5.5999999999999999E-3</v>
      </c>
      <c r="J67" s="15">
        <v>9.1000000000000004E-3</v>
      </c>
      <c r="K67" s="15">
        <v>2.5000000000000001E-2</v>
      </c>
      <c r="L67" s="15">
        <v>1E-3</v>
      </c>
      <c r="M67" s="44">
        <f t="shared" si="28"/>
        <v>2.3E-2</v>
      </c>
      <c r="N67" s="15">
        <v>0.17099999999999999</v>
      </c>
      <c r="O67" s="15">
        <v>5.9999999999999984E-3</v>
      </c>
      <c r="P67" s="15">
        <f t="shared" si="29"/>
        <v>0.15899999999999997</v>
      </c>
      <c r="Q67" s="15">
        <f t="shared" si="30"/>
        <v>0.13599999999999998</v>
      </c>
      <c r="R67" s="12">
        <f t="shared" si="31"/>
        <v>14.329670329670328</v>
      </c>
      <c r="S67" s="12">
        <f t="shared" si="32"/>
        <v>7.1648351648351651</v>
      </c>
      <c r="U67" s="12">
        <v>1.0940000000000001</v>
      </c>
      <c r="V67" s="12">
        <v>6.5000000000000002E-2</v>
      </c>
      <c r="W67" s="12">
        <f t="shared" si="33"/>
        <v>0.96800000000000008</v>
      </c>
      <c r="X67" s="12">
        <f t="shared" si="34"/>
        <v>6.9999999999999993E-3</v>
      </c>
    </row>
    <row r="68" spans="1:24" ht="14.25" customHeight="1">
      <c r="A68" s="39" t="s">
        <v>72</v>
      </c>
      <c r="C68" s="12" t="s">
        <v>84</v>
      </c>
      <c r="D68" s="12" t="s">
        <v>85</v>
      </c>
      <c r="H68" s="15">
        <v>5</v>
      </c>
      <c r="I68" s="15">
        <v>5.5999999999999999E-3</v>
      </c>
      <c r="J68" s="15">
        <v>9.1000000000000004E-3</v>
      </c>
      <c r="K68" s="15">
        <v>2.5000000000000001E-2</v>
      </c>
      <c r="L68" s="15">
        <v>1E-3</v>
      </c>
      <c r="M68" s="44">
        <f t="shared" si="28"/>
        <v>2.3E-2</v>
      </c>
      <c r="N68" s="15">
        <v>0.40700000000000003</v>
      </c>
      <c r="O68" s="15">
        <v>9.0000000000000011E-3</v>
      </c>
      <c r="P68" s="15">
        <f t="shared" si="29"/>
        <v>0.38900000000000001</v>
      </c>
      <c r="Q68" s="15">
        <f t="shared" si="30"/>
        <v>0.36599999999999999</v>
      </c>
      <c r="R68" s="12">
        <f t="shared" si="31"/>
        <v>39.604395604395599</v>
      </c>
      <c r="S68" s="12">
        <f t="shared" si="32"/>
        <v>19.802197802197799</v>
      </c>
      <c r="U68" s="12">
        <v>0.42199999999999999</v>
      </c>
      <c r="V68" s="12">
        <v>6.6000000000000003E-2</v>
      </c>
      <c r="W68" s="12">
        <f t="shared" si="33"/>
        <v>0.29599999999999999</v>
      </c>
      <c r="X68" s="12">
        <f t="shared" si="34"/>
        <v>8.0000000000000002E-3</v>
      </c>
    </row>
    <row r="69" spans="1:24">
      <c r="A69" s="39"/>
      <c r="C69" s="12" t="s">
        <v>110</v>
      </c>
      <c r="D69" s="12" t="s">
        <v>30</v>
      </c>
      <c r="H69" s="15">
        <v>5</v>
      </c>
      <c r="I69" s="15">
        <v>5.5999999999999999E-3</v>
      </c>
      <c r="J69" s="15">
        <v>9.1000000000000004E-3</v>
      </c>
      <c r="K69" s="15">
        <v>2.5000000000000001E-2</v>
      </c>
      <c r="L69" s="15">
        <v>1E-3</v>
      </c>
      <c r="M69" s="44">
        <f t="shared" si="28"/>
        <v>2.3E-2</v>
      </c>
      <c r="N69" s="12">
        <v>0.22</v>
      </c>
      <c r="O69" s="15">
        <v>8.0000000000000002E-3</v>
      </c>
      <c r="P69" s="15">
        <f t="shared" si="29"/>
        <v>0.20400000000000001</v>
      </c>
      <c r="Q69" s="15">
        <f t="shared" si="30"/>
        <v>0.18100000000000002</v>
      </c>
      <c r="R69" s="12">
        <f t="shared" si="31"/>
        <v>19.274725274725277</v>
      </c>
      <c r="S69" s="41">
        <f t="shared" si="32"/>
        <v>9.6373626373626387</v>
      </c>
    </row>
    <row r="70" spans="1:24">
      <c r="A70" s="39"/>
      <c r="C70" s="12" t="s">
        <v>111</v>
      </c>
      <c r="D70" s="12" t="s">
        <v>32</v>
      </c>
      <c r="H70" s="15">
        <v>10</v>
      </c>
      <c r="I70" s="15">
        <v>5.5999999999999999E-3</v>
      </c>
      <c r="J70" s="15">
        <v>9.1000000000000004E-3</v>
      </c>
      <c r="K70" s="15">
        <v>2.5000000000000001E-2</v>
      </c>
      <c r="L70" s="15">
        <v>1E-3</v>
      </c>
      <c r="M70" s="44">
        <f t="shared" si="28"/>
        <v>2.3E-2</v>
      </c>
      <c r="N70" s="12">
        <v>0.14399999999999999</v>
      </c>
      <c r="O70" s="15">
        <v>7.0000000000000001E-3</v>
      </c>
      <c r="P70" s="15">
        <f t="shared" si="29"/>
        <v>0.12999999999999998</v>
      </c>
      <c r="Q70" s="15">
        <f t="shared" si="30"/>
        <v>0.10699999999999998</v>
      </c>
      <c r="R70" s="12">
        <f t="shared" si="31"/>
        <v>11.142857142857141</v>
      </c>
      <c r="S70" s="12">
        <f t="shared" si="32"/>
        <v>11.142857142857141</v>
      </c>
    </row>
    <row r="71" spans="1:24">
      <c r="A71" s="39"/>
      <c r="C71" s="12" t="s">
        <v>112</v>
      </c>
      <c r="D71" s="12" t="s">
        <v>34</v>
      </c>
      <c r="H71" s="15">
        <v>10</v>
      </c>
      <c r="I71" s="15">
        <v>5.5999999999999999E-3</v>
      </c>
      <c r="J71" s="15">
        <v>9.1000000000000004E-3</v>
      </c>
      <c r="K71" s="15">
        <v>2.5000000000000001E-2</v>
      </c>
      <c r="L71" s="15">
        <v>1E-3</v>
      </c>
      <c r="M71" s="44">
        <f t="shared" si="28"/>
        <v>2.3E-2</v>
      </c>
      <c r="N71" s="12">
        <v>0.20499999999999999</v>
      </c>
      <c r="O71" s="15">
        <v>8.9999999999999993E-3</v>
      </c>
      <c r="P71" s="15">
        <f t="shared" si="29"/>
        <v>0.187</v>
      </c>
      <c r="Q71" s="15">
        <f t="shared" si="30"/>
        <v>0.16400000000000001</v>
      </c>
      <c r="R71" s="12">
        <f t="shared" si="31"/>
        <v>17.406593406593409</v>
      </c>
      <c r="S71" s="12">
        <f t="shared" si="32"/>
        <v>17.406593406593409</v>
      </c>
    </row>
    <row r="72" spans="1:24">
      <c r="A72" s="39"/>
      <c r="C72" s="12" t="s">
        <v>113</v>
      </c>
      <c r="D72" s="12" t="s">
        <v>36</v>
      </c>
      <c r="H72" s="15">
        <v>5</v>
      </c>
      <c r="I72" s="15">
        <v>5.5999999999999999E-3</v>
      </c>
      <c r="J72" s="15">
        <v>9.1000000000000004E-3</v>
      </c>
      <c r="K72" s="15">
        <v>2.5000000000000001E-2</v>
      </c>
      <c r="L72" s="15">
        <v>1E-3</v>
      </c>
      <c r="M72" s="44">
        <f t="shared" si="28"/>
        <v>2.3E-2</v>
      </c>
      <c r="N72" s="12">
        <v>0.123</v>
      </c>
      <c r="O72" s="15">
        <v>0.01</v>
      </c>
      <c r="P72" s="15">
        <f t="shared" si="29"/>
        <v>0.10299999999999999</v>
      </c>
      <c r="Q72" s="15">
        <f t="shared" si="30"/>
        <v>7.9999999999999988E-2</v>
      </c>
      <c r="R72" s="12">
        <f>(Q72-I71)/J71</f>
        <v>8.1758241758241752</v>
      </c>
      <c r="S72" s="12">
        <f t="shared" si="32"/>
        <v>4.0879120879120876</v>
      </c>
      <c r="U72" s="12">
        <v>0.129</v>
      </c>
      <c r="V72" s="12">
        <v>3.2000000000000001E-2</v>
      </c>
      <c r="W72" s="12">
        <f>U72-0.101</f>
        <v>2.7999999999999997E-2</v>
      </c>
      <c r="X72" s="12">
        <f>V72-0.031</f>
        <v>1.0000000000000009E-3</v>
      </c>
    </row>
    <row r="73" spans="1:24" ht="16.5" customHeight="1">
      <c r="A73" s="39" t="s">
        <v>16</v>
      </c>
      <c r="B73" s="13">
        <v>43840</v>
      </c>
      <c r="C73" s="12" t="s">
        <v>125</v>
      </c>
      <c r="D73" s="12" t="s">
        <v>114</v>
      </c>
      <c r="H73" s="15">
        <v>20</v>
      </c>
      <c r="I73" s="15">
        <v>5.5999999999999999E-3</v>
      </c>
      <c r="J73" s="15">
        <v>9.1000000000000004E-3</v>
      </c>
      <c r="K73" s="15">
        <v>2.8000000000000001E-2</v>
      </c>
      <c r="L73" s="15">
        <v>1E-3</v>
      </c>
      <c r="M73" s="44">
        <f t="shared" si="28"/>
        <v>2.6000000000000002E-2</v>
      </c>
      <c r="N73" s="15">
        <v>0.67900000000000005</v>
      </c>
      <c r="O73" s="15">
        <v>4.9999999999999975E-3</v>
      </c>
      <c r="P73" s="15">
        <f t="shared" si="29"/>
        <v>0.66900000000000004</v>
      </c>
      <c r="Q73" s="15">
        <f t="shared" si="30"/>
        <v>0.64300000000000002</v>
      </c>
      <c r="R73" s="12">
        <f>(Q73-I72)/J72</f>
        <v>70.043956043956044</v>
      </c>
      <c r="S73" s="12">
        <f t="shared" si="32"/>
        <v>140.08791208791209</v>
      </c>
      <c r="U73" s="12">
        <v>0.78</v>
      </c>
      <c r="V73" s="12">
        <v>3.5999999999999997E-2</v>
      </c>
      <c r="W73" s="12">
        <f>U73-0.101</f>
        <v>0.67900000000000005</v>
      </c>
      <c r="X73" s="12">
        <f>V73-0.031</f>
        <v>4.9999999999999975E-3</v>
      </c>
    </row>
    <row r="74" spans="1:24" ht="16.5" customHeight="1">
      <c r="A74" s="39" t="s">
        <v>16</v>
      </c>
      <c r="B74" s="12" t="s">
        <v>124</v>
      </c>
      <c r="C74" s="12" t="s">
        <v>126</v>
      </c>
      <c r="H74" s="15">
        <v>20</v>
      </c>
      <c r="I74" s="15">
        <v>5.5999999999999999E-3</v>
      </c>
      <c r="J74" s="15">
        <v>9.1000000000000004E-3</v>
      </c>
      <c r="K74" s="15">
        <v>2.8000000000000001E-2</v>
      </c>
      <c r="L74" s="15">
        <v>1E-3</v>
      </c>
      <c r="M74" s="44">
        <f t="shared" si="28"/>
        <v>2.6000000000000002E-2</v>
      </c>
      <c r="N74" s="15">
        <v>0.67800000000000005</v>
      </c>
      <c r="O74" s="15">
        <v>4.9999999999999975E-3</v>
      </c>
      <c r="P74" s="15">
        <f t="shared" si="29"/>
        <v>0.66800000000000004</v>
      </c>
      <c r="Q74" s="15">
        <f t="shared" si="30"/>
        <v>0.64200000000000002</v>
      </c>
      <c r="R74" s="12">
        <f>(Q74-I73)/J73</f>
        <v>69.934065934065927</v>
      </c>
      <c r="S74" s="12">
        <f t="shared" si="32"/>
        <v>139.86813186813185</v>
      </c>
    </row>
    <row r="75" spans="1:24">
      <c r="A75" s="39"/>
      <c r="C75" s="30" t="s">
        <v>87</v>
      </c>
      <c r="D75" s="30"/>
      <c r="E75" s="31"/>
      <c r="F75" s="31"/>
      <c r="G75" s="32"/>
      <c r="H75" s="33">
        <v>1</v>
      </c>
      <c r="I75" s="34">
        <v>5.5999999999999999E-3</v>
      </c>
      <c r="J75" s="34">
        <v>9.1000000000000004E-3</v>
      </c>
      <c r="K75" s="35">
        <v>2.8000000000000001E-2</v>
      </c>
      <c r="L75" s="35">
        <v>1E-3</v>
      </c>
      <c r="M75" s="35">
        <f t="shared" ref="M75:M106" si="35">K75-2*L75</f>
        <v>2.6000000000000002E-2</v>
      </c>
      <c r="N75" s="36">
        <v>0.13700000000000001</v>
      </c>
      <c r="O75" s="35">
        <v>5.0000000000000001E-3</v>
      </c>
      <c r="P75" s="35">
        <f t="shared" ref="P75:P106" si="36">N75-2*O75</f>
        <v>0.127</v>
      </c>
      <c r="Q75" s="35">
        <f t="shared" ref="Q75:Q106" si="37">P75-M75</f>
        <v>0.10100000000000001</v>
      </c>
      <c r="R75" s="37">
        <f>(Q75-I75)/J75</f>
        <v>10.483516483516484</v>
      </c>
      <c r="S75" s="38">
        <f t="shared" ref="S75:S106" si="38">R75*H75/10</f>
        <v>1.0483516483516484</v>
      </c>
    </row>
    <row r="76" spans="1:24" ht="15" customHeight="1">
      <c r="A76" s="39" t="s">
        <v>16</v>
      </c>
      <c r="C76" s="12" t="s">
        <v>115</v>
      </c>
      <c r="D76" s="12" t="s">
        <v>116</v>
      </c>
      <c r="H76" s="15">
        <v>5</v>
      </c>
      <c r="I76" s="15">
        <v>5.5999999999999999E-3</v>
      </c>
      <c r="J76" s="15">
        <v>9.1000000000000004E-3</v>
      </c>
      <c r="K76" s="15">
        <v>2.8000000000000001E-2</v>
      </c>
      <c r="L76" s="15">
        <v>1E-3</v>
      </c>
      <c r="M76" s="44">
        <f t="shared" si="35"/>
        <v>2.6000000000000002E-2</v>
      </c>
      <c r="N76" s="15">
        <v>0.13999999999999999</v>
      </c>
      <c r="O76" s="15">
        <v>8.0000000000000002E-3</v>
      </c>
      <c r="P76" s="15">
        <f t="shared" si="36"/>
        <v>0.12399999999999999</v>
      </c>
      <c r="Q76" s="15">
        <f t="shared" si="37"/>
        <v>9.7999999999999976E-2</v>
      </c>
      <c r="R76" s="12">
        <f>(Q76-I73)/J73</f>
        <v>10.153846153846152</v>
      </c>
      <c r="S76" s="12">
        <f t="shared" si="38"/>
        <v>5.0769230769230758</v>
      </c>
    </row>
    <row r="77" spans="1:24" ht="15.75" customHeight="1">
      <c r="A77" s="39" t="s">
        <v>16</v>
      </c>
      <c r="C77" s="12" t="s">
        <v>117</v>
      </c>
      <c r="D77" s="12" t="s">
        <v>118</v>
      </c>
      <c r="G77" s="12" t="s">
        <v>119</v>
      </c>
      <c r="H77" s="15">
        <v>100</v>
      </c>
      <c r="I77" s="15">
        <v>5.5999999999999999E-3</v>
      </c>
      <c r="J77" s="15">
        <v>9.1000000000000004E-3</v>
      </c>
      <c r="K77" s="15">
        <v>2.8000000000000001E-2</v>
      </c>
      <c r="L77" s="15">
        <v>1E-3</v>
      </c>
      <c r="M77" s="44">
        <f t="shared" si="35"/>
        <v>2.6000000000000002E-2</v>
      </c>
      <c r="N77" s="15">
        <v>0.32699999999999996</v>
      </c>
      <c r="O77" s="15">
        <v>2.0000000000000018E-3</v>
      </c>
      <c r="P77" s="15">
        <f t="shared" si="36"/>
        <v>0.32299999999999995</v>
      </c>
      <c r="Q77" s="15">
        <f t="shared" si="37"/>
        <v>0.29699999999999993</v>
      </c>
      <c r="R77" s="12">
        <f>(Q77-I76)/J76</f>
        <v>32.021978021978015</v>
      </c>
      <c r="S77" s="12">
        <f t="shared" si="38"/>
        <v>320.21978021978015</v>
      </c>
    </row>
    <row r="78" spans="1:24">
      <c r="A78" s="39" t="s">
        <v>16</v>
      </c>
      <c r="C78" s="12" t="s">
        <v>120</v>
      </c>
      <c r="G78" s="12" t="s">
        <v>121</v>
      </c>
      <c r="H78" s="15">
        <v>5</v>
      </c>
      <c r="I78" s="15">
        <v>5.5999999999999999E-3</v>
      </c>
      <c r="J78" s="15">
        <v>9.1000000000000004E-3</v>
      </c>
      <c r="K78" s="15">
        <v>2.8000000000000001E-2</v>
      </c>
      <c r="L78" s="15">
        <v>1E-3</v>
      </c>
      <c r="M78" s="44">
        <f t="shared" si="35"/>
        <v>2.6000000000000002E-2</v>
      </c>
      <c r="N78" s="15">
        <v>0.13700000000000001</v>
      </c>
      <c r="O78" s="15">
        <v>1.0000000000000009E-3</v>
      </c>
      <c r="P78" s="15">
        <f t="shared" si="36"/>
        <v>0.13500000000000001</v>
      </c>
      <c r="Q78" s="15">
        <f t="shared" si="37"/>
        <v>0.10900000000000001</v>
      </c>
      <c r="R78" s="12">
        <f>(Q78-I77)/J77</f>
        <v>11.362637362637365</v>
      </c>
      <c r="S78" s="12">
        <f t="shared" si="38"/>
        <v>5.6813186813186825</v>
      </c>
    </row>
    <row r="79" spans="1:24">
      <c r="A79" s="39" t="s">
        <v>16</v>
      </c>
      <c r="C79" s="12" t="s">
        <v>122</v>
      </c>
      <c r="D79" s="12" t="s">
        <v>123</v>
      </c>
      <c r="H79" s="15">
        <v>1</v>
      </c>
      <c r="I79" s="15">
        <v>5.5999999999999999E-3</v>
      </c>
      <c r="J79" s="15">
        <v>9.1000000000000004E-3</v>
      </c>
      <c r="K79" s="15">
        <v>2.8000000000000001E-2</v>
      </c>
      <c r="L79" s="15">
        <v>1E-3</v>
      </c>
      <c r="M79" s="44">
        <f t="shared" si="35"/>
        <v>2.6000000000000002E-2</v>
      </c>
      <c r="N79" s="15">
        <v>0.06</v>
      </c>
      <c r="O79" s="15">
        <v>3.0000000000000027E-3</v>
      </c>
      <c r="P79" s="15">
        <f t="shared" si="36"/>
        <v>5.3999999999999992E-2</v>
      </c>
      <c r="Q79" s="15">
        <f t="shared" si="37"/>
        <v>2.799999999999999E-2</v>
      </c>
      <c r="R79" s="12">
        <f>(Q79-I78)/J78</f>
        <v>2.4615384615384603</v>
      </c>
      <c r="S79" s="12">
        <f t="shared" si="38"/>
        <v>0.24615384615384603</v>
      </c>
    </row>
    <row r="80" spans="1:24" ht="15" customHeight="1">
      <c r="A80" s="39" t="s">
        <v>16</v>
      </c>
      <c r="B80" s="13">
        <v>43843</v>
      </c>
      <c r="C80" s="12" t="s">
        <v>134</v>
      </c>
      <c r="D80" s="12" t="s">
        <v>127</v>
      </c>
      <c r="G80" s="15"/>
      <c r="H80" s="15">
        <v>50</v>
      </c>
      <c r="I80" s="15">
        <v>5.5999999999999999E-3</v>
      </c>
      <c r="J80" s="15">
        <v>9.1000000000000004E-3</v>
      </c>
      <c r="K80" s="15">
        <v>1.7000000000000001E-2</v>
      </c>
      <c r="L80" s="15">
        <v>0</v>
      </c>
      <c r="M80" s="44">
        <f t="shared" si="35"/>
        <v>1.7000000000000001E-2</v>
      </c>
      <c r="N80" s="15">
        <v>0.35199999999999998</v>
      </c>
      <c r="O80" s="42">
        <v>2.0000000000000018E-3</v>
      </c>
      <c r="P80" s="15">
        <f t="shared" si="36"/>
        <v>0.34799999999999998</v>
      </c>
      <c r="Q80" s="15">
        <f t="shared" si="37"/>
        <v>0.33099999999999996</v>
      </c>
      <c r="R80" s="12">
        <f>(Q80-I79)/J79</f>
        <v>35.758241758241752</v>
      </c>
      <c r="S80" s="12">
        <f t="shared" si="38"/>
        <v>178.79120879120876</v>
      </c>
    </row>
    <row r="81" spans="1:27" ht="15" customHeight="1">
      <c r="A81" s="39" t="s">
        <v>16</v>
      </c>
      <c r="B81" s="12" t="s">
        <v>133</v>
      </c>
      <c r="C81" s="12" t="s">
        <v>135</v>
      </c>
      <c r="G81" s="15"/>
      <c r="H81" s="15">
        <v>50</v>
      </c>
      <c r="I81" s="15">
        <v>5.5999999999999999E-3</v>
      </c>
      <c r="J81" s="15">
        <v>9.1000000000000004E-3</v>
      </c>
      <c r="K81" s="15">
        <v>1.7000000000000001E-2</v>
      </c>
      <c r="L81" s="15">
        <v>0</v>
      </c>
      <c r="M81" s="44">
        <f t="shared" si="35"/>
        <v>1.7000000000000001E-2</v>
      </c>
      <c r="N81" s="15">
        <v>0.35099999999999998</v>
      </c>
      <c r="O81" s="42">
        <v>3.0000000000000001E-3</v>
      </c>
      <c r="P81" s="15">
        <f t="shared" si="36"/>
        <v>0.34499999999999997</v>
      </c>
      <c r="Q81" s="15">
        <f t="shared" si="37"/>
        <v>0.32799999999999996</v>
      </c>
      <c r="R81" s="12">
        <f>(Q81-I80)/J80</f>
        <v>35.428571428571423</v>
      </c>
      <c r="S81" s="12">
        <f t="shared" si="38"/>
        <v>177.14285714285711</v>
      </c>
    </row>
    <row r="82" spans="1:27">
      <c r="A82" s="39"/>
      <c r="C82" s="30" t="s">
        <v>87</v>
      </c>
      <c r="D82" s="30"/>
      <c r="E82" s="31"/>
      <c r="F82" s="31"/>
      <c r="G82" s="32"/>
      <c r="H82" s="33">
        <v>1</v>
      </c>
      <c r="I82" s="34">
        <v>5.5999999999999999E-3</v>
      </c>
      <c r="J82" s="34">
        <v>9.1000000000000004E-3</v>
      </c>
      <c r="K82" s="35">
        <v>1.7000000000000001E-2</v>
      </c>
      <c r="L82" s="35">
        <v>0</v>
      </c>
      <c r="M82" s="35">
        <f t="shared" si="35"/>
        <v>1.7000000000000001E-2</v>
      </c>
      <c r="N82" s="36">
        <v>0.124</v>
      </c>
      <c r="O82" s="35">
        <v>4.0000000000000001E-3</v>
      </c>
      <c r="P82" s="35">
        <f t="shared" si="36"/>
        <v>0.11599999999999999</v>
      </c>
      <c r="Q82" s="35">
        <f t="shared" si="37"/>
        <v>9.8999999999999991E-2</v>
      </c>
      <c r="R82" s="37">
        <f>(Q82-I82)/J82</f>
        <v>10.263736263736263</v>
      </c>
      <c r="S82" s="38">
        <f t="shared" si="38"/>
        <v>1.0263736263736263</v>
      </c>
    </row>
    <row r="83" spans="1:27">
      <c r="A83" s="39" t="s">
        <v>16</v>
      </c>
      <c r="C83" s="12" t="s">
        <v>128</v>
      </c>
      <c r="D83" s="12" t="s">
        <v>54</v>
      </c>
      <c r="G83" s="15"/>
      <c r="H83" s="15">
        <v>2</v>
      </c>
      <c r="I83" s="15">
        <v>5.5999999999999999E-3</v>
      </c>
      <c r="J83" s="15">
        <v>9.1000000000000004E-3</v>
      </c>
      <c r="K83" s="15">
        <v>1.7000000000000001E-2</v>
      </c>
      <c r="L83" s="15">
        <v>0</v>
      </c>
      <c r="M83" s="44">
        <f t="shared" si="35"/>
        <v>1.7000000000000001E-2</v>
      </c>
      <c r="N83" s="15">
        <v>0.35499999999999998</v>
      </c>
      <c r="O83" s="42">
        <v>2.0000000000000018E-3</v>
      </c>
      <c r="P83" s="15">
        <f t="shared" si="36"/>
        <v>0.35099999999999998</v>
      </c>
      <c r="Q83" s="15">
        <f t="shared" si="37"/>
        <v>0.33399999999999996</v>
      </c>
      <c r="R83" s="12">
        <f>(Q83-I80)/J80</f>
        <v>36.08791208791208</v>
      </c>
      <c r="S83" s="12">
        <f t="shared" si="38"/>
        <v>7.2175824175824159</v>
      </c>
    </row>
    <row r="84" spans="1:27">
      <c r="A84" s="39" t="s">
        <v>16</v>
      </c>
      <c r="C84" s="12" t="s">
        <v>129</v>
      </c>
      <c r="D84" s="12" t="s">
        <v>130</v>
      </c>
      <c r="G84" s="15"/>
      <c r="H84" s="15">
        <v>5</v>
      </c>
      <c r="I84" s="15">
        <v>5.5999999999999999E-3</v>
      </c>
      <c r="J84" s="15">
        <v>9.1000000000000004E-3</v>
      </c>
      <c r="K84" s="15">
        <v>1.7000000000000001E-2</v>
      </c>
      <c r="L84" s="15">
        <v>0</v>
      </c>
      <c r="M84" s="44">
        <f t="shared" si="35"/>
        <v>1.7000000000000001E-2</v>
      </c>
      <c r="N84" s="15">
        <v>0.22799999999999998</v>
      </c>
      <c r="O84" s="42">
        <v>4.0000000000000036E-3</v>
      </c>
      <c r="P84" s="15">
        <f t="shared" si="36"/>
        <v>0.21999999999999997</v>
      </c>
      <c r="Q84" s="15">
        <f t="shared" si="37"/>
        <v>0.20299999999999996</v>
      </c>
      <c r="R84" s="12">
        <f>(Q84-I83)/J83</f>
        <v>21.692307692307686</v>
      </c>
      <c r="S84" s="12">
        <f t="shared" si="38"/>
        <v>10.846153846153843</v>
      </c>
    </row>
    <row r="85" spans="1:27">
      <c r="A85" s="39" t="s">
        <v>16</v>
      </c>
      <c r="C85" s="12" t="s">
        <v>131</v>
      </c>
      <c r="D85" s="12" t="s">
        <v>132</v>
      </c>
      <c r="G85" s="15"/>
      <c r="H85" s="15">
        <v>2</v>
      </c>
      <c r="I85" s="15">
        <v>5.5999999999999999E-3</v>
      </c>
      <c r="J85" s="15">
        <v>9.1000000000000004E-3</v>
      </c>
      <c r="K85" s="15">
        <v>1.7000000000000001E-2</v>
      </c>
      <c r="L85" s="15">
        <v>0</v>
      </c>
      <c r="M85" s="44">
        <f t="shared" si="35"/>
        <v>1.7000000000000001E-2</v>
      </c>
      <c r="N85" s="15">
        <v>0.375</v>
      </c>
      <c r="O85" s="42">
        <v>8.9999999999999941E-3</v>
      </c>
      <c r="P85" s="15">
        <f t="shared" si="36"/>
        <v>0.35699999999999998</v>
      </c>
      <c r="Q85" s="15">
        <f t="shared" si="37"/>
        <v>0.33999999999999997</v>
      </c>
      <c r="R85" s="12">
        <f>(Q85-I84)/J84</f>
        <v>36.747252747252745</v>
      </c>
      <c r="S85" s="12">
        <f t="shared" si="38"/>
        <v>7.3494505494505491</v>
      </c>
      <c r="Z85" s="12">
        <v>-10</v>
      </c>
      <c r="AA85" s="12">
        <v>10</v>
      </c>
    </row>
    <row r="86" spans="1:27">
      <c r="A86" s="39" t="s">
        <v>59</v>
      </c>
      <c r="B86" s="13">
        <v>43845</v>
      </c>
      <c r="C86" s="12" t="s">
        <v>156</v>
      </c>
      <c r="D86" s="12" t="s">
        <v>147</v>
      </c>
      <c r="G86" s="12" t="s">
        <v>148</v>
      </c>
      <c r="H86" s="15">
        <v>5</v>
      </c>
      <c r="I86" s="15">
        <v>5.5999999999999999E-3</v>
      </c>
      <c r="J86" s="15">
        <v>9.1000000000000004E-3</v>
      </c>
      <c r="K86" s="15">
        <v>2.9000000000000001E-2</v>
      </c>
      <c r="L86" s="15">
        <v>6.0000000000000001E-3</v>
      </c>
      <c r="M86" s="43">
        <f t="shared" si="35"/>
        <v>1.7000000000000001E-2</v>
      </c>
      <c r="N86" s="15">
        <v>0.2</v>
      </c>
      <c r="O86" s="42">
        <v>8.9999999999999941E-3</v>
      </c>
      <c r="P86" s="15">
        <f t="shared" si="36"/>
        <v>0.18200000000000002</v>
      </c>
      <c r="Q86" s="15">
        <f t="shared" si="37"/>
        <v>0.16500000000000004</v>
      </c>
      <c r="R86" s="12">
        <f>(Q86-I85)/J85</f>
        <v>17.516483516483522</v>
      </c>
      <c r="S86" s="12">
        <f t="shared" si="38"/>
        <v>8.7582417582417609</v>
      </c>
      <c r="Y86" s="12">
        <v>8.4819999999999993</v>
      </c>
      <c r="Z86" s="12">
        <f>Y86*0.9</f>
        <v>7.6337999999999999</v>
      </c>
      <c r="AA86" s="12">
        <f>Y86*1.1</f>
        <v>9.3301999999999996</v>
      </c>
    </row>
    <row r="87" spans="1:27">
      <c r="A87" s="39" t="s">
        <v>59</v>
      </c>
      <c r="B87" s="12" t="s">
        <v>151</v>
      </c>
      <c r="C87" s="12" t="s">
        <v>157</v>
      </c>
      <c r="H87" s="15">
        <v>5</v>
      </c>
      <c r="I87" s="15">
        <v>5.5999999999999999E-3</v>
      </c>
      <c r="J87" s="15">
        <v>9.1000000000000004E-3</v>
      </c>
      <c r="K87" s="15">
        <v>2.9000000000000001E-2</v>
      </c>
      <c r="L87" s="15">
        <v>6.0000000000000001E-3</v>
      </c>
      <c r="M87" s="43">
        <f t="shared" si="35"/>
        <v>1.7000000000000001E-2</v>
      </c>
      <c r="N87" s="15">
        <v>0.20100000000000001</v>
      </c>
      <c r="O87" s="42">
        <v>8.9999999999999941E-3</v>
      </c>
      <c r="P87" s="15">
        <f t="shared" si="36"/>
        <v>0.18300000000000002</v>
      </c>
      <c r="Q87" s="15">
        <f t="shared" si="37"/>
        <v>0.16600000000000004</v>
      </c>
      <c r="R87" s="12">
        <f>(Q87-I86)/J86</f>
        <v>17.626373626373631</v>
      </c>
      <c r="S87" s="12">
        <f t="shared" si="38"/>
        <v>8.8131868131868156</v>
      </c>
    </row>
    <row r="88" spans="1:27">
      <c r="A88" s="39" t="s">
        <v>59</v>
      </c>
      <c r="C88" s="12" t="s">
        <v>149</v>
      </c>
      <c r="H88" s="15">
        <v>5</v>
      </c>
      <c r="I88" s="15">
        <v>5.5999999999999999E-3</v>
      </c>
      <c r="J88" s="15">
        <v>9.1000000000000004E-3</v>
      </c>
      <c r="K88" s="15">
        <v>2.9000000000000001E-2</v>
      </c>
      <c r="L88" s="15">
        <v>6.0000000000000001E-3</v>
      </c>
      <c r="M88" s="43">
        <f t="shared" si="35"/>
        <v>1.7000000000000001E-2</v>
      </c>
      <c r="N88" s="15">
        <v>0.20300000000000001</v>
      </c>
      <c r="O88" s="42">
        <v>8.0000000000000002E-3</v>
      </c>
      <c r="P88" s="15">
        <f t="shared" si="36"/>
        <v>0.187</v>
      </c>
      <c r="Q88" s="15">
        <f t="shared" si="37"/>
        <v>0.16999999999999998</v>
      </c>
      <c r="R88" s="12">
        <f>(Q88-I86)/J86</f>
        <v>18.065934065934066</v>
      </c>
      <c r="S88" s="12">
        <f t="shared" si="38"/>
        <v>9.0329670329670328</v>
      </c>
      <c r="Y88" s="12">
        <v>8.2460000000000004</v>
      </c>
      <c r="Z88" s="12">
        <f>Y88*0.9</f>
        <v>7.4214000000000002</v>
      </c>
      <c r="AA88" s="12">
        <f>Y88*1.1</f>
        <v>9.0706000000000007</v>
      </c>
    </row>
    <row r="89" spans="1:27">
      <c r="A89" s="39" t="s">
        <v>59</v>
      </c>
      <c r="C89" s="12" t="s">
        <v>150</v>
      </c>
      <c r="H89" s="15">
        <v>5</v>
      </c>
      <c r="I89" s="15">
        <v>5.5999999999999999E-3</v>
      </c>
      <c r="J89" s="15">
        <v>9.1000000000000004E-3</v>
      </c>
      <c r="K89" s="15">
        <v>2.9000000000000001E-2</v>
      </c>
      <c r="L89" s="15">
        <v>6.0000000000000001E-3</v>
      </c>
      <c r="M89" s="43">
        <f t="shared" si="35"/>
        <v>1.7000000000000001E-2</v>
      </c>
      <c r="N89" s="15">
        <v>0.20200000000000001</v>
      </c>
      <c r="O89" s="42">
        <v>0.01</v>
      </c>
      <c r="P89" s="15">
        <f t="shared" si="36"/>
        <v>0.18200000000000002</v>
      </c>
      <c r="Q89" s="15">
        <f t="shared" si="37"/>
        <v>0.16500000000000004</v>
      </c>
      <c r="R89" s="12">
        <f>(Q89-I88)/J88</f>
        <v>17.516483516483522</v>
      </c>
      <c r="S89" s="12">
        <f t="shared" si="38"/>
        <v>8.7582417582417609</v>
      </c>
      <c r="Y89" s="12">
        <v>8.7720000000000002</v>
      </c>
      <c r="Z89" s="12">
        <f>Y89*0.9</f>
        <v>7.8948</v>
      </c>
      <c r="AA89" s="12">
        <f>Y89*1.1</f>
        <v>9.6492000000000004</v>
      </c>
    </row>
    <row r="90" spans="1:27">
      <c r="A90" s="39"/>
      <c r="B90" s="13"/>
      <c r="C90" s="19" t="s">
        <v>172</v>
      </c>
      <c r="D90" s="19"/>
      <c r="E90" s="20"/>
      <c r="F90" s="20"/>
      <c r="G90" s="21"/>
      <c r="H90" s="22">
        <v>1</v>
      </c>
      <c r="I90" s="23">
        <v>5.5999999999999999E-3</v>
      </c>
      <c r="J90" s="23">
        <v>9.1000000000000004E-3</v>
      </c>
      <c r="K90" s="24">
        <v>2.9000000000000001E-2</v>
      </c>
      <c r="L90" s="24">
        <v>6.0000000000000001E-3</v>
      </c>
      <c r="M90" s="24">
        <f t="shared" si="35"/>
        <v>1.7000000000000001E-2</v>
      </c>
      <c r="N90" s="25">
        <v>0.13800000000000001</v>
      </c>
      <c r="O90" s="24">
        <v>5.0000000000000001E-3</v>
      </c>
      <c r="P90" s="24">
        <f t="shared" si="36"/>
        <v>0.128</v>
      </c>
      <c r="Q90" s="24">
        <f t="shared" si="37"/>
        <v>0.111</v>
      </c>
      <c r="R90" s="26">
        <f>(Q90-I90)/J90</f>
        <v>11.582417582417582</v>
      </c>
      <c r="S90" s="27">
        <f t="shared" si="38"/>
        <v>1.1582417582417581</v>
      </c>
      <c r="T90" s="28" t="s">
        <v>62</v>
      </c>
      <c r="V90" s="29" t="s">
        <v>60</v>
      </c>
    </row>
    <row r="91" spans="1:27">
      <c r="A91" s="39"/>
      <c r="C91" s="19" t="s">
        <v>173</v>
      </c>
      <c r="D91" s="19"/>
      <c r="E91" s="20"/>
      <c r="F91" s="20"/>
      <c r="G91" s="21"/>
      <c r="H91" s="22">
        <v>1</v>
      </c>
      <c r="I91" s="23">
        <v>5.5999999999999999E-3</v>
      </c>
      <c r="J91" s="23">
        <v>9.1000000000000004E-3</v>
      </c>
      <c r="K91" s="24">
        <v>2.9000000000000001E-2</v>
      </c>
      <c r="L91" s="24">
        <v>6.0000000000000001E-3</v>
      </c>
      <c r="M91" s="24">
        <f t="shared" si="35"/>
        <v>1.7000000000000001E-2</v>
      </c>
      <c r="N91" s="25">
        <v>0.13700000000000001</v>
      </c>
      <c r="O91" s="24">
        <v>5.0000000000000001E-3</v>
      </c>
      <c r="P91" s="24">
        <f t="shared" si="36"/>
        <v>0.127</v>
      </c>
      <c r="Q91" s="24">
        <f t="shared" si="37"/>
        <v>0.11</v>
      </c>
      <c r="R91" s="26">
        <f>(Q91-I91)/J91</f>
        <v>11.472527472527473</v>
      </c>
      <c r="S91" s="27">
        <f t="shared" si="38"/>
        <v>1.1472527472527472</v>
      </c>
      <c r="V91" s="29" t="s">
        <v>61</v>
      </c>
    </row>
    <row r="92" spans="1:27">
      <c r="A92" s="39"/>
      <c r="C92" s="30" t="s">
        <v>87</v>
      </c>
      <c r="D92" s="30"/>
      <c r="E92" s="31"/>
      <c r="F92" s="31"/>
      <c r="G92" s="32"/>
      <c r="H92" s="33">
        <v>1</v>
      </c>
      <c r="I92" s="34">
        <v>5.5999999999999999E-3</v>
      </c>
      <c r="J92" s="34">
        <v>9.1000000000000004E-3</v>
      </c>
      <c r="K92" s="35">
        <v>2.9000000000000001E-2</v>
      </c>
      <c r="L92" s="35">
        <v>6.0000000000000001E-3</v>
      </c>
      <c r="M92" s="35">
        <f t="shared" si="35"/>
        <v>1.7000000000000001E-2</v>
      </c>
      <c r="N92" s="36">
        <v>0.126</v>
      </c>
      <c r="O92" s="35">
        <v>6.0000000000000001E-3</v>
      </c>
      <c r="P92" s="35">
        <f t="shared" si="36"/>
        <v>0.114</v>
      </c>
      <c r="Q92" s="35">
        <f t="shared" si="37"/>
        <v>9.7000000000000003E-2</v>
      </c>
      <c r="R92" s="37">
        <f>(Q92-I92)/J92</f>
        <v>10.043956043956044</v>
      </c>
      <c r="S92" s="38">
        <f t="shared" si="38"/>
        <v>1.0043956043956044</v>
      </c>
    </row>
    <row r="93" spans="1:27">
      <c r="A93" s="39" t="s">
        <v>16</v>
      </c>
      <c r="C93" s="12" t="s">
        <v>136</v>
      </c>
      <c r="D93" s="12" t="s">
        <v>36</v>
      </c>
      <c r="H93" s="15">
        <v>5</v>
      </c>
      <c r="I93" s="15">
        <v>5.5999999999999999E-3</v>
      </c>
      <c r="J93" s="15">
        <v>9.1000000000000004E-3</v>
      </c>
      <c r="K93" s="15">
        <v>2.9000000000000001E-2</v>
      </c>
      <c r="L93" s="15">
        <v>6.0000000000000001E-3</v>
      </c>
      <c r="M93" s="44">
        <f t="shared" si="35"/>
        <v>1.7000000000000001E-2</v>
      </c>
      <c r="N93" s="15">
        <v>0.33599999999999997</v>
      </c>
      <c r="O93" s="15">
        <v>9.999999999999995E-3</v>
      </c>
      <c r="P93" s="15">
        <f t="shared" si="36"/>
        <v>0.31599999999999995</v>
      </c>
      <c r="Q93" s="15">
        <f t="shared" si="37"/>
        <v>0.29899999999999993</v>
      </c>
      <c r="R93" s="12">
        <f>(Q93-I85)/J85</f>
        <v>32.241758241758234</v>
      </c>
      <c r="S93" s="12">
        <f t="shared" si="38"/>
        <v>16.120879120879117</v>
      </c>
    </row>
    <row r="94" spans="1:27">
      <c r="A94" s="39" t="s">
        <v>59</v>
      </c>
      <c r="C94" s="12" t="s">
        <v>152</v>
      </c>
      <c r="D94" s="12" t="s">
        <v>147</v>
      </c>
      <c r="G94" s="12" t="s">
        <v>153</v>
      </c>
      <c r="H94" s="15">
        <v>5</v>
      </c>
      <c r="I94" s="15">
        <v>5.5999999999999999E-3</v>
      </c>
      <c r="J94" s="15">
        <v>9.1000000000000004E-3</v>
      </c>
      <c r="K94" s="15">
        <v>2.9000000000000001E-2</v>
      </c>
      <c r="L94" s="15">
        <v>6.0000000000000001E-3</v>
      </c>
      <c r="M94" s="43">
        <f t="shared" si="35"/>
        <v>1.7000000000000001E-2</v>
      </c>
      <c r="N94" s="15">
        <v>0.11799999999999999</v>
      </c>
      <c r="O94" s="15">
        <v>5.9999999999999915E-3</v>
      </c>
      <c r="P94" s="15">
        <f t="shared" si="36"/>
        <v>0.10600000000000001</v>
      </c>
      <c r="Q94" s="15">
        <f t="shared" si="37"/>
        <v>8.900000000000001E-2</v>
      </c>
      <c r="R94" s="12">
        <f>(Q94-I90)/J90</f>
        <v>9.164835164835166</v>
      </c>
      <c r="S94" s="12">
        <f t="shared" si="38"/>
        <v>4.582417582417583</v>
      </c>
      <c r="Y94" s="12">
        <v>4.2809999999999997</v>
      </c>
      <c r="Z94" s="12">
        <f>Y94*0.9</f>
        <v>3.8529</v>
      </c>
      <c r="AA94" s="12">
        <f>Y94*1.1</f>
        <v>4.7091000000000003</v>
      </c>
    </row>
    <row r="95" spans="1:27">
      <c r="A95" s="39" t="s">
        <v>59</v>
      </c>
      <c r="C95" s="12" t="s">
        <v>154</v>
      </c>
      <c r="H95" s="15">
        <v>5</v>
      </c>
      <c r="I95" s="15">
        <v>5.5999999999999999E-3</v>
      </c>
      <c r="J95" s="15">
        <v>9.1000000000000004E-3</v>
      </c>
      <c r="K95" s="15">
        <v>2.9000000000000001E-2</v>
      </c>
      <c r="L95" s="15">
        <v>6.0000000000000001E-3</v>
      </c>
      <c r="M95" s="43">
        <f t="shared" si="35"/>
        <v>1.7000000000000001E-2</v>
      </c>
      <c r="N95" s="15">
        <v>0.115</v>
      </c>
      <c r="O95" s="15">
        <v>8.0000000000000002E-3</v>
      </c>
      <c r="P95" s="15">
        <f t="shared" si="36"/>
        <v>9.9000000000000005E-2</v>
      </c>
      <c r="Q95" s="15">
        <f t="shared" si="37"/>
        <v>8.2000000000000003E-2</v>
      </c>
      <c r="R95" s="12">
        <f>(Q95-I91)/J91</f>
        <v>8.395604395604396</v>
      </c>
      <c r="S95" s="12">
        <f t="shared" si="38"/>
        <v>4.197802197802198</v>
      </c>
      <c r="Y95" s="12">
        <v>4.3239999999999998</v>
      </c>
      <c r="Z95" s="12">
        <f>Y95*0.9</f>
        <v>3.8915999999999999</v>
      </c>
      <c r="AA95" s="12">
        <f>Y95*1.1</f>
        <v>4.7564000000000002</v>
      </c>
    </row>
    <row r="96" spans="1:27">
      <c r="A96" s="39" t="s">
        <v>59</v>
      </c>
      <c r="C96" s="12" t="s">
        <v>155</v>
      </c>
      <c r="H96" s="15">
        <v>5</v>
      </c>
      <c r="I96" s="15">
        <v>5.5999999999999999E-3</v>
      </c>
      <c r="J96" s="15">
        <v>9.1000000000000004E-3</v>
      </c>
      <c r="K96" s="15">
        <v>2.9000000000000001E-2</v>
      </c>
      <c r="L96" s="15">
        <v>6.0000000000000001E-3</v>
      </c>
      <c r="M96" s="43">
        <f t="shared" si="35"/>
        <v>1.7000000000000001E-2</v>
      </c>
      <c r="N96" s="15">
        <v>0.114</v>
      </c>
      <c r="O96" s="15">
        <v>8.9999999999999993E-3</v>
      </c>
      <c r="P96" s="15">
        <f t="shared" si="36"/>
        <v>9.6000000000000002E-2</v>
      </c>
      <c r="Q96" s="15">
        <f t="shared" si="37"/>
        <v>7.9000000000000001E-2</v>
      </c>
      <c r="R96" s="12">
        <f>(Q96-I92)/J92</f>
        <v>8.0659340659340657</v>
      </c>
      <c r="S96" s="12">
        <f t="shared" si="38"/>
        <v>4.0329670329670328</v>
      </c>
      <c r="Y96" s="12">
        <v>4.1109999999999998</v>
      </c>
      <c r="Z96" s="12">
        <f>Y96*0.9</f>
        <v>3.6999</v>
      </c>
      <c r="AA96" s="12">
        <f>Y96*1.1</f>
        <v>4.5221</v>
      </c>
    </row>
    <row r="97" spans="1:25">
      <c r="A97" s="39" t="s">
        <v>59</v>
      </c>
      <c r="C97" s="12" t="s">
        <v>139</v>
      </c>
      <c r="D97" s="12" t="s">
        <v>140</v>
      </c>
      <c r="H97" s="15">
        <v>5</v>
      </c>
      <c r="I97" s="15">
        <v>5.5999999999999999E-3</v>
      </c>
      <c r="J97" s="15">
        <v>9.1000000000000004E-3</v>
      </c>
      <c r="K97" s="15">
        <v>2.9000000000000001E-2</v>
      </c>
      <c r="L97" s="15">
        <v>6.0000000000000001E-3</v>
      </c>
      <c r="M97" s="44">
        <f t="shared" si="35"/>
        <v>1.7000000000000001E-2</v>
      </c>
      <c r="N97" s="15">
        <v>0.23299999999999998</v>
      </c>
      <c r="O97" s="15">
        <v>5.9999999999999915E-3</v>
      </c>
      <c r="P97" s="15">
        <f t="shared" si="36"/>
        <v>0.221</v>
      </c>
      <c r="Q97" s="15">
        <f t="shared" si="37"/>
        <v>0.20400000000000001</v>
      </c>
      <c r="R97" s="12">
        <f>(Q97-I93)/J93</f>
        <v>21.802197802197803</v>
      </c>
      <c r="S97" s="12">
        <f t="shared" si="38"/>
        <v>10.901098901098901</v>
      </c>
    </row>
    <row r="98" spans="1:25">
      <c r="A98" s="39"/>
      <c r="C98" s="12" t="s">
        <v>141</v>
      </c>
      <c r="D98" s="12" t="s">
        <v>142</v>
      </c>
      <c r="H98" s="15">
        <v>5</v>
      </c>
      <c r="I98" s="15">
        <v>5.5999999999999999E-3</v>
      </c>
      <c r="J98" s="15">
        <v>9.1000000000000004E-3</v>
      </c>
      <c r="K98" s="15">
        <v>2.9000000000000001E-2</v>
      </c>
      <c r="L98" s="15">
        <v>6.0000000000000001E-3</v>
      </c>
      <c r="M98" s="44">
        <f t="shared" si="35"/>
        <v>1.7000000000000001E-2</v>
      </c>
      <c r="N98" s="15">
        <v>0.27900000000000003</v>
      </c>
      <c r="O98" s="15">
        <v>8.9999999999999993E-3</v>
      </c>
      <c r="P98" s="15">
        <f t="shared" si="36"/>
        <v>0.26100000000000001</v>
      </c>
      <c r="Q98" s="15">
        <f t="shared" si="37"/>
        <v>0.24399999999999999</v>
      </c>
      <c r="R98" s="12">
        <f t="shared" ref="R98:R108" si="39">(Q98-I98)/J98</f>
        <v>26.197802197802197</v>
      </c>
      <c r="S98" s="16">
        <f t="shared" si="38"/>
        <v>13.098901098901099</v>
      </c>
    </row>
    <row r="99" spans="1:25">
      <c r="A99" s="39"/>
      <c r="C99" s="12" t="s">
        <v>143</v>
      </c>
      <c r="D99" s="12" t="s">
        <v>144</v>
      </c>
      <c r="H99" s="15">
        <v>10</v>
      </c>
      <c r="I99" s="15">
        <v>5.5999999999999999E-3</v>
      </c>
      <c r="J99" s="15">
        <v>9.1000000000000004E-3</v>
      </c>
      <c r="K99" s="15">
        <v>2.9000000000000001E-2</v>
      </c>
      <c r="L99" s="15">
        <v>6.0000000000000001E-3</v>
      </c>
      <c r="M99" s="44">
        <f t="shared" si="35"/>
        <v>1.7000000000000001E-2</v>
      </c>
      <c r="N99" s="15">
        <v>0.16500000000000001</v>
      </c>
      <c r="O99" s="15">
        <v>8.0000000000000002E-3</v>
      </c>
      <c r="P99" s="15">
        <f t="shared" si="36"/>
        <v>0.14900000000000002</v>
      </c>
      <c r="Q99" s="15">
        <f t="shared" si="37"/>
        <v>0.13200000000000001</v>
      </c>
      <c r="R99" s="12">
        <f t="shared" si="39"/>
        <v>13.890109890109891</v>
      </c>
      <c r="S99" s="12">
        <f t="shared" si="38"/>
        <v>13.890109890109892</v>
      </c>
    </row>
    <row r="100" spans="1:25">
      <c r="A100" s="39"/>
      <c r="C100" s="12" t="s">
        <v>145</v>
      </c>
      <c r="D100" s="12" t="s">
        <v>146</v>
      </c>
      <c r="H100" s="15">
        <v>10</v>
      </c>
      <c r="I100" s="15">
        <v>5.5999999999999999E-3</v>
      </c>
      <c r="J100" s="15">
        <v>9.1000000000000004E-3</v>
      </c>
      <c r="K100" s="15">
        <v>2.9000000000000001E-2</v>
      </c>
      <c r="L100" s="15">
        <v>6.0000000000000001E-3</v>
      </c>
      <c r="M100" s="44">
        <f t="shared" si="35"/>
        <v>1.7000000000000001E-2</v>
      </c>
      <c r="N100" s="15">
        <v>0.20599999999999999</v>
      </c>
      <c r="O100" s="15">
        <v>7.0000000000000001E-3</v>
      </c>
      <c r="P100" s="15">
        <f t="shared" si="36"/>
        <v>0.19199999999999998</v>
      </c>
      <c r="Q100" s="15">
        <f t="shared" si="37"/>
        <v>0.17499999999999999</v>
      </c>
      <c r="R100" s="12">
        <f t="shared" si="39"/>
        <v>18.615384615384613</v>
      </c>
      <c r="S100" s="12">
        <f t="shared" si="38"/>
        <v>18.615384615384613</v>
      </c>
      <c r="V100" s="12">
        <v>0.14299999999999999</v>
      </c>
      <c r="W100" s="12">
        <v>6.7000000000000004E-2</v>
      </c>
      <c r="X100" s="12">
        <f>V100-0.143</f>
        <v>0</v>
      </c>
      <c r="Y100" s="12">
        <f>W100-0.067</f>
        <v>0</v>
      </c>
    </row>
    <row r="101" spans="1:25">
      <c r="A101" s="39" t="s">
        <v>59</v>
      </c>
      <c r="B101" s="13">
        <v>43847</v>
      </c>
      <c r="C101" s="12" t="s">
        <v>163</v>
      </c>
      <c r="D101" s="12" t="s">
        <v>161</v>
      </c>
      <c r="H101" s="15">
        <v>1</v>
      </c>
      <c r="I101" s="15">
        <v>5.5999999999999999E-3</v>
      </c>
      <c r="J101" s="15">
        <v>9.1000000000000004E-3</v>
      </c>
      <c r="K101" s="15">
        <v>2.5000000000000001E-2</v>
      </c>
      <c r="L101" s="15">
        <v>4.0000000000000001E-3</v>
      </c>
      <c r="M101" s="44">
        <f t="shared" si="35"/>
        <v>1.7000000000000001E-2</v>
      </c>
      <c r="N101" s="15">
        <v>0.25900000000000001</v>
      </c>
      <c r="O101" s="15">
        <v>5.0000000000000001E-3</v>
      </c>
      <c r="P101" s="15">
        <f t="shared" si="36"/>
        <v>0.249</v>
      </c>
      <c r="Q101" s="15">
        <f t="shared" si="37"/>
        <v>0.23199999999999998</v>
      </c>
      <c r="R101" s="12">
        <f t="shared" si="39"/>
        <v>24.879120879120876</v>
      </c>
      <c r="S101" s="12">
        <f t="shared" si="38"/>
        <v>2.4879120879120875</v>
      </c>
      <c r="V101" s="12">
        <v>0.16800000000000001</v>
      </c>
      <c r="W101" s="12">
        <v>7.0999999999999994E-2</v>
      </c>
      <c r="X101" s="12">
        <f>V101-0.143</f>
        <v>2.5000000000000022E-2</v>
      </c>
      <c r="Y101" s="12">
        <f>W101-0.067</f>
        <v>3.9999999999999897E-3</v>
      </c>
    </row>
    <row r="102" spans="1:25">
      <c r="A102" s="39" t="s">
        <v>59</v>
      </c>
      <c r="B102" s="12" t="s">
        <v>162</v>
      </c>
      <c r="C102" s="12" t="s">
        <v>164</v>
      </c>
      <c r="H102" s="15">
        <v>1</v>
      </c>
      <c r="I102" s="15">
        <v>5.5999999999999999E-3</v>
      </c>
      <c r="J102" s="15">
        <v>9.1000000000000004E-3</v>
      </c>
      <c r="K102" s="15">
        <v>2.5000000000000001E-2</v>
      </c>
      <c r="L102" s="15">
        <v>4.0000000000000001E-3</v>
      </c>
      <c r="M102" s="44">
        <f t="shared" si="35"/>
        <v>1.7000000000000001E-2</v>
      </c>
      <c r="N102" s="15">
        <v>0.26</v>
      </c>
      <c r="O102" s="15">
        <v>5.0000000000000001E-3</v>
      </c>
      <c r="P102" s="15">
        <f t="shared" si="36"/>
        <v>0.25</v>
      </c>
      <c r="Q102" s="15">
        <f t="shared" si="37"/>
        <v>0.23299999999999998</v>
      </c>
      <c r="R102" s="12">
        <f t="shared" si="39"/>
        <v>24.989010989010985</v>
      </c>
      <c r="S102" s="12">
        <f t="shared" si="38"/>
        <v>2.4989010989010985</v>
      </c>
    </row>
    <row r="103" spans="1:25">
      <c r="A103" s="39"/>
      <c r="C103" s="30" t="s">
        <v>87</v>
      </c>
      <c r="D103" s="30"/>
      <c r="E103" s="31"/>
      <c r="F103" s="31"/>
      <c r="G103" s="32"/>
      <c r="H103" s="33">
        <v>1</v>
      </c>
      <c r="I103" s="34">
        <v>5.5999999999999999E-3</v>
      </c>
      <c r="J103" s="34">
        <v>9.1000000000000004E-3</v>
      </c>
      <c r="K103" s="35">
        <v>2.5000000000000001E-2</v>
      </c>
      <c r="L103" s="35">
        <v>4.0000000000000001E-3</v>
      </c>
      <c r="M103" s="35">
        <f t="shared" si="35"/>
        <v>1.7000000000000001E-2</v>
      </c>
      <c r="N103" s="36">
        <v>0.125</v>
      </c>
      <c r="O103" s="35">
        <v>6.0000000000000001E-3</v>
      </c>
      <c r="P103" s="35">
        <f t="shared" si="36"/>
        <v>0.113</v>
      </c>
      <c r="Q103" s="35">
        <f t="shared" si="37"/>
        <v>9.6000000000000002E-2</v>
      </c>
      <c r="R103" s="37">
        <f t="shared" si="39"/>
        <v>9.9340659340659343</v>
      </c>
      <c r="S103" s="38">
        <f t="shared" si="38"/>
        <v>0.99340659340659343</v>
      </c>
    </row>
    <row r="104" spans="1:25">
      <c r="A104" s="39" t="s">
        <v>160</v>
      </c>
      <c r="C104" s="12" t="s">
        <v>158</v>
      </c>
      <c r="D104" s="12" t="s">
        <v>159</v>
      </c>
      <c r="H104" s="15">
        <v>1</v>
      </c>
      <c r="I104" s="15">
        <v>5.5999999999999999E-3</v>
      </c>
      <c r="J104" s="15">
        <v>9.1000000000000004E-3</v>
      </c>
      <c r="K104" s="15">
        <v>2.5000000000000001E-2</v>
      </c>
      <c r="L104" s="15">
        <v>4.0000000000000001E-3</v>
      </c>
      <c r="M104" s="44">
        <f t="shared" si="35"/>
        <v>1.7000000000000001E-2</v>
      </c>
      <c r="N104" s="15">
        <v>0.248</v>
      </c>
      <c r="O104" s="15">
        <v>8.0000000000000002E-3</v>
      </c>
      <c r="P104" s="15">
        <f t="shared" si="36"/>
        <v>0.23199999999999998</v>
      </c>
      <c r="Q104" s="15">
        <f t="shared" si="37"/>
        <v>0.21499999999999997</v>
      </c>
      <c r="R104" s="12">
        <f t="shared" si="39"/>
        <v>23.010989010989007</v>
      </c>
      <c r="S104" s="12">
        <f t="shared" si="38"/>
        <v>2.3010989010989009</v>
      </c>
      <c r="V104" s="12">
        <v>0.221</v>
      </c>
      <c r="W104" s="12">
        <v>7.1999999999999995E-2</v>
      </c>
      <c r="X104" s="12">
        <f>V104-0.143</f>
        <v>7.8000000000000014E-2</v>
      </c>
      <c r="Y104" s="12">
        <f>W104-0.067</f>
        <v>4.9999999999999906E-3</v>
      </c>
    </row>
    <row r="105" spans="1:25">
      <c r="A105" s="39" t="s">
        <v>165</v>
      </c>
      <c r="C105" s="12" t="s">
        <v>166</v>
      </c>
      <c r="D105" s="12" t="s">
        <v>167</v>
      </c>
      <c r="G105" s="15"/>
      <c r="H105" s="15">
        <v>2</v>
      </c>
      <c r="I105" s="15">
        <v>5.5999999999999999E-3</v>
      </c>
      <c r="J105" s="15">
        <v>9.1000000000000004E-3</v>
      </c>
      <c r="K105" s="15">
        <v>2.5000000000000001E-2</v>
      </c>
      <c r="L105" s="15">
        <v>4.0000000000000001E-3</v>
      </c>
      <c r="M105" s="44">
        <f t="shared" si="35"/>
        <v>1.7000000000000001E-2</v>
      </c>
      <c r="N105" s="15">
        <v>0.377</v>
      </c>
      <c r="O105" s="15">
        <v>7.0000000000000001E-3</v>
      </c>
      <c r="P105" s="15">
        <f t="shared" si="36"/>
        <v>0.36299999999999999</v>
      </c>
      <c r="Q105" s="15">
        <f t="shared" si="37"/>
        <v>0.34599999999999997</v>
      </c>
      <c r="R105" s="12">
        <f t="shared" si="39"/>
        <v>37.406593406593402</v>
      </c>
      <c r="S105" s="12">
        <f t="shared" si="38"/>
        <v>7.4813186813186805</v>
      </c>
    </row>
    <row r="106" spans="1:25">
      <c r="A106" s="39" t="s">
        <v>59</v>
      </c>
      <c r="B106" s="13">
        <v>43850</v>
      </c>
      <c r="C106" s="12" t="s">
        <v>169</v>
      </c>
      <c r="D106" s="12" t="s">
        <v>168</v>
      </c>
      <c r="H106" s="15">
        <v>20</v>
      </c>
      <c r="I106" s="15">
        <v>5.5999999999999999E-3</v>
      </c>
      <c r="J106" s="15">
        <v>9.1000000000000004E-3</v>
      </c>
      <c r="K106" s="15">
        <v>2.8000000000000001E-2</v>
      </c>
      <c r="L106" s="15">
        <v>2E-3</v>
      </c>
      <c r="M106" s="44">
        <f t="shared" si="35"/>
        <v>2.4E-2</v>
      </c>
      <c r="N106" s="15">
        <v>7.8E-2</v>
      </c>
      <c r="O106" s="15">
        <v>2E-3</v>
      </c>
      <c r="P106" s="15">
        <f t="shared" si="36"/>
        <v>7.3999999999999996E-2</v>
      </c>
      <c r="Q106" s="15">
        <f t="shared" si="37"/>
        <v>4.9999999999999996E-2</v>
      </c>
      <c r="R106" s="12">
        <f t="shared" si="39"/>
        <v>4.8791208791208787</v>
      </c>
      <c r="S106" s="12">
        <f t="shared" si="38"/>
        <v>9.7582417582417573</v>
      </c>
    </row>
    <row r="107" spans="1:25">
      <c r="A107" s="39" t="s">
        <v>59</v>
      </c>
      <c r="B107" s="12" t="s">
        <v>171</v>
      </c>
      <c r="C107" s="12" t="s">
        <v>170</v>
      </c>
      <c r="H107" s="15">
        <v>20</v>
      </c>
      <c r="I107" s="15">
        <v>5.5999999999999999E-3</v>
      </c>
      <c r="J107" s="15">
        <v>9.1000000000000004E-3</v>
      </c>
      <c r="K107" s="15">
        <v>2.8000000000000001E-2</v>
      </c>
      <c r="L107" s="15">
        <v>2E-3</v>
      </c>
      <c r="M107" s="44">
        <f t="shared" ref="M107:M108" si="40">K107-2*L107</f>
        <v>2.4E-2</v>
      </c>
      <c r="N107" s="15">
        <v>7.9000000000000001E-2</v>
      </c>
      <c r="O107" s="15">
        <v>2E-3</v>
      </c>
      <c r="P107" s="15">
        <f t="shared" ref="P107:P108" si="41">N107-2*O107</f>
        <v>7.4999999999999997E-2</v>
      </c>
      <c r="Q107" s="15">
        <f t="shared" ref="Q107:Q108" si="42">P107-M107</f>
        <v>5.0999999999999997E-2</v>
      </c>
      <c r="R107" s="12">
        <f t="shared" si="39"/>
        <v>4.9890109890109882</v>
      </c>
      <c r="S107" s="12">
        <f t="shared" ref="S107:S108" si="43">R107*H107/10</f>
        <v>9.9780219780219763</v>
      </c>
    </row>
    <row r="108" spans="1:25">
      <c r="A108" s="39"/>
      <c r="C108" s="30" t="s">
        <v>87</v>
      </c>
      <c r="D108" s="30"/>
      <c r="E108" s="31"/>
      <c r="F108" s="31"/>
      <c r="G108" s="32"/>
      <c r="H108" s="33">
        <v>1</v>
      </c>
      <c r="I108" s="34">
        <v>5.5999999999999999E-3</v>
      </c>
      <c r="J108" s="34">
        <v>9.1000000000000004E-3</v>
      </c>
      <c r="K108" s="35">
        <v>2.8000000000000001E-2</v>
      </c>
      <c r="L108" s="35">
        <v>2E-3</v>
      </c>
      <c r="M108" s="35">
        <f t="shared" si="40"/>
        <v>2.4E-2</v>
      </c>
      <c r="N108" s="36">
        <v>0.13500000000000001</v>
      </c>
      <c r="O108" s="35">
        <v>5.0000000000000001E-3</v>
      </c>
      <c r="P108" s="35">
        <f t="shared" si="41"/>
        <v>0.125</v>
      </c>
      <c r="Q108" s="35">
        <f t="shared" si="42"/>
        <v>0.10100000000000001</v>
      </c>
      <c r="R108" s="37">
        <f t="shared" si="39"/>
        <v>10.483516483516484</v>
      </c>
      <c r="S108" s="38">
        <f t="shared" si="43"/>
        <v>1.0483516483516484</v>
      </c>
    </row>
    <row r="109" spans="1:25">
      <c r="A109" s="113" t="s">
        <v>401</v>
      </c>
      <c r="C109" s="12" t="s">
        <v>1027</v>
      </c>
      <c r="D109" s="12" t="s">
        <v>17</v>
      </c>
    </row>
    <row r="110" spans="1:25">
      <c r="A110" s="113" t="s">
        <v>401</v>
      </c>
      <c r="C110" s="12" t="s">
        <v>18</v>
      </c>
      <c r="D110" s="12" t="s">
        <v>508</v>
      </c>
    </row>
    <row r="111" spans="1:25">
      <c r="A111" s="113" t="s">
        <v>401</v>
      </c>
      <c r="C111" s="12" t="s">
        <v>19</v>
      </c>
      <c r="D111" s="12" t="s">
        <v>20</v>
      </c>
    </row>
    <row r="112" spans="1:25">
      <c r="A112" s="113" t="s">
        <v>401</v>
      </c>
      <c r="C112" s="12" t="s">
        <v>21</v>
      </c>
      <c r="D112" s="12" t="s">
        <v>22</v>
      </c>
    </row>
    <row r="113" spans="1:4">
      <c r="A113" s="113" t="s">
        <v>401</v>
      </c>
      <c r="C113" s="12" t="s">
        <v>23</v>
      </c>
      <c r="D113" s="12" t="s">
        <v>24</v>
      </c>
    </row>
    <row r="114" spans="1:4">
      <c r="A114" s="113" t="s">
        <v>401</v>
      </c>
      <c r="C114" s="12" t="s">
        <v>25</v>
      </c>
      <c r="D114" s="12" t="s">
        <v>26</v>
      </c>
    </row>
    <row r="115" spans="1:4">
      <c r="A115" s="113" t="s">
        <v>401</v>
      </c>
      <c r="C115" s="12" t="s">
        <v>27</v>
      </c>
      <c r="D115" s="12" t="s">
        <v>28</v>
      </c>
    </row>
    <row r="116" spans="1:4">
      <c r="A116" s="113" t="s">
        <v>401</v>
      </c>
      <c r="C116" s="12" t="s">
        <v>29</v>
      </c>
      <c r="D116" s="12" t="s">
        <v>30</v>
      </c>
    </row>
    <row r="117" spans="1:4">
      <c r="A117" s="113" t="s">
        <v>401</v>
      </c>
      <c r="C117" s="12" t="s">
        <v>31</v>
      </c>
      <c r="D117" s="12" t="s">
        <v>32</v>
      </c>
    </row>
    <row r="118" spans="1:4">
      <c r="A118" s="113" t="s">
        <v>401</v>
      </c>
      <c r="C118" s="12" t="s">
        <v>33</v>
      </c>
      <c r="D118" s="12" t="s">
        <v>34</v>
      </c>
    </row>
    <row r="119" spans="1:4">
      <c r="A119" s="113"/>
      <c r="C119" s="12" t="s">
        <v>35</v>
      </c>
      <c r="D119" s="12" t="s">
        <v>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Y81"/>
  <sheetViews>
    <sheetView workbookViewId="0">
      <pane ySplit="1" topLeftCell="A53" activePane="bottomLeft" state="frozen"/>
      <selection pane="bottomLeft" activeCell="D8" sqref="D8"/>
    </sheetView>
  </sheetViews>
  <sheetFormatPr defaultRowHeight="13.5"/>
  <cols>
    <col min="1" max="1" width="9" style="45"/>
    <col min="2" max="2" width="9" style="12"/>
    <col min="3" max="3" width="19.125" style="12" customWidth="1"/>
    <col min="4" max="7" width="9" style="12"/>
    <col min="8" max="8" width="9" style="53"/>
    <col min="9" max="9" width="9.5" style="57" bestFit="1" customWidth="1"/>
    <col min="10" max="16384" width="9" style="12"/>
  </cols>
  <sheetData>
    <row r="1" spans="1:25" s="11" customFormat="1" ht="34.5" customHeight="1">
      <c r="A1" s="1" t="s">
        <v>319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58" t="s">
        <v>7</v>
      </c>
      <c r="I1" s="14" t="s">
        <v>8</v>
      </c>
      <c r="J1" s="14" t="s">
        <v>9</v>
      </c>
      <c r="K1" s="5" t="s">
        <v>10</v>
      </c>
      <c r="L1" s="5" t="s">
        <v>10</v>
      </c>
      <c r="M1" s="5" t="s">
        <v>10</v>
      </c>
      <c r="N1" s="6" t="s">
        <v>10</v>
      </c>
      <c r="O1" s="7" t="s">
        <v>10</v>
      </c>
      <c r="P1" s="7" t="s">
        <v>10</v>
      </c>
      <c r="Q1" s="8" t="s">
        <v>10</v>
      </c>
      <c r="R1" s="9" t="s">
        <v>11</v>
      </c>
      <c r="S1" s="9" t="s">
        <v>12</v>
      </c>
      <c r="T1" s="10" t="s">
        <v>13</v>
      </c>
      <c r="U1" s="10" t="s">
        <v>14</v>
      </c>
      <c r="V1" s="11" t="s">
        <v>15</v>
      </c>
    </row>
    <row r="2" spans="1:25" s="11" customFormat="1" ht="18.75" customHeight="1">
      <c r="A2" s="39"/>
      <c r="B2" s="49">
        <v>43875</v>
      </c>
      <c r="C2" s="12" t="s">
        <v>208</v>
      </c>
      <c r="D2" s="12" t="s">
        <v>174</v>
      </c>
      <c r="E2" s="12"/>
      <c r="F2" s="12"/>
      <c r="G2" s="12" t="s">
        <v>209</v>
      </c>
      <c r="H2" s="53">
        <v>5</v>
      </c>
      <c r="I2" s="43">
        <v>3.5999999999999999E-3</v>
      </c>
      <c r="J2" s="15">
        <v>9.4999999999999998E-3</v>
      </c>
      <c r="K2" s="15">
        <v>2.8000000000000001E-2</v>
      </c>
      <c r="L2" s="15">
        <v>0</v>
      </c>
      <c r="M2" s="44">
        <f t="shared" ref="M2" si="0">K2-2*L2</f>
        <v>2.8000000000000001E-2</v>
      </c>
      <c r="N2" s="15">
        <v>0.125</v>
      </c>
      <c r="O2" s="12">
        <v>7.0000000000000001E-3</v>
      </c>
      <c r="P2" s="15">
        <f t="shared" ref="P2" si="1">N2-2*O2</f>
        <v>0.111</v>
      </c>
      <c r="Q2" s="15">
        <f t="shared" ref="Q2" si="2">P2-M2</f>
        <v>8.3000000000000004E-2</v>
      </c>
      <c r="R2" s="12">
        <f t="shared" ref="R2" si="3">(Q2-I2)/J2</f>
        <v>8.3578947368421055</v>
      </c>
      <c r="S2" s="12">
        <f t="shared" ref="S2" si="4">R2*H2/10</f>
        <v>4.1789473684210527</v>
      </c>
      <c r="T2" s="10"/>
      <c r="U2" s="10"/>
    </row>
    <row r="3" spans="1:25" ht="18.75" customHeight="1">
      <c r="A3" s="39"/>
      <c r="B3" s="12" t="s">
        <v>202</v>
      </c>
      <c r="C3" s="12" t="s">
        <v>206</v>
      </c>
      <c r="G3" s="15" t="s">
        <v>203</v>
      </c>
      <c r="H3" s="53">
        <v>5</v>
      </c>
      <c r="I3" s="43">
        <v>3.5999999999999999E-3</v>
      </c>
      <c r="J3" s="15">
        <v>9.4999999999999998E-3</v>
      </c>
      <c r="K3" s="15">
        <v>2.8000000000000001E-2</v>
      </c>
      <c r="L3" s="15">
        <v>0</v>
      </c>
      <c r="M3" s="44">
        <f t="shared" ref="M3" si="5">K3-2*L3</f>
        <v>2.8000000000000001E-2</v>
      </c>
      <c r="N3" s="15">
        <v>0.27400000000000002</v>
      </c>
      <c r="O3" s="12">
        <v>4.0000000000000001E-3</v>
      </c>
      <c r="P3" s="15">
        <f t="shared" ref="P3" si="6">N3-2*O3</f>
        <v>0.26600000000000001</v>
      </c>
      <c r="Q3" s="15">
        <f t="shared" ref="Q3" si="7">P3-M3</f>
        <v>0.23800000000000002</v>
      </c>
      <c r="R3" s="12">
        <f t="shared" ref="R3" si="8">(Q3-I3)/J3</f>
        <v>24.673684210526318</v>
      </c>
      <c r="S3" s="12">
        <f t="shared" ref="S3" si="9">R3*H3/10</f>
        <v>12.336842105263159</v>
      </c>
      <c r="T3" s="12">
        <v>12.3</v>
      </c>
    </row>
    <row r="4" spans="1:25" ht="18.75" customHeight="1">
      <c r="A4" s="39"/>
      <c r="C4" s="12" t="s">
        <v>207</v>
      </c>
      <c r="G4" s="15"/>
      <c r="H4" s="53">
        <v>5</v>
      </c>
      <c r="I4" s="43">
        <v>3.5999999999999999E-3</v>
      </c>
      <c r="J4" s="15">
        <v>9.4999999999999998E-3</v>
      </c>
      <c r="K4" s="15">
        <v>2.8000000000000001E-2</v>
      </c>
      <c r="L4" s="15">
        <v>0</v>
      </c>
      <c r="M4" s="44">
        <f t="shared" ref="M4" si="10">K4-2*L4</f>
        <v>2.8000000000000001E-2</v>
      </c>
      <c r="N4" s="15">
        <v>0.27300000000000002</v>
      </c>
      <c r="O4" s="12">
        <v>4.0000000000000001E-3</v>
      </c>
      <c r="P4" s="15">
        <f t="shared" ref="P4" si="11">N4-2*O4</f>
        <v>0.26500000000000001</v>
      </c>
      <c r="Q4" s="15">
        <f t="shared" ref="Q4" si="12">P4-M4</f>
        <v>0.23700000000000002</v>
      </c>
      <c r="R4" s="12">
        <f t="shared" ref="R4" si="13">(Q4-I4)/J4</f>
        <v>24.568421052631582</v>
      </c>
      <c r="S4" s="12">
        <f t="shared" ref="S4" si="14">R4*H4/10</f>
        <v>12.284210526315791</v>
      </c>
      <c r="V4" s="56"/>
    </row>
    <row r="5" spans="1:25">
      <c r="A5" s="39"/>
      <c r="C5" s="50" t="s">
        <v>184</v>
      </c>
      <c r="D5" s="50"/>
      <c r="E5" s="50"/>
      <c r="F5" s="50"/>
      <c r="G5" s="50"/>
      <c r="H5" s="59">
        <v>1</v>
      </c>
      <c r="I5" s="23">
        <v>3.5999999999999999E-3</v>
      </c>
      <c r="J5" s="23">
        <v>9.4999999999999998E-3</v>
      </c>
      <c r="K5" s="24">
        <v>2.8000000000000001E-2</v>
      </c>
      <c r="L5" s="24">
        <v>0</v>
      </c>
      <c r="M5" s="24">
        <f t="shared" ref="M5:M36" si="15">K5-2*L5</f>
        <v>2.8000000000000001E-2</v>
      </c>
      <c r="N5" s="25">
        <v>0.183</v>
      </c>
      <c r="O5" s="24">
        <v>4.9999999999999906E-3</v>
      </c>
      <c r="P5" s="24">
        <f t="shared" ref="P5:P36" si="16">N5-2*O5</f>
        <v>0.17300000000000001</v>
      </c>
      <c r="Q5" s="24">
        <f t="shared" ref="Q5:Q36" si="17">P5-M5</f>
        <v>0.14500000000000002</v>
      </c>
      <c r="R5" s="26">
        <f t="shared" ref="R5:R19" si="18">(Q5-I5)/J5</f>
        <v>14.884210526315792</v>
      </c>
      <c r="S5" s="27">
        <f t="shared" ref="S5:S36" si="19">R5*H5/10</f>
        <v>1.4884210526315793</v>
      </c>
      <c r="T5" s="47" t="s">
        <v>188</v>
      </c>
      <c r="V5" s="51" t="s">
        <v>186</v>
      </c>
    </row>
    <row r="6" spans="1:25">
      <c r="A6" s="39"/>
      <c r="C6" s="50" t="s">
        <v>185</v>
      </c>
      <c r="D6" s="50"/>
      <c r="E6" s="50"/>
      <c r="F6" s="50"/>
      <c r="G6" s="50"/>
      <c r="H6" s="59">
        <v>1</v>
      </c>
      <c r="I6" s="23">
        <v>3.5999999999999999E-3</v>
      </c>
      <c r="J6" s="23">
        <v>9.4999999999999998E-3</v>
      </c>
      <c r="K6" s="24">
        <v>2.8000000000000001E-2</v>
      </c>
      <c r="L6" s="24">
        <v>0</v>
      </c>
      <c r="M6" s="24">
        <f t="shared" si="15"/>
        <v>2.8000000000000001E-2</v>
      </c>
      <c r="N6" s="25">
        <v>0.184</v>
      </c>
      <c r="O6" s="24">
        <v>6.0000000000000001E-3</v>
      </c>
      <c r="P6" s="24">
        <f t="shared" si="16"/>
        <v>0.17199999999999999</v>
      </c>
      <c r="Q6" s="24">
        <f t="shared" si="17"/>
        <v>0.14399999999999999</v>
      </c>
      <c r="R6" s="26">
        <f t="shared" si="18"/>
        <v>14.778947368421052</v>
      </c>
      <c r="S6" s="27">
        <f t="shared" si="19"/>
        <v>1.4778947368421052</v>
      </c>
      <c r="V6" s="51" t="s">
        <v>187</v>
      </c>
    </row>
    <row r="7" spans="1:25">
      <c r="A7" s="39"/>
      <c r="C7" s="30" t="s">
        <v>87</v>
      </c>
      <c r="D7" s="30"/>
      <c r="E7" s="31"/>
      <c r="F7" s="31"/>
      <c r="G7" s="32"/>
      <c r="H7" s="60">
        <v>1</v>
      </c>
      <c r="I7" s="34">
        <v>3.5999999999999999E-3</v>
      </c>
      <c r="J7" s="34">
        <v>9.4999999999999998E-3</v>
      </c>
      <c r="K7" s="35">
        <v>2.8000000000000001E-2</v>
      </c>
      <c r="L7" s="35">
        <v>0</v>
      </c>
      <c r="M7" s="35">
        <f t="shared" si="15"/>
        <v>2.8000000000000001E-2</v>
      </c>
      <c r="N7" s="36">
        <v>0.13900000000000001</v>
      </c>
      <c r="O7" s="35">
        <v>6.0000000000000001E-3</v>
      </c>
      <c r="P7" s="35">
        <f t="shared" si="16"/>
        <v>0.127</v>
      </c>
      <c r="Q7" s="35">
        <f t="shared" si="17"/>
        <v>9.9000000000000005E-2</v>
      </c>
      <c r="R7" s="37">
        <f t="shared" si="18"/>
        <v>10.042105263157895</v>
      </c>
      <c r="S7" s="38">
        <f t="shared" si="19"/>
        <v>1.0042105263157894</v>
      </c>
    </row>
    <row r="8" spans="1:25">
      <c r="A8" s="39"/>
      <c r="C8" s="12" t="s">
        <v>204</v>
      </c>
      <c r="D8" s="12" t="s">
        <v>176</v>
      </c>
      <c r="G8" s="15" t="s">
        <v>183</v>
      </c>
      <c r="H8" s="53">
        <v>10</v>
      </c>
      <c r="I8" s="43">
        <v>3.5999999999999999E-3</v>
      </c>
      <c r="J8" s="15">
        <v>9.4999999999999998E-3</v>
      </c>
      <c r="K8" s="15">
        <v>2.8000000000000001E-2</v>
      </c>
      <c r="L8" s="15">
        <v>0</v>
      </c>
      <c r="M8" s="44">
        <f t="shared" si="15"/>
        <v>2.8000000000000001E-2</v>
      </c>
      <c r="N8" s="15">
        <v>0.27700000000000002</v>
      </c>
      <c r="O8" s="12">
        <v>7.9999999999999932E-3</v>
      </c>
      <c r="P8" s="15">
        <f t="shared" si="16"/>
        <v>0.26100000000000001</v>
      </c>
      <c r="Q8" s="15">
        <f t="shared" si="17"/>
        <v>0.23300000000000001</v>
      </c>
      <c r="R8" s="12">
        <f t="shared" si="18"/>
        <v>24.147368421052633</v>
      </c>
      <c r="S8" s="16">
        <f t="shared" si="19"/>
        <v>24.147368421052633</v>
      </c>
    </row>
    <row r="9" spans="1:25" ht="18.75" customHeight="1">
      <c r="A9" s="39"/>
      <c r="C9" s="12" t="s">
        <v>205</v>
      </c>
      <c r="D9" s="12" t="s">
        <v>178</v>
      </c>
      <c r="G9" s="15" t="s">
        <v>182</v>
      </c>
      <c r="H9" s="53">
        <v>5</v>
      </c>
      <c r="I9" s="43">
        <v>3.5999999999999999E-3</v>
      </c>
      <c r="J9" s="15">
        <v>9.4999999999999998E-3</v>
      </c>
      <c r="K9" s="15">
        <v>2.8000000000000001E-2</v>
      </c>
      <c r="L9" s="15">
        <v>0</v>
      </c>
      <c r="M9" s="44">
        <f t="shared" si="15"/>
        <v>2.8000000000000001E-2</v>
      </c>
      <c r="N9" s="15">
        <v>0.14000000000000001</v>
      </c>
      <c r="O9" s="12">
        <v>9.999999999999995E-3</v>
      </c>
      <c r="P9" s="15">
        <f t="shared" si="16"/>
        <v>0.12000000000000002</v>
      </c>
      <c r="Q9" s="15">
        <f t="shared" si="17"/>
        <v>9.2000000000000026E-2</v>
      </c>
      <c r="R9" s="12">
        <f t="shared" si="18"/>
        <v>9.3052631578947391</v>
      </c>
      <c r="S9" s="12">
        <f t="shared" si="19"/>
        <v>4.6526315789473696</v>
      </c>
    </row>
    <row r="10" spans="1:25" ht="18.75" customHeight="1">
      <c r="A10" s="39"/>
      <c r="C10" s="12" t="s">
        <v>175</v>
      </c>
      <c r="D10" s="12" t="s">
        <v>180</v>
      </c>
      <c r="G10" s="15"/>
      <c r="H10" s="53">
        <v>100</v>
      </c>
      <c r="I10" s="43">
        <v>3.5999999999999999E-3</v>
      </c>
      <c r="J10" s="15">
        <v>9.4999999999999998E-3</v>
      </c>
      <c r="K10" s="15">
        <v>2.8000000000000001E-2</v>
      </c>
      <c r="L10" s="15">
        <v>0</v>
      </c>
      <c r="M10" s="44">
        <f t="shared" si="15"/>
        <v>2.8000000000000001E-2</v>
      </c>
      <c r="N10" s="15">
        <v>0.29699999999999999</v>
      </c>
      <c r="O10" s="12">
        <v>1.3999999999999999E-2</v>
      </c>
      <c r="P10" s="15">
        <f t="shared" si="16"/>
        <v>0.26900000000000002</v>
      </c>
      <c r="Q10" s="15">
        <f t="shared" si="17"/>
        <v>0.24100000000000002</v>
      </c>
      <c r="R10" s="12">
        <f t="shared" si="18"/>
        <v>24.98947368421053</v>
      </c>
      <c r="S10" s="12">
        <f t="shared" si="19"/>
        <v>249.89473684210529</v>
      </c>
    </row>
    <row r="11" spans="1:25">
      <c r="A11" s="39"/>
      <c r="C11" s="12" t="s">
        <v>177</v>
      </c>
      <c r="G11" s="15"/>
      <c r="H11" s="53">
        <v>5</v>
      </c>
      <c r="I11" s="43">
        <v>3.5999999999999999E-3</v>
      </c>
      <c r="J11" s="15">
        <v>9.4999999999999998E-3</v>
      </c>
      <c r="K11" s="15">
        <v>2.8000000000000001E-2</v>
      </c>
      <c r="L11" s="15">
        <v>0</v>
      </c>
      <c r="M11" s="44">
        <f t="shared" si="15"/>
        <v>2.8000000000000001E-2</v>
      </c>
      <c r="N11" s="15">
        <v>0.314</v>
      </c>
      <c r="O11" s="12">
        <v>1.1999999999999997E-2</v>
      </c>
      <c r="P11" s="15">
        <f t="shared" si="16"/>
        <v>0.29000000000000004</v>
      </c>
      <c r="Q11" s="15">
        <f t="shared" si="17"/>
        <v>0.26200000000000001</v>
      </c>
      <c r="R11" s="12">
        <f t="shared" si="18"/>
        <v>27.200000000000003</v>
      </c>
      <c r="S11" s="12">
        <f t="shared" si="19"/>
        <v>13.6</v>
      </c>
    </row>
    <row r="12" spans="1:25">
      <c r="A12" s="39" t="s">
        <v>160</v>
      </c>
      <c r="B12" s="13">
        <v>43880</v>
      </c>
      <c r="C12" s="12" t="s">
        <v>222</v>
      </c>
      <c r="D12" s="12" t="s">
        <v>210</v>
      </c>
      <c r="H12" s="53">
        <v>5</v>
      </c>
      <c r="I12" s="43">
        <v>3.5999999999999999E-3</v>
      </c>
      <c r="J12" s="15">
        <v>9.4999999999999998E-3</v>
      </c>
      <c r="K12" s="15">
        <v>3.1E-2</v>
      </c>
      <c r="L12" s="15">
        <v>1E-3</v>
      </c>
      <c r="M12" s="44">
        <f t="shared" si="15"/>
        <v>2.8999999999999998E-2</v>
      </c>
      <c r="N12" s="15">
        <v>8.8999999999999996E-2</v>
      </c>
      <c r="O12" s="12">
        <v>2.0000000000000018E-3</v>
      </c>
      <c r="P12" s="15">
        <f t="shared" si="16"/>
        <v>8.4999999999999992E-2</v>
      </c>
      <c r="Q12" s="15">
        <f t="shared" si="17"/>
        <v>5.5999999999999994E-2</v>
      </c>
      <c r="R12" s="12">
        <f t="shared" si="18"/>
        <v>5.5157894736842099</v>
      </c>
      <c r="S12" s="12">
        <f t="shared" si="19"/>
        <v>2.757894736842105</v>
      </c>
      <c r="V12" s="12">
        <v>0.18</v>
      </c>
      <c r="W12" s="12">
        <v>8.5999999999999993E-2</v>
      </c>
      <c r="X12" s="12">
        <f>V12-0.149</f>
        <v>3.1E-2</v>
      </c>
      <c r="Y12" s="12">
        <f>W12-0.076</f>
        <v>9.999999999999995E-3</v>
      </c>
    </row>
    <row r="13" spans="1:25">
      <c r="A13" s="39"/>
      <c r="B13" s="12" t="s">
        <v>221</v>
      </c>
      <c r="C13" s="12" t="s">
        <v>223</v>
      </c>
      <c r="H13" s="53">
        <v>5</v>
      </c>
      <c r="I13" s="43">
        <v>3.5999999999999999E-3</v>
      </c>
      <c r="J13" s="15">
        <v>9.4999999999999998E-3</v>
      </c>
      <c r="K13" s="15">
        <v>3.1E-2</v>
      </c>
      <c r="L13" s="15">
        <v>1E-3</v>
      </c>
      <c r="M13" s="44">
        <f t="shared" si="15"/>
        <v>2.8999999999999998E-2</v>
      </c>
      <c r="N13" s="15">
        <v>0.09</v>
      </c>
      <c r="O13" s="12">
        <v>2.0000000000000018E-3</v>
      </c>
      <c r="P13" s="15">
        <f t="shared" si="16"/>
        <v>8.5999999999999993E-2</v>
      </c>
      <c r="Q13" s="15">
        <f t="shared" si="17"/>
        <v>5.6999999999999995E-2</v>
      </c>
      <c r="R13" s="12">
        <f t="shared" si="18"/>
        <v>5.6210526315789471</v>
      </c>
      <c r="S13" s="12">
        <f t="shared" si="19"/>
        <v>2.8105263157894735</v>
      </c>
    </row>
    <row r="14" spans="1:25">
      <c r="A14" s="39"/>
      <c r="C14" s="30" t="s">
        <v>87</v>
      </c>
      <c r="D14" s="30"/>
      <c r="E14" s="31"/>
      <c r="F14" s="31"/>
      <c r="G14" s="32"/>
      <c r="H14" s="60">
        <v>1</v>
      </c>
      <c r="I14" s="34">
        <v>3.5999999999999999E-3</v>
      </c>
      <c r="J14" s="34">
        <v>9.4999999999999998E-3</v>
      </c>
      <c r="K14" s="35">
        <v>3.1E-2</v>
      </c>
      <c r="L14" s="35">
        <v>1E-3</v>
      </c>
      <c r="M14" s="35">
        <f t="shared" si="15"/>
        <v>2.8999999999999998E-2</v>
      </c>
      <c r="N14" s="36">
        <v>0.14099999999999999</v>
      </c>
      <c r="O14" s="35">
        <v>5.0000000000000001E-3</v>
      </c>
      <c r="P14" s="35">
        <f t="shared" si="16"/>
        <v>0.13099999999999998</v>
      </c>
      <c r="Q14" s="35">
        <f t="shared" si="17"/>
        <v>0.10199999999999998</v>
      </c>
      <c r="R14" s="37">
        <f t="shared" si="18"/>
        <v>10.357894736842102</v>
      </c>
      <c r="S14" s="38">
        <f t="shared" si="19"/>
        <v>1.0357894736842101</v>
      </c>
    </row>
    <row r="15" spans="1:25">
      <c r="A15" s="39" t="s">
        <v>160</v>
      </c>
      <c r="C15" s="12" t="s">
        <v>211</v>
      </c>
      <c r="D15" s="12" t="s">
        <v>212</v>
      </c>
      <c r="H15" s="53">
        <v>5</v>
      </c>
      <c r="I15" s="43">
        <v>3.5999999999999999E-3</v>
      </c>
      <c r="J15" s="15">
        <v>9.4999999999999998E-3</v>
      </c>
      <c r="K15" s="15">
        <v>3.1E-2</v>
      </c>
      <c r="L15" s="15">
        <v>1E-3</v>
      </c>
      <c r="M15" s="44">
        <f t="shared" si="15"/>
        <v>2.8999999999999998E-2</v>
      </c>
      <c r="N15" s="12">
        <v>0.13999999999999999</v>
      </c>
      <c r="O15" s="12">
        <v>2.0000000000000018E-3</v>
      </c>
      <c r="P15" s="15">
        <f t="shared" si="16"/>
        <v>0.13599999999999998</v>
      </c>
      <c r="Q15" s="15">
        <f t="shared" si="17"/>
        <v>0.10699999999999998</v>
      </c>
      <c r="R15" s="12">
        <f t="shared" si="18"/>
        <v>10.884210526315787</v>
      </c>
      <c r="S15" s="12">
        <f t="shared" si="19"/>
        <v>5.4421052631578934</v>
      </c>
      <c r="V15" s="12">
        <v>0.23799999999999999</v>
      </c>
      <c r="W15" s="12">
        <v>7.8E-2</v>
      </c>
      <c r="X15" s="12">
        <f>V15-0.149</f>
        <v>8.8999999999999996E-2</v>
      </c>
      <c r="Y15" s="12">
        <f>W15-0.076</f>
        <v>2.0000000000000018E-3</v>
      </c>
    </row>
    <row r="16" spans="1:25">
      <c r="A16" s="39" t="s">
        <v>160</v>
      </c>
      <c r="C16" s="12" t="s">
        <v>213</v>
      </c>
      <c r="D16" s="12" t="s">
        <v>214</v>
      </c>
      <c r="H16" s="53">
        <v>5</v>
      </c>
      <c r="I16" s="43">
        <v>3.5999999999999999E-3</v>
      </c>
      <c r="J16" s="15">
        <v>9.4999999999999998E-3</v>
      </c>
      <c r="K16" s="15">
        <v>3.1E-2</v>
      </c>
      <c r="L16" s="15">
        <v>1E-3</v>
      </c>
      <c r="M16" s="44">
        <f t="shared" si="15"/>
        <v>2.8999999999999998E-2</v>
      </c>
      <c r="N16" s="12">
        <v>0.14499999999999999</v>
      </c>
      <c r="O16" s="12">
        <v>2.0000000000000018E-3</v>
      </c>
      <c r="P16" s="15">
        <f t="shared" si="16"/>
        <v>0.14099999999999999</v>
      </c>
      <c r="Q16" s="15">
        <f t="shared" si="17"/>
        <v>0.11199999999999999</v>
      </c>
      <c r="R16" s="12">
        <f t="shared" si="18"/>
        <v>11.410526315789472</v>
      </c>
      <c r="S16" s="12">
        <f t="shared" si="19"/>
        <v>5.7052631578947359</v>
      </c>
      <c r="V16" s="12">
        <v>0.28899999999999998</v>
      </c>
      <c r="W16" s="12">
        <v>7.8E-2</v>
      </c>
      <c r="X16" s="12">
        <f>V16-0.149</f>
        <v>0.13999999999999999</v>
      </c>
      <c r="Y16" s="12">
        <f>W16-0.076</f>
        <v>2.0000000000000018E-3</v>
      </c>
    </row>
    <row r="17" spans="1:25">
      <c r="A17" s="39" t="s">
        <v>160</v>
      </c>
      <c r="C17" s="12" t="s">
        <v>215</v>
      </c>
      <c r="D17" s="12" t="s">
        <v>216</v>
      </c>
      <c r="H17" s="53">
        <v>5</v>
      </c>
      <c r="I17" s="43">
        <v>3.5999999999999999E-3</v>
      </c>
      <c r="J17" s="15">
        <v>9.4999999999999998E-3</v>
      </c>
      <c r="K17" s="15">
        <v>3.1E-2</v>
      </c>
      <c r="L17" s="15">
        <v>1E-3</v>
      </c>
      <c r="M17" s="44">
        <f t="shared" si="15"/>
        <v>2.8999999999999998E-2</v>
      </c>
      <c r="N17" s="12">
        <v>0.11200000000000002</v>
      </c>
      <c r="O17" s="12">
        <v>1.0000000000000009E-3</v>
      </c>
      <c r="P17" s="15">
        <f t="shared" si="16"/>
        <v>0.11000000000000001</v>
      </c>
      <c r="Q17" s="15">
        <f t="shared" si="17"/>
        <v>8.1000000000000016E-2</v>
      </c>
      <c r="R17" s="12">
        <f t="shared" si="18"/>
        <v>8.1473684210526329</v>
      </c>
      <c r="S17" s="12">
        <f t="shared" si="19"/>
        <v>4.0736842105263165</v>
      </c>
      <c r="V17" s="12">
        <v>0.29399999999999998</v>
      </c>
      <c r="W17" s="12">
        <v>7.8E-2</v>
      </c>
      <c r="X17" s="12">
        <f>V17-0.149</f>
        <v>0.14499999999999999</v>
      </c>
      <c r="Y17" s="12">
        <f>W17-0.076</f>
        <v>2.0000000000000018E-3</v>
      </c>
    </row>
    <row r="18" spans="1:25">
      <c r="A18" s="39"/>
      <c r="C18" s="12" t="s">
        <v>217</v>
      </c>
      <c r="D18" s="12" t="s">
        <v>142</v>
      </c>
      <c r="H18" s="53">
        <v>5</v>
      </c>
      <c r="I18" s="43">
        <v>3.5999999999999999E-3</v>
      </c>
      <c r="J18" s="15">
        <v>9.4999999999999998E-3</v>
      </c>
      <c r="K18" s="15">
        <v>3.1E-2</v>
      </c>
      <c r="L18" s="15">
        <v>1E-3</v>
      </c>
      <c r="M18" s="44">
        <f t="shared" si="15"/>
        <v>2.8999999999999998E-2</v>
      </c>
      <c r="N18" s="12">
        <v>0.57599999999999996</v>
      </c>
      <c r="O18" s="12">
        <v>3.9E-2</v>
      </c>
      <c r="P18" s="12">
        <f t="shared" si="16"/>
        <v>0.49799999999999994</v>
      </c>
      <c r="Q18" s="12">
        <f t="shared" si="17"/>
        <v>0.46899999999999997</v>
      </c>
      <c r="R18" s="12">
        <f t="shared" si="18"/>
        <v>48.989473684210523</v>
      </c>
      <c r="S18" s="16">
        <f t="shared" si="19"/>
        <v>24.494736842105262</v>
      </c>
      <c r="T18" s="12">
        <v>245</v>
      </c>
    </row>
    <row r="19" spans="1:25">
      <c r="A19" s="39"/>
      <c r="C19" s="12" t="s">
        <v>218</v>
      </c>
      <c r="D19" s="12" t="s">
        <v>144</v>
      </c>
      <c r="H19" s="53">
        <v>10</v>
      </c>
      <c r="I19" s="43">
        <v>3.5999999999999999E-3</v>
      </c>
      <c r="J19" s="15">
        <v>9.4999999999999998E-3</v>
      </c>
      <c r="K19" s="15">
        <v>3.1E-2</v>
      </c>
      <c r="L19" s="15">
        <v>1E-3</v>
      </c>
      <c r="M19" s="44">
        <f t="shared" si="15"/>
        <v>2.8999999999999998E-2</v>
      </c>
      <c r="N19" s="12">
        <v>0.114</v>
      </c>
      <c r="O19" s="12">
        <v>4.0000000000000001E-3</v>
      </c>
      <c r="P19" s="12">
        <f t="shared" si="16"/>
        <v>0.10600000000000001</v>
      </c>
      <c r="Q19" s="12">
        <f t="shared" si="17"/>
        <v>7.7000000000000013E-2</v>
      </c>
      <c r="R19" s="12">
        <f t="shared" si="18"/>
        <v>7.7263157894736851</v>
      </c>
      <c r="S19" s="12">
        <f t="shared" si="19"/>
        <v>7.7263157894736851</v>
      </c>
      <c r="V19" s="12">
        <v>0.17399999999999999</v>
      </c>
      <c r="W19" s="12">
        <v>8.2000000000000003E-2</v>
      </c>
      <c r="X19" s="12">
        <f>V19-0.151</f>
        <v>2.2999999999999993E-2</v>
      </c>
      <c r="Y19" s="12">
        <f>W19-0.077</f>
        <v>5.0000000000000044E-3</v>
      </c>
    </row>
    <row r="20" spans="1:25">
      <c r="A20" s="39" t="s">
        <v>160</v>
      </c>
      <c r="C20" s="12" t="s">
        <v>219</v>
      </c>
      <c r="D20" s="12" t="s">
        <v>220</v>
      </c>
      <c r="H20" s="53">
        <v>5</v>
      </c>
      <c r="I20" s="43">
        <v>3.5999999999999999E-3</v>
      </c>
      <c r="J20" s="15">
        <v>9.4999999999999998E-3</v>
      </c>
      <c r="K20" s="15">
        <v>3.1E-2</v>
      </c>
      <c r="L20" s="15">
        <v>1E-3</v>
      </c>
      <c r="M20" s="44">
        <f t="shared" si="15"/>
        <v>2.8999999999999998E-2</v>
      </c>
      <c r="N20" s="12">
        <v>0.13300000000000001</v>
      </c>
      <c r="O20" s="15">
        <v>5.0000000000000001E-3</v>
      </c>
      <c r="P20" s="15">
        <f t="shared" si="16"/>
        <v>0.12300000000000001</v>
      </c>
      <c r="Q20" s="15">
        <f t="shared" si="17"/>
        <v>9.4000000000000014E-2</v>
      </c>
      <c r="R20" s="12">
        <f>(Q20-I19)/J19</f>
        <v>9.5157894736842117</v>
      </c>
      <c r="S20" s="12">
        <f t="shared" si="19"/>
        <v>4.7578947368421058</v>
      </c>
      <c r="V20" s="12">
        <v>0.71099999999999997</v>
      </c>
      <c r="W20" s="12">
        <v>0.11600000000000001</v>
      </c>
      <c r="X20" s="12">
        <f>V20-0.151</f>
        <v>0.55999999999999994</v>
      </c>
      <c r="Y20" s="12">
        <f>W20-0.077</f>
        <v>3.9000000000000007E-2</v>
      </c>
    </row>
    <row r="21" spans="1:25" ht="15" customHeight="1">
      <c r="A21" s="39" t="s">
        <v>160</v>
      </c>
      <c r="B21" s="13">
        <v>43885</v>
      </c>
      <c r="C21" s="12" t="s">
        <v>233</v>
      </c>
      <c r="D21" s="12" t="s">
        <v>224</v>
      </c>
      <c r="H21" s="53">
        <v>5</v>
      </c>
      <c r="I21" s="43">
        <v>3.5999999999999999E-3</v>
      </c>
      <c r="J21" s="15">
        <v>9.4999999999999998E-3</v>
      </c>
      <c r="K21" s="12">
        <v>2.1000000000000001E-2</v>
      </c>
      <c r="L21" s="12">
        <v>0</v>
      </c>
      <c r="M21" s="12">
        <f t="shared" si="15"/>
        <v>2.1000000000000001E-2</v>
      </c>
      <c r="N21" s="12">
        <v>0.17600000000000002</v>
      </c>
      <c r="O21" s="12">
        <v>6.0000000000000053E-3</v>
      </c>
      <c r="P21" s="15">
        <f t="shared" si="16"/>
        <v>0.16400000000000001</v>
      </c>
      <c r="Q21" s="15">
        <f t="shared" si="17"/>
        <v>0.14300000000000002</v>
      </c>
      <c r="R21" s="12">
        <f>(Q21-I20)/J20</f>
        <v>14.673684210526318</v>
      </c>
      <c r="S21" s="12">
        <f t="shared" si="19"/>
        <v>7.3368421052631589</v>
      </c>
    </row>
    <row r="22" spans="1:25" ht="15" customHeight="1">
      <c r="A22" s="39" t="s">
        <v>160</v>
      </c>
      <c r="B22" s="12" t="s">
        <v>235</v>
      </c>
      <c r="C22" s="12" t="s">
        <v>234</v>
      </c>
      <c r="H22" s="53">
        <v>5</v>
      </c>
      <c r="I22" s="43">
        <v>3.5999999999999999E-3</v>
      </c>
      <c r="J22" s="15">
        <v>9.4999999999999998E-3</v>
      </c>
      <c r="K22" s="12">
        <v>2.1000000000000001E-2</v>
      </c>
      <c r="L22" s="12">
        <v>0</v>
      </c>
      <c r="M22" s="12">
        <f t="shared" si="15"/>
        <v>2.1000000000000001E-2</v>
      </c>
      <c r="N22" s="12">
        <v>0.17699999999999999</v>
      </c>
      <c r="O22" s="12">
        <v>6.0000000000000053E-3</v>
      </c>
      <c r="P22" s="15">
        <f t="shared" si="16"/>
        <v>0.16499999999999998</v>
      </c>
      <c r="Q22" s="15">
        <f t="shared" si="17"/>
        <v>0.14399999999999999</v>
      </c>
      <c r="R22" s="12">
        <f>(Q22-I21)/J21</f>
        <v>14.778947368421052</v>
      </c>
      <c r="S22" s="12">
        <f t="shared" si="19"/>
        <v>7.3894736842105262</v>
      </c>
    </row>
    <row r="23" spans="1:25">
      <c r="A23" s="39"/>
      <c r="C23" s="50" t="s">
        <v>184</v>
      </c>
      <c r="D23" s="50"/>
      <c r="E23" s="50"/>
      <c r="F23" s="50"/>
      <c r="G23" s="50"/>
      <c r="H23" s="59">
        <v>1</v>
      </c>
      <c r="I23" s="23">
        <v>3.5999999999999999E-3</v>
      </c>
      <c r="J23" s="23">
        <v>9.4999999999999998E-3</v>
      </c>
      <c r="K23" s="24">
        <v>2.1000000000000001E-2</v>
      </c>
      <c r="L23" s="24">
        <v>0</v>
      </c>
      <c r="M23" s="24">
        <f t="shared" si="15"/>
        <v>2.1000000000000001E-2</v>
      </c>
      <c r="N23" s="25">
        <v>0.18</v>
      </c>
      <c r="O23" s="24">
        <v>4.9999999999999906E-3</v>
      </c>
      <c r="P23" s="24">
        <f t="shared" si="16"/>
        <v>0.17</v>
      </c>
      <c r="Q23" s="24">
        <f t="shared" si="17"/>
        <v>0.14900000000000002</v>
      </c>
      <c r="R23" s="26">
        <f>(Q23-I23)/J23</f>
        <v>15.305263157894741</v>
      </c>
      <c r="S23" s="27">
        <f t="shared" si="19"/>
        <v>1.5305263157894742</v>
      </c>
      <c r="T23" s="47" t="s">
        <v>188</v>
      </c>
      <c r="V23" s="51" t="s">
        <v>186</v>
      </c>
    </row>
    <row r="24" spans="1:25">
      <c r="A24" s="39"/>
      <c r="C24" s="50" t="s">
        <v>185</v>
      </c>
      <c r="D24" s="50"/>
      <c r="E24" s="50"/>
      <c r="F24" s="50"/>
      <c r="G24" s="50"/>
      <c r="H24" s="59">
        <v>1</v>
      </c>
      <c r="I24" s="23">
        <v>3.5999999999999999E-3</v>
      </c>
      <c r="J24" s="23">
        <v>9.4999999999999998E-3</v>
      </c>
      <c r="K24" s="24">
        <v>2.1000000000000001E-2</v>
      </c>
      <c r="L24" s="24">
        <v>0</v>
      </c>
      <c r="M24" s="24">
        <f t="shared" si="15"/>
        <v>2.1000000000000001E-2</v>
      </c>
      <c r="N24" s="25">
        <v>0.17899999999999999</v>
      </c>
      <c r="O24" s="24">
        <v>5.0000000000000001E-3</v>
      </c>
      <c r="P24" s="24">
        <f t="shared" si="16"/>
        <v>0.16899999999999998</v>
      </c>
      <c r="Q24" s="24">
        <f t="shared" si="17"/>
        <v>0.14799999999999999</v>
      </c>
      <c r="R24" s="26">
        <f>(Q24-I24)/J24</f>
        <v>15.200000000000001</v>
      </c>
      <c r="S24" s="27">
        <f t="shared" si="19"/>
        <v>1.52</v>
      </c>
      <c r="V24" s="51" t="s">
        <v>187</v>
      </c>
    </row>
    <row r="25" spans="1:25">
      <c r="A25" s="39"/>
      <c r="C25" s="30" t="s">
        <v>87</v>
      </c>
      <c r="D25" s="30"/>
      <c r="E25" s="31"/>
      <c r="F25" s="31"/>
      <c r="G25" s="32"/>
      <c r="H25" s="60">
        <v>1</v>
      </c>
      <c r="I25" s="34">
        <v>3.5999999999999999E-3</v>
      </c>
      <c r="J25" s="34">
        <v>9.4999999999999998E-3</v>
      </c>
      <c r="K25" s="35">
        <v>2.1000000000000001E-2</v>
      </c>
      <c r="L25" s="35">
        <v>0</v>
      </c>
      <c r="M25" s="35">
        <f t="shared" si="15"/>
        <v>2.1000000000000001E-2</v>
      </c>
      <c r="N25" s="36">
        <v>0.13500000000000001</v>
      </c>
      <c r="O25" s="35">
        <v>5.0000000000000001E-3</v>
      </c>
      <c r="P25" s="35">
        <f t="shared" si="16"/>
        <v>0.125</v>
      </c>
      <c r="Q25" s="35">
        <f t="shared" si="17"/>
        <v>0.104</v>
      </c>
      <c r="R25" s="37">
        <f>(Q25-I25)/J25</f>
        <v>10.568421052631578</v>
      </c>
      <c r="S25" s="38">
        <f t="shared" si="19"/>
        <v>1.0568421052631578</v>
      </c>
    </row>
    <row r="26" spans="1:25" ht="14.25" customHeight="1">
      <c r="A26" s="39" t="s">
        <v>160</v>
      </c>
      <c r="C26" s="12" t="s">
        <v>225</v>
      </c>
      <c r="D26" s="12" t="s">
        <v>226</v>
      </c>
      <c r="H26" s="53">
        <v>50</v>
      </c>
      <c r="I26" s="43">
        <v>3.5999999999999999E-3</v>
      </c>
      <c r="J26" s="15">
        <v>9.4999999999999998E-3</v>
      </c>
      <c r="K26" s="12">
        <v>2.1000000000000001E-2</v>
      </c>
      <c r="L26" s="12">
        <v>0</v>
      </c>
      <c r="M26" s="12">
        <f t="shared" si="15"/>
        <v>2.1000000000000001E-2</v>
      </c>
      <c r="N26" s="12">
        <v>0.19999999999999998</v>
      </c>
      <c r="O26" s="12">
        <v>2.0000000000000018E-3</v>
      </c>
      <c r="P26" s="15">
        <f t="shared" si="16"/>
        <v>0.19599999999999998</v>
      </c>
      <c r="Q26" s="15">
        <f t="shared" si="17"/>
        <v>0.17499999999999999</v>
      </c>
      <c r="R26" s="12">
        <f>(Q26-I21)/J21</f>
        <v>18.042105263157893</v>
      </c>
      <c r="S26" s="12">
        <f t="shared" si="19"/>
        <v>90.210526315789465</v>
      </c>
    </row>
    <row r="27" spans="1:25">
      <c r="A27" s="39" t="s">
        <v>160</v>
      </c>
      <c r="C27" s="12" t="s">
        <v>227</v>
      </c>
      <c r="D27" s="12" t="s">
        <v>228</v>
      </c>
      <c r="H27" s="53">
        <v>20</v>
      </c>
      <c r="I27" s="43">
        <v>3.5999999999999999E-3</v>
      </c>
      <c r="J27" s="15">
        <v>9.4999999999999998E-3</v>
      </c>
      <c r="K27" s="12">
        <v>2.1000000000000001E-2</v>
      </c>
      <c r="L27" s="12">
        <v>0</v>
      </c>
      <c r="M27" s="12">
        <f t="shared" si="15"/>
        <v>2.1000000000000001E-2</v>
      </c>
      <c r="N27" s="12">
        <v>0.47699999999999998</v>
      </c>
      <c r="O27" s="12">
        <v>4.0000000000000036E-3</v>
      </c>
      <c r="P27" s="15">
        <f t="shared" si="16"/>
        <v>0.46899999999999997</v>
      </c>
      <c r="Q27" s="15">
        <f t="shared" si="17"/>
        <v>0.44799999999999995</v>
      </c>
      <c r="R27" s="12">
        <f t="shared" ref="R27:R34" si="20">(Q27-I26)/J26</f>
        <v>46.778947368421051</v>
      </c>
      <c r="S27" s="12">
        <f t="shared" si="19"/>
        <v>93.557894736842101</v>
      </c>
      <c r="V27" s="12">
        <v>0.183</v>
      </c>
      <c r="W27" s="12">
        <v>7.4999999999999997E-2</v>
      </c>
      <c r="X27" s="12">
        <f>V27-0.162</f>
        <v>2.0999999999999991E-2</v>
      </c>
      <c r="Y27" s="12">
        <f>W27-0.075</f>
        <v>0</v>
      </c>
    </row>
    <row r="28" spans="1:25">
      <c r="A28" s="39" t="s">
        <v>160</v>
      </c>
      <c r="C28" s="12" t="s">
        <v>229</v>
      </c>
      <c r="D28" s="12" t="s">
        <v>230</v>
      </c>
      <c r="H28" s="53">
        <v>10</v>
      </c>
      <c r="I28" s="43">
        <v>3.5999999999999999E-3</v>
      </c>
      <c r="J28" s="15">
        <v>9.4999999999999998E-3</v>
      </c>
      <c r="K28" s="12">
        <v>2.1000000000000001E-2</v>
      </c>
      <c r="L28" s="12">
        <v>0</v>
      </c>
      <c r="M28" s="12">
        <f t="shared" si="15"/>
        <v>2.1000000000000001E-2</v>
      </c>
      <c r="N28" s="12">
        <v>0.308</v>
      </c>
      <c r="O28" s="12">
        <v>3.0000000000000027E-3</v>
      </c>
      <c r="P28" s="15">
        <f t="shared" si="16"/>
        <v>0.30199999999999999</v>
      </c>
      <c r="Q28" s="15">
        <f t="shared" si="17"/>
        <v>0.28099999999999997</v>
      </c>
      <c r="R28" s="12">
        <f t="shared" si="20"/>
        <v>29.2</v>
      </c>
      <c r="S28" s="12">
        <f t="shared" si="19"/>
        <v>29.2</v>
      </c>
      <c r="V28" s="12">
        <v>0.33800000000000002</v>
      </c>
      <c r="W28" s="12">
        <v>8.1000000000000003E-2</v>
      </c>
      <c r="X28" s="12">
        <f>V28-0.162</f>
        <v>0.17600000000000002</v>
      </c>
      <c r="Y28" s="12">
        <f>W28-0.075</f>
        <v>6.0000000000000053E-3</v>
      </c>
    </row>
    <row r="29" spans="1:25">
      <c r="A29" s="40" t="s">
        <v>232</v>
      </c>
      <c r="B29" s="13">
        <v>43887</v>
      </c>
      <c r="C29" s="12" t="s">
        <v>236</v>
      </c>
      <c r="D29" s="12" t="s">
        <v>231</v>
      </c>
      <c r="H29" s="53">
        <v>20</v>
      </c>
      <c r="I29" s="43">
        <v>3.5999999999999999E-3</v>
      </c>
      <c r="J29" s="15">
        <v>9.4999999999999998E-3</v>
      </c>
      <c r="K29" s="12">
        <v>2.1000000000000001E-2</v>
      </c>
      <c r="L29" s="12">
        <v>0</v>
      </c>
      <c r="M29" s="12">
        <f t="shared" si="15"/>
        <v>2.1000000000000001E-2</v>
      </c>
      <c r="N29" s="12">
        <v>0.249</v>
      </c>
      <c r="O29" s="12">
        <v>6.0000000000000001E-3</v>
      </c>
      <c r="P29" s="15">
        <f t="shared" si="16"/>
        <v>0.23699999999999999</v>
      </c>
      <c r="Q29" s="15">
        <f t="shared" si="17"/>
        <v>0.216</v>
      </c>
      <c r="R29" s="12">
        <f t="shared" si="20"/>
        <v>22.357894736842105</v>
      </c>
      <c r="S29" s="12">
        <f t="shared" si="19"/>
        <v>44.715789473684211</v>
      </c>
      <c r="V29" s="12">
        <v>0.36199999999999999</v>
      </c>
      <c r="W29" s="12">
        <v>7.6999999999999999E-2</v>
      </c>
      <c r="X29" s="12">
        <f>V29-0.162</f>
        <v>0.19999999999999998</v>
      </c>
      <c r="Y29" s="12">
        <f>W29-0.075</f>
        <v>2.0000000000000018E-3</v>
      </c>
    </row>
    <row r="30" spans="1:25">
      <c r="A30" s="39" t="s">
        <v>160</v>
      </c>
      <c r="B30" s="13" t="s">
        <v>242</v>
      </c>
      <c r="C30" s="12" t="s">
        <v>237</v>
      </c>
      <c r="D30" s="12" t="s">
        <v>238</v>
      </c>
      <c r="H30" s="53">
        <v>1</v>
      </c>
      <c r="I30" s="43">
        <v>3.5999999999999999E-3</v>
      </c>
      <c r="J30" s="15">
        <v>9.4999999999999998E-3</v>
      </c>
      <c r="K30" s="12">
        <v>1.4999999999999999E-2</v>
      </c>
      <c r="L30" s="12">
        <v>1E-3</v>
      </c>
      <c r="M30" s="12">
        <f t="shared" si="15"/>
        <v>1.2999999999999999E-2</v>
      </c>
      <c r="N30" s="12">
        <v>0.112</v>
      </c>
      <c r="O30" s="12">
        <v>1E-3</v>
      </c>
      <c r="P30" s="15">
        <f t="shared" si="16"/>
        <v>0.11</v>
      </c>
      <c r="Q30" s="15">
        <f t="shared" si="17"/>
        <v>9.7000000000000003E-2</v>
      </c>
      <c r="R30" s="12">
        <f t="shared" si="20"/>
        <v>9.8315789473684205</v>
      </c>
      <c r="S30" s="12">
        <f t="shared" si="19"/>
        <v>0.98315789473684201</v>
      </c>
    </row>
    <row r="31" spans="1:25">
      <c r="A31" s="39" t="s">
        <v>160</v>
      </c>
      <c r="C31" s="12" t="s">
        <v>239</v>
      </c>
      <c r="D31" s="12" t="s">
        <v>240</v>
      </c>
      <c r="H31" s="53">
        <v>1</v>
      </c>
      <c r="I31" s="43">
        <v>3.5999999999999999E-3</v>
      </c>
      <c r="J31" s="15">
        <v>9.4999999999999998E-3</v>
      </c>
      <c r="K31" s="12">
        <v>1.4999999999999999E-2</v>
      </c>
      <c r="L31" s="12">
        <v>1E-3</v>
      </c>
      <c r="M31" s="12">
        <f t="shared" si="15"/>
        <v>1.2999999999999999E-2</v>
      </c>
      <c r="N31" s="12">
        <v>0.26800000000000002</v>
      </c>
      <c r="O31" s="12">
        <v>2E-3</v>
      </c>
      <c r="P31" s="15">
        <f t="shared" si="16"/>
        <v>0.26400000000000001</v>
      </c>
      <c r="Q31" s="15">
        <f t="shared" si="17"/>
        <v>0.251</v>
      </c>
      <c r="R31" s="12">
        <f t="shared" si="20"/>
        <v>26.042105263157897</v>
      </c>
      <c r="S31" s="12">
        <f t="shared" si="19"/>
        <v>2.6042105263157898</v>
      </c>
      <c r="Y31" s="12">
        <f>W31-0</f>
        <v>0</v>
      </c>
    </row>
    <row r="32" spans="1:25">
      <c r="A32" s="39" t="s">
        <v>160</v>
      </c>
      <c r="C32" s="12" t="s">
        <v>241</v>
      </c>
      <c r="D32" s="12" t="s">
        <v>159</v>
      </c>
      <c r="H32" s="53">
        <v>1</v>
      </c>
      <c r="I32" s="43">
        <v>3.5999999999999999E-3</v>
      </c>
      <c r="J32" s="15">
        <v>9.4999999999999998E-3</v>
      </c>
      <c r="K32" s="12">
        <v>1.4999999999999999E-2</v>
      </c>
      <c r="L32" s="12">
        <v>1E-3</v>
      </c>
      <c r="M32" s="12">
        <f t="shared" si="15"/>
        <v>1.2999999999999999E-2</v>
      </c>
      <c r="N32" s="15">
        <v>0.248</v>
      </c>
      <c r="O32" s="15">
        <v>8.0000000000000002E-3</v>
      </c>
      <c r="P32" s="15">
        <f t="shared" si="16"/>
        <v>0.23199999999999998</v>
      </c>
      <c r="Q32" s="15">
        <f t="shared" si="17"/>
        <v>0.21899999999999997</v>
      </c>
      <c r="R32" s="12">
        <f t="shared" si="20"/>
        <v>22.673684210526314</v>
      </c>
      <c r="S32" s="12">
        <f t="shared" si="19"/>
        <v>2.2673684210526313</v>
      </c>
      <c r="V32" s="62">
        <v>0.15</v>
      </c>
      <c r="W32" s="62">
        <v>-0.15</v>
      </c>
      <c r="Y32" s="12">
        <f>W32-0</f>
        <v>-0.15</v>
      </c>
    </row>
    <row r="33" spans="1:23">
      <c r="A33" s="39" t="s">
        <v>232</v>
      </c>
      <c r="C33" s="12" t="s">
        <v>270</v>
      </c>
      <c r="D33" s="12" t="s">
        <v>147</v>
      </c>
      <c r="G33" s="12" t="s">
        <v>271</v>
      </c>
      <c r="H33" s="53">
        <v>5</v>
      </c>
      <c r="I33" s="43">
        <v>3.5999999999999999E-3</v>
      </c>
      <c r="J33" s="15">
        <v>9.4999999999999998E-3</v>
      </c>
      <c r="K33" s="12">
        <v>1.4999999999999999E-2</v>
      </c>
      <c r="L33" s="12">
        <v>1E-3</v>
      </c>
      <c r="M33" s="12">
        <f t="shared" si="15"/>
        <v>1.2999999999999999E-2</v>
      </c>
      <c r="N33" s="15">
        <v>0.24099999999999999</v>
      </c>
      <c r="O33" s="15">
        <v>6.0000000000000001E-3</v>
      </c>
      <c r="P33" s="15">
        <f t="shared" si="16"/>
        <v>0.22899999999999998</v>
      </c>
      <c r="Q33" s="15">
        <f t="shared" si="17"/>
        <v>0.21599999999999997</v>
      </c>
      <c r="R33" s="12">
        <f t="shared" si="20"/>
        <v>22.357894736842102</v>
      </c>
      <c r="S33" s="12">
        <f t="shared" si="19"/>
        <v>11.178947368421051</v>
      </c>
      <c r="U33" s="12">
        <v>9.8829999999999991</v>
      </c>
      <c r="V33" s="12">
        <f>U33*1.15</f>
        <v>11.365449999999997</v>
      </c>
      <c r="W33" s="12">
        <f>U33*0.85</f>
        <v>8.4005499999999991</v>
      </c>
    </row>
    <row r="34" spans="1:23">
      <c r="A34" s="39" t="s">
        <v>232</v>
      </c>
      <c r="C34" s="12" t="s">
        <v>272</v>
      </c>
      <c r="H34" s="53">
        <v>5</v>
      </c>
      <c r="I34" s="43">
        <v>3.5999999999999999E-3</v>
      </c>
      <c r="J34" s="15">
        <v>9.4999999999999998E-3</v>
      </c>
      <c r="K34" s="12">
        <v>1.4999999999999999E-2</v>
      </c>
      <c r="L34" s="12">
        <v>1E-3</v>
      </c>
      <c r="M34" s="12">
        <f t="shared" si="15"/>
        <v>1.2999999999999999E-2</v>
      </c>
      <c r="N34" s="15">
        <v>0.24</v>
      </c>
      <c r="O34" s="15">
        <v>6.0000000000000001E-3</v>
      </c>
      <c r="P34" s="15">
        <f t="shared" si="16"/>
        <v>0.22799999999999998</v>
      </c>
      <c r="Q34" s="15">
        <f t="shared" si="17"/>
        <v>0.21499999999999997</v>
      </c>
      <c r="R34" s="12">
        <f t="shared" si="20"/>
        <v>22.252631578947366</v>
      </c>
      <c r="S34" s="12">
        <f t="shared" si="19"/>
        <v>11.126315789473683</v>
      </c>
    </row>
    <row r="35" spans="1:23">
      <c r="A35" s="39" t="s">
        <v>232</v>
      </c>
      <c r="C35" s="12" t="s">
        <v>243</v>
      </c>
      <c r="H35" s="53">
        <v>5</v>
      </c>
      <c r="I35" s="43">
        <v>3.5999999999999999E-3</v>
      </c>
      <c r="J35" s="15">
        <v>9.4999999999999998E-3</v>
      </c>
      <c r="K35" s="12">
        <v>1.4999999999999999E-2</v>
      </c>
      <c r="L35" s="12">
        <v>1E-3</v>
      </c>
      <c r="M35" s="12">
        <f t="shared" si="15"/>
        <v>1.2999999999999999E-2</v>
      </c>
      <c r="N35" s="15">
        <v>0.23100000000000001</v>
      </c>
      <c r="O35" s="15">
        <v>7.0000000000000001E-3</v>
      </c>
      <c r="P35" s="15">
        <f t="shared" si="16"/>
        <v>0.217</v>
      </c>
      <c r="Q35" s="15">
        <f t="shared" si="17"/>
        <v>0.20399999999999999</v>
      </c>
      <c r="R35" s="12">
        <f>(Q35-I33)/J33</f>
        <v>21.094736842105263</v>
      </c>
      <c r="S35" s="12">
        <f t="shared" si="19"/>
        <v>10.547368421052632</v>
      </c>
      <c r="U35" s="12">
        <v>9.48</v>
      </c>
      <c r="V35" s="12">
        <f>U35*1.15</f>
        <v>10.901999999999999</v>
      </c>
      <c r="W35" s="12">
        <f>U35*0.85</f>
        <v>8.0579999999999998</v>
      </c>
    </row>
    <row r="36" spans="1:23">
      <c r="A36" s="39" t="s">
        <v>232</v>
      </c>
      <c r="C36" s="12" t="s">
        <v>244</v>
      </c>
      <c r="H36" s="53">
        <v>5</v>
      </c>
      <c r="I36" s="43">
        <v>3.5999999999999999E-3</v>
      </c>
      <c r="J36" s="15">
        <v>9.4999999999999998E-3</v>
      </c>
      <c r="K36" s="12">
        <v>1.4999999999999999E-2</v>
      </c>
      <c r="L36" s="12">
        <v>1E-3</v>
      </c>
      <c r="M36" s="12">
        <f t="shared" si="15"/>
        <v>1.2999999999999999E-2</v>
      </c>
      <c r="N36" s="15">
        <v>0.23699999999999999</v>
      </c>
      <c r="O36" s="15">
        <v>8.0000000000000002E-3</v>
      </c>
      <c r="P36" s="15">
        <f t="shared" si="16"/>
        <v>0.22099999999999997</v>
      </c>
      <c r="Q36" s="15">
        <f t="shared" si="17"/>
        <v>0.20799999999999996</v>
      </c>
      <c r="R36" s="12">
        <f>(Q36-I35)/J35</f>
        <v>21.515789473684208</v>
      </c>
      <c r="S36" s="12">
        <f t="shared" si="19"/>
        <v>10.757894736842104</v>
      </c>
      <c r="U36" s="12">
        <v>9.7240000000000002</v>
      </c>
      <c r="V36" s="12">
        <f>U36*1.15</f>
        <v>11.182599999999999</v>
      </c>
      <c r="W36" s="12">
        <f>U36*0.85</f>
        <v>8.2653999999999996</v>
      </c>
    </row>
    <row r="37" spans="1:23">
      <c r="A37" s="39"/>
      <c r="C37" s="50" t="s">
        <v>184</v>
      </c>
      <c r="D37" s="50"/>
      <c r="E37" s="50"/>
      <c r="F37" s="50"/>
      <c r="G37" s="50"/>
      <c r="H37" s="59">
        <v>1</v>
      </c>
      <c r="I37" s="23">
        <v>3.5999999999999999E-3</v>
      </c>
      <c r="J37" s="23">
        <v>9.4999999999999998E-3</v>
      </c>
      <c r="K37" s="24">
        <v>1.4999999999999999E-2</v>
      </c>
      <c r="L37" s="24">
        <v>1E-3</v>
      </c>
      <c r="M37" s="24">
        <f t="shared" ref="M37:M68" si="21">K37-2*L37</f>
        <v>1.2999999999999999E-2</v>
      </c>
      <c r="N37" s="25">
        <v>0.16800000000000001</v>
      </c>
      <c r="O37" s="24">
        <v>4.9999999999999906E-3</v>
      </c>
      <c r="P37" s="24">
        <f t="shared" ref="P37:P68" si="22">N37-2*O37</f>
        <v>0.15800000000000003</v>
      </c>
      <c r="Q37" s="24">
        <f t="shared" ref="Q37:Q68" si="23">P37-M37</f>
        <v>0.14500000000000002</v>
      </c>
      <c r="R37" s="26">
        <f>(Q37-I37)/J37</f>
        <v>14.884210526315792</v>
      </c>
      <c r="S37" s="27">
        <f t="shared" ref="S37:S68" si="24">R37*H37/10</f>
        <v>1.4884210526315793</v>
      </c>
      <c r="T37" s="47" t="s">
        <v>188</v>
      </c>
      <c r="V37" s="51" t="s">
        <v>186</v>
      </c>
    </row>
    <row r="38" spans="1:23">
      <c r="A38" s="39"/>
      <c r="C38" s="50" t="s">
        <v>185</v>
      </c>
      <c r="D38" s="50"/>
      <c r="E38" s="50"/>
      <c r="F38" s="50"/>
      <c r="G38" s="50"/>
      <c r="H38" s="59">
        <v>1</v>
      </c>
      <c r="I38" s="23">
        <v>3.5999999999999999E-3</v>
      </c>
      <c r="J38" s="23">
        <v>9.4999999999999998E-3</v>
      </c>
      <c r="K38" s="24">
        <v>1.4999999999999999E-2</v>
      </c>
      <c r="L38" s="24">
        <v>1E-3</v>
      </c>
      <c r="M38" s="24">
        <f t="shared" si="21"/>
        <v>1.2999999999999999E-2</v>
      </c>
      <c r="N38" s="25">
        <v>0.16700000000000001</v>
      </c>
      <c r="O38" s="24">
        <v>5.0000000000000001E-3</v>
      </c>
      <c r="P38" s="24">
        <f t="shared" si="22"/>
        <v>0.157</v>
      </c>
      <c r="Q38" s="24">
        <f t="shared" si="23"/>
        <v>0.14399999999999999</v>
      </c>
      <c r="R38" s="26">
        <f>(Q38-I38)/J38</f>
        <v>14.778947368421052</v>
      </c>
      <c r="S38" s="27">
        <f t="shared" si="24"/>
        <v>1.4778947368421052</v>
      </c>
      <c r="V38" s="51" t="s">
        <v>187</v>
      </c>
    </row>
    <row r="39" spans="1:23">
      <c r="A39" s="39"/>
      <c r="C39" s="30" t="s">
        <v>87</v>
      </c>
      <c r="D39" s="30"/>
      <c r="E39" s="31"/>
      <c r="F39" s="31"/>
      <c r="G39" s="32"/>
      <c r="H39" s="60">
        <v>1</v>
      </c>
      <c r="I39" s="34">
        <v>3.5999999999999999E-3</v>
      </c>
      <c r="J39" s="34">
        <v>9.4999999999999998E-3</v>
      </c>
      <c r="K39" s="35">
        <v>1.4999999999999999E-2</v>
      </c>
      <c r="L39" s="35">
        <v>1E-3</v>
      </c>
      <c r="M39" s="35">
        <f t="shared" si="21"/>
        <v>1.2999999999999999E-2</v>
      </c>
      <c r="N39" s="36">
        <v>0.125</v>
      </c>
      <c r="O39" s="35">
        <v>4.0000000000000001E-3</v>
      </c>
      <c r="P39" s="35">
        <f t="shared" si="22"/>
        <v>0.11699999999999999</v>
      </c>
      <c r="Q39" s="35">
        <f t="shared" si="23"/>
        <v>0.104</v>
      </c>
      <c r="R39" s="37">
        <f>(Q39-I39)/J39</f>
        <v>10.568421052631578</v>
      </c>
      <c r="S39" s="38">
        <f t="shared" si="24"/>
        <v>1.0568421052631578</v>
      </c>
    </row>
    <row r="40" spans="1:23">
      <c r="A40" s="39" t="s">
        <v>232</v>
      </c>
      <c r="C40" s="12" t="s">
        <v>245</v>
      </c>
      <c r="D40" s="12" t="s">
        <v>147</v>
      </c>
      <c r="G40" s="12" t="s">
        <v>153</v>
      </c>
      <c r="H40" s="53">
        <v>5</v>
      </c>
      <c r="I40" s="43">
        <v>3.5999999999999999E-3</v>
      </c>
      <c r="J40" s="15">
        <v>9.4999999999999998E-3</v>
      </c>
      <c r="K40" s="12">
        <v>1.4999999999999999E-2</v>
      </c>
      <c r="L40" s="12">
        <v>1E-3</v>
      </c>
      <c r="M40" s="12">
        <f t="shared" si="21"/>
        <v>1.2999999999999999E-2</v>
      </c>
      <c r="N40" s="15">
        <v>0.17199999999999999</v>
      </c>
      <c r="O40" s="15">
        <v>8.9999999999999993E-3</v>
      </c>
      <c r="P40" s="15">
        <f t="shared" si="22"/>
        <v>0.154</v>
      </c>
      <c r="Q40" s="15">
        <f t="shared" si="23"/>
        <v>0.14099999999999999</v>
      </c>
      <c r="R40" s="12">
        <f>(Q40-I36)/J36</f>
        <v>14.463157894736842</v>
      </c>
      <c r="S40" s="12">
        <f t="shared" si="24"/>
        <v>7.2315789473684209</v>
      </c>
      <c r="U40" s="12">
        <v>7.0270000000000001</v>
      </c>
      <c r="V40" s="12">
        <f>U40*1.15</f>
        <v>8.0810499999999994</v>
      </c>
      <c r="W40" s="12">
        <f>U40*0.85</f>
        <v>5.97295</v>
      </c>
    </row>
    <row r="41" spans="1:23">
      <c r="A41" s="39" t="s">
        <v>232</v>
      </c>
      <c r="C41" s="12" t="s">
        <v>246</v>
      </c>
      <c r="H41" s="53">
        <v>5</v>
      </c>
      <c r="I41" s="43">
        <v>3.5999999999999999E-3</v>
      </c>
      <c r="J41" s="15">
        <v>9.4999999999999998E-3</v>
      </c>
      <c r="K41" s="12">
        <v>1.4999999999999999E-2</v>
      </c>
      <c r="L41" s="12">
        <v>1E-3</v>
      </c>
      <c r="M41" s="12">
        <f t="shared" si="21"/>
        <v>1.2999999999999999E-2</v>
      </c>
      <c r="N41" s="15">
        <v>0.15</v>
      </c>
      <c r="O41" s="15">
        <v>0.01</v>
      </c>
      <c r="P41" s="15">
        <f t="shared" si="22"/>
        <v>0.13</v>
      </c>
      <c r="Q41" s="15">
        <f t="shared" si="23"/>
        <v>0.11700000000000001</v>
      </c>
      <c r="R41" s="12">
        <f t="shared" ref="R41:R46" si="25">(Q41-I40)/J40</f>
        <v>11.936842105263159</v>
      </c>
      <c r="S41" s="12">
        <f t="shared" si="24"/>
        <v>5.9684210526315793</v>
      </c>
      <c r="U41" s="12">
        <v>5.8330000000000002</v>
      </c>
      <c r="V41" s="12">
        <f>U41*1.15</f>
        <v>6.7079499999999994</v>
      </c>
      <c r="W41" s="12">
        <f>U41*0.85</f>
        <v>4.9580500000000001</v>
      </c>
    </row>
    <row r="42" spans="1:23">
      <c r="A42" s="39" t="s">
        <v>232</v>
      </c>
      <c r="C42" s="12" t="s">
        <v>247</v>
      </c>
      <c r="H42" s="53">
        <v>5</v>
      </c>
      <c r="I42" s="43">
        <v>3.5999999999999999E-3</v>
      </c>
      <c r="J42" s="15">
        <v>9.4999999999999998E-3</v>
      </c>
      <c r="K42" s="12">
        <v>1.4999999999999999E-2</v>
      </c>
      <c r="L42" s="12">
        <v>1E-3</v>
      </c>
      <c r="M42" s="12">
        <f t="shared" si="21"/>
        <v>1.2999999999999999E-2</v>
      </c>
      <c r="N42" s="15">
        <v>0.16800000000000001</v>
      </c>
      <c r="O42" s="15">
        <v>8.9999999999999993E-3</v>
      </c>
      <c r="P42" s="15">
        <f t="shared" si="22"/>
        <v>0.15000000000000002</v>
      </c>
      <c r="Q42" s="15">
        <f t="shared" si="23"/>
        <v>0.13700000000000001</v>
      </c>
      <c r="R42" s="12">
        <f t="shared" si="25"/>
        <v>14.042105263157897</v>
      </c>
      <c r="S42" s="12">
        <f t="shared" si="24"/>
        <v>7.0210526315789483</v>
      </c>
      <c r="U42" s="12">
        <v>6.2119999999999997</v>
      </c>
      <c r="V42" s="12">
        <f>U42*1.15</f>
        <v>7.1437999999999988</v>
      </c>
      <c r="W42" s="12">
        <f>U42*0.85</f>
        <v>5.2801999999999998</v>
      </c>
    </row>
    <row r="43" spans="1:23">
      <c r="A43" s="39" t="s">
        <v>160</v>
      </c>
      <c r="B43" s="13">
        <v>43888</v>
      </c>
      <c r="C43" s="12" t="s">
        <v>248</v>
      </c>
      <c r="D43" s="12" t="s">
        <v>249</v>
      </c>
      <c r="H43" s="53">
        <v>5</v>
      </c>
      <c r="I43" s="43">
        <v>3.5999999999999999E-3</v>
      </c>
      <c r="J43" s="15">
        <v>9.4999999999999998E-3</v>
      </c>
      <c r="K43" s="12">
        <v>2.3E-2</v>
      </c>
      <c r="L43" s="12">
        <v>1E-3</v>
      </c>
      <c r="M43" s="12">
        <f t="shared" si="21"/>
        <v>2.0999999999999998E-2</v>
      </c>
      <c r="N43" s="12">
        <v>0.24199999999999999</v>
      </c>
      <c r="O43" s="12">
        <v>2E-3</v>
      </c>
      <c r="P43" s="15">
        <f t="shared" si="22"/>
        <v>0.23799999999999999</v>
      </c>
      <c r="Q43" s="15">
        <f t="shared" si="23"/>
        <v>0.217</v>
      </c>
      <c r="R43" s="12">
        <f t="shared" si="25"/>
        <v>22.463157894736842</v>
      </c>
      <c r="S43" s="12">
        <f t="shared" si="24"/>
        <v>11.231578947368421</v>
      </c>
    </row>
    <row r="44" spans="1:23" ht="12.75" customHeight="1">
      <c r="A44" s="39" t="s">
        <v>160</v>
      </c>
      <c r="B44" s="13" t="s">
        <v>269</v>
      </c>
      <c r="C44" s="12" t="s">
        <v>250</v>
      </c>
      <c r="D44" s="12" t="s">
        <v>251</v>
      </c>
      <c r="H44" s="53">
        <v>10</v>
      </c>
      <c r="I44" s="43">
        <v>3.5999999999999999E-3</v>
      </c>
      <c r="J44" s="15">
        <v>9.4999999999999998E-3</v>
      </c>
      <c r="K44" s="12">
        <v>2.3E-2</v>
      </c>
      <c r="L44" s="12">
        <v>1E-3</v>
      </c>
      <c r="M44" s="12">
        <f t="shared" si="21"/>
        <v>2.0999999999999998E-2</v>
      </c>
      <c r="N44" s="12">
        <v>0.30599999999999999</v>
      </c>
      <c r="O44" s="12">
        <v>1E-3</v>
      </c>
      <c r="P44" s="15">
        <f t="shared" si="22"/>
        <v>0.30399999999999999</v>
      </c>
      <c r="Q44" s="15">
        <f t="shared" si="23"/>
        <v>0.28299999999999997</v>
      </c>
      <c r="R44" s="12">
        <f t="shared" si="25"/>
        <v>29.410526315789472</v>
      </c>
      <c r="S44" s="12">
        <f t="shared" si="24"/>
        <v>29.410526315789475</v>
      </c>
    </row>
    <row r="45" spans="1:23" ht="12.75" customHeight="1">
      <c r="A45" s="39" t="s">
        <v>160</v>
      </c>
      <c r="C45" s="12" t="s">
        <v>273</v>
      </c>
      <c r="D45" s="12" t="s">
        <v>252</v>
      </c>
      <c r="H45" s="53">
        <v>1</v>
      </c>
      <c r="I45" s="43">
        <v>3.5999999999999999E-3</v>
      </c>
      <c r="J45" s="15">
        <v>9.4999999999999998E-3</v>
      </c>
      <c r="K45" s="12">
        <v>2.3E-2</v>
      </c>
      <c r="L45" s="12">
        <v>1E-3</v>
      </c>
      <c r="M45" s="12">
        <f t="shared" si="21"/>
        <v>2.0999999999999998E-2</v>
      </c>
      <c r="N45" s="12">
        <v>0.151</v>
      </c>
      <c r="O45" s="12">
        <v>1E-3</v>
      </c>
      <c r="P45" s="15">
        <f t="shared" si="22"/>
        <v>0.14899999999999999</v>
      </c>
      <c r="Q45" s="15">
        <f t="shared" si="23"/>
        <v>0.128</v>
      </c>
      <c r="R45" s="12">
        <f t="shared" si="25"/>
        <v>13.094736842105263</v>
      </c>
      <c r="S45" s="12">
        <f t="shared" si="24"/>
        <v>1.3094736842105263</v>
      </c>
    </row>
    <row r="46" spans="1:23" ht="12.75" customHeight="1">
      <c r="A46" s="39" t="s">
        <v>160</v>
      </c>
      <c r="C46" s="12" t="s">
        <v>274</v>
      </c>
      <c r="H46" s="53">
        <v>1</v>
      </c>
      <c r="I46" s="43">
        <v>3.5999999999999999E-3</v>
      </c>
      <c r="J46" s="15">
        <v>9.4999999999999998E-3</v>
      </c>
      <c r="K46" s="12">
        <v>2.3E-2</v>
      </c>
      <c r="L46" s="12">
        <v>1E-3</v>
      </c>
      <c r="M46" s="12">
        <f t="shared" si="21"/>
        <v>2.0999999999999998E-2</v>
      </c>
      <c r="N46" s="12">
        <v>0.152</v>
      </c>
      <c r="O46" s="12">
        <v>1E-3</v>
      </c>
      <c r="P46" s="15">
        <f t="shared" si="22"/>
        <v>0.15</v>
      </c>
      <c r="Q46" s="15">
        <f t="shared" si="23"/>
        <v>0.129</v>
      </c>
      <c r="R46" s="12">
        <f t="shared" si="25"/>
        <v>13.200000000000001</v>
      </c>
      <c r="S46" s="12">
        <f t="shared" si="24"/>
        <v>1.32</v>
      </c>
    </row>
    <row r="47" spans="1:23">
      <c r="A47" s="39"/>
      <c r="C47" s="30" t="s">
        <v>87</v>
      </c>
      <c r="D47" s="30"/>
      <c r="E47" s="31"/>
      <c r="F47" s="31"/>
      <c r="G47" s="32"/>
      <c r="H47" s="60">
        <v>1</v>
      </c>
      <c r="I47" s="34">
        <v>3.5999999999999999E-3</v>
      </c>
      <c r="J47" s="34">
        <v>9.4999999999999998E-3</v>
      </c>
      <c r="K47" s="35">
        <v>2.3E-2</v>
      </c>
      <c r="L47" s="35">
        <v>1E-3</v>
      </c>
      <c r="M47" s="35">
        <f t="shared" si="21"/>
        <v>2.0999999999999998E-2</v>
      </c>
      <c r="N47" s="36">
        <v>0.129</v>
      </c>
      <c r="O47" s="35">
        <v>4.0000000000000001E-3</v>
      </c>
      <c r="P47" s="35">
        <f t="shared" si="22"/>
        <v>0.121</v>
      </c>
      <c r="Q47" s="35">
        <f t="shared" si="23"/>
        <v>0.1</v>
      </c>
      <c r="R47" s="37">
        <f>(Q47-I47)/J47</f>
        <v>10.147368421052631</v>
      </c>
      <c r="S47" s="38">
        <f t="shared" si="24"/>
        <v>1.0147368421052632</v>
      </c>
    </row>
    <row r="48" spans="1:23">
      <c r="A48" s="39" t="s">
        <v>160</v>
      </c>
      <c r="C48" s="12" t="s">
        <v>261</v>
      </c>
      <c r="D48" s="12" t="s">
        <v>167</v>
      </c>
      <c r="H48" s="53">
        <v>5</v>
      </c>
      <c r="I48" s="43">
        <v>3.5999999999999999E-3</v>
      </c>
      <c r="J48" s="15">
        <v>9.4999999999999998E-3</v>
      </c>
      <c r="K48" s="12">
        <v>2.3E-2</v>
      </c>
      <c r="L48" s="12">
        <v>1E-3</v>
      </c>
      <c r="M48" s="12">
        <f t="shared" si="21"/>
        <v>2.0999999999999998E-2</v>
      </c>
      <c r="N48" s="12">
        <v>0.10100000000000001</v>
      </c>
      <c r="O48" s="12">
        <v>1E-3</v>
      </c>
      <c r="P48" s="15">
        <f t="shared" si="22"/>
        <v>9.9000000000000005E-2</v>
      </c>
      <c r="Q48" s="15">
        <f t="shared" si="23"/>
        <v>7.8000000000000014E-2</v>
      </c>
      <c r="R48" s="12">
        <f>(Q48-I45)/J45</f>
        <v>7.8315789473684223</v>
      </c>
      <c r="S48" s="12">
        <f t="shared" si="24"/>
        <v>3.9157894736842112</v>
      </c>
    </row>
    <row r="49" spans="1:25">
      <c r="A49" s="39" t="s">
        <v>160</v>
      </c>
      <c r="C49" s="12" t="s">
        <v>253</v>
      </c>
      <c r="D49" s="12" t="s">
        <v>142</v>
      </c>
      <c r="H49" s="53">
        <v>5</v>
      </c>
      <c r="I49" s="43">
        <v>3.5999999999999999E-3</v>
      </c>
      <c r="J49" s="15">
        <v>9.4999999999999998E-3</v>
      </c>
      <c r="K49" s="12">
        <v>2.3E-2</v>
      </c>
      <c r="L49" s="12">
        <v>1E-3</v>
      </c>
      <c r="M49" s="12">
        <f t="shared" si="21"/>
        <v>2.0999999999999998E-2</v>
      </c>
      <c r="N49" s="12">
        <v>0.41199999999999998</v>
      </c>
      <c r="O49" s="12">
        <v>1.4999999999999999E-2</v>
      </c>
      <c r="P49" s="15">
        <f t="shared" si="22"/>
        <v>0.38200000000000001</v>
      </c>
      <c r="Q49" s="15">
        <f t="shared" si="23"/>
        <v>0.36099999999999999</v>
      </c>
      <c r="R49" s="12">
        <f t="shared" ref="R49:R56" si="26">(Q49-I48)/J48</f>
        <v>37.621052631578948</v>
      </c>
      <c r="S49" s="16">
        <f t="shared" si="24"/>
        <v>18.810526315789474</v>
      </c>
      <c r="T49" s="12">
        <v>188</v>
      </c>
    </row>
    <row r="50" spans="1:25">
      <c r="A50" s="39" t="s">
        <v>160</v>
      </c>
      <c r="C50" s="12" t="s">
        <v>254</v>
      </c>
      <c r="D50" s="12" t="s">
        <v>144</v>
      </c>
      <c r="H50" s="53">
        <v>10</v>
      </c>
      <c r="I50" s="43">
        <v>3.5999999999999999E-3</v>
      </c>
      <c r="J50" s="15">
        <v>9.4999999999999998E-3</v>
      </c>
      <c r="K50" s="12">
        <v>2.3E-2</v>
      </c>
      <c r="L50" s="12">
        <v>1E-3</v>
      </c>
      <c r="M50" s="12">
        <f t="shared" si="21"/>
        <v>2.0999999999999998E-2</v>
      </c>
      <c r="N50" s="12">
        <v>0.10299999999999999</v>
      </c>
      <c r="O50" s="12">
        <v>3.0000000000000001E-3</v>
      </c>
      <c r="P50" s="15">
        <f t="shared" si="22"/>
        <v>9.6999999999999989E-2</v>
      </c>
      <c r="Q50" s="15">
        <f t="shared" si="23"/>
        <v>7.5999999999999984E-2</v>
      </c>
      <c r="R50" s="12">
        <f t="shared" si="26"/>
        <v>7.6210526315789453</v>
      </c>
      <c r="S50" s="12">
        <f t="shared" si="24"/>
        <v>7.6210526315789453</v>
      </c>
    </row>
    <row r="51" spans="1:25">
      <c r="A51" s="39" t="s">
        <v>160</v>
      </c>
      <c r="C51" s="12" t="s">
        <v>255</v>
      </c>
      <c r="D51" s="12" t="s">
        <v>146</v>
      </c>
      <c r="H51" s="53">
        <v>10</v>
      </c>
      <c r="I51" s="43">
        <v>3.5999999999999999E-3</v>
      </c>
      <c r="J51" s="15">
        <v>9.4999999999999998E-3</v>
      </c>
      <c r="K51" s="12">
        <v>2.3E-2</v>
      </c>
      <c r="L51" s="12">
        <v>1E-3</v>
      </c>
      <c r="M51" s="12">
        <f t="shared" si="21"/>
        <v>2.0999999999999998E-2</v>
      </c>
      <c r="N51" s="12">
        <v>0.152</v>
      </c>
      <c r="O51" s="12">
        <v>1E-3</v>
      </c>
      <c r="P51" s="15">
        <f t="shared" si="22"/>
        <v>0.15</v>
      </c>
      <c r="Q51" s="15">
        <f t="shared" si="23"/>
        <v>0.129</v>
      </c>
      <c r="R51" s="12">
        <f t="shared" si="26"/>
        <v>13.200000000000001</v>
      </c>
      <c r="S51" s="12">
        <f t="shared" si="24"/>
        <v>13.2</v>
      </c>
    </row>
    <row r="52" spans="1:25" ht="12.75" customHeight="1">
      <c r="A52" s="39" t="s">
        <v>160</v>
      </c>
      <c r="C52" s="12" t="s">
        <v>256</v>
      </c>
      <c r="D52" s="12" t="s">
        <v>257</v>
      </c>
      <c r="H52" s="53">
        <v>20</v>
      </c>
      <c r="I52" s="43">
        <v>3.5999999999999999E-3</v>
      </c>
      <c r="J52" s="15">
        <v>9.4999999999999998E-3</v>
      </c>
      <c r="K52" s="12">
        <v>2.3E-2</v>
      </c>
      <c r="L52" s="12">
        <v>1E-3</v>
      </c>
      <c r="M52" s="12">
        <f t="shared" si="21"/>
        <v>2.0999999999999998E-2</v>
      </c>
      <c r="N52" s="12">
        <v>0.23200000000000001</v>
      </c>
      <c r="O52" s="12">
        <v>1E-3</v>
      </c>
      <c r="P52" s="15">
        <f t="shared" si="22"/>
        <v>0.23</v>
      </c>
      <c r="Q52" s="15">
        <f t="shared" si="23"/>
        <v>0.20900000000000002</v>
      </c>
      <c r="R52" s="12">
        <f t="shared" si="26"/>
        <v>21.621052631578952</v>
      </c>
      <c r="S52" s="12">
        <f t="shared" si="24"/>
        <v>43.242105263157903</v>
      </c>
    </row>
    <row r="53" spans="1:25" ht="12.75" customHeight="1">
      <c r="A53" s="39" t="s">
        <v>160</v>
      </c>
      <c r="C53" s="12" t="s">
        <v>258</v>
      </c>
      <c r="D53" s="12" t="s">
        <v>259</v>
      </c>
      <c r="H53" s="53">
        <v>2</v>
      </c>
      <c r="I53" s="43">
        <v>3.5999999999999999E-3</v>
      </c>
      <c r="J53" s="15">
        <v>9.4999999999999998E-3</v>
      </c>
      <c r="K53" s="12">
        <v>2.3E-2</v>
      </c>
      <c r="L53" s="12">
        <v>1E-3</v>
      </c>
      <c r="M53" s="12">
        <f t="shared" si="21"/>
        <v>2.0999999999999998E-2</v>
      </c>
      <c r="N53" s="12">
        <v>9.9000000000000005E-2</v>
      </c>
      <c r="O53" s="12">
        <v>1E-3</v>
      </c>
      <c r="P53" s="15">
        <f t="shared" si="22"/>
        <v>9.7000000000000003E-2</v>
      </c>
      <c r="Q53" s="15">
        <f t="shared" si="23"/>
        <v>7.6000000000000012E-2</v>
      </c>
      <c r="R53" s="12">
        <f t="shared" si="26"/>
        <v>7.621052631578948</v>
      </c>
      <c r="S53" s="12">
        <f t="shared" si="24"/>
        <v>1.5242105263157897</v>
      </c>
    </row>
    <row r="54" spans="1:25">
      <c r="A54" s="39"/>
      <c r="C54" s="12" t="s">
        <v>260</v>
      </c>
      <c r="D54" s="12" t="s">
        <v>220</v>
      </c>
      <c r="H54" s="53">
        <v>5</v>
      </c>
      <c r="I54" s="43">
        <v>3.5999999999999999E-3</v>
      </c>
      <c r="J54" s="15">
        <v>9.4999999999999998E-3</v>
      </c>
      <c r="K54" s="12">
        <v>2.3E-2</v>
      </c>
      <c r="L54" s="12">
        <v>1E-3</v>
      </c>
      <c r="M54" s="12">
        <f t="shared" si="21"/>
        <v>2.0999999999999998E-2</v>
      </c>
      <c r="N54" s="12">
        <v>0.124</v>
      </c>
      <c r="O54" s="12">
        <v>2E-3</v>
      </c>
      <c r="P54" s="15">
        <f t="shared" si="22"/>
        <v>0.12</v>
      </c>
      <c r="Q54" s="15">
        <f t="shared" si="23"/>
        <v>9.9000000000000005E-2</v>
      </c>
      <c r="R54" s="12">
        <f t="shared" si="26"/>
        <v>10.042105263157895</v>
      </c>
      <c r="S54" s="12">
        <f t="shared" si="24"/>
        <v>5.0210526315789474</v>
      </c>
      <c r="V54" s="12">
        <v>4.3999999999999997E-2</v>
      </c>
      <c r="W54" s="12">
        <v>1.2999999999999999E-2</v>
      </c>
      <c r="X54" s="12">
        <f>V54-0.011</f>
        <v>3.3000000000000002E-2</v>
      </c>
      <c r="Y54" s="12">
        <f>W54-0.008</f>
        <v>4.9999999999999992E-3</v>
      </c>
    </row>
    <row r="55" spans="1:25">
      <c r="A55" s="39" t="s">
        <v>160</v>
      </c>
      <c r="B55" s="13">
        <v>43889</v>
      </c>
      <c r="C55" s="12" t="s">
        <v>292</v>
      </c>
      <c r="D55" s="12" t="s">
        <v>275</v>
      </c>
      <c r="H55" s="63">
        <v>5</v>
      </c>
      <c r="I55" s="43">
        <v>3.5999999999999999E-3</v>
      </c>
      <c r="J55" s="15">
        <v>9.4999999999999998E-3</v>
      </c>
      <c r="K55" s="12">
        <v>3.3000000000000002E-2</v>
      </c>
      <c r="L55" s="12">
        <v>5.0000000000000001E-3</v>
      </c>
      <c r="M55" s="12">
        <f t="shared" si="21"/>
        <v>2.3E-2</v>
      </c>
      <c r="N55" s="12">
        <v>9.4E-2</v>
      </c>
      <c r="O55" s="12">
        <v>4.9999999999999992E-3</v>
      </c>
      <c r="P55" s="15">
        <f t="shared" si="22"/>
        <v>8.4000000000000005E-2</v>
      </c>
      <c r="Q55" s="15">
        <f t="shared" si="23"/>
        <v>6.1000000000000006E-2</v>
      </c>
      <c r="R55" s="12">
        <f t="shared" si="26"/>
        <v>6.0421052631578958</v>
      </c>
      <c r="S55" s="12">
        <f t="shared" si="24"/>
        <v>3.0210526315789479</v>
      </c>
      <c r="V55" s="12">
        <v>0.105</v>
      </c>
      <c r="W55" s="12">
        <v>1.2999999999999999E-2</v>
      </c>
      <c r="X55" s="12">
        <f>V55-0.011</f>
        <v>9.4E-2</v>
      </c>
      <c r="Y55" s="12">
        <f>W55-0.008</f>
        <v>4.9999999999999992E-3</v>
      </c>
    </row>
    <row r="56" spans="1:25">
      <c r="A56" s="39" t="s">
        <v>160</v>
      </c>
      <c r="B56" s="13" t="s">
        <v>294</v>
      </c>
      <c r="C56" s="12" t="s">
        <v>293</v>
      </c>
      <c r="H56" s="63">
        <v>5</v>
      </c>
      <c r="I56" s="43">
        <v>3.5999999999999999E-3</v>
      </c>
      <c r="J56" s="15">
        <v>9.4999999999999998E-3</v>
      </c>
      <c r="K56" s="12">
        <v>3.3000000000000002E-2</v>
      </c>
      <c r="L56" s="12">
        <v>5.0000000000000001E-3</v>
      </c>
      <c r="M56" s="12">
        <f t="shared" si="21"/>
        <v>2.3E-2</v>
      </c>
      <c r="N56" s="12">
        <v>9.5000000000000001E-2</v>
      </c>
      <c r="O56" s="12">
        <v>4.9999999999999992E-3</v>
      </c>
      <c r="P56" s="15">
        <f t="shared" si="22"/>
        <v>8.5000000000000006E-2</v>
      </c>
      <c r="Q56" s="15">
        <f t="shared" si="23"/>
        <v>6.2000000000000006E-2</v>
      </c>
      <c r="R56" s="12">
        <f t="shared" si="26"/>
        <v>6.1473684210526329</v>
      </c>
      <c r="S56" s="12">
        <f t="shared" si="24"/>
        <v>3.0736842105263165</v>
      </c>
    </row>
    <row r="57" spans="1:25">
      <c r="A57" s="39"/>
      <c r="C57" s="30" t="s">
        <v>87</v>
      </c>
      <c r="D57" s="30"/>
      <c r="E57" s="31"/>
      <c r="F57" s="31"/>
      <c r="G57" s="32"/>
      <c r="H57" s="60">
        <v>1</v>
      </c>
      <c r="I57" s="34">
        <v>3.5999999999999999E-3</v>
      </c>
      <c r="J57" s="34">
        <v>9.4999999999999998E-3</v>
      </c>
      <c r="K57" s="35">
        <v>2.3E-2</v>
      </c>
      <c r="L57" s="35">
        <v>1E-3</v>
      </c>
      <c r="M57" s="35">
        <f t="shared" si="21"/>
        <v>2.0999999999999998E-2</v>
      </c>
      <c r="N57" s="36">
        <v>0.129</v>
      </c>
      <c r="O57" s="35">
        <v>4.0000000000000001E-3</v>
      </c>
      <c r="P57" s="35">
        <f t="shared" si="22"/>
        <v>0.121</v>
      </c>
      <c r="Q57" s="35">
        <f t="shared" si="23"/>
        <v>0.1</v>
      </c>
      <c r="R57" s="37">
        <f>(Q57-I57)/J57</f>
        <v>10.147368421052631</v>
      </c>
      <c r="S57" s="38">
        <f t="shared" si="24"/>
        <v>1.0147368421052632</v>
      </c>
    </row>
    <row r="58" spans="1:25">
      <c r="A58" s="39" t="s">
        <v>160</v>
      </c>
      <c r="C58" s="12" t="s">
        <v>276</v>
      </c>
      <c r="D58" s="12" t="s">
        <v>277</v>
      </c>
      <c r="H58" s="63">
        <v>5</v>
      </c>
      <c r="I58" s="43">
        <v>3.5999999999999999E-3</v>
      </c>
      <c r="J58" s="15">
        <v>9.4999999999999998E-3</v>
      </c>
      <c r="K58" s="12">
        <v>3.3000000000000002E-2</v>
      </c>
      <c r="L58" s="12">
        <v>5.0000000000000001E-3</v>
      </c>
      <c r="M58" s="12">
        <f t="shared" si="21"/>
        <v>2.3E-2</v>
      </c>
      <c r="N58" s="12">
        <v>9.7000000000000003E-2</v>
      </c>
      <c r="O58" s="12">
        <v>6.0000000000000001E-3</v>
      </c>
      <c r="P58" s="15">
        <f t="shared" si="22"/>
        <v>8.5000000000000006E-2</v>
      </c>
      <c r="Q58" s="15">
        <f t="shared" si="23"/>
        <v>6.2000000000000006E-2</v>
      </c>
      <c r="R58" s="12">
        <f>(Q58-I55)/J55</f>
        <v>6.1473684210526329</v>
      </c>
      <c r="S58" s="12">
        <f t="shared" si="24"/>
        <v>3.0736842105263165</v>
      </c>
      <c r="V58" s="12">
        <v>0.108</v>
      </c>
      <c r="W58" s="12">
        <v>1.4E-2</v>
      </c>
      <c r="X58" s="12">
        <f t="shared" ref="X58:X66" si="27">V58-0.011</f>
        <v>9.7000000000000003E-2</v>
      </c>
      <c r="Y58" s="12">
        <f t="shared" ref="Y58:Y66" si="28">W58-0.008</f>
        <v>6.0000000000000001E-3</v>
      </c>
    </row>
    <row r="59" spans="1:25">
      <c r="A59" s="39" t="s">
        <v>160</v>
      </c>
      <c r="C59" s="12" t="s">
        <v>278</v>
      </c>
      <c r="D59" s="12" t="s">
        <v>279</v>
      </c>
      <c r="H59" s="63">
        <v>5</v>
      </c>
      <c r="I59" s="43">
        <v>3.5999999999999999E-3</v>
      </c>
      <c r="J59" s="15">
        <v>9.4999999999999998E-3</v>
      </c>
      <c r="K59" s="12">
        <v>3.3000000000000002E-2</v>
      </c>
      <c r="L59" s="12">
        <v>5.0000000000000001E-3</v>
      </c>
      <c r="M59" s="12">
        <f t="shared" si="21"/>
        <v>2.3E-2</v>
      </c>
      <c r="N59" s="12">
        <v>0.125</v>
      </c>
      <c r="O59" s="12">
        <v>6.0000000000000001E-3</v>
      </c>
      <c r="P59" s="15">
        <f t="shared" si="22"/>
        <v>0.113</v>
      </c>
      <c r="Q59" s="15">
        <f t="shared" si="23"/>
        <v>0.09</v>
      </c>
      <c r="R59" s="12">
        <f t="shared" ref="R59:R68" si="29">(Q59-I58)/J58</f>
        <v>9.094736842105263</v>
      </c>
      <c r="S59" s="12">
        <f t="shared" si="24"/>
        <v>4.5473684210526315</v>
      </c>
      <c r="V59" s="12">
        <v>0.13600000000000001</v>
      </c>
      <c r="W59" s="12">
        <v>1.4E-2</v>
      </c>
      <c r="X59" s="12">
        <f t="shared" si="27"/>
        <v>0.125</v>
      </c>
      <c r="Y59" s="12">
        <f t="shared" si="28"/>
        <v>6.0000000000000001E-3</v>
      </c>
    </row>
    <row r="60" spans="1:25">
      <c r="A60" s="64" t="s">
        <v>160</v>
      </c>
      <c r="C60" s="12" t="s">
        <v>280</v>
      </c>
      <c r="D60" s="12" t="s">
        <v>281</v>
      </c>
      <c r="H60" s="63">
        <v>5</v>
      </c>
      <c r="I60" s="43">
        <v>3.5999999999999999E-3</v>
      </c>
      <c r="J60" s="15">
        <v>9.4999999999999998E-3</v>
      </c>
      <c r="K60" s="12">
        <v>3.3000000000000002E-2</v>
      </c>
      <c r="L60" s="12">
        <v>5.0000000000000001E-3</v>
      </c>
      <c r="M60" s="12">
        <f t="shared" si="21"/>
        <v>2.3E-2</v>
      </c>
      <c r="N60" s="12">
        <v>0.27099999999999996</v>
      </c>
      <c r="O60" s="12">
        <v>6.0000000000000001E-3</v>
      </c>
      <c r="P60" s="15">
        <f t="shared" si="22"/>
        <v>0.25899999999999995</v>
      </c>
      <c r="Q60" s="15">
        <f t="shared" si="23"/>
        <v>0.23599999999999996</v>
      </c>
      <c r="R60" s="12">
        <f t="shared" si="29"/>
        <v>24.463157894736838</v>
      </c>
      <c r="S60" s="61">
        <f t="shared" si="24"/>
        <v>12.231578947368419</v>
      </c>
      <c r="V60" s="12">
        <v>0.28199999999999997</v>
      </c>
      <c r="W60" s="12">
        <v>1.4E-2</v>
      </c>
      <c r="X60" s="12">
        <f t="shared" si="27"/>
        <v>0.27099999999999996</v>
      </c>
      <c r="Y60" s="12">
        <f t="shared" si="28"/>
        <v>6.0000000000000001E-3</v>
      </c>
    </row>
    <row r="61" spans="1:25">
      <c r="A61" s="39" t="s">
        <v>160</v>
      </c>
      <c r="C61" s="12" t="s">
        <v>282</v>
      </c>
      <c r="D61" s="12" t="s">
        <v>283</v>
      </c>
      <c r="H61" s="63">
        <v>5</v>
      </c>
      <c r="I61" s="43">
        <v>3.5999999999999999E-3</v>
      </c>
      <c r="J61" s="15">
        <v>9.4999999999999998E-3</v>
      </c>
      <c r="K61" s="12">
        <v>3.3000000000000002E-2</v>
      </c>
      <c r="L61" s="12">
        <v>5.0000000000000001E-3</v>
      </c>
      <c r="M61" s="12">
        <f t="shared" si="21"/>
        <v>2.3E-2</v>
      </c>
      <c r="N61" s="12">
        <v>0.12999999999999998</v>
      </c>
      <c r="O61" s="12">
        <v>6.9999999999999993E-3</v>
      </c>
      <c r="P61" s="15">
        <f t="shared" si="22"/>
        <v>0.11599999999999998</v>
      </c>
      <c r="Q61" s="15">
        <f t="shared" si="23"/>
        <v>9.2999999999999972E-2</v>
      </c>
      <c r="R61" s="12">
        <f t="shared" si="29"/>
        <v>9.4105263157894701</v>
      </c>
      <c r="S61" s="12">
        <f t="shared" si="24"/>
        <v>4.705263157894735</v>
      </c>
      <c r="V61" s="12">
        <v>0.14099999999999999</v>
      </c>
      <c r="W61" s="12">
        <v>1.4999999999999999E-2</v>
      </c>
      <c r="X61" s="12">
        <f t="shared" si="27"/>
        <v>0.12999999999999998</v>
      </c>
      <c r="Y61" s="12">
        <f t="shared" si="28"/>
        <v>6.9999999999999993E-3</v>
      </c>
    </row>
    <row r="62" spans="1:25">
      <c r="A62" s="39" t="s">
        <v>160</v>
      </c>
      <c r="C62" s="12" t="s">
        <v>284</v>
      </c>
      <c r="D62" s="12" t="s">
        <v>285</v>
      </c>
      <c r="H62" s="63">
        <v>5</v>
      </c>
      <c r="I62" s="43">
        <v>3.5999999999999999E-3</v>
      </c>
      <c r="J62" s="15">
        <v>9.4999999999999998E-3</v>
      </c>
      <c r="K62" s="12">
        <v>3.3000000000000002E-2</v>
      </c>
      <c r="L62" s="12">
        <v>5.0000000000000001E-3</v>
      </c>
      <c r="M62" s="12">
        <f t="shared" si="21"/>
        <v>2.3E-2</v>
      </c>
      <c r="N62" s="12">
        <v>0.16599999999999998</v>
      </c>
      <c r="O62" s="12">
        <v>6.9999999999999993E-3</v>
      </c>
      <c r="P62" s="15">
        <f t="shared" si="22"/>
        <v>0.15199999999999997</v>
      </c>
      <c r="Q62" s="15">
        <f t="shared" si="23"/>
        <v>0.12899999999999998</v>
      </c>
      <c r="R62" s="12">
        <f t="shared" si="29"/>
        <v>13.2</v>
      </c>
      <c r="S62" s="12">
        <f t="shared" si="24"/>
        <v>6.6</v>
      </c>
      <c r="V62" s="12">
        <v>0.17699999999999999</v>
      </c>
      <c r="W62" s="12">
        <v>1.4999999999999999E-2</v>
      </c>
      <c r="X62" s="12">
        <f t="shared" si="27"/>
        <v>0.16599999999999998</v>
      </c>
      <c r="Y62" s="12">
        <f t="shared" si="28"/>
        <v>6.9999999999999993E-3</v>
      </c>
    </row>
    <row r="63" spans="1:25">
      <c r="A63" s="39" t="s">
        <v>160</v>
      </c>
      <c r="C63" s="12" t="s">
        <v>286</v>
      </c>
      <c r="D63" s="12" t="s">
        <v>287</v>
      </c>
      <c r="H63" s="63">
        <v>5</v>
      </c>
      <c r="I63" s="43">
        <v>3.5999999999999999E-3</v>
      </c>
      <c r="J63" s="15">
        <v>9.4999999999999998E-3</v>
      </c>
      <c r="K63" s="12">
        <v>3.3000000000000002E-2</v>
      </c>
      <c r="L63" s="12">
        <v>5.0000000000000001E-3</v>
      </c>
      <c r="M63" s="12">
        <f t="shared" si="21"/>
        <v>2.3E-2</v>
      </c>
      <c r="N63" s="12">
        <v>0.13099999999999998</v>
      </c>
      <c r="O63" s="12">
        <v>6.0000000000000001E-3</v>
      </c>
      <c r="P63" s="15">
        <f t="shared" si="22"/>
        <v>0.11899999999999998</v>
      </c>
      <c r="Q63" s="15">
        <f t="shared" si="23"/>
        <v>9.5999999999999974E-2</v>
      </c>
      <c r="R63" s="12">
        <f t="shared" si="29"/>
        <v>9.7263157894736807</v>
      </c>
      <c r="S63" s="12">
        <f t="shared" si="24"/>
        <v>4.8631578947368403</v>
      </c>
      <c r="V63" s="12">
        <v>0.14199999999999999</v>
      </c>
      <c r="W63" s="12">
        <v>1.4E-2</v>
      </c>
      <c r="X63" s="12">
        <f t="shared" si="27"/>
        <v>0.13099999999999998</v>
      </c>
      <c r="Y63" s="12">
        <f t="shared" si="28"/>
        <v>6.0000000000000001E-3</v>
      </c>
    </row>
    <row r="64" spans="1:25" ht="18.75" customHeight="1">
      <c r="A64" s="39" t="s">
        <v>160</v>
      </c>
      <c r="C64" s="12" t="s">
        <v>288</v>
      </c>
      <c r="D64" s="12" t="s">
        <v>289</v>
      </c>
      <c r="H64" s="63">
        <v>5</v>
      </c>
      <c r="I64" s="43">
        <v>3.5999999999999999E-3</v>
      </c>
      <c r="J64" s="15">
        <v>9.4999999999999998E-3</v>
      </c>
      <c r="K64" s="12">
        <v>3.3000000000000002E-2</v>
      </c>
      <c r="L64" s="12">
        <v>5.0000000000000001E-3</v>
      </c>
      <c r="M64" s="12">
        <f t="shared" si="21"/>
        <v>2.3E-2</v>
      </c>
      <c r="N64" s="12">
        <v>8.900000000000001E-2</v>
      </c>
      <c r="O64" s="12">
        <v>6.9999999999999993E-3</v>
      </c>
      <c r="P64" s="15">
        <f t="shared" si="22"/>
        <v>7.5000000000000011E-2</v>
      </c>
      <c r="Q64" s="15">
        <f t="shared" si="23"/>
        <v>5.2000000000000011E-2</v>
      </c>
      <c r="R64" s="12">
        <f t="shared" si="29"/>
        <v>5.0947368421052648</v>
      </c>
      <c r="S64" s="12">
        <f t="shared" si="24"/>
        <v>2.5473684210526324</v>
      </c>
      <c r="V64" s="12">
        <v>0.1</v>
      </c>
      <c r="W64" s="12">
        <v>1.4999999999999999E-2</v>
      </c>
      <c r="X64" s="12">
        <f t="shared" si="27"/>
        <v>8.900000000000001E-2</v>
      </c>
      <c r="Y64" s="12">
        <f t="shared" si="28"/>
        <v>6.9999999999999993E-3</v>
      </c>
    </row>
    <row r="65" spans="1:25">
      <c r="A65" s="64" t="s">
        <v>232</v>
      </c>
      <c r="C65" s="12" t="s">
        <v>290</v>
      </c>
      <c r="D65" s="12" t="s">
        <v>281</v>
      </c>
      <c r="H65" s="53">
        <v>5</v>
      </c>
      <c r="I65" s="43">
        <v>3.5999999999999999E-3</v>
      </c>
      <c r="J65" s="15">
        <v>9.4999999999999998E-3</v>
      </c>
      <c r="K65" s="12">
        <v>3.3000000000000002E-2</v>
      </c>
      <c r="L65" s="12">
        <v>5.0000000000000001E-3</v>
      </c>
      <c r="M65" s="12">
        <f t="shared" si="21"/>
        <v>2.3E-2</v>
      </c>
      <c r="N65" s="12">
        <v>0.28199999999999997</v>
      </c>
      <c r="O65" s="12">
        <v>1.4999999999999999E-2</v>
      </c>
      <c r="P65" s="15">
        <f t="shared" si="22"/>
        <v>0.252</v>
      </c>
      <c r="Q65" s="15">
        <f t="shared" si="23"/>
        <v>0.22900000000000001</v>
      </c>
      <c r="R65" s="12">
        <f t="shared" si="29"/>
        <v>23.726315789473688</v>
      </c>
      <c r="S65" s="12">
        <f t="shared" si="24"/>
        <v>11.863157894736844</v>
      </c>
      <c r="V65" s="12">
        <v>0.29299999999999998</v>
      </c>
      <c r="W65" s="12">
        <v>2.3E-2</v>
      </c>
      <c r="X65" s="12">
        <f t="shared" si="27"/>
        <v>0.28199999999999997</v>
      </c>
      <c r="Y65" s="12">
        <f t="shared" si="28"/>
        <v>1.4999999999999999E-2</v>
      </c>
    </row>
    <row r="66" spans="1:25">
      <c r="A66" s="64" t="s">
        <v>232</v>
      </c>
      <c r="C66" s="12" t="s">
        <v>291</v>
      </c>
      <c r="H66" s="53">
        <v>5</v>
      </c>
      <c r="I66" s="43">
        <v>3.5999999999999999E-3</v>
      </c>
      <c r="J66" s="15">
        <v>9.4999999999999998E-3</v>
      </c>
      <c r="K66" s="12">
        <v>3.3000000000000002E-2</v>
      </c>
      <c r="L66" s="12">
        <v>5.0000000000000001E-3</v>
      </c>
      <c r="M66" s="12">
        <f t="shared" si="21"/>
        <v>2.3E-2</v>
      </c>
      <c r="N66" s="12">
        <v>0.30099999999999999</v>
      </c>
      <c r="O66" s="12">
        <v>1.3999999999999999E-2</v>
      </c>
      <c r="P66" s="15">
        <f t="shared" si="22"/>
        <v>0.27300000000000002</v>
      </c>
      <c r="Q66" s="15">
        <f t="shared" si="23"/>
        <v>0.25</v>
      </c>
      <c r="R66" s="12">
        <f t="shared" si="29"/>
        <v>25.93684210526316</v>
      </c>
      <c r="S66" s="12">
        <f t="shared" si="24"/>
        <v>12.96842105263158</v>
      </c>
      <c r="V66" s="12">
        <v>0.312</v>
      </c>
      <c r="W66" s="12">
        <v>2.1999999999999999E-2</v>
      </c>
      <c r="X66" s="12">
        <f t="shared" si="27"/>
        <v>0.30099999999999999</v>
      </c>
      <c r="Y66" s="12">
        <f t="shared" si="28"/>
        <v>1.3999999999999999E-2</v>
      </c>
    </row>
    <row r="67" spans="1:25">
      <c r="A67" s="39" t="s">
        <v>232</v>
      </c>
      <c r="B67" s="13">
        <v>43892</v>
      </c>
      <c r="C67" s="12" t="s">
        <v>305</v>
      </c>
      <c r="D67" s="12" t="s">
        <v>295</v>
      </c>
      <c r="H67" s="63">
        <v>5</v>
      </c>
      <c r="I67" s="43">
        <v>3.5999999999999999E-3</v>
      </c>
      <c r="J67" s="15">
        <v>9.4999999999999998E-3</v>
      </c>
      <c r="K67" s="12">
        <v>1.4999999999999999E-2</v>
      </c>
      <c r="L67" s="12">
        <v>0</v>
      </c>
      <c r="M67" s="12">
        <f t="shared" si="21"/>
        <v>1.4999999999999999E-2</v>
      </c>
      <c r="N67" s="12">
        <v>0.11899999999999999</v>
      </c>
      <c r="O67" s="12">
        <v>4.0000000000000001E-3</v>
      </c>
      <c r="P67" s="12">
        <f t="shared" si="22"/>
        <v>0.11099999999999999</v>
      </c>
      <c r="Q67" s="12">
        <f t="shared" si="23"/>
        <v>9.5999999999999988E-2</v>
      </c>
      <c r="R67" s="12">
        <f t="shared" si="29"/>
        <v>9.7263157894736825</v>
      </c>
      <c r="S67" s="12">
        <f t="shared" si="24"/>
        <v>4.8631578947368412</v>
      </c>
    </row>
    <row r="68" spans="1:25">
      <c r="A68" s="39" t="s">
        <v>232</v>
      </c>
      <c r="B68" s="13" t="s">
        <v>304</v>
      </c>
      <c r="C68" s="12" t="s">
        <v>306</v>
      </c>
      <c r="H68" s="63">
        <v>5</v>
      </c>
      <c r="I68" s="43">
        <v>3.5999999999999999E-3</v>
      </c>
      <c r="J68" s="15">
        <v>9.4999999999999998E-3</v>
      </c>
      <c r="K68" s="12">
        <v>1.4999999999999999E-2</v>
      </c>
      <c r="L68" s="12">
        <v>0</v>
      </c>
      <c r="M68" s="12">
        <f t="shared" si="21"/>
        <v>1.4999999999999999E-2</v>
      </c>
      <c r="N68" s="12">
        <v>0.12</v>
      </c>
      <c r="O68" s="12">
        <v>4.0000000000000001E-3</v>
      </c>
      <c r="P68" s="12">
        <f t="shared" si="22"/>
        <v>0.11199999999999999</v>
      </c>
      <c r="Q68" s="12">
        <f t="shared" si="23"/>
        <v>9.6999999999999989E-2</v>
      </c>
      <c r="R68" s="12">
        <f t="shared" si="29"/>
        <v>9.8315789473684188</v>
      </c>
      <c r="S68" s="12">
        <f t="shared" si="24"/>
        <v>4.9157894736842094</v>
      </c>
    </row>
    <row r="69" spans="1:25">
      <c r="A69" s="39"/>
      <c r="C69" s="30" t="s">
        <v>87</v>
      </c>
      <c r="D69" s="30"/>
      <c r="E69" s="31"/>
      <c r="F69" s="31"/>
      <c r="G69" s="32"/>
      <c r="H69" s="60">
        <v>1</v>
      </c>
      <c r="I69" s="34">
        <v>3.5999999999999999E-3</v>
      </c>
      <c r="J69" s="34">
        <v>9.4999999999999998E-3</v>
      </c>
      <c r="K69" s="35">
        <v>1.4999999999999999E-2</v>
      </c>
      <c r="L69" s="35">
        <v>0</v>
      </c>
      <c r="M69" s="35">
        <f t="shared" ref="M69:M70" si="30">K69-2*L69</f>
        <v>1.4999999999999999E-2</v>
      </c>
      <c r="N69" s="36">
        <v>0.125</v>
      </c>
      <c r="O69" s="35">
        <v>3.0000000000000001E-3</v>
      </c>
      <c r="P69" s="35">
        <f t="shared" ref="P69:P70" si="31">N69-2*O69</f>
        <v>0.11899999999999999</v>
      </c>
      <c r="Q69" s="35">
        <f t="shared" ref="Q69:Q70" si="32">P69-M69</f>
        <v>0.104</v>
      </c>
      <c r="R69" s="37">
        <f>(Q69-I69)/J69</f>
        <v>10.568421052631578</v>
      </c>
      <c r="S69" s="38">
        <f t="shared" ref="S69:S70" si="33">R69*H69/10</f>
        <v>1.0568421052631578</v>
      </c>
    </row>
    <row r="70" spans="1:25">
      <c r="A70" s="39" t="s">
        <v>160</v>
      </c>
      <c r="C70" s="12" t="s">
        <v>296</v>
      </c>
      <c r="D70" s="12" t="s">
        <v>297</v>
      </c>
      <c r="H70" s="63">
        <v>1</v>
      </c>
      <c r="I70" s="43">
        <v>3.5999999999999999E-3</v>
      </c>
      <c r="J70" s="15">
        <v>9.4999999999999998E-3</v>
      </c>
      <c r="K70" s="12">
        <v>1.4999999999999999E-2</v>
      </c>
      <c r="L70" s="12">
        <v>0</v>
      </c>
      <c r="M70" s="12">
        <f t="shared" si="30"/>
        <v>1.4999999999999999E-2</v>
      </c>
      <c r="N70" s="12">
        <v>0.14799999999999999</v>
      </c>
      <c r="O70" s="12">
        <v>1E-3</v>
      </c>
      <c r="P70" s="12">
        <f t="shared" si="31"/>
        <v>0.14599999999999999</v>
      </c>
      <c r="Q70" s="12">
        <f t="shared" si="32"/>
        <v>0.13100000000000001</v>
      </c>
      <c r="R70" s="12">
        <f>(Q70-I67)/J67</f>
        <v>13.410526315789475</v>
      </c>
      <c r="S70" s="12">
        <f t="shared" si="33"/>
        <v>1.3410526315789475</v>
      </c>
    </row>
    <row r="80" spans="1:25">
      <c r="U80" s="12">
        <v>0.13100000000000001</v>
      </c>
      <c r="V80" s="12">
        <v>2.4E-2</v>
      </c>
      <c r="W80" s="12">
        <f>U80-0.031</f>
        <v>0.1</v>
      </c>
      <c r="X80" s="12">
        <f>V80-0.023</f>
        <v>1.0000000000000009E-3</v>
      </c>
    </row>
    <row r="81" spans="21:24">
      <c r="U81" s="12">
        <v>0.34499999999999997</v>
      </c>
      <c r="V81" s="12">
        <v>2.7E-2</v>
      </c>
      <c r="W81" s="12">
        <f>U81-0.031</f>
        <v>0.31399999999999995</v>
      </c>
      <c r="X81" s="12">
        <f>V81-0.023</f>
        <v>4.0000000000000001E-3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Z143"/>
  <sheetViews>
    <sheetView workbookViewId="0">
      <pane ySplit="1" topLeftCell="A113" activePane="bottomLeft" state="frozen"/>
      <selection pane="bottomLeft" activeCell="D67" sqref="D67"/>
    </sheetView>
  </sheetViews>
  <sheetFormatPr defaultRowHeight="13.5"/>
  <cols>
    <col min="1" max="1" width="9" style="45"/>
    <col min="2" max="2" width="9" style="12"/>
    <col min="3" max="3" width="22.375" style="12" customWidth="1"/>
    <col min="4" max="4" width="13.625" style="12" customWidth="1"/>
    <col min="5" max="6" width="9" style="12"/>
    <col min="7" max="7" width="10.125" style="12" customWidth="1"/>
    <col min="8" max="8" width="9" style="15"/>
    <col min="9" max="22" width="9" style="12"/>
    <col min="23" max="23" width="10.5" style="12" bestFit="1" customWidth="1"/>
    <col min="24" max="24" width="9" style="12"/>
    <col min="25" max="25" width="11.625" style="12" bestFit="1" customWidth="1"/>
    <col min="26" max="16384" width="9" style="12"/>
  </cols>
  <sheetData>
    <row r="1" spans="1:25" s="11" customFormat="1" ht="34.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58" t="s">
        <v>7</v>
      </c>
      <c r="I1" s="14" t="s">
        <v>8</v>
      </c>
      <c r="J1" s="14" t="s">
        <v>9</v>
      </c>
      <c r="K1" s="5" t="s">
        <v>10</v>
      </c>
      <c r="L1" s="5" t="s">
        <v>10</v>
      </c>
      <c r="M1" s="5" t="s">
        <v>10</v>
      </c>
      <c r="N1" s="6" t="s">
        <v>10</v>
      </c>
      <c r="O1" s="7" t="s">
        <v>10</v>
      </c>
      <c r="P1" s="7" t="s">
        <v>10</v>
      </c>
      <c r="Q1" s="8" t="s">
        <v>10</v>
      </c>
      <c r="R1" s="9" t="s">
        <v>11</v>
      </c>
      <c r="S1" s="9" t="s">
        <v>12</v>
      </c>
      <c r="T1" s="10" t="s">
        <v>13</v>
      </c>
      <c r="U1" s="10" t="s">
        <v>14</v>
      </c>
      <c r="V1" s="11" t="s">
        <v>15</v>
      </c>
    </row>
    <row r="2" spans="1:25" ht="15.75" customHeight="1">
      <c r="A2" s="39" t="s">
        <v>16</v>
      </c>
      <c r="B2" s="13">
        <v>43893</v>
      </c>
      <c r="C2" s="12" t="s">
        <v>298</v>
      </c>
      <c r="D2" s="12" t="s">
        <v>299</v>
      </c>
      <c r="H2" s="15">
        <v>1</v>
      </c>
      <c r="I2" s="43">
        <v>3.5999999999999999E-3</v>
      </c>
      <c r="J2" s="15">
        <v>9.4999999999999998E-3</v>
      </c>
      <c r="K2" s="12">
        <v>1.4E-2</v>
      </c>
      <c r="L2" s="12">
        <v>1E-3</v>
      </c>
      <c r="M2" s="12">
        <f>K2-L2*2</f>
        <v>1.2E-2</v>
      </c>
      <c r="N2" s="12">
        <v>0.35699999999999998</v>
      </c>
      <c r="O2" s="12">
        <v>2.0000000000000018E-3</v>
      </c>
      <c r="P2" s="12">
        <f>N2-O2*2</f>
        <v>0.35299999999999998</v>
      </c>
      <c r="Q2" s="12">
        <f>P2-M2</f>
        <v>0.34099999999999997</v>
      </c>
      <c r="R2" s="12">
        <f>(Q2-I2)/J2</f>
        <v>35.515789473684208</v>
      </c>
      <c r="S2" s="12">
        <f t="shared" ref="S2" si="0">R2*H2/10</f>
        <v>3.5515789473684207</v>
      </c>
    </row>
    <row r="3" spans="1:25">
      <c r="A3" s="39" t="s">
        <v>16</v>
      </c>
      <c r="B3" s="12" t="s">
        <v>307</v>
      </c>
      <c r="C3" s="12" t="s">
        <v>300</v>
      </c>
      <c r="H3" s="15">
        <v>5</v>
      </c>
      <c r="I3" s="43">
        <v>3.5999999999999999E-3</v>
      </c>
      <c r="J3" s="15">
        <v>9.4999999999999998E-3</v>
      </c>
      <c r="K3" s="12">
        <v>1.4E-2</v>
      </c>
      <c r="L3" s="12">
        <v>1E-3</v>
      </c>
      <c r="M3" s="12">
        <f t="shared" ref="M3:M8" si="1">K3-L3*2</f>
        <v>1.2E-2</v>
      </c>
      <c r="N3" s="12">
        <v>0.42800000000000005</v>
      </c>
      <c r="O3" s="12">
        <v>5.000000000000001E-3</v>
      </c>
      <c r="P3" s="12">
        <f t="shared" ref="P3:P7" si="2">N3-O3*2</f>
        <v>0.41800000000000004</v>
      </c>
      <c r="Q3" s="12">
        <f t="shared" ref="Q3:Q7" si="3">P3-M3</f>
        <v>0.40600000000000003</v>
      </c>
      <c r="R3" s="12">
        <f t="shared" ref="R3:R7" si="4">(Q3-I3)/J3</f>
        <v>42.357894736842113</v>
      </c>
      <c r="S3" s="12">
        <f t="shared" ref="S3:S7" si="5">R3*H3/10</f>
        <v>21.178947368421056</v>
      </c>
    </row>
    <row r="4" spans="1:25">
      <c r="A4" s="39" t="s">
        <v>16</v>
      </c>
      <c r="C4" s="12" t="s">
        <v>308</v>
      </c>
      <c r="D4" s="12" t="s">
        <v>301</v>
      </c>
      <c r="H4" s="15">
        <v>5</v>
      </c>
      <c r="I4" s="43">
        <v>3.5999999999999999E-3</v>
      </c>
      <c r="J4" s="15">
        <v>9.4999999999999998E-3</v>
      </c>
      <c r="K4" s="12">
        <v>1.4E-2</v>
      </c>
      <c r="L4" s="12">
        <v>1E-3</v>
      </c>
      <c r="M4" s="12">
        <f t="shared" si="1"/>
        <v>1.2E-2</v>
      </c>
      <c r="N4" s="12">
        <v>0.1</v>
      </c>
      <c r="O4" s="12">
        <v>1.0000000000000009E-3</v>
      </c>
      <c r="P4" s="12">
        <f t="shared" si="2"/>
        <v>9.8000000000000004E-2</v>
      </c>
      <c r="Q4" s="12">
        <f t="shared" si="3"/>
        <v>8.6000000000000007E-2</v>
      </c>
      <c r="R4" s="12">
        <f t="shared" si="4"/>
        <v>8.6736842105263161</v>
      </c>
      <c r="S4" s="12">
        <f t="shared" si="5"/>
        <v>4.3368421052631581</v>
      </c>
    </row>
    <row r="5" spans="1:25">
      <c r="A5" s="39" t="s">
        <v>16</v>
      </c>
      <c r="C5" s="12" t="s">
        <v>309</v>
      </c>
      <c r="H5" s="15">
        <v>5</v>
      </c>
      <c r="I5" s="43">
        <v>3.5999999999999999E-3</v>
      </c>
      <c r="J5" s="15">
        <v>9.4999999999999998E-3</v>
      </c>
      <c r="K5" s="12">
        <v>1.4E-2</v>
      </c>
      <c r="L5" s="12">
        <v>1E-3</v>
      </c>
      <c r="M5" s="12">
        <f t="shared" ref="M5" si="6">K5-L5*2</f>
        <v>1.2E-2</v>
      </c>
      <c r="N5" s="12">
        <v>0.10100000000000001</v>
      </c>
      <c r="O5" s="12">
        <v>1.0000000000000009E-3</v>
      </c>
      <c r="P5" s="12">
        <f t="shared" ref="P5" si="7">N5-O5*2</f>
        <v>9.9000000000000005E-2</v>
      </c>
      <c r="Q5" s="12">
        <f t="shared" ref="Q5:Q6" si="8">P5-M5</f>
        <v>8.7000000000000008E-2</v>
      </c>
      <c r="R5" s="12">
        <f t="shared" ref="R5:R6" si="9">(Q5-I5)/J5</f>
        <v>8.7789473684210524</v>
      </c>
      <c r="S5" s="12">
        <f t="shared" ref="S5:S6" si="10">R5*H5/10</f>
        <v>4.3894736842105262</v>
      </c>
    </row>
    <row r="6" spans="1:25">
      <c r="A6" s="39"/>
      <c r="C6" s="30" t="s">
        <v>87</v>
      </c>
      <c r="D6" s="30"/>
      <c r="E6" s="31"/>
      <c r="F6" s="31"/>
      <c r="G6" s="32"/>
      <c r="H6" s="60">
        <v>1</v>
      </c>
      <c r="I6" s="34">
        <v>3.5999999999999999E-3</v>
      </c>
      <c r="J6" s="34">
        <v>9.4999999999999998E-3</v>
      </c>
      <c r="K6" s="35">
        <v>1.4E-2</v>
      </c>
      <c r="L6" s="35">
        <v>1E-3</v>
      </c>
      <c r="M6" s="35">
        <f t="shared" ref="M6" si="11">K6-2*L6</f>
        <v>1.2E-2</v>
      </c>
      <c r="N6" s="36">
        <v>0.123</v>
      </c>
      <c r="O6" s="35">
        <v>3.0000000000000001E-3</v>
      </c>
      <c r="P6" s="35">
        <f t="shared" ref="P6" si="12">N6-2*O6</f>
        <v>0.11699999999999999</v>
      </c>
      <c r="Q6" s="35">
        <f t="shared" si="8"/>
        <v>0.105</v>
      </c>
      <c r="R6" s="37">
        <f t="shared" si="9"/>
        <v>10.673684210526314</v>
      </c>
      <c r="S6" s="38">
        <f t="shared" si="10"/>
        <v>1.0673684210526315</v>
      </c>
    </row>
    <row r="7" spans="1:25">
      <c r="A7" s="64" t="s">
        <v>232</v>
      </c>
      <c r="C7" s="12" t="s">
        <v>302</v>
      </c>
      <c r="D7" s="12" t="s">
        <v>303</v>
      </c>
      <c r="H7" s="15">
        <v>5</v>
      </c>
      <c r="I7" s="43">
        <v>3.5999999999999999E-3</v>
      </c>
      <c r="J7" s="15">
        <v>9.4999999999999998E-3</v>
      </c>
      <c r="K7" s="12">
        <v>1.4E-2</v>
      </c>
      <c r="L7" s="12">
        <v>1E-3</v>
      </c>
      <c r="M7" s="12">
        <f t="shared" si="1"/>
        <v>1.2E-2</v>
      </c>
      <c r="N7" s="12">
        <v>0.31399999999999995</v>
      </c>
      <c r="O7" s="12">
        <v>4.0000000000000001E-3</v>
      </c>
      <c r="P7" s="12">
        <f t="shared" si="2"/>
        <v>0.30599999999999994</v>
      </c>
      <c r="Q7" s="12">
        <f t="shared" si="3"/>
        <v>0.29399999999999993</v>
      </c>
      <c r="R7" s="12">
        <f t="shared" si="4"/>
        <v>30.568421052631574</v>
      </c>
      <c r="S7" s="12">
        <f t="shared" si="5"/>
        <v>15.284210526315785</v>
      </c>
    </row>
    <row r="8" spans="1:25">
      <c r="A8" s="39" t="s">
        <v>16</v>
      </c>
      <c r="B8" s="13">
        <v>43894</v>
      </c>
      <c r="C8" s="12" t="s">
        <v>321</v>
      </c>
      <c r="D8" s="12" t="s">
        <v>168</v>
      </c>
      <c r="F8" s="12" t="s">
        <v>119</v>
      </c>
      <c r="G8" s="12" t="s">
        <v>182</v>
      </c>
      <c r="H8" s="53">
        <v>1</v>
      </c>
      <c r="I8" s="43">
        <v>3.5999999999999999E-3</v>
      </c>
      <c r="J8" s="15">
        <v>9.4999999999999998E-3</v>
      </c>
      <c r="K8" s="12">
        <v>0.02</v>
      </c>
      <c r="L8" s="12">
        <v>2E-3</v>
      </c>
      <c r="M8" s="12">
        <f t="shared" si="1"/>
        <v>1.6E-2</v>
      </c>
      <c r="N8" s="12">
        <v>0.4</v>
      </c>
      <c r="O8" s="12">
        <v>2.9999999999999992E-3</v>
      </c>
      <c r="P8" s="12">
        <f t="shared" ref="P8:P15" si="13">N8-O8*2</f>
        <v>0.39400000000000002</v>
      </c>
      <c r="Q8" s="12">
        <f t="shared" ref="Q8:Q15" si="14">P8-M8</f>
        <v>0.378</v>
      </c>
      <c r="R8" s="12">
        <f t="shared" ref="R8:R15" si="15">(Q8-I8)/J8</f>
        <v>39.410526315789475</v>
      </c>
      <c r="S8" s="12">
        <f t="shared" ref="S8:S15" si="16">R8*H8/10</f>
        <v>3.9410526315789474</v>
      </c>
      <c r="V8" s="12">
        <v>4.4999999999999998E-2</v>
      </c>
      <c r="W8" s="12">
        <v>2.1000000000000001E-2</v>
      </c>
      <c r="X8" s="12">
        <f t="shared" ref="X8:X16" si="17">V8-0.025</f>
        <v>1.9999999999999997E-2</v>
      </c>
      <c r="Y8" s="12">
        <f t="shared" ref="Y8:Y16" si="18">W8-0.019</f>
        <v>2.0000000000000018E-3</v>
      </c>
    </row>
    <row r="9" spans="1:25">
      <c r="A9" s="39" t="s">
        <v>16</v>
      </c>
      <c r="B9" s="12" t="s">
        <v>320</v>
      </c>
      <c r="C9" s="12" t="s">
        <v>322</v>
      </c>
      <c r="H9" s="53">
        <v>1</v>
      </c>
      <c r="I9" s="43">
        <v>3.5999999999999999E-3</v>
      </c>
      <c r="J9" s="15">
        <v>9.4999999999999998E-3</v>
      </c>
      <c r="K9" s="12">
        <v>0.02</v>
      </c>
      <c r="L9" s="12">
        <v>2E-3</v>
      </c>
      <c r="M9" s="12">
        <f t="shared" ref="M9" si="19">K9-L9*2</f>
        <v>1.6E-2</v>
      </c>
      <c r="N9" s="12">
        <v>0.40100000000000002</v>
      </c>
      <c r="O9" s="12">
        <v>2.9999999999999992E-3</v>
      </c>
      <c r="P9" s="12">
        <f t="shared" ref="P9" si="20">N9-O9*2</f>
        <v>0.39500000000000002</v>
      </c>
      <c r="Q9" s="12">
        <f t="shared" ref="Q9" si="21">P9-M9</f>
        <v>0.379</v>
      </c>
      <c r="R9" s="12">
        <f t="shared" ref="R9" si="22">(Q9-I9)/J9</f>
        <v>39.515789473684215</v>
      </c>
      <c r="S9" s="12">
        <f t="shared" ref="S9" si="23">R9*H9/10</f>
        <v>3.9515789473684215</v>
      </c>
    </row>
    <row r="10" spans="1:25">
      <c r="A10" s="39" t="s">
        <v>16</v>
      </c>
      <c r="C10" s="12" t="s">
        <v>310</v>
      </c>
      <c r="F10" s="12" t="s">
        <v>121</v>
      </c>
      <c r="H10" s="53">
        <v>1</v>
      </c>
      <c r="I10" s="43">
        <v>3.5999999999999999E-3</v>
      </c>
      <c r="J10" s="15">
        <v>9.4999999999999998E-3</v>
      </c>
      <c r="K10" s="12">
        <v>0.02</v>
      </c>
      <c r="L10" s="12">
        <v>2E-3</v>
      </c>
      <c r="M10" s="12">
        <f t="shared" ref="M10:M19" si="24">K10-L10*2</f>
        <v>1.6E-2</v>
      </c>
      <c r="N10" s="12">
        <v>0.32600000000000001</v>
      </c>
      <c r="O10" s="12">
        <v>5.000000000000001E-3</v>
      </c>
      <c r="P10" s="12">
        <f t="shared" si="13"/>
        <v>0.316</v>
      </c>
      <c r="Q10" s="12">
        <f t="shared" si="14"/>
        <v>0.3</v>
      </c>
      <c r="R10" s="12">
        <f t="shared" si="15"/>
        <v>31.2</v>
      </c>
      <c r="S10" s="12">
        <f t="shared" si="16"/>
        <v>3.12</v>
      </c>
      <c r="V10" s="12">
        <v>0.112</v>
      </c>
      <c r="W10" s="12">
        <v>2.1999999999999999E-2</v>
      </c>
      <c r="X10" s="12">
        <f t="shared" si="17"/>
        <v>8.6999999999999994E-2</v>
      </c>
      <c r="Y10" s="12">
        <f t="shared" si="18"/>
        <v>2.9999999999999992E-3</v>
      </c>
    </row>
    <row r="11" spans="1:25">
      <c r="A11" s="39"/>
      <c r="C11" s="30" t="s">
        <v>87</v>
      </c>
      <c r="D11" s="30"/>
      <c r="E11" s="31"/>
      <c r="F11" s="31"/>
      <c r="G11" s="32"/>
      <c r="H11" s="60">
        <v>1</v>
      </c>
      <c r="I11" s="34">
        <v>3.5999999999999999E-3</v>
      </c>
      <c r="J11" s="34">
        <v>9.4999999999999998E-3</v>
      </c>
      <c r="K11" s="35">
        <v>0.02</v>
      </c>
      <c r="L11" s="35">
        <v>2E-3</v>
      </c>
      <c r="M11" s="35">
        <f t="shared" ref="M11" si="25">K11-2*L11</f>
        <v>1.6E-2</v>
      </c>
      <c r="N11" s="36">
        <v>0.124</v>
      </c>
      <c r="O11" s="35">
        <v>4.0000000000000001E-3</v>
      </c>
      <c r="P11" s="35">
        <f t="shared" ref="P11" si="26">N11-2*O11</f>
        <v>0.11599999999999999</v>
      </c>
      <c r="Q11" s="35">
        <f t="shared" si="14"/>
        <v>9.9999999999999992E-2</v>
      </c>
      <c r="R11" s="37">
        <f t="shared" si="15"/>
        <v>10.147368421052631</v>
      </c>
      <c r="S11" s="38">
        <f t="shared" si="16"/>
        <v>1.0147368421052632</v>
      </c>
    </row>
    <row r="12" spans="1:25">
      <c r="A12" s="39" t="s">
        <v>16</v>
      </c>
      <c r="C12" s="12" t="s">
        <v>311</v>
      </c>
      <c r="D12" s="12" t="s">
        <v>176</v>
      </c>
      <c r="H12" s="53">
        <v>1</v>
      </c>
      <c r="I12" s="43">
        <v>3.5999999999999999E-3</v>
      </c>
      <c r="J12" s="15">
        <v>9.4999999999999998E-3</v>
      </c>
      <c r="K12" s="12">
        <v>0.02</v>
      </c>
      <c r="L12" s="12">
        <v>2E-3</v>
      </c>
      <c r="M12" s="12">
        <f t="shared" si="24"/>
        <v>1.6E-2</v>
      </c>
      <c r="N12" s="12">
        <v>0.371</v>
      </c>
      <c r="O12" s="12">
        <v>4.0000000000000001E-3</v>
      </c>
      <c r="P12" s="12">
        <f t="shared" si="13"/>
        <v>0.36299999999999999</v>
      </c>
      <c r="Q12" s="12">
        <f t="shared" si="14"/>
        <v>0.34699999999999998</v>
      </c>
      <c r="R12" s="12">
        <f t="shared" si="15"/>
        <v>36.147368421052633</v>
      </c>
      <c r="S12" s="12">
        <f t="shared" si="16"/>
        <v>3.6147368421052635</v>
      </c>
      <c r="V12" s="12">
        <v>0.122</v>
      </c>
      <c r="W12" s="12">
        <v>2.4E-2</v>
      </c>
      <c r="X12" s="12">
        <f t="shared" si="17"/>
        <v>9.7000000000000003E-2</v>
      </c>
      <c r="Y12" s="12">
        <f t="shared" si="18"/>
        <v>5.000000000000001E-3</v>
      </c>
    </row>
    <row r="13" spans="1:25">
      <c r="A13" s="39" t="s">
        <v>16</v>
      </c>
      <c r="C13" s="12" t="s">
        <v>312</v>
      </c>
      <c r="D13" s="12" t="s">
        <v>313</v>
      </c>
      <c r="F13" s="12" t="s">
        <v>119</v>
      </c>
      <c r="H13" s="53">
        <v>100</v>
      </c>
      <c r="I13" s="43">
        <v>3.5999999999999999E-3</v>
      </c>
      <c r="J13" s="15">
        <v>9.4999999999999998E-3</v>
      </c>
      <c r="K13" s="12">
        <v>0.02</v>
      </c>
      <c r="L13" s="12">
        <v>2E-3</v>
      </c>
      <c r="M13" s="12">
        <f t="shared" si="24"/>
        <v>1.6E-2</v>
      </c>
      <c r="N13" s="12">
        <v>0.30399999999999999</v>
      </c>
      <c r="O13" s="12">
        <v>4.0000000000000001E-3</v>
      </c>
      <c r="P13" s="12">
        <f t="shared" si="13"/>
        <v>0.29599999999999999</v>
      </c>
      <c r="Q13" s="12">
        <f t="shared" si="14"/>
        <v>0.27999999999999997</v>
      </c>
      <c r="R13" s="12">
        <f t="shared" si="15"/>
        <v>29.094736842105263</v>
      </c>
      <c r="S13" s="12">
        <f t="shared" si="16"/>
        <v>290.9473684210526</v>
      </c>
      <c r="V13" s="12">
        <v>8.6999999999999994E-2</v>
      </c>
      <c r="W13" s="12">
        <v>2.1999999999999999E-2</v>
      </c>
      <c r="X13" s="12">
        <f t="shared" si="17"/>
        <v>6.1999999999999993E-2</v>
      </c>
      <c r="Y13" s="12">
        <f t="shared" si="18"/>
        <v>2.9999999999999992E-3</v>
      </c>
    </row>
    <row r="14" spans="1:25">
      <c r="A14" s="39" t="s">
        <v>16</v>
      </c>
      <c r="C14" s="12" t="s">
        <v>318</v>
      </c>
      <c r="F14" s="12" t="s">
        <v>121</v>
      </c>
      <c r="H14" s="53">
        <v>1</v>
      </c>
      <c r="I14" s="43">
        <v>3.5999999999999999E-3</v>
      </c>
      <c r="J14" s="15">
        <v>9.4999999999999998E-3</v>
      </c>
      <c r="K14" s="12">
        <v>0.02</v>
      </c>
      <c r="L14" s="12">
        <v>2E-3</v>
      </c>
      <c r="M14" s="12">
        <f t="shared" si="24"/>
        <v>1.6E-2</v>
      </c>
      <c r="N14" s="12">
        <v>0.54200000000000004</v>
      </c>
      <c r="O14" s="12">
        <v>4.0000000000000001E-3</v>
      </c>
      <c r="P14" s="12">
        <f t="shared" si="13"/>
        <v>0.53400000000000003</v>
      </c>
      <c r="Q14" s="12">
        <f t="shared" si="14"/>
        <v>0.51800000000000002</v>
      </c>
      <c r="R14" s="12">
        <f t="shared" si="15"/>
        <v>54.147368421052633</v>
      </c>
      <c r="S14" s="12">
        <f t="shared" si="16"/>
        <v>5.4147368421052633</v>
      </c>
      <c r="V14" s="12">
        <v>0.187</v>
      </c>
      <c r="W14" s="12">
        <v>2.5999999999999999E-2</v>
      </c>
      <c r="X14" s="12">
        <f t="shared" si="17"/>
        <v>0.16200000000000001</v>
      </c>
      <c r="Y14" s="12">
        <f t="shared" si="18"/>
        <v>6.9999999999999993E-3</v>
      </c>
    </row>
    <row r="15" spans="1:25">
      <c r="A15" s="39" t="s">
        <v>16</v>
      </c>
      <c r="C15" s="12" t="s">
        <v>314</v>
      </c>
      <c r="D15" s="12" t="s">
        <v>216</v>
      </c>
      <c r="H15" s="53">
        <v>5</v>
      </c>
      <c r="I15" s="43">
        <v>3.5999999999999999E-3</v>
      </c>
      <c r="J15" s="15">
        <v>9.4999999999999998E-3</v>
      </c>
      <c r="K15" s="12">
        <v>0.02</v>
      </c>
      <c r="L15" s="12">
        <v>2E-3</v>
      </c>
      <c r="M15" s="12">
        <f t="shared" si="24"/>
        <v>1.6E-2</v>
      </c>
      <c r="N15" s="12">
        <v>0.126</v>
      </c>
      <c r="O15" s="12">
        <v>5.0000000000000001E-3</v>
      </c>
      <c r="P15" s="12">
        <f t="shared" si="13"/>
        <v>0.11600000000000001</v>
      </c>
      <c r="Q15" s="12">
        <f t="shared" si="14"/>
        <v>0.1</v>
      </c>
      <c r="R15" s="12">
        <f t="shared" si="15"/>
        <v>10.147368421052631</v>
      </c>
      <c r="S15" s="12">
        <f t="shared" si="16"/>
        <v>5.0736842105263156</v>
      </c>
      <c r="V15" s="12">
        <v>8.6999999999999994E-2</v>
      </c>
      <c r="W15" s="12">
        <v>2.3E-2</v>
      </c>
      <c r="X15" s="12">
        <f t="shared" si="17"/>
        <v>6.1999999999999993E-2</v>
      </c>
      <c r="Y15" s="12">
        <f t="shared" si="18"/>
        <v>4.0000000000000001E-3</v>
      </c>
    </row>
    <row r="16" spans="1:25">
      <c r="A16" s="39" t="s">
        <v>16</v>
      </c>
      <c r="C16" s="12" t="s">
        <v>315</v>
      </c>
      <c r="D16" s="12" t="s">
        <v>142</v>
      </c>
      <c r="H16" s="53">
        <v>5</v>
      </c>
      <c r="I16" s="43">
        <v>3.5999999999999999E-3</v>
      </c>
      <c r="J16" s="15">
        <v>9.4999999999999998E-3</v>
      </c>
      <c r="K16" s="12">
        <v>0.02</v>
      </c>
      <c r="L16" s="12">
        <v>2E-3</v>
      </c>
      <c r="M16" s="12">
        <f t="shared" si="24"/>
        <v>1.6E-2</v>
      </c>
      <c r="N16" s="12">
        <v>0.311</v>
      </c>
      <c r="O16" s="12">
        <v>1.4999999999999999E-2</v>
      </c>
      <c r="P16" s="12">
        <f t="shared" ref="P16:P20" si="27">N16-O16*2</f>
        <v>0.28100000000000003</v>
      </c>
      <c r="Q16" s="12">
        <f t="shared" ref="Q16:Q18" si="28">P16-M16</f>
        <v>0.26500000000000001</v>
      </c>
      <c r="R16" s="12">
        <f t="shared" ref="R16:R18" si="29">(Q16-I16)/J16</f>
        <v>27.515789473684212</v>
      </c>
      <c r="S16" s="12">
        <f t="shared" ref="S16:S18" si="30">R16*H16/10</f>
        <v>13.757894736842108</v>
      </c>
      <c r="V16" s="12">
        <v>0.32900000000000001</v>
      </c>
      <c r="W16" s="12">
        <v>2.3E-2</v>
      </c>
      <c r="X16" s="12">
        <f t="shared" si="17"/>
        <v>0.30399999999999999</v>
      </c>
      <c r="Y16" s="12">
        <f t="shared" si="18"/>
        <v>4.0000000000000001E-3</v>
      </c>
    </row>
    <row r="17" spans="1:25">
      <c r="A17" s="39" t="s">
        <v>16</v>
      </c>
      <c r="C17" s="12" t="s">
        <v>316</v>
      </c>
      <c r="D17" s="12" t="s">
        <v>144</v>
      </c>
      <c r="H17" s="53">
        <v>10</v>
      </c>
      <c r="I17" s="43">
        <v>3.5999999999999999E-3</v>
      </c>
      <c r="J17" s="15">
        <v>9.4999999999999998E-3</v>
      </c>
      <c r="K17" s="12">
        <v>0.02</v>
      </c>
      <c r="L17" s="12">
        <v>2E-3</v>
      </c>
      <c r="M17" s="12">
        <f t="shared" si="24"/>
        <v>1.6E-2</v>
      </c>
      <c r="N17" s="12">
        <v>0.11600000000000001</v>
      </c>
      <c r="O17" s="12">
        <v>3.0000000000000001E-3</v>
      </c>
      <c r="P17" s="12">
        <f t="shared" si="27"/>
        <v>0.11</v>
      </c>
      <c r="Q17" s="12">
        <f t="shared" si="28"/>
        <v>9.4E-2</v>
      </c>
      <c r="R17" s="12">
        <f t="shared" si="29"/>
        <v>9.5157894736842099</v>
      </c>
      <c r="S17" s="12">
        <f t="shared" si="30"/>
        <v>9.5157894736842099</v>
      </c>
      <c r="V17" s="12">
        <v>0.104</v>
      </c>
      <c r="W17" s="12">
        <v>2.3E-2</v>
      </c>
      <c r="X17" s="12">
        <f>V17-0.025</f>
        <v>7.8999999999999987E-2</v>
      </c>
      <c r="Y17" s="12">
        <f>W17-0.019</f>
        <v>4.0000000000000001E-3</v>
      </c>
    </row>
    <row r="18" spans="1:25">
      <c r="A18" s="39" t="s">
        <v>16</v>
      </c>
      <c r="C18" s="12" t="s">
        <v>317</v>
      </c>
      <c r="D18" s="12" t="s">
        <v>146</v>
      </c>
      <c r="H18" s="53">
        <v>10</v>
      </c>
      <c r="I18" s="43">
        <v>3.5999999999999999E-3</v>
      </c>
      <c r="J18" s="15">
        <v>9.4999999999999998E-3</v>
      </c>
      <c r="K18" s="12">
        <v>0.02</v>
      </c>
      <c r="L18" s="12">
        <v>2E-3</v>
      </c>
      <c r="M18" s="12">
        <f t="shared" si="24"/>
        <v>1.6E-2</v>
      </c>
      <c r="N18" s="12">
        <v>0.16800000000000001</v>
      </c>
      <c r="O18" s="12">
        <v>1E-3</v>
      </c>
      <c r="P18" s="12">
        <f t="shared" si="27"/>
        <v>0.16600000000000001</v>
      </c>
      <c r="Q18" s="12">
        <f t="shared" si="28"/>
        <v>0.15000000000000002</v>
      </c>
      <c r="R18" s="12">
        <f t="shared" si="29"/>
        <v>15.410526315789477</v>
      </c>
      <c r="S18" s="12">
        <f t="shared" si="30"/>
        <v>15.410526315789477</v>
      </c>
    </row>
    <row r="19" spans="1:25">
      <c r="A19" s="39" t="s">
        <v>16</v>
      </c>
      <c r="B19" s="13">
        <v>43895</v>
      </c>
      <c r="C19" s="12" t="s">
        <v>323</v>
      </c>
      <c r="D19" s="12" t="s">
        <v>324</v>
      </c>
      <c r="H19" s="12">
        <v>1</v>
      </c>
      <c r="I19" s="43">
        <v>3.5999999999999999E-3</v>
      </c>
      <c r="J19" s="15">
        <v>9.4999999999999998E-3</v>
      </c>
      <c r="K19" s="15">
        <v>2.5999999999999999E-2</v>
      </c>
      <c r="L19" s="12">
        <v>2E-3</v>
      </c>
      <c r="M19" s="12">
        <f t="shared" si="24"/>
        <v>2.1999999999999999E-2</v>
      </c>
      <c r="N19" s="12">
        <v>0.23599999999999999</v>
      </c>
      <c r="O19" s="12">
        <v>4.0000000000000001E-3</v>
      </c>
      <c r="P19" s="12">
        <f t="shared" si="27"/>
        <v>0.22799999999999998</v>
      </c>
      <c r="Q19" s="12">
        <f t="shared" ref="Q19:Q20" si="31">P19-M19</f>
        <v>0.20599999999999999</v>
      </c>
      <c r="R19" s="12">
        <f t="shared" ref="R19:R20" si="32">(Q19-I19)/J19</f>
        <v>21.305263157894736</v>
      </c>
      <c r="S19" s="12">
        <f t="shared" ref="S19:S20" si="33">R19*H19/10</f>
        <v>2.1305263157894734</v>
      </c>
    </row>
    <row r="20" spans="1:25">
      <c r="A20" s="39" t="s">
        <v>72</v>
      </c>
      <c r="B20" s="13" t="s">
        <v>328</v>
      </c>
      <c r="C20" s="12" t="s">
        <v>326</v>
      </c>
      <c r="D20" s="12" t="s">
        <v>325</v>
      </c>
      <c r="H20" s="12">
        <v>1</v>
      </c>
      <c r="I20" s="43">
        <v>3.5999999999999999E-3</v>
      </c>
      <c r="J20" s="15">
        <v>9.4999999999999998E-3</v>
      </c>
      <c r="K20" s="15">
        <v>2.5999999999999999E-2</v>
      </c>
      <c r="L20" s="12">
        <v>2E-3</v>
      </c>
      <c r="M20" s="12">
        <f t="shared" ref="M20" si="34">K20-L20*2</f>
        <v>2.1999999999999999E-2</v>
      </c>
      <c r="N20" s="12">
        <v>0.17</v>
      </c>
      <c r="O20" s="12">
        <v>6.0000000000000001E-3</v>
      </c>
      <c r="P20" s="12">
        <f t="shared" si="27"/>
        <v>0.158</v>
      </c>
      <c r="Q20" s="12">
        <f t="shared" si="31"/>
        <v>0.13600000000000001</v>
      </c>
      <c r="R20" s="12">
        <f t="shared" si="32"/>
        <v>13.93684210526316</v>
      </c>
      <c r="S20" s="12">
        <f t="shared" si="33"/>
        <v>1.3936842105263161</v>
      </c>
      <c r="V20" s="12">
        <v>6.5000000000000002E-2</v>
      </c>
      <c r="W20" s="12">
        <v>2.5999999999999999E-2</v>
      </c>
      <c r="X20" s="12">
        <f t="shared" ref="X20:X21" si="35">V20-0.029</f>
        <v>3.6000000000000004E-2</v>
      </c>
      <c r="Y20" s="12">
        <f t="shared" ref="Y20:Y21" si="36">W20-0.024</f>
        <v>1.9999999999999983E-3</v>
      </c>
    </row>
    <row r="21" spans="1:25">
      <c r="A21" s="39" t="s">
        <v>72</v>
      </c>
      <c r="C21" s="12" t="s">
        <v>327</v>
      </c>
      <c r="H21" s="12">
        <v>1</v>
      </c>
      <c r="I21" s="43">
        <v>3.5999999999999999E-3</v>
      </c>
      <c r="J21" s="15">
        <v>9.4999999999999998E-3</v>
      </c>
      <c r="K21" s="15">
        <v>2.5999999999999999E-2</v>
      </c>
      <c r="L21" s="12">
        <v>2E-3</v>
      </c>
      <c r="M21" s="12">
        <f t="shared" ref="M21" si="37">K21-L21*2</f>
        <v>2.1999999999999999E-2</v>
      </c>
      <c r="N21" s="12">
        <v>0.17100000000000001</v>
      </c>
      <c r="O21" s="12">
        <v>6.0000000000000001E-3</v>
      </c>
      <c r="P21" s="12">
        <f t="shared" ref="P21" si="38">N21-O21*2</f>
        <v>0.159</v>
      </c>
      <c r="Q21" s="12">
        <f t="shared" ref="Q21" si="39">P21-M21</f>
        <v>0.13700000000000001</v>
      </c>
      <c r="R21" s="12">
        <f t="shared" ref="R21" si="40">(Q21-I21)/J21</f>
        <v>14.042105263157897</v>
      </c>
      <c r="S21" s="12">
        <f t="shared" ref="S21" si="41">R21*H21/10</f>
        <v>1.4042105263157896</v>
      </c>
      <c r="V21" s="12">
        <v>0.113</v>
      </c>
      <c r="W21" s="12">
        <v>2.8000000000000001E-2</v>
      </c>
      <c r="X21" s="12">
        <f t="shared" si="35"/>
        <v>8.4000000000000005E-2</v>
      </c>
      <c r="Y21" s="12">
        <f t="shared" si="36"/>
        <v>4.0000000000000001E-3</v>
      </c>
    </row>
    <row r="22" spans="1:25">
      <c r="A22" s="39"/>
      <c r="C22" s="30" t="s">
        <v>87</v>
      </c>
      <c r="D22" s="30"/>
      <c r="E22" s="31"/>
      <c r="F22" s="31"/>
      <c r="G22" s="32"/>
      <c r="H22" s="60">
        <v>1</v>
      </c>
      <c r="I22" s="34">
        <v>3.5999999999999999E-3</v>
      </c>
      <c r="J22" s="34">
        <v>9.4999999999999998E-3</v>
      </c>
      <c r="K22" s="35">
        <v>2.5999999999999999E-2</v>
      </c>
      <c r="L22" s="35">
        <v>2E-3</v>
      </c>
      <c r="M22" s="35">
        <f t="shared" ref="M22" si="42">K22-2*L22</f>
        <v>2.1999999999999999E-2</v>
      </c>
      <c r="N22" s="36">
        <v>0.13500000000000001</v>
      </c>
      <c r="O22" s="35">
        <v>5.0000000000000001E-3</v>
      </c>
      <c r="P22" s="35">
        <f t="shared" ref="P22" si="43">N22-2*O22</f>
        <v>0.125</v>
      </c>
      <c r="Q22" s="35">
        <f t="shared" ref="Q22:Q23" si="44">P22-M22</f>
        <v>0.10300000000000001</v>
      </c>
      <c r="R22" s="37">
        <f t="shared" ref="R22:R23" si="45">(Q22-I22)/J22</f>
        <v>10.463157894736842</v>
      </c>
      <c r="S22" s="38">
        <f t="shared" ref="S22:S23" si="46">R22*H22/10</f>
        <v>1.0463157894736841</v>
      </c>
    </row>
    <row r="23" spans="1:25">
      <c r="A23" s="39" t="s">
        <v>72</v>
      </c>
      <c r="B23" s="13">
        <v>43899</v>
      </c>
      <c r="C23" s="12" t="s">
        <v>348</v>
      </c>
      <c r="D23" s="12" t="s">
        <v>329</v>
      </c>
      <c r="H23" s="12">
        <v>1</v>
      </c>
      <c r="I23" s="43">
        <v>3.5999999999999999E-3</v>
      </c>
      <c r="J23" s="15">
        <v>9.4999999999999998E-3</v>
      </c>
      <c r="K23" s="15">
        <v>2.5999999999999999E-2</v>
      </c>
      <c r="L23" s="12">
        <v>3.0000000000000001E-3</v>
      </c>
      <c r="M23" s="12">
        <f t="shared" ref="M23" si="47">K23-L23*2</f>
        <v>1.9999999999999997E-2</v>
      </c>
      <c r="N23" s="12">
        <v>0.13800000000000001</v>
      </c>
      <c r="O23" s="12">
        <v>1E-3</v>
      </c>
      <c r="P23" s="12">
        <f t="shared" ref="P23" si="48">N23-O23*2</f>
        <v>0.13600000000000001</v>
      </c>
      <c r="Q23" s="12">
        <f t="shared" si="44"/>
        <v>0.11600000000000002</v>
      </c>
      <c r="R23" s="12">
        <f t="shared" si="45"/>
        <v>11.831578947368422</v>
      </c>
      <c r="S23" s="12">
        <f t="shared" si="46"/>
        <v>1.1831578947368422</v>
      </c>
    </row>
    <row r="24" spans="1:25">
      <c r="A24" s="39" t="s">
        <v>72</v>
      </c>
      <c r="B24" s="12" t="s">
        <v>347</v>
      </c>
      <c r="C24" s="12" t="s">
        <v>349</v>
      </c>
      <c r="H24" s="12">
        <v>1</v>
      </c>
      <c r="I24" s="43">
        <v>3.5999999999999999E-3</v>
      </c>
      <c r="J24" s="15">
        <v>9.4999999999999998E-3</v>
      </c>
      <c r="K24" s="15">
        <v>2.5999999999999999E-2</v>
      </c>
      <c r="L24" s="12">
        <v>3.0000000000000001E-3</v>
      </c>
      <c r="M24" s="12">
        <f t="shared" ref="M24" si="49">K24-L24*2</f>
        <v>1.9999999999999997E-2</v>
      </c>
      <c r="N24" s="12">
        <v>0.13900000000000001</v>
      </c>
      <c r="O24" s="12">
        <v>1E-3</v>
      </c>
      <c r="P24" s="12">
        <f t="shared" ref="P24" si="50">N24-O24*2</f>
        <v>0.13700000000000001</v>
      </c>
      <c r="Q24" s="12">
        <f t="shared" ref="Q24:Q27" si="51">P24-M24</f>
        <v>0.11700000000000002</v>
      </c>
      <c r="R24" s="12">
        <f t="shared" ref="R24:R27" si="52">(Q24-I24)/J24</f>
        <v>11.93684210526316</v>
      </c>
      <c r="S24" s="12">
        <f t="shared" ref="S24:S27" si="53">R24*H24/10</f>
        <v>1.1936842105263161</v>
      </c>
    </row>
    <row r="25" spans="1:25">
      <c r="A25" s="39"/>
      <c r="C25" s="50" t="s">
        <v>184</v>
      </c>
      <c r="D25" s="50"/>
      <c r="E25" s="50"/>
      <c r="F25" s="50"/>
      <c r="G25" s="50"/>
      <c r="H25" s="59">
        <v>1</v>
      </c>
      <c r="I25" s="23">
        <v>3.5999999999999999E-3</v>
      </c>
      <c r="J25" s="23">
        <v>9.4999999999999998E-3</v>
      </c>
      <c r="K25" s="24">
        <v>2.5999999999999999E-2</v>
      </c>
      <c r="L25" s="24">
        <v>3.0000000000000001E-3</v>
      </c>
      <c r="M25" s="24">
        <f t="shared" ref="M25:M26" si="54">K25-2*L25</f>
        <v>1.9999999999999997E-2</v>
      </c>
      <c r="N25" s="25">
        <v>0.17</v>
      </c>
      <c r="O25" s="24">
        <v>4.0000000000000001E-3</v>
      </c>
      <c r="P25" s="24">
        <f t="shared" ref="P25:P26" si="55">N25-2*O25</f>
        <v>0.16200000000000001</v>
      </c>
      <c r="Q25" s="24">
        <f t="shared" si="51"/>
        <v>0.14200000000000002</v>
      </c>
      <c r="R25" s="26">
        <f>(Q25-I25)/J25</f>
        <v>14.568421052631582</v>
      </c>
      <c r="S25" s="27">
        <f t="shared" si="53"/>
        <v>1.4568421052631582</v>
      </c>
      <c r="T25" s="47" t="s">
        <v>188</v>
      </c>
      <c r="V25" s="51" t="s">
        <v>186</v>
      </c>
    </row>
    <row r="26" spans="1:25">
      <c r="A26" s="39"/>
      <c r="C26" s="50" t="s">
        <v>185</v>
      </c>
      <c r="D26" s="50"/>
      <c r="E26" s="50"/>
      <c r="F26" s="50"/>
      <c r="G26" s="50"/>
      <c r="H26" s="59">
        <v>1</v>
      </c>
      <c r="I26" s="23">
        <v>3.5999999999999999E-3</v>
      </c>
      <c r="J26" s="23">
        <v>9.4999999999999998E-3</v>
      </c>
      <c r="K26" s="24">
        <v>2.5999999999999999E-2</v>
      </c>
      <c r="L26" s="24">
        <v>3.0000000000000001E-3</v>
      </c>
      <c r="M26" s="24">
        <f t="shared" si="54"/>
        <v>1.9999999999999997E-2</v>
      </c>
      <c r="N26" s="25">
        <v>0.17100000000000001</v>
      </c>
      <c r="O26" s="24">
        <v>4.0000000000000001E-3</v>
      </c>
      <c r="P26" s="24">
        <f t="shared" si="55"/>
        <v>0.16300000000000001</v>
      </c>
      <c r="Q26" s="24">
        <f t="shared" si="51"/>
        <v>0.14300000000000002</v>
      </c>
      <c r="R26" s="26">
        <f>(Q26-I26)/J26</f>
        <v>14.673684210526318</v>
      </c>
      <c r="S26" s="27">
        <f t="shared" si="53"/>
        <v>1.4673684210526319</v>
      </c>
      <c r="V26" s="51" t="s">
        <v>187</v>
      </c>
    </row>
    <row r="27" spans="1:25">
      <c r="A27" s="39"/>
      <c r="C27" s="30" t="s">
        <v>87</v>
      </c>
      <c r="D27" s="30"/>
      <c r="E27" s="31"/>
      <c r="F27" s="31"/>
      <c r="G27" s="32"/>
      <c r="H27" s="60">
        <v>1</v>
      </c>
      <c r="I27" s="34">
        <v>3.5999999999999999E-3</v>
      </c>
      <c r="J27" s="34">
        <v>9.4999999999999998E-3</v>
      </c>
      <c r="K27" s="35">
        <v>2.5999999999999999E-2</v>
      </c>
      <c r="L27" s="35">
        <v>3.0000000000000001E-3</v>
      </c>
      <c r="M27" s="35">
        <f t="shared" ref="M27" si="56">K27-2*L27</f>
        <v>1.9999999999999997E-2</v>
      </c>
      <c r="N27" s="36">
        <v>0.13200000000000001</v>
      </c>
      <c r="O27" s="35">
        <v>3.0000000000000001E-3</v>
      </c>
      <c r="P27" s="35">
        <f t="shared" ref="P27" si="57">N27-2*O27</f>
        <v>0.126</v>
      </c>
      <c r="Q27" s="35">
        <f t="shared" si="51"/>
        <v>0.10600000000000001</v>
      </c>
      <c r="R27" s="37">
        <f t="shared" si="52"/>
        <v>10.778947368421054</v>
      </c>
      <c r="S27" s="38">
        <f t="shared" si="53"/>
        <v>1.0778947368421055</v>
      </c>
    </row>
    <row r="28" spans="1:25">
      <c r="A28" s="64" t="s">
        <v>232</v>
      </c>
      <c r="C28" s="12" t="s">
        <v>330</v>
      </c>
      <c r="D28" s="12" t="s">
        <v>167</v>
      </c>
      <c r="H28" s="15">
        <v>500</v>
      </c>
      <c r="I28" s="43">
        <v>3.5999999999999999E-3</v>
      </c>
      <c r="J28" s="15">
        <v>9.4999999999999998E-3</v>
      </c>
      <c r="K28" s="15">
        <v>2.5999999999999999E-2</v>
      </c>
      <c r="L28" s="12">
        <v>3.0000000000000001E-3</v>
      </c>
      <c r="M28" s="12">
        <f t="shared" ref="M28:M38" si="58">K28-L28*2</f>
        <v>1.9999999999999997E-2</v>
      </c>
      <c r="N28" s="12">
        <v>0.66400000000000003</v>
      </c>
      <c r="O28" s="12">
        <v>1.0999999999999999E-2</v>
      </c>
      <c r="P28" s="12">
        <f t="shared" ref="P28" si="59">N28-O28*2</f>
        <v>0.64200000000000002</v>
      </c>
      <c r="Q28" s="12">
        <f t="shared" ref="Q28" si="60">P28-M28</f>
        <v>0.622</v>
      </c>
      <c r="R28" s="12">
        <f t="shared" ref="R28" si="61">(Q28-I28)/J28</f>
        <v>65.094736842105263</v>
      </c>
      <c r="S28" s="12">
        <f t="shared" ref="S28" si="62">R28*H28/10</f>
        <v>3254.7368421052629</v>
      </c>
    </row>
    <row r="29" spans="1:25">
      <c r="A29" s="39" t="s">
        <v>16</v>
      </c>
      <c r="C29" s="12" t="s">
        <v>331</v>
      </c>
      <c r="D29" s="12" t="s">
        <v>240</v>
      </c>
      <c r="H29" s="15">
        <v>1</v>
      </c>
      <c r="I29" s="43">
        <v>3.5999999999999999E-3</v>
      </c>
      <c r="J29" s="15">
        <v>9.4999999999999998E-3</v>
      </c>
      <c r="K29" s="15">
        <v>2.5999999999999999E-2</v>
      </c>
      <c r="L29" s="12">
        <v>3.0000000000000001E-3</v>
      </c>
      <c r="M29" s="12">
        <f t="shared" si="58"/>
        <v>1.9999999999999997E-2</v>
      </c>
      <c r="N29" s="12">
        <v>0.27700000000000002</v>
      </c>
      <c r="O29" s="12">
        <v>3.0000000000000001E-3</v>
      </c>
      <c r="P29" s="12">
        <f t="shared" ref="P29" si="63">N29-O29*2</f>
        <v>0.27100000000000002</v>
      </c>
      <c r="Q29" s="12">
        <f t="shared" ref="Q29" si="64">P29-M29</f>
        <v>0.251</v>
      </c>
      <c r="R29" s="12">
        <f t="shared" ref="R29" si="65">(Q29-I29)/J29</f>
        <v>26.042105263157897</v>
      </c>
      <c r="S29" s="12">
        <f t="shared" ref="S29" si="66">R29*H29/10</f>
        <v>2.6042105263157898</v>
      </c>
      <c r="V29" s="12">
        <v>5.1999999999999998E-2</v>
      </c>
      <c r="W29" s="12">
        <v>1.4999999999999999E-2</v>
      </c>
      <c r="X29" s="12">
        <f>V29-0.028</f>
        <v>2.3999999999999997E-2</v>
      </c>
      <c r="Y29" s="12">
        <f>W29-0.013</f>
        <v>2E-3</v>
      </c>
    </row>
    <row r="30" spans="1:25">
      <c r="A30" s="39" t="s">
        <v>16</v>
      </c>
      <c r="C30" s="12" t="s">
        <v>332</v>
      </c>
      <c r="D30" s="12" t="s">
        <v>159</v>
      </c>
      <c r="H30" s="15">
        <v>1</v>
      </c>
      <c r="I30" s="43">
        <v>3.5999999999999999E-3</v>
      </c>
      <c r="J30" s="15">
        <v>9.4999999999999998E-3</v>
      </c>
      <c r="K30" s="15">
        <v>2.5999999999999999E-2</v>
      </c>
      <c r="L30" s="12">
        <v>3.0000000000000001E-3</v>
      </c>
      <c r="M30" s="12">
        <f t="shared" si="58"/>
        <v>1.9999999999999997E-2</v>
      </c>
      <c r="N30" s="12">
        <v>0.25900000000000001</v>
      </c>
      <c r="O30" s="12">
        <v>2E-3</v>
      </c>
      <c r="P30" s="12">
        <f t="shared" ref="P30" si="67">N30-O30*2</f>
        <v>0.255</v>
      </c>
      <c r="Q30" s="12">
        <f t="shared" ref="Q30" si="68">P30-M30</f>
        <v>0.23500000000000001</v>
      </c>
      <c r="R30" s="12">
        <f t="shared" ref="R30" si="69">(Q30-I30)/J30</f>
        <v>24.357894736842109</v>
      </c>
      <c r="S30" s="12">
        <f t="shared" ref="S30" si="70">R30*H30/10</f>
        <v>2.4357894736842107</v>
      </c>
      <c r="V30" s="12">
        <v>0.33</v>
      </c>
      <c r="W30" s="12">
        <v>1.6E-2</v>
      </c>
      <c r="X30" s="12">
        <f t="shared" ref="X30:X36" si="71">V30-0.028</f>
        <v>0.30199999999999999</v>
      </c>
      <c r="Y30" s="12">
        <f t="shared" ref="Y30:Y36" si="72">W30-0.013</f>
        <v>3.0000000000000009E-3</v>
      </c>
    </row>
    <row r="31" spans="1:25">
      <c r="A31" s="39" t="s">
        <v>346</v>
      </c>
      <c r="C31" s="12" t="s">
        <v>333</v>
      </c>
      <c r="D31" s="12" t="s">
        <v>334</v>
      </c>
      <c r="H31" s="15">
        <v>5</v>
      </c>
      <c r="I31" s="43">
        <v>3.5999999999999999E-3</v>
      </c>
      <c r="J31" s="15">
        <v>9.4999999999999998E-3</v>
      </c>
      <c r="K31" s="15">
        <v>2.5999999999999999E-2</v>
      </c>
      <c r="L31" s="12">
        <v>3.0000000000000001E-3</v>
      </c>
      <c r="M31" s="12">
        <f t="shared" si="58"/>
        <v>1.9999999999999997E-2</v>
      </c>
      <c r="N31" s="12">
        <v>0.30199999999999999</v>
      </c>
      <c r="O31" s="12">
        <v>3.0000000000000009E-3</v>
      </c>
      <c r="P31" s="12">
        <f t="shared" ref="P31" si="73">N31-O31*2</f>
        <v>0.29599999999999999</v>
      </c>
      <c r="Q31" s="12">
        <f t="shared" ref="Q31" si="74">P31-M31</f>
        <v>0.27599999999999997</v>
      </c>
      <c r="R31" s="12">
        <f t="shared" ref="R31" si="75">(Q31-I31)/J31</f>
        <v>28.673684210526314</v>
      </c>
      <c r="S31" s="12">
        <f t="shared" ref="S31" si="76">R31*H31/10</f>
        <v>14.336842105263155</v>
      </c>
      <c r="V31" s="12">
        <v>0.14599999999999999</v>
      </c>
      <c r="W31" s="12">
        <v>1.6E-2</v>
      </c>
      <c r="X31" s="12">
        <f t="shared" si="71"/>
        <v>0.11799999999999999</v>
      </c>
      <c r="Y31" s="12">
        <f t="shared" si="72"/>
        <v>3.0000000000000009E-3</v>
      </c>
    </row>
    <row r="32" spans="1:25">
      <c r="A32" s="39" t="s">
        <v>346</v>
      </c>
      <c r="C32" s="12" t="s">
        <v>335</v>
      </c>
      <c r="D32" s="12" t="s">
        <v>336</v>
      </c>
      <c r="H32" s="15">
        <v>2</v>
      </c>
      <c r="I32" s="43">
        <v>3.5999999999999999E-3</v>
      </c>
      <c r="J32" s="15">
        <v>9.4999999999999998E-3</v>
      </c>
      <c r="K32" s="15">
        <v>2.5999999999999999E-2</v>
      </c>
      <c r="L32" s="12">
        <v>3.0000000000000001E-3</v>
      </c>
      <c r="M32" s="12">
        <f t="shared" si="58"/>
        <v>1.9999999999999997E-2</v>
      </c>
      <c r="N32" s="12">
        <v>0.11799999999999999</v>
      </c>
      <c r="O32" s="12">
        <v>3.0000000000000009E-3</v>
      </c>
      <c r="P32" s="12">
        <f t="shared" ref="P32:P37" si="77">N32-O32*2</f>
        <v>0.11199999999999999</v>
      </c>
      <c r="Q32" s="12">
        <f t="shared" ref="Q32:Q37" si="78">P32-M32</f>
        <v>9.1999999999999998E-2</v>
      </c>
      <c r="R32" s="12">
        <f t="shared" ref="R32:R37" si="79">(Q32-I32)/J32</f>
        <v>9.3052631578947356</v>
      </c>
      <c r="S32" s="12">
        <f t="shared" ref="S32:S37" si="80">R32*H32/10</f>
        <v>1.8610526315789471</v>
      </c>
      <c r="V32" s="12">
        <v>0.125</v>
      </c>
      <c r="W32" s="12">
        <v>1.6E-2</v>
      </c>
      <c r="X32" s="12">
        <f t="shared" si="71"/>
        <v>9.7000000000000003E-2</v>
      </c>
      <c r="Y32" s="12">
        <f t="shared" si="72"/>
        <v>3.0000000000000009E-3</v>
      </c>
    </row>
    <row r="33" spans="1:25">
      <c r="A33" s="39" t="s">
        <v>346</v>
      </c>
      <c r="C33" s="12" t="s">
        <v>337</v>
      </c>
      <c r="D33" s="12" t="s">
        <v>338</v>
      </c>
      <c r="H33" s="15">
        <v>5</v>
      </c>
      <c r="I33" s="43">
        <v>3.5999999999999999E-3</v>
      </c>
      <c r="J33" s="15">
        <v>9.4999999999999998E-3</v>
      </c>
      <c r="K33" s="15">
        <v>2.5999999999999999E-2</v>
      </c>
      <c r="L33" s="12">
        <v>3.0000000000000001E-3</v>
      </c>
      <c r="M33" s="12">
        <f t="shared" si="58"/>
        <v>1.9999999999999997E-2</v>
      </c>
      <c r="N33" s="12">
        <v>9.7000000000000003E-2</v>
      </c>
      <c r="O33" s="12">
        <v>3.0000000000000009E-3</v>
      </c>
      <c r="P33" s="12">
        <f t="shared" si="77"/>
        <v>9.0999999999999998E-2</v>
      </c>
      <c r="Q33" s="12">
        <f t="shared" si="78"/>
        <v>7.1000000000000008E-2</v>
      </c>
      <c r="R33" s="12">
        <f t="shared" si="79"/>
        <v>7.0947368421052639</v>
      </c>
      <c r="S33" s="12">
        <f t="shared" si="80"/>
        <v>3.5473684210526324</v>
      </c>
      <c r="V33" s="12">
        <v>0.65</v>
      </c>
      <c r="W33" s="12">
        <v>1.7000000000000001E-2</v>
      </c>
      <c r="X33" s="12">
        <f t="shared" si="71"/>
        <v>0.622</v>
      </c>
      <c r="Y33" s="12">
        <f t="shared" si="72"/>
        <v>4.0000000000000018E-3</v>
      </c>
    </row>
    <row r="34" spans="1:25">
      <c r="A34" s="39" t="s">
        <v>346</v>
      </c>
      <c r="C34" s="12" t="s">
        <v>339</v>
      </c>
      <c r="D34" s="12" t="s">
        <v>340</v>
      </c>
      <c r="H34" s="15">
        <v>5</v>
      </c>
      <c r="I34" s="43">
        <v>3.5999999999999999E-3</v>
      </c>
      <c r="J34" s="15">
        <v>9.4999999999999998E-3</v>
      </c>
      <c r="K34" s="15">
        <v>2.5999999999999999E-2</v>
      </c>
      <c r="L34" s="12">
        <v>3.0000000000000001E-3</v>
      </c>
      <c r="M34" s="12">
        <f t="shared" si="58"/>
        <v>1.9999999999999997E-2</v>
      </c>
      <c r="N34" s="12">
        <v>0.246</v>
      </c>
      <c r="O34" s="12">
        <v>4.0000000000000018E-3</v>
      </c>
      <c r="P34" s="12">
        <f t="shared" si="77"/>
        <v>0.23799999999999999</v>
      </c>
      <c r="Q34" s="12">
        <f t="shared" si="78"/>
        <v>0.218</v>
      </c>
      <c r="R34" s="12">
        <f t="shared" si="79"/>
        <v>22.568421052631582</v>
      </c>
      <c r="S34" s="16">
        <f t="shared" si="80"/>
        <v>11.284210526315791</v>
      </c>
      <c r="T34" s="12">
        <v>31.1</v>
      </c>
      <c r="V34" s="12">
        <v>0.40200000000000002</v>
      </c>
      <c r="W34" s="12">
        <v>1.9E-2</v>
      </c>
      <c r="X34" s="12">
        <f t="shared" si="71"/>
        <v>0.374</v>
      </c>
      <c r="Y34" s="12">
        <f t="shared" si="72"/>
        <v>6.0000000000000001E-3</v>
      </c>
    </row>
    <row r="35" spans="1:25">
      <c r="A35" s="39" t="s">
        <v>346</v>
      </c>
      <c r="C35" s="12" t="s">
        <v>341</v>
      </c>
      <c r="D35" s="12" t="s">
        <v>303</v>
      </c>
      <c r="H35" s="15">
        <v>5</v>
      </c>
      <c r="I35" s="43">
        <v>3.5999999999999999E-3</v>
      </c>
      <c r="J35" s="15">
        <v>9.4999999999999998E-3</v>
      </c>
      <c r="K35" s="15">
        <v>2.5999999999999999E-2</v>
      </c>
      <c r="L35" s="12">
        <v>3.0000000000000001E-3</v>
      </c>
      <c r="M35" s="12">
        <f t="shared" si="58"/>
        <v>1.9999999999999997E-2</v>
      </c>
      <c r="N35" s="12">
        <v>0.374</v>
      </c>
      <c r="O35" s="12">
        <v>6.0000000000000001E-3</v>
      </c>
      <c r="P35" s="12">
        <f t="shared" si="77"/>
        <v>0.36199999999999999</v>
      </c>
      <c r="Q35" s="12">
        <f t="shared" si="78"/>
        <v>0.34199999999999997</v>
      </c>
      <c r="R35" s="12">
        <f t="shared" si="79"/>
        <v>35.621052631578948</v>
      </c>
      <c r="S35" s="12">
        <f t="shared" si="80"/>
        <v>17.810526315789474</v>
      </c>
      <c r="V35" s="12">
        <v>0.154</v>
      </c>
      <c r="W35" s="12">
        <v>1.7999999999999999E-2</v>
      </c>
      <c r="X35" s="12">
        <f t="shared" si="71"/>
        <v>0.126</v>
      </c>
      <c r="Y35" s="12">
        <f t="shared" si="72"/>
        <v>4.9999999999999992E-3</v>
      </c>
    </row>
    <row r="36" spans="1:25">
      <c r="A36" s="39" t="s">
        <v>346</v>
      </c>
      <c r="C36" s="12" t="s">
        <v>342</v>
      </c>
      <c r="D36" s="12" t="s">
        <v>343</v>
      </c>
      <c r="H36" s="15">
        <v>5</v>
      </c>
      <c r="I36" s="43">
        <v>3.5999999999999999E-3</v>
      </c>
      <c r="J36" s="15">
        <v>9.4999999999999998E-3</v>
      </c>
      <c r="K36" s="15">
        <v>2.5999999999999999E-2</v>
      </c>
      <c r="L36" s="12">
        <v>3.0000000000000001E-3</v>
      </c>
      <c r="M36" s="12">
        <f t="shared" si="58"/>
        <v>1.9999999999999997E-2</v>
      </c>
      <c r="N36" s="12">
        <v>0.126</v>
      </c>
      <c r="O36" s="12">
        <v>4.9999999999999992E-3</v>
      </c>
      <c r="P36" s="12">
        <f t="shared" si="77"/>
        <v>0.11600000000000001</v>
      </c>
      <c r="Q36" s="12">
        <f t="shared" si="78"/>
        <v>9.6000000000000002E-2</v>
      </c>
      <c r="R36" s="12">
        <f t="shared" si="79"/>
        <v>9.7263157894736842</v>
      </c>
      <c r="S36" s="12">
        <f t="shared" si="80"/>
        <v>4.8631578947368421</v>
      </c>
      <c r="V36" s="12">
        <v>0.47699999999999998</v>
      </c>
      <c r="W36" s="12">
        <v>0.02</v>
      </c>
      <c r="X36" s="12">
        <f t="shared" si="71"/>
        <v>0.44899999999999995</v>
      </c>
      <c r="Y36" s="12">
        <f t="shared" si="72"/>
        <v>7.000000000000001E-3</v>
      </c>
    </row>
    <row r="37" spans="1:25">
      <c r="A37" s="39" t="s">
        <v>346</v>
      </c>
      <c r="C37" s="12" t="s">
        <v>344</v>
      </c>
      <c r="D37" s="12" t="s">
        <v>345</v>
      </c>
      <c r="H37" s="15">
        <v>5</v>
      </c>
      <c r="I37" s="43">
        <v>3.5999999999999999E-3</v>
      </c>
      <c r="J37" s="15">
        <v>9.4999999999999998E-3</v>
      </c>
      <c r="K37" s="15">
        <v>2.5999999999999999E-2</v>
      </c>
      <c r="L37" s="12">
        <v>3.0000000000000001E-3</v>
      </c>
      <c r="M37" s="12">
        <f t="shared" si="58"/>
        <v>1.9999999999999997E-2</v>
      </c>
      <c r="N37" s="12">
        <v>0.44899999999999995</v>
      </c>
      <c r="O37" s="12">
        <v>7.000000000000001E-3</v>
      </c>
      <c r="P37" s="12">
        <f t="shared" si="77"/>
        <v>0.43499999999999994</v>
      </c>
      <c r="Q37" s="12">
        <f t="shared" si="78"/>
        <v>0.41499999999999992</v>
      </c>
      <c r="R37" s="12">
        <f t="shared" si="79"/>
        <v>43.305263157894728</v>
      </c>
      <c r="S37" s="12">
        <f t="shared" si="80"/>
        <v>21.652631578947364</v>
      </c>
    </row>
    <row r="38" spans="1:25">
      <c r="A38" s="39" t="s">
        <v>16</v>
      </c>
      <c r="B38" s="13">
        <v>43901</v>
      </c>
      <c r="C38" s="12" t="s">
        <v>382</v>
      </c>
      <c r="D38" s="12" t="s">
        <v>350</v>
      </c>
      <c r="H38" s="15">
        <v>5</v>
      </c>
      <c r="I38" s="43">
        <v>3.5999999999999999E-3</v>
      </c>
      <c r="J38" s="15">
        <v>9.4999999999999998E-3</v>
      </c>
      <c r="K38" s="12">
        <v>4.3999999999999997E-2</v>
      </c>
      <c r="L38" s="12">
        <v>8.9999999999999993E-3</v>
      </c>
      <c r="M38" s="12">
        <f t="shared" si="58"/>
        <v>2.5999999999999999E-2</v>
      </c>
      <c r="N38" s="12">
        <v>0.122</v>
      </c>
      <c r="O38" s="12">
        <v>4.9999999999999992E-3</v>
      </c>
      <c r="P38" s="12">
        <f t="shared" ref="P38:P58" si="81">N38-O38*2</f>
        <v>0.112</v>
      </c>
      <c r="Q38" s="12">
        <f t="shared" ref="Q38:Q58" si="82">P38-M38</f>
        <v>8.6000000000000007E-2</v>
      </c>
      <c r="R38" s="12">
        <f t="shared" ref="R38:R58" si="83">(Q38-I38)/J38</f>
        <v>8.6736842105263161</v>
      </c>
      <c r="S38" s="12">
        <f t="shared" ref="S38:S58" si="84">R38*H38/10</f>
        <v>4.3368421052631581</v>
      </c>
    </row>
    <row r="39" spans="1:25">
      <c r="A39" s="39" t="s">
        <v>16</v>
      </c>
      <c r="B39" s="13" t="s">
        <v>386</v>
      </c>
      <c r="C39" s="12" t="s">
        <v>383</v>
      </c>
      <c r="H39" s="15">
        <v>5</v>
      </c>
      <c r="I39" s="43">
        <v>3.5999999999999999E-3</v>
      </c>
      <c r="J39" s="15">
        <v>9.4999999999999998E-3</v>
      </c>
      <c r="K39" s="12">
        <v>4.3999999999999997E-2</v>
      </c>
      <c r="L39" s="12">
        <v>8.9999999999999993E-3</v>
      </c>
      <c r="M39" s="12">
        <f t="shared" ref="M39" si="85">K39-L39*2</f>
        <v>2.5999999999999999E-2</v>
      </c>
      <c r="N39" s="12">
        <v>0.123</v>
      </c>
      <c r="O39" s="12">
        <v>4.9999999999999992E-3</v>
      </c>
      <c r="P39" s="12">
        <f t="shared" ref="P39" si="86">N39-O39*2</f>
        <v>0.113</v>
      </c>
      <c r="Q39" s="12">
        <f t="shared" ref="Q39:Q40" si="87">P39-M39</f>
        <v>8.7000000000000008E-2</v>
      </c>
      <c r="R39" s="12">
        <f t="shared" ref="R39:R40" si="88">(Q39-I39)/J39</f>
        <v>8.7789473684210524</v>
      </c>
      <c r="S39" s="12">
        <f t="shared" ref="S39:S40" si="89">R39*H39/10</f>
        <v>4.3894736842105262</v>
      </c>
    </row>
    <row r="40" spans="1:25">
      <c r="A40" s="39"/>
      <c r="C40" s="30" t="s">
        <v>87</v>
      </c>
      <c r="D40" s="30"/>
      <c r="E40" s="31"/>
      <c r="F40" s="31"/>
      <c r="G40" s="32"/>
      <c r="H40" s="60">
        <v>1</v>
      </c>
      <c r="I40" s="34">
        <v>3.5999999999999999E-3</v>
      </c>
      <c r="J40" s="34">
        <v>9.4999999999999998E-3</v>
      </c>
      <c r="K40" s="35">
        <v>4.3999999999999997E-2</v>
      </c>
      <c r="L40" s="35">
        <v>8.9999999999999993E-3</v>
      </c>
      <c r="M40" s="35">
        <f t="shared" ref="M40" si="90">K40-2*L40</f>
        <v>2.5999999999999999E-2</v>
      </c>
      <c r="N40" s="36">
        <v>0.13400000000000001</v>
      </c>
      <c r="O40" s="35">
        <v>5.0000000000000001E-3</v>
      </c>
      <c r="P40" s="35">
        <f t="shared" ref="P40" si="91">N40-2*O40</f>
        <v>0.12400000000000001</v>
      </c>
      <c r="Q40" s="35">
        <f t="shared" si="87"/>
        <v>9.8000000000000018E-2</v>
      </c>
      <c r="R40" s="37">
        <f t="shared" si="88"/>
        <v>9.9368421052631586</v>
      </c>
      <c r="S40" s="38">
        <f t="shared" si="89"/>
        <v>0.99368421052631584</v>
      </c>
    </row>
    <row r="41" spans="1:25">
      <c r="A41" s="39" t="s">
        <v>16</v>
      </c>
      <c r="C41" s="12" t="s">
        <v>351</v>
      </c>
      <c r="D41" s="12" t="s">
        <v>277</v>
      </c>
      <c r="H41" s="15">
        <v>5</v>
      </c>
      <c r="I41" s="43">
        <v>3.5999999999999999E-3</v>
      </c>
      <c r="J41" s="15">
        <v>9.4999999999999998E-3</v>
      </c>
      <c r="K41" s="12">
        <v>4.3999999999999997E-2</v>
      </c>
      <c r="L41" s="12">
        <v>8.9999999999999993E-3</v>
      </c>
      <c r="M41" s="12">
        <f t="shared" ref="M41:M55" si="92">K41-L41*2</f>
        <v>2.5999999999999999E-2</v>
      </c>
      <c r="N41" s="12">
        <v>0.114</v>
      </c>
      <c r="O41" s="12">
        <v>6.0000000000000001E-3</v>
      </c>
      <c r="P41" s="12">
        <f t="shared" si="81"/>
        <v>0.10200000000000001</v>
      </c>
      <c r="Q41" s="12">
        <f t="shared" si="82"/>
        <v>7.6000000000000012E-2</v>
      </c>
      <c r="R41" s="12">
        <f t="shared" si="83"/>
        <v>7.621052631578948</v>
      </c>
      <c r="S41" s="12">
        <f t="shared" si="84"/>
        <v>3.810526315789474</v>
      </c>
      <c r="V41" s="12">
        <v>7.9000000000000001E-2</v>
      </c>
      <c r="W41" s="12">
        <v>2.9000000000000001E-2</v>
      </c>
      <c r="X41" s="12">
        <f t="shared" ref="X41:X49" si="93">V41-0.035</f>
        <v>4.3999999999999997E-2</v>
      </c>
      <c r="Y41" s="12">
        <f t="shared" ref="Y41:Y49" si="94">W41-0.02</f>
        <v>9.0000000000000011E-3</v>
      </c>
    </row>
    <row r="42" spans="1:25">
      <c r="A42" s="39" t="s">
        <v>16</v>
      </c>
      <c r="C42" s="12" t="s">
        <v>352</v>
      </c>
      <c r="D42" s="12" t="s">
        <v>353</v>
      </c>
      <c r="H42" s="15">
        <v>5</v>
      </c>
      <c r="I42" s="43">
        <v>3.5999999999999999E-3</v>
      </c>
      <c r="J42" s="15">
        <v>9.4999999999999998E-3</v>
      </c>
      <c r="K42" s="12">
        <v>4.3999999999999997E-2</v>
      </c>
      <c r="L42" s="12">
        <v>8.9999999999999993E-3</v>
      </c>
      <c r="M42" s="12">
        <f t="shared" si="92"/>
        <v>2.5999999999999999E-2</v>
      </c>
      <c r="N42" s="12">
        <v>0.15</v>
      </c>
      <c r="O42" s="12">
        <v>6.0000000000000001E-3</v>
      </c>
      <c r="P42" s="12">
        <f t="shared" si="81"/>
        <v>0.13799999999999998</v>
      </c>
      <c r="Q42" s="12">
        <f t="shared" si="82"/>
        <v>0.11199999999999999</v>
      </c>
      <c r="R42" s="12">
        <f t="shared" si="83"/>
        <v>11.410526315789472</v>
      </c>
      <c r="S42" s="12">
        <f t="shared" si="84"/>
        <v>5.7052631578947359</v>
      </c>
      <c r="V42" s="12">
        <v>0.20399999999999999</v>
      </c>
      <c r="W42" s="12">
        <v>2.3E-2</v>
      </c>
      <c r="X42" s="12">
        <f t="shared" si="93"/>
        <v>0.16899999999999998</v>
      </c>
      <c r="Y42" s="12">
        <f t="shared" si="94"/>
        <v>2.9999999999999992E-3</v>
      </c>
    </row>
    <row r="43" spans="1:25">
      <c r="A43" s="39" t="s">
        <v>16</v>
      </c>
      <c r="C43" s="12" t="s">
        <v>354</v>
      </c>
      <c r="D43" s="12" t="s">
        <v>355</v>
      </c>
      <c r="H43" s="15">
        <v>5</v>
      </c>
      <c r="I43" s="43">
        <v>3.5999999999999999E-3</v>
      </c>
      <c r="J43" s="15">
        <v>9.4999999999999998E-3</v>
      </c>
      <c r="K43" s="12">
        <v>4.3999999999999997E-2</v>
      </c>
      <c r="L43" s="12">
        <v>8.9999999999999993E-3</v>
      </c>
      <c r="M43" s="12">
        <f t="shared" si="92"/>
        <v>2.5999999999999999E-2</v>
      </c>
      <c r="N43" s="12">
        <v>0.16899999999999998</v>
      </c>
      <c r="O43" s="12">
        <v>2.9999999999999992E-3</v>
      </c>
      <c r="P43" s="12">
        <f t="shared" si="81"/>
        <v>0.16299999999999998</v>
      </c>
      <c r="Q43" s="12">
        <f t="shared" si="82"/>
        <v>0.13699999999999998</v>
      </c>
      <c r="R43" s="12">
        <f t="shared" si="83"/>
        <v>14.042105263157895</v>
      </c>
      <c r="S43" s="12">
        <f t="shared" si="84"/>
        <v>7.0210526315789483</v>
      </c>
      <c r="V43" s="12">
        <v>0.19800000000000001</v>
      </c>
      <c r="W43" s="12">
        <v>3.3000000000000002E-2</v>
      </c>
      <c r="X43" s="12">
        <f t="shared" si="93"/>
        <v>0.16300000000000001</v>
      </c>
      <c r="Y43" s="12">
        <f t="shared" si="94"/>
        <v>1.3000000000000001E-2</v>
      </c>
    </row>
    <row r="44" spans="1:25">
      <c r="A44" s="39" t="s">
        <v>16</v>
      </c>
      <c r="C44" s="12" t="s">
        <v>356</v>
      </c>
      <c r="D44" s="12" t="s">
        <v>357</v>
      </c>
      <c r="H44" s="15">
        <v>5</v>
      </c>
      <c r="I44" s="43">
        <v>3.5999999999999999E-3</v>
      </c>
      <c r="J44" s="15">
        <v>9.4999999999999998E-3</v>
      </c>
      <c r="K44" s="12">
        <v>4.3999999999999997E-2</v>
      </c>
      <c r="L44" s="12">
        <v>8.9999999999999993E-3</v>
      </c>
      <c r="M44" s="12">
        <f t="shared" si="92"/>
        <v>2.5999999999999999E-2</v>
      </c>
      <c r="N44" s="12">
        <v>0.16300000000000001</v>
      </c>
      <c r="O44" s="12">
        <v>1.3000000000000001E-2</v>
      </c>
      <c r="P44" s="12">
        <f t="shared" si="81"/>
        <v>0.13700000000000001</v>
      </c>
      <c r="Q44" s="12">
        <f t="shared" si="82"/>
        <v>0.11100000000000002</v>
      </c>
      <c r="R44" s="12">
        <f t="shared" si="83"/>
        <v>11.305263157894737</v>
      </c>
      <c r="S44" s="12">
        <f t="shared" si="84"/>
        <v>5.6526315789473687</v>
      </c>
      <c r="V44" s="12">
        <v>0.112</v>
      </c>
      <c r="W44" s="12">
        <v>2.5000000000000001E-2</v>
      </c>
      <c r="X44" s="12">
        <f t="shared" si="93"/>
        <v>7.6999999999999999E-2</v>
      </c>
      <c r="Y44" s="12">
        <f t="shared" si="94"/>
        <v>5.000000000000001E-3</v>
      </c>
    </row>
    <row r="45" spans="1:25">
      <c r="A45" s="39" t="s">
        <v>16</v>
      </c>
      <c r="C45" s="12" t="s">
        <v>358</v>
      </c>
      <c r="D45" s="12" t="s">
        <v>359</v>
      </c>
      <c r="H45" s="15">
        <v>5</v>
      </c>
      <c r="I45" s="43">
        <v>3.5999999999999999E-3</v>
      </c>
      <c r="J45" s="15">
        <v>9.4999999999999998E-3</v>
      </c>
      <c r="K45" s="12">
        <v>4.3999999999999997E-2</v>
      </c>
      <c r="L45" s="12">
        <v>8.9999999999999993E-3</v>
      </c>
      <c r="M45" s="12">
        <f t="shared" si="92"/>
        <v>2.5999999999999999E-2</v>
      </c>
      <c r="N45" s="12">
        <v>0.189</v>
      </c>
      <c r="O45" s="12">
        <v>5.0000000000000001E-3</v>
      </c>
      <c r="P45" s="12">
        <f t="shared" si="81"/>
        <v>0.17899999999999999</v>
      </c>
      <c r="Q45" s="12">
        <f t="shared" si="82"/>
        <v>0.153</v>
      </c>
      <c r="R45" s="12">
        <f t="shared" si="83"/>
        <v>15.726315789473684</v>
      </c>
      <c r="S45" s="12">
        <f t="shared" si="84"/>
        <v>7.8631578947368421</v>
      </c>
      <c r="V45" s="12">
        <v>0.153</v>
      </c>
      <c r="W45" s="12">
        <v>2.7E-2</v>
      </c>
      <c r="X45" s="12">
        <f t="shared" si="93"/>
        <v>0.11799999999999999</v>
      </c>
      <c r="Y45" s="12">
        <f t="shared" si="94"/>
        <v>6.9999999999999993E-3</v>
      </c>
    </row>
    <row r="46" spans="1:25">
      <c r="A46" s="39" t="s">
        <v>16</v>
      </c>
      <c r="C46" s="12" t="s">
        <v>360</v>
      </c>
      <c r="D46" s="12" t="s">
        <v>361</v>
      </c>
      <c r="H46" s="15">
        <v>1</v>
      </c>
      <c r="I46" s="43">
        <v>3.5999999999999999E-3</v>
      </c>
      <c r="J46" s="15">
        <v>9.4999999999999998E-3</v>
      </c>
      <c r="K46" s="12">
        <v>4.3999999999999997E-2</v>
      </c>
      <c r="L46" s="12">
        <v>8.9999999999999993E-3</v>
      </c>
      <c r="M46" s="12">
        <f t="shared" si="92"/>
        <v>2.5999999999999999E-2</v>
      </c>
      <c r="N46" s="12">
        <v>0.152</v>
      </c>
      <c r="O46" s="12">
        <v>4.0000000000000001E-3</v>
      </c>
      <c r="P46" s="12">
        <f t="shared" si="81"/>
        <v>0.14399999999999999</v>
      </c>
      <c r="Q46" s="12">
        <f t="shared" si="82"/>
        <v>0.11799999999999999</v>
      </c>
      <c r="R46" s="12">
        <f t="shared" si="83"/>
        <v>12.042105263157893</v>
      </c>
      <c r="S46" s="12">
        <f t="shared" si="84"/>
        <v>1.2042105263157894</v>
      </c>
      <c r="V46" s="12">
        <v>0.11600000000000001</v>
      </c>
      <c r="W46" s="12">
        <v>0.03</v>
      </c>
      <c r="X46" s="12">
        <f t="shared" si="93"/>
        <v>8.1000000000000003E-2</v>
      </c>
      <c r="Y46" s="12">
        <f t="shared" si="94"/>
        <v>9.9999999999999985E-3</v>
      </c>
    </row>
    <row r="47" spans="1:25">
      <c r="A47" s="39" t="s">
        <v>16</v>
      </c>
      <c r="C47" s="12" t="s">
        <v>362</v>
      </c>
      <c r="D47" s="12" t="s">
        <v>363</v>
      </c>
      <c r="H47" s="15">
        <v>5</v>
      </c>
      <c r="I47" s="43">
        <v>3.5999999999999999E-3</v>
      </c>
      <c r="J47" s="15">
        <v>9.4999999999999998E-3</v>
      </c>
      <c r="K47" s="12">
        <v>4.3999999999999997E-2</v>
      </c>
      <c r="L47" s="12">
        <v>8.9999999999999993E-3</v>
      </c>
      <c r="M47" s="12">
        <f t="shared" si="92"/>
        <v>2.5999999999999999E-2</v>
      </c>
      <c r="N47" s="12">
        <v>0.11799999999999999</v>
      </c>
      <c r="O47" s="12">
        <v>6.9999999999999993E-3</v>
      </c>
      <c r="P47" s="12">
        <f t="shared" si="81"/>
        <v>0.104</v>
      </c>
      <c r="Q47" s="12">
        <f t="shared" si="82"/>
        <v>7.8E-2</v>
      </c>
      <c r="R47" s="12">
        <f t="shared" si="83"/>
        <v>7.8315789473684205</v>
      </c>
      <c r="S47" s="12">
        <f t="shared" si="84"/>
        <v>3.9157894736842103</v>
      </c>
      <c r="V47" s="12">
        <v>0.38800000000000001</v>
      </c>
      <c r="W47" s="12">
        <v>3.5000000000000003E-2</v>
      </c>
      <c r="X47" s="12">
        <f t="shared" si="93"/>
        <v>0.35299999999999998</v>
      </c>
      <c r="Y47" s="12">
        <f t="shared" si="94"/>
        <v>1.5000000000000003E-2</v>
      </c>
    </row>
    <row r="48" spans="1:25">
      <c r="A48" s="39" t="s">
        <v>16</v>
      </c>
      <c r="C48" s="12" t="s">
        <v>364</v>
      </c>
      <c r="D48" s="12" t="s">
        <v>365</v>
      </c>
      <c r="H48" s="15">
        <v>2</v>
      </c>
      <c r="I48" s="43">
        <v>3.5999999999999999E-3</v>
      </c>
      <c r="J48" s="15">
        <v>9.4999999999999998E-3</v>
      </c>
      <c r="K48" s="12">
        <v>4.3999999999999997E-2</v>
      </c>
      <c r="L48" s="12">
        <v>8.9999999999999993E-3</v>
      </c>
      <c r="M48" s="12">
        <f t="shared" si="92"/>
        <v>2.5999999999999999E-2</v>
      </c>
      <c r="N48" s="12">
        <v>0.128</v>
      </c>
      <c r="O48" s="12">
        <v>9.9999999999999985E-3</v>
      </c>
      <c r="P48" s="12">
        <f t="shared" si="81"/>
        <v>0.10800000000000001</v>
      </c>
      <c r="Q48" s="12">
        <f t="shared" si="82"/>
        <v>8.2000000000000017E-2</v>
      </c>
      <c r="R48" s="12">
        <f t="shared" si="83"/>
        <v>8.2526315789473692</v>
      </c>
      <c r="S48" s="12">
        <f t="shared" si="84"/>
        <v>1.6505263157894738</v>
      </c>
      <c r="V48" s="12">
        <v>0.26</v>
      </c>
      <c r="W48" s="12">
        <v>2.9000000000000001E-2</v>
      </c>
      <c r="X48" s="12">
        <f t="shared" si="93"/>
        <v>0.22500000000000001</v>
      </c>
      <c r="Y48" s="12">
        <f t="shared" si="94"/>
        <v>9.0000000000000011E-3</v>
      </c>
    </row>
    <row r="49" spans="1:25">
      <c r="A49" s="39" t="s">
        <v>16</v>
      </c>
      <c r="C49" s="12" t="s">
        <v>366</v>
      </c>
      <c r="D49" s="12" t="s">
        <v>367</v>
      </c>
      <c r="H49" s="15">
        <v>5</v>
      </c>
      <c r="I49" s="43">
        <v>3.5999999999999999E-3</v>
      </c>
      <c r="J49" s="15">
        <v>9.4999999999999998E-3</v>
      </c>
      <c r="K49" s="12">
        <v>4.3999999999999997E-2</v>
      </c>
      <c r="L49" s="12">
        <v>8.9999999999999993E-3</v>
      </c>
      <c r="M49" s="12">
        <f t="shared" si="92"/>
        <v>2.5999999999999999E-2</v>
      </c>
      <c r="N49" s="12">
        <v>0.111</v>
      </c>
      <c r="O49" s="12">
        <v>4.0000000000000001E-3</v>
      </c>
      <c r="P49" s="12">
        <f t="shared" si="81"/>
        <v>0.10300000000000001</v>
      </c>
      <c r="Q49" s="12">
        <f t="shared" si="82"/>
        <v>7.7000000000000013E-2</v>
      </c>
      <c r="R49" s="12">
        <f t="shared" si="83"/>
        <v>7.7263157894736851</v>
      </c>
      <c r="S49" s="12">
        <f t="shared" si="84"/>
        <v>3.8631578947368426</v>
      </c>
      <c r="V49" s="12">
        <v>0.54700000000000004</v>
      </c>
      <c r="W49" s="12">
        <v>3.4000000000000002E-2</v>
      </c>
      <c r="X49" s="12">
        <f t="shared" si="93"/>
        <v>0.51200000000000001</v>
      </c>
      <c r="Y49" s="12">
        <f t="shared" si="94"/>
        <v>1.4000000000000002E-2</v>
      </c>
    </row>
    <row r="50" spans="1:25">
      <c r="A50" s="39" t="s">
        <v>16</v>
      </c>
      <c r="C50" s="12" t="s">
        <v>384</v>
      </c>
      <c r="D50" s="12" t="s">
        <v>368</v>
      </c>
      <c r="H50" s="15">
        <v>20</v>
      </c>
      <c r="I50" s="43">
        <v>3.5999999999999999E-3</v>
      </c>
      <c r="J50" s="15">
        <v>9.4999999999999998E-3</v>
      </c>
      <c r="K50" s="12">
        <v>4.3999999999999997E-2</v>
      </c>
      <c r="L50" s="12">
        <v>8.9999999999999993E-3</v>
      </c>
      <c r="M50" s="12">
        <f t="shared" si="92"/>
        <v>2.5999999999999999E-2</v>
      </c>
      <c r="N50" s="12">
        <v>0.35299999999999998</v>
      </c>
      <c r="O50" s="12">
        <v>1.4999999999999999E-2</v>
      </c>
      <c r="P50" s="12">
        <f t="shared" si="81"/>
        <v>0.32299999999999995</v>
      </c>
      <c r="Q50" s="12">
        <f t="shared" si="82"/>
        <v>0.29699999999999993</v>
      </c>
      <c r="R50" s="12">
        <f t="shared" si="83"/>
        <v>30.884210526315783</v>
      </c>
      <c r="S50" s="12">
        <f t="shared" si="84"/>
        <v>61.76842105263156</v>
      </c>
      <c r="V50" s="12">
        <v>0.70499999999999996</v>
      </c>
      <c r="W50" s="12">
        <v>3.1E-2</v>
      </c>
      <c r="X50" s="12">
        <f>V50-0.035</f>
        <v>0.66999999999999993</v>
      </c>
      <c r="Y50" s="12">
        <f>W50-0.02</f>
        <v>1.0999999999999999E-2</v>
      </c>
    </row>
    <row r="51" spans="1:25">
      <c r="A51" s="39" t="s">
        <v>16</v>
      </c>
      <c r="C51" s="12" t="s">
        <v>385</v>
      </c>
      <c r="H51" s="15">
        <v>20</v>
      </c>
      <c r="I51" s="43">
        <v>3.5999999999999999E-3</v>
      </c>
      <c r="J51" s="15">
        <v>9.4999999999999998E-3</v>
      </c>
      <c r="K51" s="12">
        <v>4.3999999999999997E-2</v>
      </c>
      <c r="L51" s="12">
        <v>8.9999999999999993E-3</v>
      </c>
      <c r="M51" s="12">
        <f t="shared" ref="M51" si="95">K51-L51*2</f>
        <v>2.5999999999999999E-2</v>
      </c>
      <c r="N51" s="12">
        <v>0.35399999999999998</v>
      </c>
      <c r="O51" s="12">
        <v>1.4999999999999999E-2</v>
      </c>
      <c r="P51" s="12">
        <f t="shared" ref="P51" si="96">N51-O51*2</f>
        <v>0.32399999999999995</v>
      </c>
      <c r="Q51" s="12">
        <f t="shared" ref="Q51" si="97">P51-M51</f>
        <v>0.29799999999999993</v>
      </c>
      <c r="R51" s="12">
        <f t="shared" ref="R51" si="98">(Q51-I51)/J51</f>
        <v>30.98947368421052</v>
      </c>
      <c r="S51" s="12">
        <f t="shared" ref="S51" si="99">R51*H51/10</f>
        <v>61.978947368421039</v>
      </c>
    </row>
    <row r="52" spans="1:25">
      <c r="A52" s="39" t="s">
        <v>16</v>
      </c>
      <c r="C52" s="12" t="s">
        <v>369</v>
      </c>
      <c r="D52" s="12" t="s">
        <v>370</v>
      </c>
      <c r="H52" s="15">
        <v>5</v>
      </c>
      <c r="I52" s="43">
        <v>3.5999999999999999E-3</v>
      </c>
      <c r="J52" s="15">
        <v>9.4999999999999998E-3</v>
      </c>
      <c r="K52" s="12">
        <v>4.3999999999999997E-2</v>
      </c>
      <c r="L52" s="12">
        <v>8.9999999999999993E-3</v>
      </c>
      <c r="M52" s="12">
        <f t="shared" si="92"/>
        <v>2.5999999999999999E-2</v>
      </c>
      <c r="N52" s="12">
        <v>0.193</v>
      </c>
      <c r="O52" s="12">
        <v>4.0000000000000001E-3</v>
      </c>
      <c r="P52" s="12">
        <f t="shared" si="81"/>
        <v>0.185</v>
      </c>
      <c r="Q52" s="12">
        <f t="shared" si="82"/>
        <v>0.159</v>
      </c>
      <c r="R52" s="12">
        <f t="shared" si="83"/>
        <v>16.357894736842105</v>
      </c>
      <c r="S52" s="12">
        <f t="shared" si="84"/>
        <v>8.1789473684210527</v>
      </c>
    </row>
    <row r="53" spans="1:25">
      <c r="A53" s="39" t="s">
        <v>16</v>
      </c>
      <c r="C53" s="12" t="s">
        <v>371</v>
      </c>
      <c r="D53" s="12" t="s">
        <v>372</v>
      </c>
      <c r="H53" s="15">
        <v>50</v>
      </c>
      <c r="I53" s="43">
        <v>3.5999999999999999E-3</v>
      </c>
      <c r="J53" s="15">
        <v>9.4999999999999998E-3</v>
      </c>
      <c r="K53" s="12">
        <v>4.3999999999999997E-2</v>
      </c>
      <c r="L53" s="12">
        <v>8.9999999999999993E-3</v>
      </c>
      <c r="M53" s="12">
        <f t="shared" si="92"/>
        <v>2.5999999999999999E-2</v>
      </c>
      <c r="N53" s="12">
        <v>0.22500000000000001</v>
      </c>
      <c r="O53" s="12">
        <v>8.9999999999999993E-3</v>
      </c>
      <c r="P53" s="12">
        <f t="shared" si="81"/>
        <v>0.20700000000000002</v>
      </c>
      <c r="Q53" s="12">
        <f t="shared" si="82"/>
        <v>0.18100000000000002</v>
      </c>
      <c r="R53" s="12">
        <f t="shared" si="83"/>
        <v>18.673684210526318</v>
      </c>
      <c r="S53" s="12">
        <f t="shared" si="84"/>
        <v>93.368421052631589</v>
      </c>
    </row>
    <row r="54" spans="1:25">
      <c r="A54" s="64" t="s">
        <v>59</v>
      </c>
      <c r="C54" s="12" t="s">
        <v>373</v>
      </c>
      <c r="D54" s="12" t="s">
        <v>374</v>
      </c>
      <c r="F54" s="65" t="s">
        <v>376</v>
      </c>
      <c r="H54" s="15">
        <v>10000</v>
      </c>
      <c r="I54" s="43">
        <v>3.5999999999999999E-3</v>
      </c>
      <c r="J54" s="15">
        <v>9.4999999999999998E-3</v>
      </c>
      <c r="K54" s="12">
        <v>4.3999999999999997E-2</v>
      </c>
      <c r="L54" s="12">
        <v>8.9999999999999993E-3</v>
      </c>
      <c r="M54" s="12">
        <f t="shared" si="92"/>
        <v>2.5999999999999999E-2</v>
      </c>
      <c r="N54" s="12">
        <v>0.54800000000000004</v>
      </c>
      <c r="O54" s="12">
        <v>3.0000000000000001E-3</v>
      </c>
      <c r="P54" s="12">
        <f t="shared" si="81"/>
        <v>0.54200000000000004</v>
      </c>
      <c r="Q54" s="12">
        <f t="shared" si="82"/>
        <v>0.51600000000000001</v>
      </c>
      <c r="R54" s="12">
        <f t="shared" si="83"/>
        <v>53.936842105263153</v>
      </c>
      <c r="S54" s="12">
        <f t="shared" si="84"/>
        <v>53936.84210526316</v>
      </c>
      <c r="V54" s="12">
        <v>7.9000000000000001E-2</v>
      </c>
      <c r="W54" s="12">
        <v>3.7999999999999999E-2</v>
      </c>
      <c r="X54" s="12">
        <f>V54-0.063</f>
        <v>1.6E-2</v>
      </c>
      <c r="Y54" s="12">
        <f>W54-0.038</f>
        <v>0</v>
      </c>
    </row>
    <row r="55" spans="1:25">
      <c r="A55" s="64" t="s">
        <v>59</v>
      </c>
      <c r="C55" s="12" t="s">
        <v>375</v>
      </c>
      <c r="F55" s="65" t="s">
        <v>377</v>
      </c>
      <c r="H55" s="15">
        <v>10</v>
      </c>
      <c r="I55" s="43">
        <v>3.5999999999999999E-3</v>
      </c>
      <c r="J55" s="15">
        <v>9.4999999999999998E-3</v>
      </c>
      <c r="K55" s="12">
        <v>4.3999999999999997E-2</v>
      </c>
      <c r="L55" s="12">
        <v>8.9999999999999993E-3</v>
      </c>
      <c r="M55" s="12">
        <f t="shared" si="92"/>
        <v>2.5999999999999999E-2</v>
      </c>
      <c r="N55" s="12">
        <v>0.51200000000000001</v>
      </c>
      <c r="O55" s="12">
        <v>1.4E-2</v>
      </c>
      <c r="P55" s="12">
        <f t="shared" si="81"/>
        <v>0.48399999999999999</v>
      </c>
      <c r="Q55" s="12">
        <f t="shared" si="82"/>
        <v>0.45799999999999996</v>
      </c>
      <c r="R55" s="12">
        <f t="shared" si="83"/>
        <v>47.831578947368421</v>
      </c>
      <c r="S55" s="12">
        <f t="shared" si="84"/>
        <v>47.831578947368421</v>
      </c>
      <c r="V55" s="12">
        <v>1.1140000000000001</v>
      </c>
      <c r="W55" s="12">
        <v>4.1000000000000002E-2</v>
      </c>
      <c r="X55" s="12">
        <f>V55-0.063</f>
        <v>1.0510000000000002</v>
      </c>
      <c r="Y55" s="12">
        <f>W55-0.038</f>
        <v>3.0000000000000027E-3</v>
      </c>
    </row>
    <row r="56" spans="1:25">
      <c r="A56" s="39"/>
      <c r="C56" s="12" t="s">
        <v>378</v>
      </c>
      <c r="D56" s="12" t="s">
        <v>30</v>
      </c>
      <c r="H56" s="53">
        <v>5</v>
      </c>
      <c r="I56" s="43">
        <v>3.5999999999999999E-3</v>
      </c>
      <c r="J56" s="15">
        <v>9.4999999999999998E-3</v>
      </c>
      <c r="K56" s="12">
        <v>4.3999999999999997E-2</v>
      </c>
      <c r="L56" s="12">
        <v>8.9999999999999993E-3</v>
      </c>
      <c r="M56" s="12">
        <f t="shared" ref="M56:M60" si="100">K56-L56*2</f>
        <v>2.5999999999999999E-2</v>
      </c>
      <c r="N56" s="12">
        <v>0.314</v>
      </c>
      <c r="O56" s="12">
        <v>1.4999999999999999E-2</v>
      </c>
      <c r="P56" s="12">
        <f t="shared" si="81"/>
        <v>0.28400000000000003</v>
      </c>
      <c r="Q56" s="12">
        <f t="shared" si="82"/>
        <v>0.25800000000000001</v>
      </c>
      <c r="R56" s="12">
        <f t="shared" si="83"/>
        <v>26.778947368421054</v>
      </c>
      <c r="S56" s="12">
        <f t="shared" si="84"/>
        <v>13.389473684210525</v>
      </c>
    </row>
    <row r="57" spans="1:25">
      <c r="A57" s="39"/>
      <c r="C57" s="12" t="s">
        <v>379</v>
      </c>
      <c r="D57" s="12" t="s">
        <v>32</v>
      </c>
      <c r="H57" s="53">
        <v>10</v>
      </c>
      <c r="I57" s="43">
        <v>3.5999999999999999E-3</v>
      </c>
      <c r="J57" s="15">
        <v>9.4999999999999998E-3</v>
      </c>
      <c r="K57" s="12">
        <v>4.3999999999999997E-2</v>
      </c>
      <c r="L57" s="12">
        <v>8.9999999999999993E-3</v>
      </c>
      <c r="M57" s="12">
        <f t="shared" si="100"/>
        <v>2.5999999999999999E-2</v>
      </c>
      <c r="N57" s="12">
        <v>0.222</v>
      </c>
      <c r="O57" s="12">
        <v>3.0000000000000001E-3</v>
      </c>
      <c r="P57" s="12">
        <f t="shared" si="81"/>
        <v>0.216</v>
      </c>
      <c r="Q57" s="12">
        <f t="shared" si="82"/>
        <v>0.19</v>
      </c>
      <c r="R57" s="12">
        <f t="shared" si="83"/>
        <v>19.621052631578948</v>
      </c>
      <c r="S57" s="12">
        <f t="shared" si="84"/>
        <v>19.621052631578948</v>
      </c>
    </row>
    <row r="58" spans="1:25">
      <c r="A58" s="39"/>
      <c r="C58" s="12" t="s">
        <v>380</v>
      </c>
      <c r="D58" s="12" t="s">
        <v>34</v>
      </c>
      <c r="H58" s="53">
        <v>10</v>
      </c>
      <c r="I58" s="43">
        <v>3.5999999999999999E-3</v>
      </c>
      <c r="J58" s="15">
        <v>9.4999999999999998E-3</v>
      </c>
      <c r="K58" s="12">
        <v>4.3999999999999997E-2</v>
      </c>
      <c r="L58" s="12">
        <v>8.9999999999999993E-3</v>
      </c>
      <c r="M58" s="12">
        <f t="shared" si="100"/>
        <v>2.5999999999999999E-2</v>
      </c>
      <c r="N58" s="12">
        <v>0.182</v>
      </c>
      <c r="O58" s="12">
        <v>1E-3</v>
      </c>
      <c r="P58" s="12">
        <f t="shared" si="81"/>
        <v>0.18</v>
      </c>
      <c r="Q58" s="12">
        <f t="shared" si="82"/>
        <v>0.154</v>
      </c>
      <c r="R58" s="12">
        <f t="shared" si="83"/>
        <v>15.831578947368422</v>
      </c>
      <c r="S58" s="12">
        <f t="shared" si="84"/>
        <v>15.831578947368422</v>
      </c>
    </row>
    <row r="59" spans="1:25">
      <c r="A59" s="39"/>
      <c r="C59" s="12" t="s">
        <v>381</v>
      </c>
      <c r="D59" s="12" t="s">
        <v>36</v>
      </c>
      <c r="H59" s="53">
        <v>5</v>
      </c>
      <c r="I59" s="43">
        <v>3.5999999999999999E-3</v>
      </c>
      <c r="J59" s="15">
        <v>9.4999999999999998E-3</v>
      </c>
      <c r="K59" s="12">
        <v>4.3999999999999997E-2</v>
      </c>
      <c r="L59" s="12">
        <v>8.9999999999999993E-3</v>
      </c>
      <c r="M59" s="12">
        <f t="shared" si="100"/>
        <v>2.5999999999999999E-2</v>
      </c>
      <c r="N59" s="12">
        <v>0.154</v>
      </c>
      <c r="O59" s="12">
        <v>1.4999999999999999E-2</v>
      </c>
      <c r="P59" s="12">
        <f t="shared" ref="P59" si="101">N59-O59*2</f>
        <v>0.124</v>
      </c>
      <c r="Q59" s="12">
        <f t="shared" ref="Q59" si="102">P59-M59</f>
        <v>9.8000000000000004E-2</v>
      </c>
      <c r="R59" s="12">
        <f t="shared" ref="R59" si="103">(Q59-I59)/J59</f>
        <v>9.9368421052631586</v>
      </c>
      <c r="S59" s="12">
        <f t="shared" ref="S59" si="104">R59*H59/10</f>
        <v>4.9684210526315793</v>
      </c>
    </row>
    <row r="60" spans="1:25">
      <c r="A60" s="39" t="s">
        <v>16</v>
      </c>
      <c r="B60" s="13">
        <v>43903</v>
      </c>
      <c r="C60" s="12" t="s">
        <v>394</v>
      </c>
      <c r="D60" s="12" t="s">
        <v>387</v>
      </c>
      <c r="H60" s="15">
        <v>5</v>
      </c>
      <c r="I60" s="43">
        <v>3.5999999999999999E-3</v>
      </c>
      <c r="J60" s="15">
        <v>9.4999999999999998E-3</v>
      </c>
      <c r="K60" s="12">
        <v>2.3E-2</v>
      </c>
      <c r="L60" s="12">
        <v>3.0000000000000001E-3</v>
      </c>
      <c r="M60" s="12">
        <f t="shared" si="100"/>
        <v>1.7000000000000001E-2</v>
      </c>
      <c r="N60" s="12">
        <v>0.10199999999999999</v>
      </c>
      <c r="O60" s="12">
        <v>5.0000000000000044E-3</v>
      </c>
      <c r="P60" s="12">
        <f t="shared" ref="P60:P67" si="105">N60-O60*2</f>
        <v>9.1999999999999985E-2</v>
      </c>
      <c r="Q60" s="12">
        <f t="shared" ref="Q60:Q66" si="106">P60-M60</f>
        <v>7.4999999999999983E-2</v>
      </c>
      <c r="R60" s="12">
        <f t="shared" ref="R60:R66" si="107">(Q60-I60)/J60</f>
        <v>7.5157894736842081</v>
      </c>
      <c r="S60" s="12">
        <f t="shared" ref="S60:S66" si="108">R60*H60/10</f>
        <v>3.7578947368421041</v>
      </c>
      <c r="V60" s="12">
        <v>8.1000000000000003E-2</v>
      </c>
      <c r="W60" s="12">
        <v>0.04</v>
      </c>
      <c r="X60" s="12">
        <f t="shared" ref="X60:X65" si="109">V60-0.058</f>
        <v>2.3E-2</v>
      </c>
      <c r="Y60" s="12">
        <f t="shared" ref="Y60:Y65" si="110">W60-0.037</f>
        <v>3.0000000000000027E-3</v>
      </c>
    </row>
    <row r="61" spans="1:25">
      <c r="A61" s="39" t="s">
        <v>16</v>
      </c>
      <c r="B61" s="13" t="s">
        <v>396</v>
      </c>
      <c r="C61" s="12" t="s">
        <v>395</v>
      </c>
      <c r="H61" s="15">
        <v>5</v>
      </c>
      <c r="I61" s="43">
        <v>3.5999999999999999E-3</v>
      </c>
      <c r="J61" s="15">
        <v>9.4999999999999998E-3</v>
      </c>
      <c r="K61" s="12">
        <v>2.3E-2</v>
      </c>
      <c r="L61" s="12">
        <v>3.0000000000000001E-3</v>
      </c>
      <c r="M61" s="12">
        <f t="shared" ref="M61" si="111">K61-L61*2</f>
        <v>1.7000000000000001E-2</v>
      </c>
      <c r="N61" s="12">
        <v>0.10299999999999999</v>
      </c>
      <c r="O61" s="12">
        <v>5.0000000000000044E-3</v>
      </c>
      <c r="P61" s="12">
        <f t="shared" ref="P61" si="112">N61-O61*2</f>
        <v>9.2999999999999985E-2</v>
      </c>
      <c r="Q61" s="12">
        <f t="shared" ref="Q61" si="113">P61-M61</f>
        <v>7.5999999999999984E-2</v>
      </c>
      <c r="R61" s="12">
        <f t="shared" ref="R61" si="114">(Q61-I61)/J61</f>
        <v>7.6210526315789453</v>
      </c>
      <c r="S61" s="12">
        <f t="shared" ref="S61" si="115">R61*H61/10</f>
        <v>3.8105263157894727</v>
      </c>
    </row>
    <row r="62" spans="1:25">
      <c r="A62" s="39" t="s">
        <v>16</v>
      </c>
      <c r="C62" s="12" t="s">
        <v>388</v>
      </c>
      <c r="H62" s="15">
        <v>5</v>
      </c>
      <c r="I62" s="43">
        <v>3.5999999999999999E-3</v>
      </c>
      <c r="J62" s="15">
        <v>9.4999999999999998E-3</v>
      </c>
      <c r="K62" s="12">
        <v>2.3E-2</v>
      </c>
      <c r="L62" s="12">
        <v>3.0000000000000001E-3</v>
      </c>
      <c r="M62" s="12">
        <f t="shared" ref="M62:M66" si="116">K62-L62*2</f>
        <v>1.7000000000000001E-2</v>
      </c>
      <c r="N62" s="12">
        <v>9.5000000000000001E-2</v>
      </c>
      <c r="O62" s="12">
        <v>4.0000000000000036E-3</v>
      </c>
      <c r="P62" s="12">
        <f t="shared" si="105"/>
        <v>8.6999999999999994E-2</v>
      </c>
      <c r="Q62" s="12">
        <f t="shared" si="106"/>
        <v>6.9999999999999993E-2</v>
      </c>
      <c r="R62" s="12">
        <f t="shared" si="107"/>
        <v>6.989473684210525</v>
      </c>
      <c r="S62" s="12">
        <f t="shared" si="108"/>
        <v>3.4947368421052625</v>
      </c>
      <c r="V62" s="12">
        <v>0.157</v>
      </c>
      <c r="W62" s="12">
        <v>4.2000000000000003E-2</v>
      </c>
      <c r="X62" s="12">
        <f t="shared" si="109"/>
        <v>9.9000000000000005E-2</v>
      </c>
      <c r="Y62" s="12">
        <f t="shared" si="110"/>
        <v>5.0000000000000044E-3</v>
      </c>
    </row>
    <row r="63" spans="1:25">
      <c r="A63" s="39"/>
      <c r="C63" s="30" t="s">
        <v>87</v>
      </c>
      <c r="D63" s="30"/>
      <c r="E63" s="31"/>
      <c r="F63" s="31"/>
      <c r="G63" s="32"/>
      <c r="H63" s="60">
        <v>1</v>
      </c>
      <c r="I63" s="34">
        <v>3.5999999999999999E-3</v>
      </c>
      <c r="J63" s="34">
        <v>9.4999999999999998E-3</v>
      </c>
      <c r="K63" s="35">
        <v>2.3E-2</v>
      </c>
      <c r="L63" s="35">
        <v>3.0000000000000001E-3</v>
      </c>
      <c r="M63" s="35">
        <f t="shared" ref="M63" si="117">K63-2*L63</f>
        <v>1.7000000000000001E-2</v>
      </c>
      <c r="N63" s="36">
        <v>0.129</v>
      </c>
      <c r="O63" s="35">
        <v>6.0000000000000001E-3</v>
      </c>
      <c r="P63" s="35">
        <f t="shared" ref="P63" si="118">N63-2*O63</f>
        <v>0.11700000000000001</v>
      </c>
      <c r="Q63" s="35">
        <f>P63-M63</f>
        <v>0.1</v>
      </c>
      <c r="R63" s="37">
        <f>(Q63-I63)/J63</f>
        <v>10.147368421052631</v>
      </c>
      <c r="S63" s="38">
        <f>R63*H63/10</f>
        <v>1.0147368421052632</v>
      </c>
    </row>
    <row r="64" spans="1:25">
      <c r="A64" s="64" t="s">
        <v>59</v>
      </c>
      <c r="C64" s="12" t="s">
        <v>389</v>
      </c>
      <c r="D64" s="12" t="s">
        <v>20</v>
      </c>
      <c r="H64" s="15">
        <v>5</v>
      </c>
      <c r="I64" s="43">
        <v>3.5999999999999999E-3</v>
      </c>
      <c r="J64" s="15">
        <v>9.4999999999999998E-3</v>
      </c>
      <c r="K64" s="12">
        <v>2.3E-2</v>
      </c>
      <c r="L64" s="12">
        <v>3.0000000000000001E-3</v>
      </c>
      <c r="M64" s="12">
        <f t="shared" si="116"/>
        <v>1.7000000000000001E-2</v>
      </c>
      <c r="N64" s="12">
        <v>0.52899999999999991</v>
      </c>
      <c r="O64" s="12">
        <v>6.9999999999999993E-3</v>
      </c>
      <c r="P64" s="12">
        <f t="shared" si="105"/>
        <v>0.5149999999999999</v>
      </c>
      <c r="Q64" s="12">
        <f t="shared" si="106"/>
        <v>0.49799999999999989</v>
      </c>
      <c r="R64" s="12">
        <f t="shared" si="107"/>
        <v>52.042105263157886</v>
      </c>
      <c r="S64" s="12">
        <f t="shared" si="108"/>
        <v>26.021052631578943</v>
      </c>
      <c r="V64" s="12">
        <v>0.16</v>
      </c>
      <c r="W64" s="12">
        <v>4.1000000000000002E-2</v>
      </c>
      <c r="X64" s="12">
        <f t="shared" si="109"/>
        <v>0.10200000000000001</v>
      </c>
      <c r="Y64" s="12">
        <f t="shared" si="110"/>
        <v>4.0000000000000036E-3</v>
      </c>
    </row>
    <row r="65" spans="1:25">
      <c r="A65" s="39" t="s">
        <v>16</v>
      </c>
      <c r="C65" s="12" t="s">
        <v>390</v>
      </c>
      <c r="D65" s="12" t="s">
        <v>54</v>
      </c>
      <c r="H65" s="15">
        <v>1</v>
      </c>
      <c r="I65" s="43">
        <v>3.5999999999999999E-3</v>
      </c>
      <c r="J65" s="15">
        <v>9.4999999999999998E-3</v>
      </c>
      <c r="K65" s="12">
        <v>2.3E-2</v>
      </c>
      <c r="L65" s="12">
        <v>3.0000000000000001E-3</v>
      </c>
      <c r="M65" s="12">
        <f t="shared" si="116"/>
        <v>1.7000000000000001E-2</v>
      </c>
      <c r="N65" s="12">
        <v>0.251</v>
      </c>
      <c r="O65" s="12">
        <v>5.0000000000000001E-3</v>
      </c>
      <c r="P65" s="12">
        <f t="shared" si="105"/>
        <v>0.24099999999999999</v>
      </c>
      <c r="Q65" s="12">
        <f t="shared" si="106"/>
        <v>0.22399999999999998</v>
      </c>
      <c r="R65" s="12">
        <f t="shared" si="107"/>
        <v>23.2</v>
      </c>
      <c r="S65" s="12">
        <f t="shared" si="108"/>
        <v>2.3199999999999998</v>
      </c>
      <c r="V65" s="12">
        <v>0.58699999999999997</v>
      </c>
      <c r="W65" s="12">
        <v>4.3999999999999997E-2</v>
      </c>
      <c r="X65" s="12">
        <f t="shared" si="109"/>
        <v>0.52899999999999991</v>
      </c>
      <c r="Y65" s="12">
        <f t="shared" si="110"/>
        <v>6.9999999999999993E-3</v>
      </c>
    </row>
    <row r="66" spans="1:25">
      <c r="A66" s="64" t="s">
        <v>59</v>
      </c>
      <c r="D66" s="68" t="s">
        <v>391</v>
      </c>
      <c r="H66" s="15">
        <v>500</v>
      </c>
      <c r="I66" s="43">
        <v>3.5999999999999999E-3</v>
      </c>
      <c r="J66" s="15">
        <v>9.4999999999999998E-3</v>
      </c>
      <c r="K66" s="12">
        <v>2.3E-2</v>
      </c>
      <c r="L66" s="12">
        <v>3.0000000000000001E-3</v>
      </c>
      <c r="M66" s="12">
        <f t="shared" si="116"/>
        <v>1.7000000000000001E-2</v>
      </c>
      <c r="N66" s="12">
        <v>9.4E-2</v>
      </c>
      <c r="O66" s="12">
        <v>4.0000000000000036E-3</v>
      </c>
      <c r="P66" s="12">
        <f t="shared" si="105"/>
        <v>8.5999999999999993E-2</v>
      </c>
      <c r="Q66" s="12">
        <f t="shared" si="106"/>
        <v>6.8999999999999992E-2</v>
      </c>
      <c r="R66" s="12">
        <f t="shared" si="107"/>
        <v>6.8842105263157878</v>
      </c>
      <c r="S66" s="12">
        <f t="shared" si="108"/>
        <v>344.21052631578942</v>
      </c>
      <c r="V66" s="12">
        <v>0.152</v>
      </c>
      <c r="W66" s="12">
        <v>4.1000000000000002E-2</v>
      </c>
      <c r="X66" s="12">
        <f>V66-0.058</f>
        <v>9.4E-2</v>
      </c>
      <c r="Y66" s="12">
        <f>W66-0.037</f>
        <v>4.0000000000000036E-3</v>
      </c>
    </row>
    <row r="67" spans="1:25">
      <c r="A67" s="39" t="s">
        <v>16</v>
      </c>
      <c r="C67" s="12" t="s">
        <v>392</v>
      </c>
      <c r="D67" s="12" t="s">
        <v>107</v>
      </c>
      <c r="H67" s="15">
        <v>1</v>
      </c>
      <c r="I67" s="43">
        <v>3.5999999999999999E-3</v>
      </c>
      <c r="J67" s="15">
        <v>9.4999999999999998E-3</v>
      </c>
      <c r="K67" s="12">
        <v>2.3E-2</v>
      </c>
      <c r="L67" s="12">
        <v>3.0000000000000001E-3</v>
      </c>
      <c r="M67" s="12">
        <f t="shared" ref="M67" si="119">K67-L67*2</f>
        <v>1.7000000000000001E-2</v>
      </c>
      <c r="N67" s="12">
        <v>0.125</v>
      </c>
      <c r="O67" s="12">
        <v>4.0000000000000001E-3</v>
      </c>
      <c r="P67" s="12">
        <f t="shared" si="105"/>
        <v>0.11699999999999999</v>
      </c>
      <c r="Q67" s="12">
        <f t="shared" ref="Q67" si="120">P67-M67</f>
        <v>9.9999999999999992E-2</v>
      </c>
      <c r="R67" s="12">
        <f t="shared" ref="R67" si="121">(Q67-I67)/J67</f>
        <v>10.147368421052631</v>
      </c>
      <c r="S67" s="12">
        <f t="shared" ref="S67" si="122">R67*H67/10</f>
        <v>1.0147368421052632</v>
      </c>
    </row>
    <row r="68" spans="1:25">
      <c r="A68" s="39" t="s">
        <v>16</v>
      </c>
      <c r="C68" s="12" t="s">
        <v>393</v>
      </c>
      <c r="D68" s="12" t="s">
        <v>43</v>
      </c>
      <c r="H68" s="15">
        <v>10</v>
      </c>
      <c r="I68" s="43">
        <v>3.5999999999999999E-3</v>
      </c>
      <c r="J68" s="15">
        <v>9.4999999999999998E-3</v>
      </c>
      <c r="K68" s="12">
        <v>2.3E-2</v>
      </c>
      <c r="L68" s="12">
        <v>3.0000000000000001E-3</v>
      </c>
      <c r="M68" s="12">
        <f t="shared" ref="M68:M73" si="123">K68-L68*2</f>
        <v>1.7000000000000001E-2</v>
      </c>
      <c r="N68" s="12">
        <v>0.311</v>
      </c>
      <c r="O68" s="12">
        <v>5.0000000000000001E-3</v>
      </c>
      <c r="P68" s="12">
        <f t="shared" ref="P68" si="124">N68-O68*2</f>
        <v>0.30099999999999999</v>
      </c>
      <c r="Q68" s="12">
        <f t="shared" ref="Q68" si="125">P68-M68</f>
        <v>0.28399999999999997</v>
      </c>
      <c r="R68" s="12">
        <f t="shared" ref="R68" si="126">(Q68-I68)/J68</f>
        <v>29.515789473684208</v>
      </c>
      <c r="S68" s="12">
        <f t="shared" ref="S68" si="127">R68*H68/10</f>
        <v>29.515789473684208</v>
      </c>
    </row>
    <row r="69" spans="1:25">
      <c r="A69" s="39" t="s">
        <v>401</v>
      </c>
      <c r="B69" s="13">
        <v>43907</v>
      </c>
      <c r="C69" s="12" t="s">
        <v>404</v>
      </c>
      <c r="D69" s="12" t="s">
        <v>403</v>
      </c>
      <c r="E69" s="12">
        <v>5</v>
      </c>
      <c r="F69" s="12">
        <v>0.27400000000000002</v>
      </c>
      <c r="H69" s="15">
        <v>5</v>
      </c>
      <c r="I69" s="43">
        <v>3.5999999999999999E-3</v>
      </c>
      <c r="J69" s="15">
        <v>9.4999999999999998E-3</v>
      </c>
      <c r="K69" s="12">
        <v>2.7E-2</v>
      </c>
      <c r="L69" s="12">
        <v>3.0000000000000001E-3</v>
      </c>
      <c r="M69" s="12">
        <f t="shared" si="123"/>
        <v>2.0999999999999998E-2</v>
      </c>
      <c r="N69" s="12">
        <v>0.28399999999999997</v>
      </c>
      <c r="O69" s="12">
        <v>5.0000000000000001E-3</v>
      </c>
      <c r="P69" s="12">
        <f t="shared" ref="P69:P73" si="128">N69-O69*2</f>
        <v>0.27399999999999997</v>
      </c>
      <c r="Q69" s="12">
        <f t="shared" ref="Q69:Q73" si="129">P69-M69</f>
        <v>0.25299999999999995</v>
      </c>
      <c r="R69" s="12">
        <f t="shared" ref="R69:R73" si="130">(Q69-I69)/J69</f>
        <v>26.252631578947366</v>
      </c>
      <c r="S69" s="12">
        <f t="shared" ref="S69:S73" si="131">R69*H69/10</f>
        <v>13.126315789473683</v>
      </c>
    </row>
    <row r="70" spans="1:25">
      <c r="A70" s="39" t="s">
        <v>401</v>
      </c>
      <c r="B70" s="12" t="s">
        <v>91</v>
      </c>
      <c r="C70" s="12" t="s">
        <v>405</v>
      </c>
      <c r="H70" s="15">
        <v>5</v>
      </c>
      <c r="I70" s="43">
        <v>3.5999999999999999E-3</v>
      </c>
      <c r="J70" s="15">
        <v>9.4999999999999998E-3</v>
      </c>
      <c r="K70" s="12">
        <v>2.7E-2</v>
      </c>
      <c r="L70" s="12">
        <v>3.0000000000000001E-3</v>
      </c>
      <c r="M70" s="12">
        <f t="shared" ref="M70" si="132">K70-L70*2</f>
        <v>2.0999999999999998E-2</v>
      </c>
      <c r="N70" s="12">
        <v>0.28499999999999998</v>
      </c>
      <c r="O70" s="12">
        <v>5.0000000000000001E-3</v>
      </c>
      <c r="P70" s="12">
        <f t="shared" ref="P70" si="133">N70-O70*2</f>
        <v>0.27499999999999997</v>
      </c>
      <c r="Q70" s="12">
        <f t="shared" ref="Q70" si="134">P70-M70</f>
        <v>0.25399999999999995</v>
      </c>
      <c r="R70" s="12">
        <f t="shared" ref="R70" si="135">(Q70-I70)/J70</f>
        <v>26.357894736842102</v>
      </c>
      <c r="S70" s="12">
        <f t="shared" ref="S70" si="136">R70*H70/10</f>
        <v>13.178947368421053</v>
      </c>
    </row>
    <row r="71" spans="1:25">
      <c r="A71" s="39"/>
      <c r="C71" s="30" t="s">
        <v>87</v>
      </c>
      <c r="D71" s="30"/>
      <c r="E71" s="31"/>
      <c r="F71" s="31"/>
      <c r="G71" s="32"/>
      <c r="H71" s="60">
        <v>1</v>
      </c>
      <c r="I71" s="34">
        <v>3.5999999999999999E-3</v>
      </c>
      <c r="J71" s="34">
        <v>9.4999999999999998E-3</v>
      </c>
      <c r="K71" s="35">
        <v>2.7E-2</v>
      </c>
      <c r="L71" s="35">
        <v>3.0000000000000001E-3</v>
      </c>
      <c r="M71" s="35">
        <f t="shared" ref="M71" si="137">K71-2*L71</f>
        <v>2.0999999999999998E-2</v>
      </c>
      <c r="N71" s="36">
        <v>0.13100000000000001</v>
      </c>
      <c r="O71" s="35">
        <v>4.0000000000000001E-3</v>
      </c>
      <c r="P71" s="35">
        <f t="shared" ref="P71" si="138">N71-2*O71</f>
        <v>0.123</v>
      </c>
      <c r="Q71" s="35">
        <f>P71-M71</f>
        <v>0.10200000000000001</v>
      </c>
      <c r="R71" s="37">
        <f>(Q71-I71)/J71</f>
        <v>10.357894736842105</v>
      </c>
      <c r="S71" s="38">
        <f>R71*H71/10</f>
        <v>1.0357894736842106</v>
      </c>
    </row>
    <row r="72" spans="1:25">
      <c r="A72" s="39" t="s">
        <v>401</v>
      </c>
      <c r="C72" s="12" t="s">
        <v>397</v>
      </c>
      <c r="D72" s="12" t="s">
        <v>398</v>
      </c>
      <c r="E72" s="12">
        <v>1</v>
      </c>
      <c r="F72" s="12">
        <v>0.06</v>
      </c>
      <c r="H72" s="15">
        <v>1</v>
      </c>
      <c r="I72" s="43">
        <v>3.5999999999999999E-3</v>
      </c>
      <c r="J72" s="15">
        <v>9.4999999999999998E-3</v>
      </c>
      <c r="K72" s="12">
        <v>2.7E-2</v>
      </c>
      <c r="L72" s="12">
        <v>3.0000000000000001E-3</v>
      </c>
      <c r="M72" s="12">
        <f t="shared" si="123"/>
        <v>2.0999999999999998E-2</v>
      </c>
      <c r="N72" s="12">
        <v>0.105</v>
      </c>
      <c r="O72" s="12">
        <v>5.0000000000000001E-3</v>
      </c>
      <c r="P72" s="12">
        <f t="shared" si="128"/>
        <v>9.5000000000000001E-2</v>
      </c>
      <c r="Q72" s="12">
        <f t="shared" si="129"/>
        <v>7.400000000000001E-2</v>
      </c>
      <c r="R72" s="12">
        <f t="shared" si="130"/>
        <v>7.4105263157894745</v>
      </c>
      <c r="S72" s="12">
        <f t="shared" si="131"/>
        <v>0.74105263157894741</v>
      </c>
    </row>
    <row r="73" spans="1:25">
      <c r="A73" s="39" t="s">
        <v>401</v>
      </c>
      <c r="C73" s="12" t="s">
        <v>399</v>
      </c>
      <c r="D73" s="12" t="s">
        <v>101</v>
      </c>
      <c r="E73" s="12">
        <v>1</v>
      </c>
      <c r="F73" s="12">
        <v>0.248</v>
      </c>
      <c r="H73" s="15">
        <v>1</v>
      </c>
      <c r="I73" s="43">
        <v>3.5999999999999999E-3</v>
      </c>
      <c r="J73" s="15">
        <v>9.4999999999999998E-3</v>
      </c>
      <c r="K73" s="12">
        <v>2.7E-2</v>
      </c>
      <c r="L73" s="12">
        <v>3.0000000000000001E-3</v>
      </c>
      <c r="M73" s="12">
        <f t="shared" si="123"/>
        <v>2.0999999999999998E-2</v>
      </c>
      <c r="N73" s="12">
        <v>0.26900000000000002</v>
      </c>
      <c r="O73" s="12">
        <v>5.0000000000000001E-3</v>
      </c>
      <c r="P73" s="12">
        <f t="shared" si="128"/>
        <v>0.25900000000000001</v>
      </c>
      <c r="Q73" s="12">
        <f t="shared" si="129"/>
        <v>0.23800000000000002</v>
      </c>
      <c r="R73" s="12">
        <f t="shared" si="130"/>
        <v>24.673684210526318</v>
      </c>
      <c r="S73" s="12">
        <f t="shared" si="131"/>
        <v>2.4673684210526319</v>
      </c>
    </row>
    <row r="74" spans="1:25">
      <c r="A74" s="39" t="s">
        <v>402</v>
      </c>
      <c r="C74" s="12" t="s">
        <v>400</v>
      </c>
      <c r="D74" s="12" t="s">
        <v>20</v>
      </c>
      <c r="E74" s="12">
        <v>5</v>
      </c>
      <c r="F74" s="12">
        <v>0.27099999999999996</v>
      </c>
      <c r="G74" s="67"/>
      <c r="H74" s="15">
        <v>5</v>
      </c>
      <c r="I74" s="43">
        <v>3.5999999999999999E-3</v>
      </c>
      <c r="J74" s="15">
        <v>9.4999999999999998E-3</v>
      </c>
      <c r="K74" s="12">
        <v>2.7E-2</v>
      </c>
      <c r="L74" s="12">
        <v>3.0000000000000001E-3</v>
      </c>
      <c r="M74" s="12">
        <f t="shared" ref="M74:M75" si="139">K74-L74*2</f>
        <v>2.0999999999999998E-2</v>
      </c>
      <c r="N74" s="12">
        <v>0.39100000000000001</v>
      </c>
      <c r="O74" s="12">
        <v>4.0000000000000001E-3</v>
      </c>
      <c r="P74" s="12">
        <f t="shared" ref="P74" si="140">N74-O74*2</f>
        <v>0.38300000000000001</v>
      </c>
      <c r="Q74" s="12">
        <f t="shared" ref="Q74" si="141">P74-M74</f>
        <v>0.36199999999999999</v>
      </c>
      <c r="R74" s="12">
        <f t="shared" ref="R74" si="142">(Q74-I74)/J74</f>
        <v>37.726315789473688</v>
      </c>
      <c r="S74" s="12">
        <f t="shared" ref="S74" si="143">R74*H74/10</f>
        <v>18.863157894736844</v>
      </c>
      <c r="V74" s="12">
        <v>9.9000000000000005E-2</v>
      </c>
      <c r="W74" s="12">
        <v>5.0999999999999997E-2</v>
      </c>
      <c r="X74" s="12">
        <f t="shared" ref="X74:X84" si="144">V74-0.082</f>
        <v>1.7000000000000001E-2</v>
      </c>
      <c r="Y74" s="12">
        <f t="shared" ref="Y74:Y84" si="145">W74-0.051</f>
        <v>0</v>
      </c>
    </row>
    <row r="75" spans="1:25">
      <c r="A75" s="39"/>
      <c r="B75" s="13">
        <v>43909</v>
      </c>
      <c r="C75" s="12" t="s">
        <v>406</v>
      </c>
      <c r="D75" s="12" t="s">
        <v>54</v>
      </c>
      <c r="E75" s="12">
        <v>5</v>
      </c>
      <c r="F75" s="12">
        <v>8.8999999999999996E-2</v>
      </c>
      <c r="H75" s="70" t="s">
        <v>422</v>
      </c>
      <c r="I75" s="43">
        <v>3.5999999999999999E-3</v>
      </c>
      <c r="J75" s="15">
        <v>9.4999999999999998E-3</v>
      </c>
      <c r="K75" s="12">
        <v>3.3000000000000002E-2</v>
      </c>
      <c r="L75" s="12">
        <v>3.0000000000000001E-3</v>
      </c>
      <c r="M75" s="12">
        <f t="shared" si="139"/>
        <v>2.7000000000000003E-2</v>
      </c>
      <c r="N75" s="12">
        <v>0.13200000000000001</v>
      </c>
      <c r="O75" s="12">
        <v>5.0000000000000001E-3</v>
      </c>
      <c r="P75" s="12">
        <f t="shared" ref="P75" si="146">N75-O75*2</f>
        <v>0.12200000000000001</v>
      </c>
      <c r="Q75" s="12">
        <f t="shared" ref="Q75" si="147">P75-M75</f>
        <v>9.5000000000000001E-2</v>
      </c>
      <c r="R75" s="12">
        <f t="shared" ref="R75" si="148">(Q75-I75)/J75</f>
        <v>9.621052631578948</v>
      </c>
      <c r="S75" s="12">
        <f t="shared" ref="S75" si="149">R75*H75/10</f>
        <v>4.810526315789474</v>
      </c>
      <c r="V75" s="12">
        <v>0.35199999999999998</v>
      </c>
      <c r="W75" s="12">
        <v>5.6000000000000001E-2</v>
      </c>
      <c r="X75" s="12">
        <f t="shared" si="144"/>
        <v>0.26999999999999996</v>
      </c>
      <c r="Y75" s="12">
        <f t="shared" si="145"/>
        <v>5.0000000000000044E-3</v>
      </c>
    </row>
    <row r="76" spans="1:25">
      <c r="A76" s="39" t="s">
        <v>409</v>
      </c>
      <c r="B76" s="12" t="s">
        <v>421</v>
      </c>
      <c r="C76" s="12" t="s">
        <v>426</v>
      </c>
      <c r="D76" s="12" t="s">
        <v>85</v>
      </c>
      <c r="E76" s="12">
        <v>5</v>
      </c>
      <c r="F76" s="12">
        <v>0.40700000000000003</v>
      </c>
      <c r="G76" s="66"/>
      <c r="H76" s="15">
        <v>5</v>
      </c>
      <c r="I76" s="43">
        <v>3.5999999999999999E-3</v>
      </c>
      <c r="J76" s="15">
        <v>9.4999999999999998E-3</v>
      </c>
      <c r="K76" s="12">
        <v>3.3000000000000002E-2</v>
      </c>
      <c r="L76" s="12">
        <v>3.0000000000000001E-3</v>
      </c>
      <c r="M76" s="12">
        <f t="shared" ref="M76:M94" si="150">K76-L76*2</f>
        <v>2.7000000000000003E-2</v>
      </c>
      <c r="N76" s="12">
        <v>0.40100000000000002</v>
      </c>
      <c r="O76" s="12">
        <v>8.0000000000000002E-3</v>
      </c>
      <c r="P76" s="12">
        <f t="shared" ref="P76:P81" si="151">N76-O76*2</f>
        <v>0.38500000000000001</v>
      </c>
      <c r="Q76" s="12">
        <f t="shared" ref="Q76:Q81" si="152">P76-M76</f>
        <v>0.35799999999999998</v>
      </c>
      <c r="R76" s="12">
        <f t="shared" ref="R76:R81" si="153">(Q76-I76)/J76</f>
        <v>37.305263157894736</v>
      </c>
      <c r="S76" s="12">
        <f t="shared" ref="S76:S81" si="154">R76*H76/10</f>
        <v>18.652631578947368</v>
      </c>
      <c r="V76" s="12">
        <v>0.186</v>
      </c>
      <c r="W76" s="12">
        <v>5.2999999999999999E-2</v>
      </c>
      <c r="X76" s="12">
        <f t="shared" si="144"/>
        <v>0.104</v>
      </c>
      <c r="Y76" s="12">
        <f t="shared" si="145"/>
        <v>2.0000000000000018E-3</v>
      </c>
    </row>
    <row r="77" spans="1:25">
      <c r="A77" s="39" t="s">
        <v>59</v>
      </c>
      <c r="C77" s="12" t="s">
        <v>427</v>
      </c>
      <c r="G77" s="66"/>
      <c r="H77" s="15">
        <v>5</v>
      </c>
      <c r="I77" s="43">
        <v>3.5999999999999999E-3</v>
      </c>
      <c r="J77" s="15">
        <v>9.4999999999999998E-3</v>
      </c>
      <c r="K77" s="12">
        <v>3.3000000000000002E-2</v>
      </c>
      <c r="L77" s="12">
        <v>3.0000000000000001E-3</v>
      </c>
      <c r="M77" s="12">
        <f t="shared" ref="M77" si="155">K77-L77*2</f>
        <v>2.7000000000000003E-2</v>
      </c>
      <c r="N77" s="12">
        <v>0.40200000000000002</v>
      </c>
      <c r="O77" s="12">
        <v>8.0000000000000002E-3</v>
      </c>
      <c r="P77" s="12">
        <f t="shared" ref="P77" si="156">N77-O77*2</f>
        <v>0.38600000000000001</v>
      </c>
      <c r="Q77" s="12">
        <f t="shared" ref="Q77" si="157">P77-M77</f>
        <v>0.35899999999999999</v>
      </c>
      <c r="R77" s="12">
        <f t="shared" ref="R77" si="158">(Q77-I77)/J77</f>
        <v>37.410526315789475</v>
      </c>
      <c r="S77" s="12">
        <f t="shared" ref="S77" si="159">R77*H77/10</f>
        <v>18.705263157894738</v>
      </c>
    </row>
    <row r="78" spans="1:25">
      <c r="A78" s="39"/>
      <c r="C78" s="50" t="s">
        <v>184</v>
      </c>
      <c r="D78" s="50"/>
      <c r="E78" s="50"/>
      <c r="F78" s="50"/>
      <c r="G78" s="50"/>
      <c r="H78" s="59">
        <v>1</v>
      </c>
      <c r="I78" s="23">
        <v>3.5999999999999999E-3</v>
      </c>
      <c r="J78" s="23">
        <v>9.4999999999999998E-3</v>
      </c>
      <c r="K78" s="24">
        <v>3.3000000000000002E-2</v>
      </c>
      <c r="L78" s="24">
        <v>3.0000000000000001E-3</v>
      </c>
      <c r="M78" s="24">
        <f t="shared" ref="M78:M80" si="160">K78-2*L78</f>
        <v>2.7000000000000003E-2</v>
      </c>
      <c r="N78" s="25">
        <v>0.18099999999999999</v>
      </c>
      <c r="O78" s="24">
        <v>4.0000000000000001E-3</v>
      </c>
      <c r="P78" s="24">
        <f t="shared" ref="P78:P80" si="161">N78-2*O78</f>
        <v>0.17299999999999999</v>
      </c>
      <c r="Q78" s="24">
        <f t="shared" ref="Q78:Q80" si="162">P78-M78</f>
        <v>0.14599999999999999</v>
      </c>
      <c r="R78" s="26">
        <f>(Q78-I78)/J78</f>
        <v>14.989473684210527</v>
      </c>
      <c r="S78" s="27">
        <f t="shared" ref="S78:S80" si="163">R78*H78/10</f>
        <v>1.4989473684210526</v>
      </c>
      <c r="T78" s="47" t="s">
        <v>188</v>
      </c>
      <c r="V78" s="51" t="s">
        <v>186</v>
      </c>
    </row>
    <row r="79" spans="1:25">
      <c r="A79" s="39"/>
      <c r="C79" s="50" t="s">
        <v>185</v>
      </c>
      <c r="D79" s="50"/>
      <c r="E79" s="50"/>
      <c r="F79" s="50"/>
      <c r="G79" s="50"/>
      <c r="H79" s="59">
        <v>1</v>
      </c>
      <c r="I79" s="23">
        <v>3.5999999999999999E-3</v>
      </c>
      <c r="J79" s="23">
        <v>9.4999999999999998E-3</v>
      </c>
      <c r="K79" s="24">
        <v>3.3000000000000002E-2</v>
      </c>
      <c r="L79" s="24">
        <v>3.0000000000000001E-3</v>
      </c>
      <c r="M79" s="24">
        <f t="shared" si="160"/>
        <v>2.7000000000000003E-2</v>
      </c>
      <c r="N79" s="25">
        <v>0.18</v>
      </c>
      <c r="O79" s="24">
        <v>3.0000000000000001E-3</v>
      </c>
      <c r="P79" s="24">
        <f t="shared" si="161"/>
        <v>0.17399999999999999</v>
      </c>
      <c r="Q79" s="24">
        <f t="shared" si="162"/>
        <v>0.14699999999999999</v>
      </c>
      <c r="R79" s="26">
        <f>(Q79-I79)/J79</f>
        <v>15.094736842105263</v>
      </c>
      <c r="S79" s="27">
        <f t="shared" si="163"/>
        <v>1.5094736842105263</v>
      </c>
      <c r="V79" s="51" t="s">
        <v>187</v>
      </c>
    </row>
    <row r="80" spans="1:25">
      <c r="A80" s="39"/>
      <c r="C80" s="30" t="s">
        <v>87</v>
      </c>
      <c r="D80" s="30"/>
      <c r="E80" s="31"/>
      <c r="F80" s="31"/>
      <c r="G80" s="32"/>
      <c r="H80" s="60">
        <v>1</v>
      </c>
      <c r="I80" s="34">
        <v>3.5999999999999999E-3</v>
      </c>
      <c r="J80" s="34">
        <v>9.4999999999999998E-3</v>
      </c>
      <c r="K80" s="35">
        <v>3.3000000000000002E-2</v>
      </c>
      <c r="L80" s="35">
        <v>3.0000000000000001E-3</v>
      </c>
      <c r="M80" s="35">
        <f t="shared" si="160"/>
        <v>2.7000000000000003E-2</v>
      </c>
      <c r="N80" s="36">
        <v>0.13300000000000001</v>
      </c>
      <c r="O80" s="35">
        <v>4.0000000000000001E-3</v>
      </c>
      <c r="P80" s="35">
        <f t="shared" si="161"/>
        <v>0.125</v>
      </c>
      <c r="Q80" s="35">
        <f t="shared" si="162"/>
        <v>9.8000000000000004E-2</v>
      </c>
      <c r="R80" s="37">
        <f t="shared" ref="R80" si="164">(Q80-I80)/J80</f>
        <v>9.9368421052631586</v>
      </c>
      <c r="S80" s="38">
        <f t="shared" si="163"/>
        <v>0.99368421052631584</v>
      </c>
    </row>
    <row r="81" spans="1:25">
      <c r="A81" s="39" t="s">
        <v>408</v>
      </c>
      <c r="C81" s="12" t="s">
        <v>407</v>
      </c>
      <c r="D81" s="12" t="s">
        <v>130</v>
      </c>
      <c r="E81" s="12">
        <v>5</v>
      </c>
      <c r="F81" s="12">
        <v>0.13999999999999999</v>
      </c>
      <c r="H81" s="15">
        <v>5</v>
      </c>
      <c r="I81" s="43">
        <v>3.5999999999999999E-3</v>
      </c>
      <c r="J81" s="15">
        <v>9.4999999999999998E-3</v>
      </c>
      <c r="K81" s="12">
        <v>3.3000000000000002E-2</v>
      </c>
      <c r="L81" s="12">
        <v>3.0000000000000001E-3</v>
      </c>
      <c r="M81" s="12">
        <f t="shared" si="150"/>
        <v>2.7000000000000003E-2</v>
      </c>
      <c r="N81" s="12">
        <v>0.13400000000000001</v>
      </c>
      <c r="O81" s="12">
        <v>7.0000000000000001E-3</v>
      </c>
      <c r="P81" s="12">
        <f t="shared" si="151"/>
        <v>0.12000000000000001</v>
      </c>
      <c r="Q81" s="12">
        <f t="shared" si="152"/>
        <v>9.2999999999999999E-2</v>
      </c>
      <c r="R81" s="12">
        <f t="shared" si="153"/>
        <v>9.4105263157894736</v>
      </c>
      <c r="S81" s="12">
        <f t="shared" si="154"/>
        <v>4.7052631578947368</v>
      </c>
      <c r="V81" s="12">
        <v>0.19</v>
      </c>
      <c r="W81" s="12">
        <v>5.5E-2</v>
      </c>
      <c r="X81" s="12">
        <f t="shared" si="144"/>
        <v>0.108</v>
      </c>
      <c r="Y81" s="12">
        <f t="shared" si="145"/>
        <v>4.0000000000000036E-3</v>
      </c>
    </row>
    <row r="82" spans="1:25">
      <c r="A82" s="39" t="s">
        <v>232</v>
      </c>
      <c r="C82" s="12" t="s">
        <v>418</v>
      </c>
      <c r="D82" s="12" t="s">
        <v>257</v>
      </c>
      <c r="H82" s="15">
        <v>5</v>
      </c>
      <c r="I82" s="43">
        <v>3.5999999999999999E-3</v>
      </c>
      <c r="J82" s="15">
        <v>9.4999999999999998E-3</v>
      </c>
      <c r="K82" s="12">
        <v>3.3000000000000002E-2</v>
      </c>
      <c r="L82" s="12">
        <v>3.0000000000000001E-3</v>
      </c>
      <c r="M82" s="12">
        <f t="shared" si="150"/>
        <v>2.7000000000000003E-2</v>
      </c>
      <c r="N82" s="12">
        <v>0.63</v>
      </c>
      <c r="O82" s="12">
        <v>7.0000000000000001E-3</v>
      </c>
      <c r="P82" s="12">
        <f t="shared" ref="P82" si="165">N82-O82*2</f>
        <v>0.61599999999999999</v>
      </c>
      <c r="Q82" s="12">
        <f t="shared" ref="Q82" si="166">P82-M82</f>
        <v>0.58899999999999997</v>
      </c>
      <c r="R82" s="12">
        <f t="shared" ref="R82" si="167">(Q82-I82)/J82</f>
        <v>61.621052631578941</v>
      </c>
      <c r="S82" s="12">
        <f t="shared" ref="S82" si="168">R82*H82/10</f>
        <v>30.810526315789467</v>
      </c>
      <c r="V82" s="12">
        <v>0.19500000000000001</v>
      </c>
      <c r="W82" s="12">
        <v>5.7000000000000002E-2</v>
      </c>
      <c r="X82" s="12">
        <f t="shared" si="144"/>
        <v>0.113</v>
      </c>
      <c r="Y82" s="12">
        <f t="shared" si="145"/>
        <v>6.0000000000000053E-3</v>
      </c>
    </row>
    <row r="83" spans="1:25" ht="16.5" customHeight="1">
      <c r="A83" s="39" t="s">
        <v>409</v>
      </c>
      <c r="C83" s="12" t="s">
        <v>410</v>
      </c>
      <c r="D83" s="12" t="s">
        <v>85</v>
      </c>
      <c r="F83" s="69" t="s">
        <v>412</v>
      </c>
      <c r="H83" s="15">
        <v>50</v>
      </c>
      <c r="I83" s="43">
        <v>3.5999999999999999E-3</v>
      </c>
      <c r="J83" s="15">
        <v>9.4999999999999998E-3</v>
      </c>
      <c r="K83" s="12">
        <v>3.3000000000000002E-2</v>
      </c>
      <c r="L83" s="12">
        <v>3.0000000000000001E-3</v>
      </c>
      <c r="M83" s="12">
        <f t="shared" si="150"/>
        <v>2.7000000000000003E-2</v>
      </c>
      <c r="N83" s="12">
        <v>0.189</v>
      </c>
      <c r="O83" s="12">
        <v>7.0000000000000001E-3</v>
      </c>
      <c r="P83" s="12">
        <f t="shared" ref="P83:P88" si="169">N83-O83*2</f>
        <v>0.17499999999999999</v>
      </c>
      <c r="Q83" s="12">
        <f t="shared" ref="Q83:Q88" si="170">P83-M83</f>
        <v>0.14799999999999999</v>
      </c>
      <c r="R83" s="12">
        <f t="shared" ref="R83:R88" si="171">(Q83-I83)/J83</f>
        <v>15.200000000000001</v>
      </c>
      <c r="S83" s="12">
        <f t="shared" ref="S83:S88" si="172">R83*H83/10</f>
        <v>76</v>
      </c>
      <c r="V83" s="12">
        <v>0.14000000000000001</v>
      </c>
      <c r="W83" s="12">
        <v>5.5E-2</v>
      </c>
      <c r="X83" s="12">
        <f t="shared" si="144"/>
        <v>5.800000000000001E-2</v>
      </c>
      <c r="Y83" s="12">
        <f t="shared" si="145"/>
        <v>4.0000000000000036E-3</v>
      </c>
    </row>
    <row r="84" spans="1:25" ht="18.75">
      <c r="A84" s="39" t="s">
        <v>409</v>
      </c>
      <c r="C84" s="12" t="s">
        <v>411</v>
      </c>
      <c r="F84" s="69" t="s">
        <v>413</v>
      </c>
      <c r="H84" s="15">
        <v>5</v>
      </c>
      <c r="I84" s="43">
        <v>3.5999999999999999E-3</v>
      </c>
      <c r="J84" s="15">
        <v>9.4999999999999998E-3</v>
      </c>
      <c r="K84" s="12">
        <v>3.3000000000000002E-2</v>
      </c>
      <c r="L84" s="12">
        <v>3.0000000000000001E-3</v>
      </c>
      <c r="M84" s="12">
        <f t="shared" si="150"/>
        <v>2.7000000000000003E-2</v>
      </c>
      <c r="N84" s="12">
        <v>0.46700000000000003</v>
      </c>
      <c r="O84" s="12">
        <v>8.0000000000000002E-3</v>
      </c>
      <c r="P84" s="12">
        <f t="shared" si="169"/>
        <v>0.45100000000000001</v>
      </c>
      <c r="Q84" s="12">
        <f t="shared" si="170"/>
        <v>0.42399999999999999</v>
      </c>
      <c r="R84" s="12">
        <f t="shared" si="171"/>
        <v>44.252631578947366</v>
      </c>
      <c r="S84" s="12">
        <f t="shared" si="172"/>
        <v>22.126315789473683</v>
      </c>
      <c r="V84" s="12">
        <v>0.14099999999999999</v>
      </c>
      <c r="W84" s="12">
        <v>5.2999999999999999E-2</v>
      </c>
      <c r="X84" s="12">
        <f t="shared" si="144"/>
        <v>5.8999999999999983E-2</v>
      </c>
      <c r="Y84" s="12">
        <f t="shared" si="145"/>
        <v>2.0000000000000018E-3</v>
      </c>
    </row>
    <row r="85" spans="1:25">
      <c r="A85" s="39"/>
      <c r="C85" s="12" t="s">
        <v>414</v>
      </c>
      <c r="D85" s="12" t="s">
        <v>30</v>
      </c>
      <c r="H85" s="53">
        <v>5</v>
      </c>
      <c r="I85" s="43">
        <v>3.5999999999999999E-3</v>
      </c>
      <c r="J85" s="15">
        <v>9.4999999999999998E-3</v>
      </c>
      <c r="K85" s="12">
        <v>3.3000000000000002E-2</v>
      </c>
      <c r="L85" s="12">
        <v>3.0000000000000001E-3</v>
      </c>
      <c r="M85" s="12">
        <f t="shared" si="150"/>
        <v>2.7000000000000003E-2</v>
      </c>
      <c r="N85" s="12">
        <v>0.307</v>
      </c>
      <c r="O85" s="12">
        <v>5.0000000000000001E-3</v>
      </c>
      <c r="P85" s="12">
        <f t="shared" si="169"/>
        <v>0.29699999999999999</v>
      </c>
      <c r="Q85" s="12">
        <f t="shared" si="170"/>
        <v>0.26999999999999996</v>
      </c>
      <c r="R85" s="12">
        <f t="shared" si="171"/>
        <v>28.042105263157893</v>
      </c>
      <c r="S85" s="12">
        <f t="shared" si="172"/>
        <v>14.021052631578948</v>
      </c>
      <c r="V85" s="12">
        <v>0.13200000000000001</v>
      </c>
      <c r="W85" s="12">
        <v>5.5E-2</v>
      </c>
      <c r="X85" s="12">
        <f>V85-0.082</f>
        <v>0.05</v>
      </c>
      <c r="Y85" s="12">
        <f>W85-0.051</f>
        <v>4.0000000000000036E-3</v>
      </c>
    </row>
    <row r="86" spans="1:25">
      <c r="A86" s="39"/>
      <c r="C86" s="12" t="s">
        <v>415</v>
      </c>
      <c r="D86" s="12" t="s">
        <v>32</v>
      </c>
      <c r="H86" s="53">
        <v>10</v>
      </c>
      <c r="I86" s="43">
        <v>3.5999999999999999E-3</v>
      </c>
      <c r="J86" s="15">
        <v>9.4999999999999998E-3</v>
      </c>
      <c r="K86" s="12">
        <v>3.3000000000000002E-2</v>
      </c>
      <c r="L86" s="12">
        <v>3.0000000000000001E-3</v>
      </c>
      <c r="M86" s="12">
        <f t="shared" si="150"/>
        <v>2.7000000000000003E-2</v>
      </c>
      <c r="N86" s="12">
        <v>0.253</v>
      </c>
      <c r="O86" s="12">
        <v>5.0000000000000001E-3</v>
      </c>
      <c r="P86" s="12">
        <f t="shared" si="169"/>
        <v>0.24299999999999999</v>
      </c>
      <c r="Q86" s="12">
        <f t="shared" si="170"/>
        <v>0.216</v>
      </c>
      <c r="R86" s="12">
        <f t="shared" si="171"/>
        <v>22.357894736842105</v>
      </c>
      <c r="S86" s="12">
        <f t="shared" si="172"/>
        <v>22.357894736842105</v>
      </c>
    </row>
    <row r="87" spans="1:25">
      <c r="A87" s="39"/>
      <c r="C87" s="12" t="s">
        <v>416</v>
      </c>
      <c r="D87" s="12" t="s">
        <v>34</v>
      </c>
      <c r="H87" s="53">
        <v>10</v>
      </c>
      <c r="I87" s="43">
        <v>3.5999999999999999E-3</v>
      </c>
      <c r="J87" s="15">
        <v>9.4999999999999998E-3</v>
      </c>
      <c r="K87" s="12">
        <v>3.3000000000000002E-2</v>
      </c>
      <c r="L87" s="12">
        <v>3.0000000000000001E-3</v>
      </c>
      <c r="M87" s="12">
        <f t="shared" si="150"/>
        <v>2.7000000000000003E-2</v>
      </c>
      <c r="N87" s="12">
        <v>0.19900000000000001</v>
      </c>
      <c r="O87" s="12">
        <v>6.0000000000000001E-3</v>
      </c>
      <c r="P87" s="12">
        <f t="shared" si="169"/>
        <v>0.187</v>
      </c>
      <c r="Q87" s="12">
        <f t="shared" si="170"/>
        <v>0.16</v>
      </c>
      <c r="R87" s="12">
        <f t="shared" si="171"/>
        <v>16.463157894736845</v>
      </c>
      <c r="S87" s="12">
        <f t="shared" si="172"/>
        <v>16.463157894736845</v>
      </c>
    </row>
    <row r="88" spans="1:25">
      <c r="A88" s="39"/>
      <c r="C88" s="12" t="s">
        <v>417</v>
      </c>
      <c r="D88" s="12" t="s">
        <v>36</v>
      </c>
      <c r="H88" s="53">
        <v>5</v>
      </c>
      <c r="I88" s="43">
        <v>3.5999999999999999E-3</v>
      </c>
      <c r="J88" s="15">
        <v>9.4999999999999998E-3</v>
      </c>
      <c r="K88" s="12">
        <v>3.3000000000000002E-2</v>
      </c>
      <c r="L88" s="12">
        <v>3.0000000000000001E-3</v>
      </c>
      <c r="M88" s="12">
        <f t="shared" si="150"/>
        <v>2.7000000000000003E-2</v>
      </c>
      <c r="N88" s="12">
        <v>0.14799999999999999</v>
      </c>
      <c r="O88" s="12">
        <v>5.0000000000000001E-3</v>
      </c>
      <c r="P88" s="12">
        <f t="shared" si="169"/>
        <v>0.13799999999999998</v>
      </c>
      <c r="Q88" s="12">
        <f t="shared" si="170"/>
        <v>0.11099999999999999</v>
      </c>
      <c r="R88" s="12">
        <f t="shared" si="171"/>
        <v>11.305263157894736</v>
      </c>
      <c r="S88" s="12">
        <f t="shared" si="172"/>
        <v>5.6526315789473678</v>
      </c>
    </row>
    <row r="89" spans="1:25">
      <c r="A89" s="64" t="s">
        <v>409</v>
      </c>
      <c r="C89" s="15">
        <v>1</v>
      </c>
      <c r="D89" s="12" t="s">
        <v>419</v>
      </c>
      <c r="H89" s="15">
        <v>50</v>
      </c>
      <c r="I89" s="43">
        <v>3.5999999999999999E-3</v>
      </c>
      <c r="J89" s="15">
        <v>9.4999999999999998E-3</v>
      </c>
      <c r="K89" s="12">
        <v>3.3000000000000002E-2</v>
      </c>
      <c r="L89" s="12">
        <v>3.0000000000000001E-3</v>
      </c>
      <c r="M89" s="12">
        <f t="shared" si="150"/>
        <v>2.7000000000000003E-2</v>
      </c>
      <c r="N89" s="12">
        <v>7.5999999999999998E-2</v>
      </c>
      <c r="O89" s="12">
        <v>6.0000000000000053E-3</v>
      </c>
      <c r="P89" s="12">
        <f t="shared" ref="P89" si="173">N89-O89*2</f>
        <v>6.3999999999999987E-2</v>
      </c>
      <c r="Q89" s="12">
        <f t="shared" ref="Q89" si="174">P89-M89</f>
        <v>3.6999999999999984E-2</v>
      </c>
      <c r="R89" s="12">
        <f t="shared" ref="R89" si="175">(Q89-I89)/J89</f>
        <v>3.515789473684209</v>
      </c>
      <c r="S89" s="12">
        <f t="shared" ref="S89" si="176">R89*H89/10</f>
        <v>17.578947368421048</v>
      </c>
    </row>
    <row r="90" spans="1:25">
      <c r="A90" s="64" t="s">
        <v>409</v>
      </c>
      <c r="C90" s="15">
        <v>2</v>
      </c>
      <c r="H90" s="15">
        <v>50</v>
      </c>
      <c r="I90" s="43">
        <v>3.5999999999999999E-3</v>
      </c>
      <c r="J90" s="15">
        <v>9.4999999999999998E-3</v>
      </c>
      <c r="K90" s="12">
        <v>3.3000000000000002E-2</v>
      </c>
      <c r="L90" s="12">
        <v>3.0000000000000001E-3</v>
      </c>
      <c r="M90" s="12">
        <f t="shared" si="150"/>
        <v>2.7000000000000003E-2</v>
      </c>
      <c r="N90" s="12">
        <v>7.8E-2</v>
      </c>
      <c r="O90" s="12">
        <v>6.0000000000000053E-3</v>
      </c>
      <c r="P90" s="12">
        <f t="shared" ref="P90:P94" si="177">N90-O90*2</f>
        <v>6.5999999999999989E-2</v>
      </c>
      <c r="Q90" s="12">
        <f t="shared" ref="Q90:Q94" si="178">P90-M90</f>
        <v>3.8999999999999986E-2</v>
      </c>
      <c r="R90" s="12">
        <f t="shared" ref="R90:R94" si="179">(Q90-I90)/J90</f>
        <v>3.7263157894736829</v>
      </c>
      <c r="S90" s="12">
        <f t="shared" ref="S90:S94" si="180">R90*H90/10</f>
        <v>18.631578947368414</v>
      </c>
    </row>
    <row r="91" spans="1:25">
      <c r="A91" s="64" t="s">
        <v>409</v>
      </c>
      <c r="C91" s="15">
        <v>3</v>
      </c>
      <c r="H91" s="15">
        <v>50</v>
      </c>
      <c r="I91" s="43">
        <v>3.5999999999999999E-3</v>
      </c>
      <c r="J91" s="15">
        <v>9.4999999999999998E-3</v>
      </c>
      <c r="K91" s="12">
        <v>3.3000000000000002E-2</v>
      </c>
      <c r="L91" s="12">
        <v>3.0000000000000001E-3</v>
      </c>
      <c r="M91" s="12">
        <f t="shared" si="150"/>
        <v>2.7000000000000003E-2</v>
      </c>
      <c r="N91" s="12">
        <v>0.129</v>
      </c>
      <c r="O91" s="12">
        <v>9.0000000000000011E-3</v>
      </c>
      <c r="P91" s="12">
        <f t="shared" si="177"/>
        <v>0.111</v>
      </c>
      <c r="Q91" s="12">
        <f t="shared" si="178"/>
        <v>8.3999999999999991E-2</v>
      </c>
      <c r="R91" s="12">
        <f t="shared" si="179"/>
        <v>8.46315789473684</v>
      </c>
      <c r="S91" s="12">
        <f t="shared" si="180"/>
        <v>42.315789473684205</v>
      </c>
    </row>
    <row r="92" spans="1:25">
      <c r="A92" s="64" t="s">
        <v>409</v>
      </c>
      <c r="C92" s="15">
        <v>4</v>
      </c>
      <c r="H92" s="15">
        <v>20</v>
      </c>
      <c r="I92" s="43">
        <v>3.5999999999999999E-3</v>
      </c>
      <c r="J92" s="15">
        <v>9.4999999999999998E-3</v>
      </c>
      <c r="K92" s="12">
        <v>3.3000000000000002E-2</v>
      </c>
      <c r="L92" s="12">
        <v>3.0000000000000001E-3</v>
      </c>
      <c r="M92" s="12">
        <f t="shared" si="150"/>
        <v>2.7000000000000003E-2</v>
      </c>
      <c r="N92" s="12">
        <v>0.16399999999999998</v>
      </c>
      <c r="O92" s="12">
        <v>1.1000000000000003E-2</v>
      </c>
      <c r="P92" s="12">
        <f t="shared" si="177"/>
        <v>0.14199999999999996</v>
      </c>
      <c r="Q92" s="12">
        <f t="shared" si="178"/>
        <v>0.11499999999999996</v>
      </c>
      <c r="R92" s="12">
        <f t="shared" si="179"/>
        <v>11.726315789473681</v>
      </c>
      <c r="S92" s="12">
        <f t="shared" si="180"/>
        <v>23.452631578947361</v>
      </c>
    </row>
    <row r="93" spans="1:25">
      <c r="A93" s="64" t="s">
        <v>409</v>
      </c>
      <c r="C93" s="15">
        <v>5</v>
      </c>
      <c r="H93" s="15">
        <v>20</v>
      </c>
      <c r="I93" s="43">
        <v>3.5999999999999999E-3</v>
      </c>
      <c r="J93" s="15">
        <v>9.4999999999999998E-3</v>
      </c>
      <c r="K93" s="12">
        <v>3.3000000000000002E-2</v>
      </c>
      <c r="L93" s="12">
        <v>3.0000000000000001E-3</v>
      </c>
      <c r="M93" s="12">
        <f t="shared" si="150"/>
        <v>2.7000000000000003E-2</v>
      </c>
      <c r="N93" s="12">
        <v>0.13900000000000001</v>
      </c>
      <c r="O93" s="12">
        <v>1.1000000000000003E-2</v>
      </c>
      <c r="P93" s="12">
        <f t="shared" si="177"/>
        <v>0.11700000000000001</v>
      </c>
      <c r="Q93" s="12">
        <f t="shared" si="178"/>
        <v>0.09</v>
      </c>
      <c r="R93" s="12">
        <f t="shared" si="179"/>
        <v>9.094736842105263</v>
      </c>
      <c r="S93" s="12">
        <f t="shared" si="180"/>
        <v>18.189473684210526</v>
      </c>
    </row>
    <row r="94" spans="1:25">
      <c r="A94" s="64" t="s">
        <v>409</v>
      </c>
      <c r="C94" s="15">
        <v>6</v>
      </c>
      <c r="H94" s="15">
        <v>20</v>
      </c>
      <c r="I94" s="43">
        <v>3.5999999999999999E-3</v>
      </c>
      <c r="J94" s="15">
        <v>9.4999999999999998E-3</v>
      </c>
      <c r="K94" s="12">
        <v>3.3000000000000002E-2</v>
      </c>
      <c r="L94" s="12">
        <v>3.0000000000000001E-3</v>
      </c>
      <c r="M94" s="12">
        <f t="shared" si="150"/>
        <v>2.7000000000000003E-2</v>
      </c>
      <c r="N94" s="12">
        <v>0.14000000000000001</v>
      </c>
      <c r="O94" s="12">
        <v>1.2000000000000004E-2</v>
      </c>
      <c r="P94" s="12">
        <f t="shared" si="177"/>
        <v>0.11600000000000001</v>
      </c>
      <c r="Q94" s="12">
        <f t="shared" si="178"/>
        <v>8.8999999999999996E-2</v>
      </c>
      <c r="R94" s="12">
        <f t="shared" si="179"/>
        <v>8.989473684210525</v>
      </c>
      <c r="S94" s="12">
        <f t="shared" si="180"/>
        <v>17.97894736842105</v>
      </c>
    </row>
    <row r="95" spans="1:25" ht="15.75" customHeight="1">
      <c r="A95" s="39" t="s">
        <v>423</v>
      </c>
      <c r="C95" s="12" t="s">
        <v>424</v>
      </c>
      <c r="D95" s="12" t="s">
        <v>252</v>
      </c>
      <c r="H95" s="15">
        <v>1</v>
      </c>
      <c r="I95" s="43">
        <v>3.5999999999999999E-3</v>
      </c>
      <c r="J95" s="15">
        <v>9.4999999999999998E-3</v>
      </c>
      <c r="K95" s="12">
        <v>3.3000000000000002E-2</v>
      </c>
      <c r="L95" s="12">
        <v>3.0000000000000001E-3</v>
      </c>
      <c r="M95" s="12">
        <f t="shared" ref="M95" si="181">K95-L95*2</f>
        <v>2.7000000000000003E-2</v>
      </c>
      <c r="N95" s="12">
        <v>0.127</v>
      </c>
      <c r="O95" s="12">
        <v>1.0999999999999999E-2</v>
      </c>
      <c r="P95" s="12">
        <f t="shared" ref="P95" si="182">N95-O95*2</f>
        <v>0.10500000000000001</v>
      </c>
      <c r="Q95" s="12">
        <f t="shared" ref="Q95" si="183">P95-M95</f>
        <v>7.8000000000000014E-2</v>
      </c>
      <c r="R95" s="12">
        <f t="shared" ref="R95" si="184">(Q95-I95)/J95</f>
        <v>7.8315789473684223</v>
      </c>
      <c r="S95" s="12">
        <f t="shared" ref="S95" si="185">R95*H95/10</f>
        <v>0.78315789473684227</v>
      </c>
    </row>
    <row r="96" spans="1:25">
      <c r="A96" s="39" t="s">
        <v>59</v>
      </c>
      <c r="B96" s="13"/>
      <c r="C96" s="12" t="s">
        <v>425</v>
      </c>
      <c r="D96" s="12" t="s">
        <v>303</v>
      </c>
      <c r="H96" s="12">
        <v>5</v>
      </c>
      <c r="I96" s="43">
        <v>3.5999999999999999E-3</v>
      </c>
      <c r="J96" s="15">
        <v>9.4999999999999998E-3</v>
      </c>
      <c r="K96" s="12">
        <v>3.3000000000000002E-2</v>
      </c>
      <c r="L96" s="12">
        <v>3.0000000000000001E-3</v>
      </c>
      <c r="M96" s="12">
        <f t="shared" ref="M96" si="186">K96-L96*2</f>
        <v>2.7000000000000003E-2</v>
      </c>
      <c r="N96" s="12">
        <v>0.28000000000000003</v>
      </c>
      <c r="O96" s="12">
        <v>5.0000000000000044E-3</v>
      </c>
      <c r="P96" s="12">
        <f t="shared" ref="P96:P104" si="187">N96-O96*2</f>
        <v>0.27</v>
      </c>
      <c r="Q96" s="12">
        <f t="shared" ref="Q96:Q104" si="188">P96-M96</f>
        <v>0.24300000000000002</v>
      </c>
      <c r="R96" s="12">
        <f t="shared" ref="R96:R104" si="189">(Q96-I96)/J96</f>
        <v>25.200000000000003</v>
      </c>
      <c r="S96" s="12">
        <f t="shared" ref="S96:S104" si="190">R96*H96/10</f>
        <v>12.600000000000001</v>
      </c>
    </row>
    <row r="97" spans="1:26">
      <c r="A97" s="64" t="s">
        <v>59</v>
      </c>
      <c r="C97" s="15">
        <v>1</v>
      </c>
      <c r="D97" s="12" t="s">
        <v>419</v>
      </c>
      <c r="H97" s="15">
        <v>20</v>
      </c>
      <c r="I97" s="43">
        <v>3.5999999999999999E-3</v>
      </c>
      <c r="J97" s="15">
        <v>9.4999999999999998E-3</v>
      </c>
      <c r="K97" s="15">
        <v>1.7000000000000001E-2</v>
      </c>
      <c r="L97" s="15">
        <v>0</v>
      </c>
      <c r="M97" s="12">
        <f t="shared" ref="M97:M104" si="191">K97-L97*2</f>
        <v>1.7000000000000001E-2</v>
      </c>
      <c r="N97" s="12">
        <v>0.104</v>
      </c>
      <c r="O97" s="12">
        <v>2.0000000000000018E-3</v>
      </c>
      <c r="P97" s="12">
        <f t="shared" si="187"/>
        <v>9.9999999999999992E-2</v>
      </c>
      <c r="Q97" s="12">
        <f t="shared" si="188"/>
        <v>8.299999999999999E-2</v>
      </c>
      <c r="R97" s="12">
        <f t="shared" si="189"/>
        <v>8.3578947368421037</v>
      </c>
      <c r="S97" s="12">
        <f t="shared" si="190"/>
        <v>16.715789473684207</v>
      </c>
      <c r="W97" s="71">
        <v>43909</v>
      </c>
      <c r="Y97" s="12" t="s">
        <v>420</v>
      </c>
    </row>
    <row r="98" spans="1:26">
      <c r="A98" s="64" t="s">
        <v>59</v>
      </c>
      <c r="C98" s="15">
        <v>2</v>
      </c>
      <c r="H98" s="15">
        <v>20</v>
      </c>
      <c r="I98" s="43">
        <v>3.5999999999999999E-3</v>
      </c>
      <c r="J98" s="15">
        <v>9.4999999999999998E-3</v>
      </c>
      <c r="K98" s="15">
        <v>1.7000000000000001E-2</v>
      </c>
      <c r="L98" s="15">
        <v>0</v>
      </c>
      <c r="M98" s="12">
        <f t="shared" si="191"/>
        <v>1.7000000000000001E-2</v>
      </c>
      <c r="N98" s="12">
        <v>0.108</v>
      </c>
      <c r="O98" s="12">
        <v>4.0000000000000036E-3</v>
      </c>
      <c r="P98" s="12">
        <f t="shared" si="187"/>
        <v>9.9999999999999992E-2</v>
      </c>
      <c r="Q98" s="12">
        <f t="shared" si="188"/>
        <v>8.299999999999999E-2</v>
      </c>
      <c r="R98" s="12">
        <f t="shared" si="189"/>
        <v>8.3578947368421037</v>
      </c>
      <c r="S98" s="12">
        <f t="shared" si="190"/>
        <v>16.715789473684207</v>
      </c>
      <c r="W98" s="15">
        <v>1</v>
      </c>
      <c r="X98" s="12" t="s">
        <v>419</v>
      </c>
      <c r="Y98" s="66">
        <v>16.715789473684207</v>
      </c>
    </row>
    <row r="99" spans="1:26">
      <c r="A99" s="64" t="s">
        <v>59</v>
      </c>
      <c r="C99" s="15">
        <v>3</v>
      </c>
      <c r="H99" s="15">
        <v>20</v>
      </c>
      <c r="I99" s="43">
        <v>3.5999999999999999E-3</v>
      </c>
      <c r="J99" s="15">
        <v>9.4999999999999998E-3</v>
      </c>
      <c r="K99" s="15">
        <v>1.7000000000000001E-2</v>
      </c>
      <c r="L99" s="15">
        <v>0</v>
      </c>
      <c r="M99" s="12">
        <f t="shared" si="191"/>
        <v>1.7000000000000001E-2</v>
      </c>
      <c r="N99" s="12">
        <v>0.113</v>
      </c>
      <c r="O99" s="12">
        <v>6.0000000000000053E-3</v>
      </c>
      <c r="P99" s="12">
        <f t="shared" si="187"/>
        <v>0.10099999999999999</v>
      </c>
      <c r="Q99" s="12">
        <f t="shared" si="188"/>
        <v>8.3999999999999991E-2</v>
      </c>
      <c r="R99" s="12">
        <f t="shared" si="189"/>
        <v>8.46315789473684</v>
      </c>
      <c r="S99" s="12">
        <f t="shared" si="190"/>
        <v>16.92631578947368</v>
      </c>
      <c r="W99" s="15">
        <v>2</v>
      </c>
      <c r="Y99" s="66">
        <v>16.715789473684207</v>
      </c>
    </row>
    <row r="100" spans="1:26">
      <c r="A100" s="64" t="s">
        <v>59</v>
      </c>
      <c r="C100" s="15">
        <v>4</v>
      </c>
      <c r="H100" s="15">
        <v>50</v>
      </c>
      <c r="I100" s="43">
        <v>3.5999999999999999E-3</v>
      </c>
      <c r="J100" s="15">
        <v>9.4999999999999998E-3</v>
      </c>
      <c r="K100" s="15">
        <v>1.7000000000000001E-2</v>
      </c>
      <c r="L100" s="15">
        <v>0</v>
      </c>
      <c r="M100" s="12">
        <f t="shared" si="191"/>
        <v>1.7000000000000001E-2</v>
      </c>
      <c r="N100" s="12">
        <v>5.800000000000001E-2</v>
      </c>
      <c r="O100" s="12">
        <v>4.0000000000000036E-3</v>
      </c>
      <c r="P100" s="12">
        <f t="shared" si="187"/>
        <v>0.05</v>
      </c>
      <c r="Q100" s="12">
        <f t="shared" si="188"/>
        <v>3.3000000000000002E-2</v>
      </c>
      <c r="R100" s="12">
        <f t="shared" si="189"/>
        <v>3.0947368421052635</v>
      </c>
      <c r="S100" s="12">
        <f t="shared" si="190"/>
        <v>15.473684210526319</v>
      </c>
      <c r="W100" s="15">
        <v>3</v>
      </c>
      <c r="Y100" s="66">
        <v>16.92631578947368</v>
      </c>
    </row>
    <row r="101" spans="1:26">
      <c r="A101" s="64" t="s">
        <v>59</v>
      </c>
      <c r="C101" s="15">
        <v>5</v>
      </c>
      <c r="H101" s="15">
        <v>50</v>
      </c>
      <c r="I101" s="43">
        <v>3.5999999999999999E-3</v>
      </c>
      <c r="J101" s="15">
        <v>9.4999999999999998E-3</v>
      </c>
      <c r="K101" s="15">
        <v>1.7000000000000001E-2</v>
      </c>
      <c r="L101" s="15">
        <v>0</v>
      </c>
      <c r="M101" s="12">
        <f t="shared" si="191"/>
        <v>1.7000000000000001E-2</v>
      </c>
      <c r="N101" s="12">
        <v>5.8999999999999983E-2</v>
      </c>
      <c r="O101" s="12">
        <v>2.0000000000000018E-3</v>
      </c>
      <c r="P101" s="12">
        <f t="shared" si="187"/>
        <v>5.4999999999999979E-2</v>
      </c>
      <c r="Q101" s="12">
        <f t="shared" si="188"/>
        <v>3.7999999999999978E-2</v>
      </c>
      <c r="R101" s="12">
        <f t="shared" si="189"/>
        <v>3.6210526315789453</v>
      </c>
      <c r="S101" s="12">
        <f t="shared" si="190"/>
        <v>18.105263157894726</v>
      </c>
      <c r="W101" s="15">
        <v>4</v>
      </c>
      <c r="Y101" s="66">
        <v>15.473684210526319</v>
      </c>
    </row>
    <row r="102" spans="1:26">
      <c r="A102" s="64" t="s">
        <v>59</v>
      </c>
      <c r="C102" s="15">
        <v>6</v>
      </c>
      <c r="D102" s="15"/>
      <c r="E102" s="15"/>
      <c r="F102" s="15"/>
      <c r="G102" s="15"/>
      <c r="H102" s="15">
        <v>50</v>
      </c>
      <c r="I102" s="43">
        <v>3.5999999999999999E-3</v>
      </c>
      <c r="J102" s="15">
        <v>9.4999999999999998E-3</v>
      </c>
      <c r="K102" s="15">
        <v>1.7000000000000001E-2</v>
      </c>
      <c r="L102" s="15">
        <v>0</v>
      </c>
      <c r="M102" s="12">
        <f t="shared" si="191"/>
        <v>1.7000000000000001E-2</v>
      </c>
      <c r="N102" s="12">
        <v>0.05</v>
      </c>
      <c r="O102" s="12">
        <v>4.0000000000000036E-3</v>
      </c>
      <c r="P102" s="12">
        <f t="shared" si="187"/>
        <v>4.1999999999999996E-2</v>
      </c>
      <c r="Q102" s="12">
        <f t="shared" si="188"/>
        <v>2.4999999999999994E-2</v>
      </c>
      <c r="R102" s="12">
        <f t="shared" si="189"/>
        <v>2.2526315789473679</v>
      </c>
      <c r="S102" s="12">
        <f t="shared" si="190"/>
        <v>11.263157894736839</v>
      </c>
      <c r="W102" s="15">
        <v>5</v>
      </c>
      <c r="Y102" s="66">
        <v>18.105263157894726</v>
      </c>
    </row>
    <row r="103" spans="1:26">
      <c r="A103" s="39" t="s">
        <v>423</v>
      </c>
      <c r="B103" s="13">
        <v>43913</v>
      </c>
      <c r="C103" s="72" t="s">
        <v>428</v>
      </c>
      <c r="D103" s="72" t="s">
        <v>387</v>
      </c>
      <c r="E103" s="15"/>
      <c r="F103" s="15"/>
      <c r="G103" s="15"/>
      <c r="H103" s="15">
        <v>1</v>
      </c>
      <c r="I103" s="43">
        <v>3.5999999999999999E-3</v>
      </c>
      <c r="J103" s="15">
        <v>9.4999999999999998E-3</v>
      </c>
      <c r="K103" s="15">
        <v>2.5999999999999999E-2</v>
      </c>
      <c r="L103" s="12">
        <v>3.0000000000000001E-3</v>
      </c>
      <c r="M103" s="12">
        <f t="shared" si="191"/>
        <v>1.9999999999999997E-2</v>
      </c>
      <c r="N103" s="12">
        <v>0.39500000000000002</v>
      </c>
      <c r="O103" s="12">
        <v>3.0000000000000001E-3</v>
      </c>
      <c r="P103" s="12">
        <f t="shared" si="187"/>
        <v>0.38900000000000001</v>
      </c>
      <c r="Q103" s="12">
        <f t="shared" si="188"/>
        <v>0.36899999999999999</v>
      </c>
      <c r="R103" s="12">
        <f t="shared" si="189"/>
        <v>38.463157894736845</v>
      </c>
      <c r="S103" s="12">
        <f t="shared" si="190"/>
        <v>3.8463157894736844</v>
      </c>
      <c r="W103" s="15">
        <v>6</v>
      </c>
      <c r="Y103" s="66">
        <v>11.263157894736839</v>
      </c>
    </row>
    <row r="104" spans="1:26">
      <c r="A104" s="39" t="s">
        <v>423</v>
      </c>
      <c r="B104" s="12" t="s">
        <v>430</v>
      </c>
      <c r="C104" s="72" t="s">
        <v>429</v>
      </c>
      <c r="D104" s="15"/>
      <c r="E104" s="15"/>
      <c r="F104" s="15"/>
      <c r="G104" s="15"/>
      <c r="H104" s="15">
        <v>1</v>
      </c>
      <c r="I104" s="43">
        <v>3.5999999999999999E-3</v>
      </c>
      <c r="J104" s="15">
        <v>9.4999999999999998E-3</v>
      </c>
      <c r="K104" s="15">
        <v>2.5999999999999999E-2</v>
      </c>
      <c r="L104" s="12">
        <v>3.0000000000000001E-3</v>
      </c>
      <c r="M104" s="12">
        <f t="shared" si="191"/>
        <v>1.9999999999999997E-2</v>
      </c>
      <c r="N104" s="12">
        <v>0.315</v>
      </c>
      <c r="O104" s="12">
        <v>2E-3</v>
      </c>
      <c r="P104" s="12">
        <f t="shared" si="187"/>
        <v>0.311</v>
      </c>
      <c r="Q104" s="12">
        <f t="shared" si="188"/>
        <v>0.29099999999999998</v>
      </c>
      <c r="R104" s="12">
        <f t="shared" si="189"/>
        <v>30.252631578947369</v>
      </c>
      <c r="S104" s="12">
        <f t="shared" si="190"/>
        <v>3.0252631578947371</v>
      </c>
    </row>
    <row r="105" spans="1:26">
      <c r="A105" s="39" t="s">
        <v>16</v>
      </c>
      <c r="C105" s="12" t="s">
        <v>435</v>
      </c>
      <c r="D105" s="12" t="s">
        <v>101</v>
      </c>
      <c r="H105" s="15">
        <v>1</v>
      </c>
      <c r="I105" s="43">
        <v>3.5999999999999999E-3</v>
      </c>
      <c r="J105" s="15">
        <v>9.4999999999999998E-3</v>
      </c>
      <c r="K105" s="15">
        <v>2.5999999999999999E-2</v>
      </c>
      <c r="L105" s="12">
        <v>3.0000000000000001E-3</v>
      </c>
      <c r="M105" s="12">
        <f t="shared" ref="M105:M108" si="192">K105-L105*2</f>
        <v>1.9999999999999997E-2</v>
      </c>
      <c r="N105" s="12">
        <v>0.24399999999999999</v>
      </c>
      <c r="O105" s="12">
        <v>3.0000000000000001E-3</v>
      </c>
      <c r="P105" s="12">
        <f t="shared" ref="P105:P108" si="193">N105-O105*2</f>
        <v>0.23799999999999999</v>
      </c>
      <c r="Q105" s="12">
        <f t="shared" ref="Q105:Q108" si="194">P105-M105</f>
        <v>0.218</v>
      </c>
      <c r="R105" s="12">
        <f t="shared" ref="R105:R108" si="195">(Q105-I105)/J105</f>
        <v>22.568421052631582</v>
      </c>
      <c r="S105" s="12">
        <f t="shared" ref="S105:S108" si="196">R105*H105/10</f>
        <v>2.256842105263158</v>
      </c>
    </row>
    <row r="106" spans="1:26">
      <c r="A106" s="39" t="s">
        <v>16</v>
      </c>
      <c r="C106" s="12" t="s">
        <v>436</v>
      </c>
      <c r="H106" s="15">
        <v>1</v>
      </c>
      <c r="I106" s="43">
        <v>3.5999999999999999E-3</v>
      </c>
      <c r="J106" s="15">
        <v>9.4999999999999998E-3</v>
      </c>
      <c r="K106" s="15">
        <v>2.5999999999999999E-2</v>
      </c>
      <c r="L106" s="12">
        <v>3.0000000000000001E-3</v>
      </c>
      <c r="M106" s="12">
        <f t="shared" ref="M106" si="197">K106-L106*2</f>
        <v>1.9999999999999997E-2</v>
      </c>
      <c r="N106" s="12">
        <v>0.245</v>
      </c>
      <c r="O106" s="12">
        <v>3.0000000000000001E-3</v>
      </c>
      <c r="P106" s="12">
        <f t="shared" ref="P106" si="198">N106-O106*2</f>
        <v>0.23899999999999999</v>
      </c>
      <c r="Q106" s="12">
        <f t="shared" ref="Q106:Q107" si="199">P106-M106</f>
        <v>0.219</v>
      </c>
      <c r="R106" s="12">
        <f t="shared" ref="R106:R107" si="200">(Q106-I106)/J106</f>
        <v>22.673684210526318</v>
      </c>
      <c r="S106" s="12">
        <f t="shared" ref="S106:S107" si="201">R106*H106/10</f>
        <v>2.2673684210526317</v>
      </c>
    </row>
    <row r="107" spans="1:26">
      <c r="A107" s="39"/>
      <c r="C107" s="30" t="s">
        <v>87</v>
      </c>
      <c r="D107" s="30"/>
      <c r="E107" s="31"/>
      <c r="F107" s="31"/>
      <c r="G107" s="32"/>
      <c r="H107" s="60">
        <v>1</v>
      </c>
      <c r="I107" s="34">
        <v>3.5999999999999999E-3</v>
      </c>
      <c r="J107" s="34">
        <v>9.4999999999999998E-3</v>
      </c>
      <c r="K107" s="35">
        <v>2.5999999999999999E-2</v>
      </c>
      <c r="L107" s="35">
        <v>3.0000000000000001E-3</v>
      </c>
      <c r="M107" s="35">
        <f t="shared" ref="M107" si="202">K107-2*L107</f>
        <v>1.9999999999999997E-2</v>
      </c>
      <c r="N107" s="36">
        <v>0.13200000000000001</v>
      </c>
      <c r="O107" s="35">
        <v>5.0000000000000001E-3</v>
      </c>
      <c r="P107" s="35">
        <f t="shared" ref="P107" si="203">N107-2*O107</f>
        <v>0.12200000000000001</v>
      </c>
      <c r="Q107" s="35">
        <f t="shared" si="199"/>
        <v>0.10200000000000001</v>
      </c>
      <c r="R107" s="37">
        <f t="shared" si="200"/>
        <v>10.357894736842105</v>
      </c>
      <c r="S107" s="38">
        <f t="shared" si="201"/>
        <v>1.0357894736842106</v>
      </c>
    </row>
    <row r="108" spans="1:26">
      <c r="A108" s="39" t="s">
        <v>431</v>
      </c>
      <c r="B108" s="13">
        <v>43914</v>
      </c>
      <c r="C108" s="12" t="s">
        <v>437</v>
      </c>
      <c r="D108" s="12" t="s">
        <v>85</v>
      </c>
      <c r="H108" s="12">
        <v>10</v>
      </c>
      <c r="I108" s="43">
        <v>3.5999999999999999E-3</v>
      </c>
      <c r="J108" s="15">
        <v>9.4999999999999998E-3</v>
      </c>
      <c r="K108" s="15">
        <v>2.7E-2</v>
      </c>
      <c r="L108" s="15">
        <v>3.0000000000000001E-3</v>
      </c>
      <c r="M108" s="12">
        <f t="shared" si="192"/>
        <v>2.0999999999999998E-2</v>
      </c>
      <c r="N108" s="12">
        <v>0.29499999999999998</v>
      </c>
      <c r="O108" s="12">
        <v>1.0000000000000002E-2</v>
      </c>
      <c r="P108" s="12">
        <f t="shared" si="193"/>
        <v>0.27499999999999997</v>
      </c>
      <c r="Q108" s="12">
        <f t="shared" si="194"/>
        <v>0.25399999999999995</v>
      </c>
      <c r="R108" s="12">
        <f t="shared" si="195"/>
        <v>26.357894736842102</v>
      </c>
      <c r="S108" s="12">
        <f t="shared" si="196"/>
        <v>26.357894736842105</v>
      </c>
      <c r="W108" s="12">
        <v>0.112</v>
      </c>
      <c r="X108" s="12">
        <v>5.3999999999999999E-2</v>
      </c>
      <c r="Y108" s="12">
        <f t="shared" ref="Y108:Y111" si="204">W108-0.085</f>
        <v>2.6999999999999996E-2</v>
      </c>
      <c r="Z108" s="12">
        <f t="shared" ref="Z108:Z111" si="205">X108-0.051</f>
        <v>3.0000000000000027E-3</v>
      </c>
    </row>
    <row r="109" spans="1:26">
      <c r="A109" s="39" t="s">
        <v>431</v>
      </c>
      <c r="B109" s="12" t="s">
        <v>434</v>
      </c>
      <c r="C109" s="12" t="s">
        <v>438</v>
      </c>
      <c r="H109" s="12">
        <v>10</v>
      </c>
      <c r="I109" s="43">
        <v>3.5999999999999999E-3</v>
      </c>
      <c r="J109" s="15">
        <v>9.4999999999999998E-3</v>
      </c>
      <c r="K109" s="15">
        <v>2.7E-2</v>
      </c>
      <c r="L109" s="15">
        <v>3.0000000000000001E-3</v>
      </c>
      <c r="M109" s="12">
        <f t="shared" ref="M109" si="206">K109-L109*2</f>
        <v>2.0999999999999998E-2</v>
      </c>
      <c r="N109" s="12">
        <v>0.29599999999999999</v>
      </c>
      <c r="O109" s="12">
        <v>1.0000000000000002E-2</v>
      </c>
      <c r="P109" s="12">
        <f t="shared" ref="P109" si="207">N109-O109*2</f>
        <v>0.27599999999999997</v>
      </c>
      <c r="Q109" s="12">
        <f t="shared" ref="Q109" si="208">P109-M109</f>
        <v>0.25499999999999995</v>
      </c>
      <c r="R109" s="12">
        <f t="shared" ref="R109" si="209">(Q109-I109)/J109</f>
        <v>26.463157894736838</v>
      </c>
      <c r="S109" s="12">
        <f t="shared" ref="S109" si="210">R109*H109/10</f>
        <v>26.463157894736838</v>
      </c>
    </row>
    <row r="110" spans="1:26">
      <c r="A110" s="39" t="s">
        <v>431</v>
      </c>
      <c r="C110" s="12" t="s">
        <v>432</v>
      </c>
      <c r="H110" s="12">
        <v>10</v>
      </c>
      <c r="I110" s="43">
        <v>3.5999999999999999E-3</v>
      </c>
      <c r="J110" s="15">
        <v>9.4999999999999998E-3</v>
      </c>
      <c r="K110" s="15">
        <v>2.7E-2</v>
      </c>
      <c r="L110" s="15">
        <v>3.0000000000000001E-3</v>
      </c>
      <c r="M110" s="12">
        <f t="shared" ref="M110:M111" si="211">K110-L110*2</f>
        <v>2.0999999999999998E-2</v>
      </c>
      <c r="N110" s="12">
        <v>0.46700000000000003</v>
      </c>
      <c r="O110" s="12">
        <v>8.0000000000000002E-3</v>
      </c>
      <c r="P110" s="12">
        <f t="shared" ref="P110:P111" si="212">N110-O110*2</f>
        <v>0.45100000000000001</v>
      </c>
      <c r="Q110" s="12">
        <f t="shared" ref="Q110:Q125" si="213">P110-M110</f>
        <v>0.43</v>
      </c>
      <c r="R110" s="12">
        <f t="shared" ref="R110:R122" si="214">(Q110-I110)/J110</f>
        <v>44.88421052631579</v>
      </c>
      <c r="S110" s="12">
        <f t="shared" ref="S110:S125" si="215">R110*H110/10</f>
        <v>44.88421052631579</v>
      </c>
      <c r="W110" s="12">
        <v>0.38</v>
      </c>
      <c r="X110" s="12">
        <v>6.0999999999999999E-2</v>
      </c>
      <c r="Y110" s="12">
        <f t="shared" si="204"/>
        <v>0.29499999999999998</v>
      </c>
      <c r="Z110" s="12">
        <f t="shared" si="205"/>
        <v>1.0000000000000002E-2</v>
      </c>
    </row>
    <row r="111" spans="1:26">
      <c r="A111" s="39" t="s">
        <v>431</v>
      </c>
      <c r="C111" s="12" t="s">
        <v>433</v>
      </c>
      <c r="H111" s="12">
        <v>10</v>
      </c>
      <c r="I111" s="43">
        <v>3.5999999999999999E-3</v>
      </c>
      <c r="J111" s="15">
        <v>9.4999999999999998E-3</v>
      </c>
      <c r="K111" s="15">
        <v>2.7E-2</v>
      </c>
      <c r="L111" s="15">
        <v>3.0000000000000001E-3</v>
      </c>
      <c r="M111" s="12">
        <f t="shared" si="211"/>
        <v>2.0999999999999998E-2</v>
      </c>
      <c r="N111" s="12">
        <v>0.377</v>
      </c>
      <c r="O111" s="12">
        <v>6.0000000000000053E-3</v>
      </c>
      <c r="P111" s="12">
        <f t="shared" si="212"/>
        <v>0.36499999999999999</v>
      </c>
      <c r="Q111" s="12">
        <f t="shared" si="213"/>
        <v>0.34399999999999997</v>
      </c>
      <c r="R111" s="12">
        <f t="shared" si="214"/>
        <v>35.831578947368421</v>
      </c>
      <c r="S111" s="12">
        <f t="shared" si="215"/>
        <v>35.831578947368421</v>
      </c>
      <c r="W111" s="12">
        <v>0.55200000000000005</v>
      </c>
      <c r="X111" s="12">
        <v>5.8999999999999997E-2</v>
      </c>
      <c r="Y111" s="12">
        <f t="shared" si="204"/>
        <v>0.46700000000000003</v>
      </c>
      <c r="Z111" s="12">
        <f t="shared" si="205"/>
        <v>8.0000000000000002E-3</v>
      </c>
    </row>
    <row r="112" spans="1:26">
      <c r="A112" s="39"/>
      <c r="C112" s="30" t="s">
        <v>87</v>
      </c>
      <c r="D112" s="30"/>
      <c r="E112" s="31"/>
      <c r="F112" s="31"/>
      <c r="G112" s="32"/>
      <c r="H112" s="60">
        <v>1</v>
      </c>
      <c r="I112" s="34">
        <v>3.5999999999999999E-3</v>
      </c>
      <c r="J112" s="34">
        <v>9.4999999999999998E-3</v>
      </c>
      <c r="K112" s="35">
        <v>2.7E-2</v>
      </c>
      <c r="L112" s="35">
        <v>3.0000000000000001E-3</v>
      </c>
      <c r="M112" s="35">
        <f t="shared" ref="M112" si="216">K112-2*L112</f>
        <v>2.0999999999999998E-2</v>
      </c>
      <c r="N112" s="36">
        <v>0.128</v>
      </c>
      <c r="O112" s="35">
        <v>4.0000000000000001E-3</v>
      </c>
      <c r="P112" s="35">
        <f t="shared" ref="P112" si="217">N112-2*O112</f>
        <v>0.12</v>
      </c>
      <c r="Q112" s="35">
        <f t="shared" si="213"/>
        <v>9.9000000000000005E-2</v>
      </c>
      <c r="R112" s="37">
        <f t="shared" si="214"/>
        <v>10.042105263157895</v>
      </c>
      <c r="S112" s="38">
        <f t="shared" si="215"/>
        <v>1.0042105263157894</v>
      </c>
      <c r="W112" s="12">
        <v>0.46200000000000002</v>
      </c>
      <c r="X112" s="12">
        <v>5.7000000000000002E-2</v>
      </c>
      <c r="Y112" s="12">
        <f t="shared" ref="Y112" si="218">W112-0.085</f>
        <v>0.377</v>
      </c>
      <c r="Z112" s="12">
        <f t="shared" ref="Z112" si="219">X112-0.051</f>
        <v>6.0000000000000053E-3</v>
      </c>
    </row>
    <row r="113" spans="1:26">
      <c r="A113" s="39" t="s">
        <v>439</v>
      </c>
      <c r="B113" s="13">
        <v>43915</v>
      </c>
      <c r="C113" s="12" t="s">
        <v>451</v>
      </c>
      <c r="D113" s="12" t="s">
        <v>54</v>
      </c>
      <c r="H113" s="15">
        <v>1</v>
      </c>
      <c r="I113" s="43">
        <v>3.5999999999999999E-3</v>
      </c>
      <c r="J113" s="15">
        <v>9.4999999999999998E-3</v>
      </c>
      <c r="K113" s="12">
        <v>2.5000000000000001E-2</v>
      </c>
      <c r="L113" s="12">
        <v>3.0000000000000001E-3</v>
      </c>
      <c r="M113" s="12">
        <f t="shared" ref="M113" si="220">K113-L113*2</f>
        <v>1.9000000000000003E-2</v>
      </c>
      <c r="N113" s="12">
        <v>0.24299999999999999</v>
      </c>
      <c r="O113" s="12">
        <v>4.0000000000000001E-3</v>
      </c>
      <c r="P113" s="12">
        <f t="shared" ref="P113:P122" si="221">N113-O113*2</f>
        <v>0.23499999999999999</v>
      </c>
      <c r="Q113" s="12">
        <f t="shared" si="213"/>
        <v>0.21599999999999997</v>
      </c>
      <c r="R113" s="12">
        <f t="shared" si="214"/>
        <v>22.357894736842102</v>
      </c>
      <c r="S113" s="12">
        <f t="shared" si="215"/>
        <v>2.2357894736842101</v>
      </c>
    </row>
    <row r="114" spans="1:26">
      <c r="A114" s="39" t="s">
        <v>160</v>
      </c>
      <c r="B114" s="13" t="s">
        <v>386</v>
      </c>
      <c r="C114" s="12" t="s">
        <v>452</v>
      </c>
      <c r="H114" s="15">
        <v>1</v>
      </c>
      <c r="I114" s="43">
        <v>3.5999999999999999E-3</v>
      </c>
      <c r="J114" s="15">
        <v>9.4999999999999998E-3</v>
      </c>
      <c r="K114" s="12">
        <v>2.5000000000000001E-2</v>
      </c>
      <c r="L114" s="12">
        <v>3.0000000000000001E-3</v>
      </c>
      <c r="M114" s="12">
        <f t="shared" ref="M114" si="222">K114-L114*2</f>
        <v>1.9000000000000003E-2</v>
      </c>
      <c r="N114" s="12">
        <v>0.24399999999999999</v>
      </c>
      <c r="O114" s="12">
        <v>4.0000000000000001E-3</v>
      </c>
      <c r="P114" s="12">
        <f t="shared" ref="P114" si="223">N114-O114*2</f>
        <v>0.23599999999999999</v>
      </c>
      <c r="Q114" s="12">
        <f t="shared" ref="Q114:Q115" si="224">P114-M114</f>
        <v>0.21699999999999997</v>
      </c>
      <c r="R114" s="12">
        <f t="shared" ref="R114:R115" si="225">(Q114-I114)/J114</f>
        <v>22.463157894736842</v>
      </c>
      <c r="S114" s="12">
        <f t="shared" ref="S114:S115" si="226">R114*H114/10</f>
        <v>2.2463157894736843</v>
      </c>
    </row>
    <row r="115" spans="1:26">
      <c r="A115" s="39"/>
      <c r="C115" s="30" t="s">
        <v>87</v>
      </c>
      <c r="D115" s="30"/>
      <c r="E115" s="31"/>
      <c r="F115" s="31"/>
      <c r="G115" s="32"/>
      <c r="H115" s="60">
        <v>1</v>
      </c>
      <c r="I115" s="34">
        <v>3.5999999999999999E-3</v>
      </c>
      <c r="J115" s="34">
        <v>9.4999999999999998E-3</v>
      </c>
      <c r="K115" s="35">
        <v>2.5000000000000001E-2</v>
      </c>
      <c r="L115" s="35">
        <v>3.0000000000000001E-3</v>
      </c>
      <c r="M115" s="35">
        <f t="shared" ref="M115" si="227">K115-2*L115</f>
        <v>1.9000000000000003E-2</v>
      </c>
      <c r="N115" s="36">
        <v>0.129</v>
      </c>
      <c r="O115" s="35">
        <v>5.0000000000000001E-3</v>
      </c>
      <c r="P115" s="35">
        <f t="shared" ref="P115" si="228">N115-2*O115</f>
        <v>0.11900000000000001</v>
      </c>
      <c r="Q115" s="35">
        <f t="shared" si="224"/>
        <v>0.1</v>
      </c>
      <c r="R115" s="37">
        <f t="shared" si="225"/>
        <v>10.147368421052631</v>
      </c>
      <c r="S115" s="38">
        <f t="shared" si="226"/>
        <v>1.0147368421052632</v>
      </c>
      <c r="W115" s="12">
        <v>0.46200000000000002</v>
      </c>
      <c r="X115" s="12">
        <v>5.7000000000000002E-2</v>
      </c>
      <c r="Y115" s="12">
        <f t="shared" ref="Y115" si="229">W115-0.085</f>
        <v>0.377</v>
      </c>
      <c r="Z115" s="12">
        <f t="shared" ref="Z115" si="230">X115-0.051</f>
        <v>6.0000000000000053E-3</v>
      </c>
    </row>
    <row r="116" spans="1:26">
      <c r="A116" s="39"/>
      <c r="C116" s="12" t="s">
        <v>440</v>
      </c>
      <c r="D116" s="12" t="s">
        <v>30</v>
      </c>
      <c r="H116" s="53">
        <v>5</v>
      </c>
      <c r="I116" s="43">
        <v>3.5999999999999999E-3</v>
      </c>
      <c r="J116" s="15">
        <v>9.4999999999999998E-3</v>
      </c>
      <c r="K116" s="12">
        <v>2.5000000000000001E-2</v>
      </c>
      <c r="L116" s="12">
        <v>3.0000000000000001E-3</v>
      </c>
      <c r="M116" s="12">
        <f t="shared" ref="M116:M122" si="231">K116-L116*2</f>
        <v>1.9000000000000003E-2</v>
      </c>
      <c r="N116" s="12">
        <v>0.27800000000000002</v>
      </c>
      <c r="O116" s="12">
        <v>5.0000000000000001E-3</v>
      </c>
      <c r="P116" s="12">
        <f t="shared" si="221"/>
        <v>0.26800000000000002</v>
      </c>
      <c r="Q116" s="12">
        <f t="shared" si="213"/>
        <v>0.249</v>
      </c>
      <c r="R116" s="12">
        <f t="shared" si="214"/>
        <v>25.831578947368424</v>
      </c>
      <c r="S116" s="12">
        <f t="shared" si="215"/>
        <v>12.91578947368421</v>
      </c>
    </row>
    <row r="117" spans="1:26">
      <c r="A117" s="39"/>
      <c r="C117" s="12" t="s">
        <v>441</v>
      </c>
      <c r="D117" s="12" t="s">
        <v>32</v>
      </c>
      <c r="H117" s="53">
        <v>10</v>
      </c>
      <c r="I117" s="43">
        <v>3.5999999999999999E-3</v>
      </c>
      <c r="J117" s="15">
        <v>9.4999999999999998E-3</v>
      </c>
      <c r="K117" s="12">
        <v>2.5000000000000001E-2</v>
      </c>
      <c r="L117" s="12">
        <v>3.0000000000000001E-3</v>
      </c>
      <c r="M117" s="12">
        <f t="shared" si="231"/>
        <v>1.9000000000000003E-2</v>
      </c>
      <c r="N117" s="12">
        <v>0.246</v>
      </c>
      <c r="O117" s="12">
        <v>5.0000000000000001E-3</v>
      </c>
      <c r="P117" s="12">
        <f t="shared" si="221"/>
        <v>0.23599999999999999</v>
      </c>
      <c r="Q117" s="12">
        <f t="shared" si="213"/>
        <v>0.21699999999999997</v>
      </c>
      <c r="R117" s="12">
        <f t="shared" si="214"/>
        <v>22.463157894736842</v>
      </c>
      <c r="S117" s="12">
        <f t="shared" si="215"/>
        <v>22.463157894736842</v>
      </c>
    </row>
    <row r="118" spans="1:26">
      <c r="A118" s="39"/>
      <c r="C118" s="12" t="s">
        <v>442</v>
      </c>
      <c r="D118" s="12" t="s">
        <v>34</v>
      </c>
      <c r="H118" s="53">
        <v>10</v>
      </c>
      <c r="I118" s="43">
        <v>3.5999999999999999E-3</v>
      </c>
      <c r="J118" s="15">
        <v>9.4999999999999998E-3</v>
      </c>
      <c r="K118" s="12">
        <v>2.5000000000000001E-2</v>
      </c>
      <c r="L118" s="12">
        <v>3.0000000000000001E-3</v>
      </c>
      <c r="M118" s="12">
        <f t="shared" si="231"/>
        <v>1.9000000000000003E-2</v>
      </c>
      <c r="N118" s="12">
        <v>0.20300000000000001</v>
      </c>
      <c r="O118" s="12">
        <v>6.0000000000000001E-3</v>
      </c>
      <c r="P118" s="12">
        <f t="shared" si="221"/>
        <v>0.191</v>
      </c>
      <c r="Q118" s="12">
        <f t="shared" si="213"/>
        <v>0.17199999999999999</v>
      </c>
      <c r="R118" s="12">
        <f t="shared" si="214"/>
        <v>17.726315789473684</v>
      </c>
      <c r="S118" s="12">
        <f t="shared" si="215"/>
        <v>17.726315789473684</v>
      </c>
    </row>
    <row r="119" spans="1:26">
      <c r="A119" s="39"/>
      <c r="C119" s="12" t="s">
        <v>443</v>
      </c>
      <c r="D119" s="12" t="s">
        <v>36</v>
      </c>
      <c r="H119" s="53">
        <v>5</v>
      </c>
      <c r="I119" s="43">
        <v>3.5999999999999999E-3</v>
      </c>
      <c r="J119" s="15">
        <v>9.4999999999999998E-3</v>
      </c>
      <c r="K119" s="12">
        <v>2.5000000000000001E-2</v>
      </c>
      <c r="L119" s="12">
        <v>3.0000000000000001E-3</v>
      </c>
      <c r="M119" s="12">
        <f t="shared" si="231"/>
        <v>1.9000000000000003E-2</v>
      </c>
      <c r="N119" s="12">
        <v>0.151</v>
      </c>
      <c r="O119" s="12">
        <v>5.0000000000000001E-3</v>
      </c>
      <c r="P119" s="12">
        <f t="shared" si="221"/>
        <v>0.14099999999999999</v>
      </c>
      <c r="Q119" s="12">
        <f t="shared" si="213"/>
        <v>0.12199999999999998</v>
      </c>
      <c r="R119" s="12">
        <f t="shared" si="214"/>
        <v>12.46315789473684</v>
      </c>
      <c r="S119" s="12">
        <f t="shared" si="215"/>
        <v>6.23157894736842</v>
      </c>
    </row>
    <row r="120" spans="1:26" ht="15.75" customHeight="1">
      <c r="A120" s="39" t="s">
        <v>444</v>
      </c>
      <c r="B120" s="13">
        <v>43916</v>
      </c>
      <c r="C120" s="12" t="s">
        <v>449</v>
      </c>
      <c r="D120" s="12" t="s">
        <v>387</v>
      </c>
      <c r="F120" s="12" t="s">
        <v>446</v>
      </c>
      <c r="H120" s="15">
        <v>1</v>
      </c>
      <c r="I120" s="43">
        <v>3.5999999999999999E-3</v>
      </c>
      <c r="J120" s="15">
        <v>9.4999999999999998E-3</v>
      </c>
      <c r="K120" s="15">
        <v>2.7E-2</v>
      </c>
      <c r="L120" s="12">
        <v>3.0000000000000001E-3</v>
      </c>
      <c r="M120" s="12">
        <f t="shared" si="231"/>
        <v>2.0999999999999998E-2</v>
      </c>
      <c r="N120" s="12">
        <v>0.377</v>
      </c>
      <c r="O120" s="12">
        <v>4.0000000000000001E-3</v>
      </c>
      <c r="P120" s="12">
        <f t="shared" si="221"/>
        <v>0.36899999999999999</v>
      </c>
      <c r="Q120" s="12">
        <f t="shared" si="213"/>
        <v>0.34799999999999998</v>
      </c>
      <c r="R120" s="12">
        <f t="shared" si="214"/>
        <v>36.252631578947366</v>
      </c>
      <c r="S120" s="12">
        <f t="shared" si="215"/>
        <v>3.6252631578947367</v>
      </c>
    </row>
    <row r="121" spans="1:26" ht="15.75" customHeight="1">
      <c r="A121" s="39" t="s">
        <v>444</v>
      </c>
      <c r="B121" s="13" t="s">
        <v>448</v>
      </c>
      <c r="C121" s="12" t="s">
        <v>450</v>
      </c>
      <c r="H121" s="15">
        <v>1</v>
      </c>
      <c r="I121" s="43">
        <v>3.5999999999999999E-3</v>
      </c>
      <c r="J121" s="15">
        <v>9.4999999999999998E-3</v>
      </c>
      <c r="K121" s="15">
        <v>2.7E-2</v>
      </c>
      <c r="L121" s="12">
        <v>3.0000000000000001E-3</v>
      </c>
      <c r="M121" s="12">
        <f t="shared" ref="M121" si="232">K121-L121*2</f>
        <v>2.0999999999999998E-2</v>
      </c>
      <c r="N121" s="12">
        <v>0.376</v>
      </c>
      <c r="O121" s="12">
        <v>4.0000000000000001E-3</v>
      </c>
      <c r="P121" s="12">
        <f t="shared" ref="P121" si="233">N121-O121*2</f>
        <v>0.36799999999999999</v>
      </c>
      <c r="Q121" s="12">
        <f t="shared" ref="Q121" si="234">P121-M121</f>
        <v>0.34699999999999998</v>
      </c>
      <c r="R121" s="12">
        <f t="shared" ref="R121" si="235">(Q121-I121)/J121</f>
        <v>36.147368421052633</v>
      </c>
      <c r="S121" s="12">
        <f t="shared" ref="S121" si="236">R121*H121/10</f>
        <v>3.6147368421052635</v>
      </c>
    </row>
    <row r="122" spans="1:26">
      <c r="A122" s="39" t="s">
        <v>444</v>
      </c>
      <c r="C122" s="12" t="s">
        <v>445</v>
      </c>
      <c r="F122" s="12" t="s">
        <v>447</v>
      </c>
      <c r="H122" s="15">
        <v>1</v>
      </c>
      <c r="I122" s="43">
        <v>3.5999999999999999E-3</v>
      </c>
      <c r="J122" s="15">
        <v>9.4999999999999998E-3</v>
      </c>
      <c r="K122" s="15">
        <v>2.7E-2</v>
      </c>
      <c r="L122" s="12">
        <v>3.0000000000000001E-3</v>
      </c>
      <c r="M122" s="12">
        <f t="shared" si="231"/>
        <v>2.0999999999999998E-2</v>
      </c>
      <c r="N122" s="12">
        <v>0.309</v>
      </c>
      <c r="O122" s="12">
        <v>3.0000000000000001E-3</v>
      </c>
      <c r="P122" s="12">
        <f t="shared" si="221"/>
        <v>0.30299999999999999</v>
      </c>
      <c r="Q122" s="12">
        <f t="shared" si="213"/>
        <v>0.28199999999999997</v>
      </c>
      <c r="R122" s="12">
        <f t="shared" si="214"/>
        <v>29.305263157894736</v>
      </c>
      <c r="S122" s="12">
        <f t="shared" si="215"/>
        <v>2.9305263157894736</v>
      </c>
    </row>
    <row r="123" spans="1:26">
      <c r="A123" s="39"/>
      <c r="C123" s="50" t="s">
        <v>184</v>
      </c>
      <c r="D123" s="50"/>
      <c r="E123" s="50"/>
      <c r="F123" s="50"/>
      <c r="G123" s="50"/>
      <c r="H123" s="59">
        <v>1</v>
      </c>
      <c r="I123" s="23">
        <v>3.5999999999999999E-3</v>
      </c>
      <c r="J123" s="23">
        <v>9.4999999999999998E-3</v>
      </c>
      <c r="K123" s="24">
        <v>2.7E-2</v>
      </c>
      <c r="L123" s="24">
        <v>3.0000000000000001E-3</v>
      </c>
      <c r="M123" s="24">
        <f t="shared" ref="M123:M125" si="237">K123-2*L123</f>
        <v>2.0999999999999998E-2</v>
      </c>
      <c r="N123" s="25">
        <v>0.17699999999999999</v>
      </c>
      <c r="O123" s="24">
        <v>4.0000000000000001E-3</v>
      </c>
      <c r="P123" s="24">
        <f t="shared" ref="P123:P125" si="238">N123-2*O123</f>
        <v>0.16899999999999998</v>
      </c>
      <c r="Q123" s="24">
        <f t="shared" si="213"/>
        <v>0.14799999999999999</v>
      </c>
      <c r="R123" s="26">
        <f>(Q123-I123)/J123</f>
        <v>15.200000000000001</v>
      </c>
      <c r="S123" s="27">
        <f t="shared" si="215"/>
        <v>1.52</v>
      </c>
      <c r="T123" s="47" t="s">
        <v>188</v>
      </c>
      <c r="V123" s="51" t="s">
        <v>186</v>
      </c>
    </row>
    <row r="124" spans="1:26">
      <c r="A124" s="39"/>
      <c r="C124" s="50" t="s">
        <v>185</v>
      </c>
      <c r="D124" s="50"/>
      <c r="E124" s="50"/>
      <c r="F124" s="50"/>
      <c r="G124" s="50"/>
      <c r="H124" s="59">
        <v>1</v>
      </c>
      <c r="I124" s="23">
        <v>3.5999999999999999E-3</v>
      </c>
      <c r="J124" s="23">
        <v>9.4999999999999998E-3</v>
      </c>
      <c r="K124" s="24">
        <v>2.7E-2</v>
      </c>
      <c r="L124" s="24">
        <v>3.0000000000000001E-3</v>
      </c>
      <c r="M124" s="24">
        <f t="shared" ref="M124" si="239">K124-2*L124</f>
        <v>2.0999999999999998E-2</v>
      </c>
      <c r="N124" s="25">
        <v>0.17599999999999999</v>
      </c>
      <c r="O124" s="24">
        <v>3.0000000000000001E-3</v>
      </c>
      <c r="P124" s="24">
        <f t="shared" si="238"/>
        <v>0.16999999999999998</v>
      </c>
      <c r="Q124" s="24">
        <f t="shared" si="213"/>
        <v>0.14899999999999999</v>
      </c>
      <c r="R124" s="26">
        <f>(Q124-I124)/J124</f>
        <v>15.305263157894737</v>
      </c>
      <c r="S124" s="27">
        <f t="shared" si="215"/>
        <v>1.5305263157894737</v>
      </c>
      <c r="V124" s="51" t="s">
        <v>187</v>
      </c>
    </row>
    <row r="125" spans="1:26">
      <c r="A125" s="39"/>
      <c r="C125" s="30" t="s">
        <v>87</v>
      </c>
      <c r="D125" s="30"/>
      <c r="E125" s="31"/>
      <c r="F125" s="31"/>
      <c r="G125" s="32"/>
      <c r="H125" s="60">
        <v>1</v>
      </c>
      <c r="I125" s="34">
        <v>3.5999999999999999E-3</v>
      </c>
      <c r="J125" s="34">
        <v>9.4999999999999998E-3</v>
      </c>
      <c r="K125" s="35">
        <v>2.7E-2</v>
      </c>
      <c r="L125" s="35">
        <v>3.0000000000000001E-3</v>
      </c>
      <c r="M125" s="35">
        <f t="shared" si="237"/>
        <v>2.0999999999999998E-2</v>
      </c>
      <c r="N125" s="36">
        <v>0.128</v>
      </c>
      <c r="O125" s="35">
        <v>2E-3</v>
      </c>
      <c r="P125" s="35">
        <f t="shared" si="238"/>
        <v>0.124</v>
      </c>
      <c r="Q125" s="35">
        <f t="shared" si="213"/>
        <v>0.10300000000000001</v>
      </c>
      <c r="R125" s="37">
        <f t="shared" ref="R125:R126" si="240">(Q125-I125)/J125</f>
        <v>10.463157894736842</v>
      </c>
      <c r="S125" s="38">
        <f t="shared" si="215"/>
        <v>1.0463157894736841</v>
      </c>
    </row>
    <row r="126" spans="1:26">
      <c r="A126" s="39" t="s">
        <v>453</v>
      </c>
      <c r="B126" s="13">
        <v>43917</v>
      </c>
      <c r="C126" s="12" t="s">
        <v>462</v>
      </c>
      <c r="D126" s="12" t="s">
        <v>454</v>
      </c>
      <c r="H126" s="15">
        <v>5</v>
      </c>
      <c r="I126" s="43">
        <v>3.5999999999999999E-3</v>
      </c>
      <c r="J126" s="15">
        <v>9.4999999999999998E-3</v>
      </c>
      <c r="K126" s="15">
        <v>2.8000000000000001E-2</v>
      </c>
      <c r="L126" s="15">
        <v>1E-3</v>
      </c>
      <c r="M126" s="12">
        <f t="shared" ref="M126" si="241">K126-L126*2</f>
        <v>2.6000000000000002E-2</v>
      </c>
      <c r="N126" s="12">
        <v>0.1</v>
      </c>
      <c r="O126" s="12">
        <v>2.9999999999999957E-3</v>
      </c>
      <c r="P126" s="12">
        <f t="shared" ref="P126" si="242">N126-O126*2</f>
        <v>9.4000000000000014E-2</v>
      </c>
      <c r="Q126" s="12">
        <f t="shared" ref="Q126" si="243">P126-M126</f>
        <v>6.8000000000000005E-2</v>
      </c>
      <c r="R126" s="12">
        <f t="shared" si="240"/>
        <v>6.7789473684210524</v>
      </c>
      <c r="S126" s="12">
        <f t="shared" ref="S126" si="244">R126*H126/10</f>
        <v>3.3894736842105262</v>
      </c>
    </row>
    <row r="127" spans="1:26">
      <c r="A127" s="39" t="s">
        <v>453</v>
      </c>
      <c r="B127" s="12" t="s">
        <v>461</v>
      </c>
      <c r="C127" s="12" t="s">
        <v>463</v>
      </c>
      <c r="H127" s="15">
        <v>5</v>
      </c>
      <c r="I127" s="43">
        <v>3.5999999999999999E-3</v>
      </c>
      <c r="J127" s="15">
        <v>9.4999999999999998E-3</v>
      </c>
      <c r="K127" s="15">
        <v>2.8000000000000001E-2</v>
      </c>
      <c r="L127" s="15">
        <v>1E-3</v>
      </c>
      <c r="M127" s="12">
        <f t="shared" ref="M127" si="245">K127-L127*2</f>
        <v>2.6000000000000002E-2</v>
      </c>
      <c r="N127" s="12">
        <v>0.10100000000000001</v>
      </c>
      <c r="O127" s="12">
        <v>2.9999999999999957E-3</v>
      </c>
      <c r="P127" s="12">
        <f t="shared" ref="P127" si="246">N127-O127*2</f>
        <v>9.5000000000000015E-2</v>
      </c>
      <c r="Q127" s="12">
        <f t="shared" ref="Q127:Q128" si="247">P127-M127</f>
        <v>6.9000000000000006E-2</v>
      </c>
      <c r="R127" s="12">
        <f t="shared" ref="R127:R128" si="248">(Q127-I127)/J127</f>
        <v>6.8842105263157896</v>
      </c>
      <c r="S127" s="12">
        <f t="shared" ref="S127:S128" si="249">R127*H127/10</f>
        <v>3.4421052631578943</v>
      </c>
    </row>
    <row r="128" spans="1:26">
      <c r="A128" s="39"/>
      <c r="C128" s="30" t="s">
        <v>87</v>
      </c>
      <c r="D128" s="30"/>
      <c r="E128" s="31"/>
      <c r="F128" s="31"/>
      <c r="G128" s="32"/>
      <c r="H128" s="60">
        <v>1</v>
      </c>
      <c r="I128" s="34">
        <v>3.5999999999999999E-3</v>
      </c>
      <c r="J128" s="34">
        <v>9.4999999999999998E-3</v>
      </c>
      <c r="K128" s="35">
        <v>2.8000000000000001E-2</v>
      </c>
      <c r="L128" s="35">
        <v>1E-3</v>
      </c>
      <c r="M128" s="35">
        <f t="shared" ref="M128" si="250">K128-2*L128</f>
        <v>2.6000000000000002E-2</v>
      </c>
      <c r="N128" s="36">
        <v>0.13100000000000001</v>
      </c>
      <c r="O128" s="35">
        <v>3.0000000000000001E-3</v>
      </c>
      <c r="P128" s="35">
        <f t="shared" ref="P128" si="251">N128-2*O128</f>
        <v>0.125</v>
      </c>
      <c r="Q128" s="35">
        <f t="shared" si="247"/>
        <v>9.9000000000000005E-2</v>
      </c>
      <c r="R128" s="37">
        <f t="shared" si="248"/>
        <v>10.042105263157895</v>
      </c>
      <c r="S128" s="38">
        <f t="shared" si="249"/>
        <v>1.0042105263157894</v>
      </c>
    </row>
    <row r="129" spans="1:25">
      <c r="A129" s="39" t="s">
        <v>457</v>
      </c>
      <c r="C129" s="12" t="s">
        <v>455</v>
      </c>
      <c r="D129" s="12" t="s">
        <v>456</v>
      </c>
      <c r="H129" s="15">
        <v>10</v>
      </c>
      <c r="I129" s="43">
        <v>3.5999999999999999E-3</v>
      </c>
      <c r="J129" s="15">
        <v>9.4999999999999998E-3</v>
      </c>
      <c r="K129" s="15">
        <v>2.8000000000000001E-2</v>
      </c>
      <c r="L129" s="15">
        <v>1E-3</v>
      </c>
      <c r="M129" s="12">
        <f t="shared" ref="M129:M130" si="252">K129-L129*2</f>
        <v>2.6000000000000002E-2</v>
      </c>
      <c r="N129" s="12">
        <v>0.13100000000000001</v>
      </c>
      <c r="O129" s="12">
        <v>1.9999999999999948E-3</v>
      </c>
      <c r="P129" s="12">
        <f t="shared" ref="P129:P130" si="253">N129-O129*2</f>
        <v>0.127</v>
      </c>
      <c r="Q129" s="12">
        <f t="shared" ref="Q129:Q130" si="254">P129-M129</f>
        <v>0.10100000000000001</v>
      </c>
      <c r="R129" s="12">
        <f t="shared" ref="R129:R130" si="255">(Q129-I129)/J129</f>
        <v>10.252631578947369</v>
      </c>
      <c r="S129" s="12">
        <f t="shared" ref="S129:S130" si="256">R129*H129/10</f>
        <v>10.252631578947369</v>
      </c>
      <c r="V129" s="12">
        <v>0.11899999999999999</v>
      </c>
      <c r="W129" s="12">
        <v>5.0999999999999997E-2</v>
      </c>
      <c r="X129" s="12">
        <f>V129-0.086</f>
        <v>3.3000000000000002E-2</v>
      </c>
      <c r="Y129" s="12">
        <f>W129-0.05</f>
        <v>9.9999999999999395E-4</v>
      </c>
    </row>
    <row r="130" spans="1:25">
      <c r="A130" s="39" t="s">
        <v>458</v>
      </c>
      <c r="C130" s="12" t="s">
        <v>459</v>
      </c>
      <c r="D130" s="12" t="s">
        <v>460</v>
      </c>
      <c r="H130" s="15">
        <v>1</v>
      </c>
      <c r="I130" s="43">
        <v>3.5999999999999999E-3</v>
      </c>
      <c r="J130" s="15">
        <v>9.4999999999999998E-3</v>
      </c>
      <c r="K130" s="15">
        <v>2.8000000000000001E-2</v>
      </c>
      <c r="L130" s="15">
        <v>1E-3</v>
      </c>
      <c r="M130" s="12">
        <f t="shared" si="252"/>
        <v>2.6000000000000002E-2</v>
      </c>
      <c r="N130" s="12">
        <v>0.23</v>
      </c>
      <c r="O130" s="12">
        <v>3.9999999999999966E-3</v>
      </c>
      <c r="P130" s="12">
        <f t="shared" si="253"/>
        <v>0.22200000000000003</v>
      </c>
      <c r="Q130" s="12">
        <f t="shared" si="254"/>
        <v>0.19600000000000004</v>
      </c>
      <c r="R130" s="12">
        <f t="shared" si="255"/>
        <v>20.252631578947373</v>
      </c>
      <c r="S130" s="12">
        <f t="shared" si="256"/>
        <v>2.0252631578947371</v>
      </c>
      <c r="V130" s="12">
        <v>0.191</v>
      </c>
      <c r="W130" s="12">
        <v>5.2999999999999999E-2</v>
      </c>
      <c r="X130" s="12">
        <f t="shared" ref="X130" si="257">V130-0.086</f>
        <v>0.10500000000000001</v>
      </c>
      <c r="Y130" s="12">
        <f t="shared" ref="Y130" si="258">W130-0.05</f>
        <v>2.9999999999999957E-3</v>
      </c>
    </row>
    <row r="131" spans="1:25">
      <c r="A131" s="39" t="s">
        <v>464</v>
      </c>
      <c r="B131" s="13">
        <v>43920</v>
      </c>
      <c r="C131" s="12" t="s">
        <v>478</v>
      </c>
      <c r="D131" s="12" t="s">
        <v>20</v>
      </c>
      <c r="H131" s="15">
        <v>5</v>
      </c>
      <c r="I131" s="43">
        <v>3.5999999999999999E-3</v>
      </c>
      <c r="J131" s="15">
        <v>9.4999999999999998E-3</v>
      </c>
      <c r="K131" s="15">
        <v>2.1000000000000001E-2</v>
      </c>
      <c r="L131" s="15">
        <v>0</v>
      </c>
      <c r="M131" s="12">
        <f t="shared" ref="M131" si="259">K131-L131*2</f>
        <v>2.1000000000000001E-2</v>
      </c>
      <c r="N131" s="12">
        <v>0.10299999999999999</v>
      </c>
      <c r="O131" s="12">
        <v>2E-3</v>
      </c>
      <c r="P131" s="12">
        <f t="shared" ref="P131" si="260">N131-O131*2</f>
        <v>9.8999999999999991E-2</v>
      </c>
      <c r="Q131" s="12">
        <f t="shared" ref="Q131" si="261">P131-M131</f>
        <v>7.7999999999999986E-2</v>
      </c>
      <c r="R131" s="12">
        <f t="shared" ref="R131" si="262">(Q131-I131)/J131</f>
        <v>7.8315789473684188</v>
      </c>
      <c r="S131" s="12">
        <f t="shared" ref="S131" si="263">R131*H131/10</f>
        <v>3.9157894736842094</v>
      </c>
    </row>
    <row r="132" spans="1:25">
      <c r="A132" s="39" t="s">
        <v>409</v>
      </c>
      <c r="B132" s="12" t="s">
        <v>465</v>
      </c>
      <c r="C132" s="12" t="s">
        <v>473</v>
      </c>
      <c r="D132" s="12" t="s">
        <v>466</v>
      </c>
      <c r="G132" s="12" t="s">
        <v>471</v>
      </c>
      <c r="H132" s="15">
        <v>5</v>
      </c>
      <c r="I132" s="43">
        <v>3.5999999999999999E-3</v>
      </c>
      <c r="J132" s="15">
        <v>9.4999999999999998E-3</v>
      </c>
      <c r="K132" s="15">
        <v>2.1000000000000001E-2</v>
      </c>
      <c r="L132" s="15">
        <v>0</v>
      </c>
      <c r="M132" s="12">
        <f t="shared" ref="M132:M139" si="264">K132-L132*2</f>
        <v>2.1000000000000001E-2</v>
      </c>
      <c r="N132" s="12">
        <v>0.11600000000000001</v>
      </c>
      <c r="O132" s="12">
        <v>3.0000000000000001E-3</v>
      </c>
      <c r="P132" s="12">
        <f t="shared" ref="P132:P142" si="265">N132-O132*2</f>
        <v>0.11</v>
      </c>
      <c r="Q132" s="12">
        <f t="shared" ref="Q132:Q142" si="266">P132-M132</f>
        <v>8.8999999999999996E-2</v>
      </c>
      <c r="R132" s="12">
        <f t="shared" ref="R132:R143" si="267">(Q132-I132)/J132</f>
        <v>8.989473684210525</v>
      </c>
      <c r="S132" s="12">
        <f t="shared" ref="S132:S142" si="268">R132*H132/10</f>
        <v>4.4947368421052625</v>
      </c>
      <c r="W132" s="62">
        <v>0.1</v>
      </c>
      <c r="X132" s="62">
        <v>0.1</v>
      </c>
    </row>
    <row r="133" spans="1:25">
      <c r="A133" s="39" t="s">
        <v>409</v>
      </c>
      <c r="C133" s="12" t="s">
        <v>474</v>
      </c>
      <c r="H133" s="15">
        <v>5</v>
      </c>
      <c r="I133" s="43">
        <v>3.5999999999999999E-3</v>
      </c>
      <c r="J133" s="15">
        <v>9.4999999999999998E-3</v>
      </c>
      <c r="K133" s="15">
        <v>2.1000000000000001E-2</v>
      </c>
      <c r="L133" s="15">
        <v>0</v>
      </c>
      <c r="M133" s="12">
        <f t="shared" ref="M133" si="269">K133-L133*2</f>
        <v>2.1000000000000001E-2</v>
      </c>
      <c r="N133" s="12">
        <v>0.115</v>
      </c>
      <c r="O133" s="12">
        <v>3.0000000000000001E-3</v>
      </c>
      <c r="P133" s="12">
        <f t="shared" ref="P133" si="270">N133-O133*2</f>
        <v>0.109</v>
      </c>
      <c r="Q133" s="12">
        <f t="shared" ref="Q133" si="271">P133-M133</f>
        <v>8.7999999999999995E-2</v>
      </c>
      <c r="R133" s="12">
        <f t="shared" ref="R133" si="272">(Q133-I133)/J133</f>
        <v>8.8842105263157887</v>
      </c>
      <c r="S133" s="12">
        <f t="shared" ref="S133" si="273">R133*H133/10</f>
        <v>4.4421052631578943</v>
      </c>
      <c r="W133" s="62"/>
      <c r="X133" s="62"/>
    </row>
    <row r="134" spans="1:25">
      <c r="A134" s="39" t="s">
        <v>409</v>
      </c>
      <c r="C134" s="12" t="s">
        <v>467</v>
      </c>
      <c r="H134" s="15">
        <v>5</v>
      </c>
      <c r="I134" s="43">
        <v>3.5999999999999999E-3</v>
      </c>
      <c r="J134" s="15">
        <v>9.4999999999999998E-3</v>
      </c>
      <c r="K134" s="15">
        <v>2.1000000000000001E-2</v>
      </c>
      <c r="L134" s="15">
        <v>0</v>
      </c>
      <c r="M134" s="12">
        <f t="shared" si="264"/>
        <v>2.1000000000000001E-2</v>
      </c>
      <c r="N134" s="12">
        <v>0.113</v>
      </c>
      <c r="O134" s="12">
        <v>3.0000000000000001E-3</v>
      </c>
      <c r="P134" s="12">
        <f t="shared" si="265"/>
        <v>0.107</v>
      </c>
      <c r="Q134" s="12">
        <f t="shared" si="266"/>
        <v>8.5999999999999993E-2</v>
      </c>
      <c r="R134" s="12">
        <f t="shared" si="267"/>
        <v>8.6736842105263143</v>
      </c>
      <c r="S134" s="12">
        <f t="shared" si="268"/>
        <v>4.3368421052631572</v>
      </c>
      <c r="V134" s="12">
        <v>4.2160000000000002</v>
      </c>
      <c r="W134" s="12">
        <f>V134*1.1</f>
        <v>4.6376000000000008</v>
      </c>
      <c r="X134" s="12">
        <f>V134*0.9</f>
        <v>3.7944000000000004</v>
      </c>
    </row>
    <row r="135" spans="1:25">
      <c r="A135" s="39" t="s">
        <v>409</v>
      </c>
      <c r="C135" s="12" t="s">
        <v>468</v>
      </c>
      <c r="H135" s="15">
        <v>5</v>
      </c>
      <c r="I135" s="43">
        <v>3.5999999999999999E-3</v>
      </c>
      <c r="J135" s="15">
        <v>9.4999999999999998E-3</v>
      </c>
      <c r="K135" s="15">
        <v>2.1000000000000001E-2</v>
      </c>
      <c r="L135" s="15">
        <v>0</v>
      </c>
      <c r="M135" s="12">
        <f t="shared" si="264"/>
        <v>2.1000000000000001E-2</v>
      </c>
      <c r="N135" s="12">
        <v>0.115</v>
      </c>
      <c r="O135" s="12">
        <v>4.0000000000000001E-3</v>
      </c>
      <c r="P135" s="12">
        <f t="shared" si="265"/>
        <v>0.10700000000000001</v>
      </c>
      <c r="Q135" s="12">
        <f t="shared" si="266"/>
        <v>8.6000000000000007E-2</v>
      </c>
      <c r="R135" s="12">
        <f t="shared" si="267"/>
        <v>8.6736842105263161</v>
      </c>
      <c r="S135" s="12">
        <f t="shared" si="268"/>
        <v>4.3368421052631581</v>
      </c>
      <c r="V135" s="12">
        <v>4.2510000000000003</v>
      </c>
      <c r="W135" s="12">
        <f>V135*1.1</f>
        <v>4.6761000000000008</v>
      </c>
      <c r="X135" s="12">
        <f>V135*0.9</f>
        <v>3.8259000000000003</v>
      </c>
    </row>
    <row r="136" spans="1:25">
      <c r="A136" s="39"/>
      <c r="C136" s="50" t="s">
        <v>184</v>
      </c>
      <c r="D136" s="50"/>
      <c r="E136" s="50"/>
      <c r="F136" s="50"/>
      <c r="G136" s="50"/>
      <c r="H136" s="59">
        <v>1</v>
      </c>
      <c r="I136" s="23">
        <v>3.5999999999999999E-3</v>
      </c>
      <c r="J136" s="23">
        <v>9.4999999999999998E-3</v>
      </c>
      <c r="K136" s="24">
        <v>2.1000000000000001E-2</v>
      </c>
      <c r="L136" s="24">
        <v>0</v>
      </c>
      <c r="M136" s="24">
        <f t="shared" ref="M136:M138" si="274">K136-2*L136</f>
        <v>2.1000000000000001E-2</v>
      </c>
      <c r="N136" s="25">
        <v>0.16900000000000001</v>
      </c>
      <c r="O136" s="24">
        <v>4.0000000000000001E-3</v>
      </c>
      <c r="P136" s="24">
        <f t="shared" ref="P136:P138" si="275">N136-2*O136</f>
        <v>0.161</v>
      </c>
      <c r="Q136" s="24">
        <f t="shared" si="266"/>
        <v>0.14000000000000001</v>
      </c>
      <c r="R136" s="26">
        <f>(Q136-I136)/J136</f>
        <v>14.357894736842107</v>
      </c>
      <c r="S136" s="27">
        <f t="shared" si="268"/>
        <v>1.4357894736842107</v>
      </c>
      <c r="T136" s="47" t="s">
        <v>188</v>
      </c>
      <c r="V136" s="51" t="s">
        <v>186</v>
      </c>
    </row>
    <row r="137" spans="1:25">
      <c r="A137" s="39"/>
      <c r="C137" s="50" t="s">
        <v>185</v>
      </c>
      <c r="D137" s="50"/>
      <c r="E137" s="50"/>
      <c r="F137" s="50"/>
      <c r="G137" s="50"/>
      <c r="H137" s="59">
        <v>1</v>
      </c>
      <c r="I137" s="23">
        <v>3.5999999999999999E-3</v>
      </c>
      <c r="J137" s="23">
        <v>9.4999999999999998E-3</v>
      </c>
      <c r="K137" s="24">
        <v>2.1000000000000001E-2</v>
      </c>
      <c r="L137" s="24">
        <v>0</v>
      </c>
      <c r="M137" s="24">
        <f t="shared" si="274"/>
        <v>2.1000000000000001E-2</v>
      </c>
      <c r="N137" s="25">
        <v>0.17</v>
      </c>
      <c r="O137" s="24">
        <v>3.0000000000000001E-3</v>
      </c>
      <c r="P137" s="24">
        <f t="shared" si="275"/>
        <v>0.16400000000000001</v>
      </c>
      <c r="Q137" s="24">
        <f t="shared" si="266"/>
        <v>0.14300000000000002</v>
      </c>
      <c r="R137" s="26">
        <f>(Q137-I137)/J137</f>
        <v>14.673684210526318</v>
      </c>
      <c r="S137" s="27">
        <f t="shared" si="268"/>
        <v>1.4673684210526319</v>
      </c>
      <c r="V137" s="51" t="s">
        <v>187</v>
      </c>
    </row>
    <row r="138" spans="1:25">
      <c r="A138" s="39"/>
      <c r="C138" s="30" t="s">
        <v>87</v>
      </c>
      <c r="D138" s="30"/>
      <c r="E138" s="31"/>
      <c r="F138" s="31"/>
      <c r="G138" s="32"/>
      <c r="H138" s="60">
        <v>1</v>
      </c>
      <c r="I138" s="34">
        <v>3.5999999999999999E-3</v>
      </c>
      <c r="J138" s="34">
        <v>9.4999999999999998E-3</v>
      </c>
      <c r="K138" s="35">
        <v>2.1000000000000001E-2</v>
      </c>
      <c r="L138" s="35">
        <v>0</v>
      </c>
      <c r="M138" s="35">
        <f t="shared" si="274"/>
        <v>2.1000000000000001E-2</v>
      </c>
      <c r="N138" s="36">
        <v>0.13100000000000001</v>
      </c>
      <c r="O138" s="35">
        <v>4.0000000000000001E-3</v>
      </c>
      <c r="P138" s="35">
        <f t="shared" si="275"/>
        <v>0.123</v>
      </c>
      <c r="Q138" s="35">
        <f t="shared" si="266"/>
        <v>0.10199999999999999</v>
      </c>
      <c r="R138" s="37">
        <f t="shared" ref="R138" si="276">(Q138-I138)/J138</f>
        <v>10.357894736842104</v>
      </c>
      <c r="S138" s="38">
        <f t="shared" si="268"/>
        <v>1.0357894736842104</v>
      </c>
    </row>
    <row r="139" spans="1:25">
      <c r="A139" s="39" t="s">
        <v>409</v>
      </c>
      <c r="B139" s="13">
        <v>43921</v>
      </c>
      <c r="C139" s="12" t="s">
        <v>475</v>
      </c>
      <c r="D139" s="12" t="s">
        <v>466</v>
      </c>
      <c r="G139" s="12" t="s">
        <v>472</v>
      </c>
      <c r="H139" s="15">
        <v>5</v>
      </c>
      <c r="I139" s="43">
        <v>3.5999999999999999E-3</v>
      </c>
      <c r="J139" s="15">
        <v>9.4999999999999998E-3</v>
      </c>
      <c r="K139" s="15">
        <v>2.5000000000000001E-2</v>
      </c>
      <c r="L139" s="15">
        <v>3.0000000000000001E-3</v>
      </c>
      <c r="M139" s="12">
        <f t="shared" si="264"/>
        <v>1.9000000000000003E-2</v>
      </c>
      <c r="N139" s="12">
        <v>0.129</v>
      </c>
      <c r="O139" s="12">
        <v>3.0000000000000001E-3</v>
      </c>
      <c r="P139" s="12">
        <f t="shared" si="265"/>
        <v>0.123</v>
      </c>
      <c r="Q139" s="12">
        <f t="shared" si="266"/>
        <v>0.104</v>
      </c>
      <c r="R139" s="12">
        <f t="shared" si="267"/>
        <v>10.568421052631578</v>
      </c>
      <c r="S139" s="12">
        <f t="shared" si="268"/>
        <v>5.284210526315789</v>
      </c>
      <c r="V139" s="12">
        <v>4.1550000000000002</v>
      </c>
      <c r="W139" s="12">
        <f>V139*1.1</f>
        <v>4.5705000000000009</v>
      </c>
      <c r="X139" s="12">
        <f>V139*0.9</f>
        <v>3.7395000000000005</v>
      </c>
    </row>
    <row r="140" spans="1:25">
      <c r="A140" s="39" t="s">
        <v>409</v>
      </c>
      <c r="B140" s="13" t="s">
        <v>477</v>
      </c>
      <c r="C140" s="12" t="s">
        <v>476</v>
      </c>
      <c r="H140" s="15">
        <v>5</v>
      </c>
      <c r="I140" s="43">
        <v>3.5999999999999999E-3</v>
      </c>
      <c r="J140" s="15">
        <v>9.4999999999999998E-3</v>
      </c>
      <c r="K140" s="15">
        <v>2.5000000000000001E-2</v>
      </c>
      <c r="L140" s="15">
        <v>3.0000000000000001E-3</v>
      </c>
      <c r="M140" s="12">
        <f t="shared" ref="M140" si="277">K140-L140*2</f>
        <v>1.9000000000000003E-2</v>
      </c>
      <c r="N140" s="12">
        <v>0.128</v>
      </c>
      <c r="O140" s="12">
        <v>3.0000000000000001E-3</v>
      </c>
      <c r="P140" s="12">
        <f t="shared" ref="P140" si="278">N140-O140*2</f>
        <v>0.122</v>
      </c>
      <c r="Q140" s="12">
        <f t="shared" ref="Q140" si="279">P140-M140</f>
        <v>0.10299999999999999</v>
      </c>
      <c r="R140" s="12">
        <f t="shared" ref="R140" si="280">(Q140-I140)/J140</f>
        <v>10.463157894736842</v>
      </c>
      <c r="S140" s="12">
        <f t="shared" ref="S140" si="281">R140*H140/10</f>
        <v>5.2315789473684209</v>
      </c>
    </row>
    <row r="141" spans="1:25">
      <c r="A141" s="39" t="s">
        <v>409</v>
      </c>
      <c r="C141" s="12" t="s">
        <v>469</v>
      </c>
      <c r="H141" s="15">
        <v>5</v>
      </c>
      <c r="I141" s="43">
        <v>3.5999999999999999E-3</v>
      </c>
      <c r="J141" s="15">
        <v>9.4999999999999998E-3</v>
      </c>
      <c r="K141" s="15">
        <v>2.5000000000000001E-2</v>
      </c>
      <c r="L141" s="15">
        <v>3.0000000000000001E-3</v>
      </c>
      <c r="M141" s="12">
        <f t="shared" ref="M141:M142" si="282">K141-L141*2</f>
        <v>1.9000000000000003E-2</v>
      </c>
      <c r="N141" s="12">
        <v>0.113</v>
      </c>
      <c r="O141" s="12">
        <v>3.0000000000000001E-3</v>
      </c>
      <c r="P141" s="12">
        <f t="shared" si="265"/>
        <v>0.107</v>
      </c>
      <c r="Q141" s="12">
        <f t="shared" si="266"/>
        <v>8.7999999999999995E-2</v>
      </c>
      <c r="R141" s="12">
        <f t="shared" si="267"/>
        <v>8.8842105263157887</v>
      </c>
      <c r="S141" s="12">
        <f t="shared" si="268"/>
        <v>4.4421052631578943</v>
      </c>
      <c r="V141" s="12">
        <v>5.3970000000000002</v>
      </c>
      <c r="W141" s="12">
        <f>V141*1.1</f>
        <v>5.936700000000001</v>
      </c>
      <c r="X141" s="12">
        <f>V141*0.9</f>
        <v>4.8573000000000004</v>
      </c>
    </row>
    <row r="142" spans="1:25">
      <c r="A142" s="39" t="s">
        <v>409</v>
      </c>
      <c r="C142" s="12" t="s">
        <v>470</v>
      </c>
      <c r="H142" s="15">
        <v>5</v>
      </c>
      <c r="I142" s="43">
        <v>3.5999999999999999E-3</v>
      </c>
      <c r="J142" s="15">
        <v>9.4999999999999998E-3</v>
      </c>
      <c r="K142" s="15">
        <v>2.5000000000000001E-2</v>
      </c>
      <c r="L142" s="15">
        <v>3.0000000000000001E-3</v>
      </c>
      <c r="M142" s="12">
        <f t="shared" si="282"/>
        <v>1.9000000000000003E-2</v>
      </c>
      <c r="N142" s="12">
        <v>0.111</v>
      </c>
      <c r="O142" s="12">
        <v>3.0000000000000001E-3</v>
      </c>
      <c r="P142" s="12">
        <f t="shared" si="265"/>
        <v>0.105</v>
      </c>
      <c r="Q142" s="12">
        <f t="shared" si="266"/>
        <v>8.5999999999999993E-2</v>
      </c>
      <c r="R142" s="12">
        <f t="shared" si="267"/>
        <v>8.6736842105263143</v>
      </c>
      <c r="S142" s="12">
        <f t="shared" si="268"/>
        <v>4.3368421052631572</v>
      </c>
      <c r="V142" s="12">
        <v>4.2549999999999999</v>
      </c>
      <c r="W142" s="12">
        <f>V142*1.1</f>
        <v>4.6805000000000003</v>
      </c>
      <c r="X142" s="12">
        <f>V142*0.9</f>
        <v>3.8294999999999999</v>
      </c>
    </row>
    <row r="143" spans="1:25">
      <c r="A143" s="39"/>
      <c r="C143" s="30" t="s">
        <v>87</v>
      </c>
      <c r="D143" s="30"/>
      <c r="E143" s="31"/>
      <c r="F143" s="31"/>
      <c r="G143" s="32"/>
      <c r="H143" s="60">
        <v>1</v>
      </c>
      <c r="I143" s="34">
        <v>3.5999999999999999E-3</v>
      </c>
      <c r="J143" s="34">
        <v>9.4999999999999998E-3</v>
      </c>
      <c r="K143" s="35">
        <v>2.5000000000000001E-2</v>
      </c>
      <c r="L143" s="35">
        <v>3.0000000000000001E-3</v>
      </c>
      <c r="M143" s="35">
        <f t="shared" ref="M143" si="283">K143-2*L143</f>
        <v>1.9000000000000003E-2</v>
      </c>
      <c r="N143" s="36">
        <v>0.128</v>
      </c>
      <c r="O143" s="35">
        <v>5.0000000000000001E-3</v>
      </c>
      <c r="P143" s="35">
        <f t="shared" ref="P143" si="284">N143-2*O143</f>
        <v>0.11800000000000001</v>
      </c>
      <c r="Q143" s="35">
        <f t="shared" ref="Q143" si="285">P143-M143</f>
        <v>9.9000000000000005E-2</v>
      </c>
      <c r="R143" s="37">
        <f t="shared" si="267"/>
        <v>10.042105263157895</v>
      </c>
      <c r="S143" s="38">
        <f t="shared" ref="S143" si="286">R143*H143/10</f>
        <v>1.0042105263157894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Y168"/>
  <sheetViews>
    <sheetView workbookViewId="0">
      <pane ySplit="1" topLeftCell="A81" activePane="bottomLeft" state="frozen"/>
      <selection pane="bottomLeft"/>
    </sheetView>
  </sheetViews>
  <sheetFormatPr defaultColWidth="9.875" defaultRowHeight="13.5"/>
  <cols>
    <col min="1" max="1" width="9.875" style="45"/>
    <col min="2" max="2" width="9.875" style="12"/>
    <col min="3" max="3" width="18.125" style="72" customWidth="1"/>
    <col min="4" max="4" width="11.75" style="12" customWidth="1"/>
    <col min="5" max="5" width="10.5" style="12" customWidth="1"/>
    <col min="6" max="6" width="9.875" style="12"/>
    <col min="7" max="7" width="11.625" style="12" bestFit="1" customWidth="1"/>
    <col min="8" max="8" width="10.5" style="15" bestFit="1" customWidth="1"/>
    <col min="9" max="10" width="10.5" style="12" bestFit="1" customWidth="1"/>
    <col min="11" max="13" width="9.875" style="12"/>
    <col min="14" max="15" width="10.5" style="77" bestFit="1" customWidth="1"/>
    <col min="16" max="16384" width="9.875" style="12"/>
  </cols>
  <sheetData>
    <row r="1" spans="1:24" s="11" customFormat="1" ht="34.5" customHeight="1">
      <c r="A1" s="108" t="s">
        <v>319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58" t="s">
        <v>7</v>
      </c>
      <c r="I1" s="14" t="s">
        <v>8</v>
      </c>
      <c r="J1" s="14" t="s">
        <v>9</v>
      </c>
      <c r="K1" s="5" t="s">
        <v>10</v>
      </c>
      <c r="L1" s="5" t="s">
        <v>10</v>
      </c>
      <c r="M1" s="5" t="s">
        <v>10</v>
      </c>
      <c r="N1" s="6" t="s">
        <v>10</v>
      </c>
      <c r="O1" s="76" t="s">
        <v>10</v>
      </c>
      <c r="P1" s="7" t="s">
        <v>10</v>
      </c>
      <c r="Q1" s="8" t="s">
        <v>10</v>
      </c>
      <c r="R1" s="9" t="s">
        <v>11</v>
      </c>
      <c r="S1" s="9" t="s">
        <v>12</v>
      </c>
      <c r="T1" s="10" t="s">
        <v>13</v>
      </c>
      <c r="U1" s="10" t="s">
        <v>14</v>
      </c>
      <c r="V1" s="11" t="s">
        <v>15</v>
      </c>
    </row>
    <row r="2" spans="1:24">
      <c r="A2" s="39"/>
      <c r="B2" s="13">
        <v>43924</v>
      </c>
      <c r="C2" s="72" t="s">
        <v>488</v>
      </c>
      <c r="D2" s="12" t="s">
        <v>30</v>
      </c>
      <c r="H2" s="53">
        <v>5</v>
      </c>
      <c r="I2" s="43">
        <v>3.5999999999999999E-3</v>
      </c>
      <c r="J2" s="15">
        <v>9.4999999999999998E-3</v>
      </c>
      <c r="K2" s="15">
        <v>2.1999999999999999E-2</v>
      </c>
      <c r="L2" s="15">
        <v>3.0000000000000001E-3</v>
      </c>
      <c r="M2" s="12">
        <f t="shared" ref="M2:M4" si="0">K2-L2*2</f>
        <v>1.6E-2</v>
      </c>
      <c r="N2" s="77">
        <v>0.249</v>
      </c>
      <c r="O2" s="77">
        <v>5.0000000000000001E-3</v>
      </c>
      <c r="P2" s="12">
        <f>N2-O2*2</f>
        <v>0.23899999999999999</v>
      </c>
      <c r="Q2" s="12">
        <f>P2-M2</f>
        <v>0.22299999999999998</v>
      </c>
      <c r="R2" s="12">
        <f>(Q2-I2)/J2</f>
        <v>23.094736842105263</v>
      </c>
      <c r="S2" s="12">
        <f>R2*H2/10</f>
        <v>11.547368421052632</v>
      </c>
    </row>
    <row r="3" spans="1:24">
      <c r="A3" s="39"/>
      <c r="B3" s="12" t="s">
        <v>504</v>
      </c>
      <c r="C3" s="72" t="s">
        <v>489</v>
      </c>
      <c r="D3" s="12" t="s">
        <v>32</v>
      </c>
      <c r="H3" s="53">
        <v>10</v>
      </c>
      <c r="I3" s="43">
        <v>3.5999999999999999E-3</v>
      </c>
      <c r="J3" s="15">
        <v>9.4999999999999998E-3</v>
      </c>
      <c r="K3" s="15">
        <v>2.1999999999999999E-2</v>
      </c>
      <c r="L3" s="15">
        <v>3.0000000000000001E-3</v>
      </c>
      <c r="M3" s="12">
        <f t="shared" si="0"/>
        <v>1.6E-2</v>
      </c>
      <c r="N3" s="77">
        <v>0.23300000000000001</v>
      </c>
      <c r="O3" s="77">
        <v>5.0000000000000001E-3</v>
      </c>
      <c r="P3" s="12">
        <f>N3-O3*2</f>
        <v>0.223</v>
      </c>
      <c r="Q3" s="12">
        <f>P3-M3</f>
        <v>0.20700000000000002</v>
      </c>
      <c r="R3" s="12">
        <f>(Q3-I3)/J3</f>
        <v>21.410526315789475</v>
      </c>
      <c r="S3" s="12">
        <f>R3*H3/10</f>
        <v>21.410526315789475</v>
      </c>
    </row>
    <row r="4" spans="1:24">
      <c r="A4" s="39"/>
      <c r="C4" s="72" t="s">
        <v>490</v>
      </c>
      <c r="D4" s="12" t="s">
        <v>34</v>
      </c>
      <c r="H4" s="53">
        <v>10</v>
      </c>
      <c r="I4" s="43">
        <v>3.5999999999999999E-3</v>
      </c>
      <c r="J4" s="15">
        <v>9.4999999999999998E-3</v>
      </c>
      <c r="K4" s="15">
        <v>2.1999999999999999E-2</v>
      </c>
      <c r="L4" s="15">
        <v>3.0000000000000001E-3</v>
      </c>
      <c r="M4" s="12">
        <f t="shared" si="0"/>
        <v>1.6E-2</v>
      </c>
      <c r="N4" s="77">
        <v>0.21299999999999999</v>
      </c>
      <c r="O4" s="77">
        <v>6.0000000000000001E-3</v>
      </c>
      <c r="P4" s="12">
        <f>N4-O4*2</f>
        <v>0.20099999999999998</v>
      </c>
      <c r="Q4" s="12">
        <f>P4-M4</f>
        <v>0.185</v>
      </c>
      <c r="R4" s="12">
        <f>(Q4-I4)/J4</f>
        <v>19.094736842105263</v>
      </c>
      <c r="S4" s="12">
        <f>R4*H4/10</f>
        <v>19.094736842105263</v>
      </c>
    </row>
    <row r="5" spans="1:24">
      <c r="A5" s="39"/>
      <c r="C5" s="72" t="s">
        <v>491</v>
      </c>
      <c r="D5" s="12" t="s">
        <v>492</v>
      </c>
      <c r="H5" s="15">
        <v>5</v>
      </c>
      <c r="I5" s="43">
        <v>3.5999999999999999E-3</v>
      </c>
      <c r="J5" s="15">
        <v>9.4999999999999998E-3</v>
      </c>
      <c r="K5" s="15">
        <v>2.1999999999999999E-2</v>
      </c>
      <c r="L5" s="15">
        <v>3.0000000000000001E-3</v>
      </c>
      <c r="M5" s="12">
        <f t="shared" ref="M5:M6" si="1">K5-L5*2</f>
        <v>1.6E-2</v>
      </c>
      <c r="N5" s="78">
        <v>0.30199999999999999</v>
      </c>
      <c r="O5" s="79">
        <v>1.7000000000000001E-2</v>
      </c>
      <c r="P5" s="12">
        <f t="shared" ref="P5" si="2">N5-O5*2</f>
        <v>0.26800000000000002</v>
      </c>
      <c r="Q5" s="12">
        <f t="shared" ref="Q5" si="3">P5-M5</f>
        <v>0.252</v>
      </c>
      <c r="R5" s="12">
        <f t="shared" ref="R5" si="4">(Q5-I5)/J5</f>
        <v>26.147368421052633</v>
      </c>
      <c r="S5" s="12">
        <f t="shared" ref="S5" si="5">R5*H5/10</f>
        <v>13.073684210526318</v>
      </c>
    </row>
    <row r="6" spans="1:24">
      <c r="A6" s="39"/>
      <c r="C6" s="72" t="s">
        <v>493</v>
      </c>
      <c r="D6" s="12" t="s">
        <v>494</v>
      </c>
      <c r="H6" s="15">
        <v>5</v>
      </c>
      <c r="I6" s="43">
        <v>3.5999999999999999E-3</v>
      </c>
      <c r="J6" s="15">
        <v>9.4999999999999998E-3</v>
      </c>
      <c r="K6" s="15">
        <v>2.1999999999999999E-2</v>
      </c>
      <c r="L6" s="15">
        <v>3.0000000000000001E-3</v>
      </c>
      <c r="M6" s="12">
        <f t="shared" si="1"/>
        <v>1.6E-2</v>
      </c>
      <c r="N6" s="78">
        <v>0.11899999999999999</v>
      </c>
      <c r="O6" s="79">
        <v>4.9999999999999975E-3</v>
      </c>
      <c r="P6" s="12">
        <f t="shared" ref="P6" si="6">N6-O6*2</f>
        <v>0.109</v>
      </c>
      <c r="Q6" s="12">
        <f t="shared" ref="Q6" si="7">P6-M6</f>
        <v>9.2999999999999999E-2</v>
      </c>
      <c r="R6" s="12">
        <f t="shared" ref="R6" si="8">(Q6-I6)/J6</f>
        <v>9.4105263157894736</v>
      </c>
      <c r="S6" s="12">
        <f t="shared" ref="S6" si="9">R6*H6/10</f>
        <v>4.7052631578947368</v>
      </c>
    </row>
    <row r="7" spans="1:24">
      <c r="A7" s="39"/>
      <c r="C7" s="72" t="s">
        <v>495</v>
      </c>
      <c r="D7" s="12" t="s">
        <v>36</v>
      </c>
      <c r="H7" s="53">
        <v>5</v>
      </c>
      <c r="I7" s="43">
        <v>3.5999999999999999E-3</v>
      </c>
      <c r="J7" s="15">
        <v>9.4999999999999998E-3</v>
      </c>
      <c r="K7" s="15">
        <v>2.1999999999999999E-2</v>
      </c>
      <c r="L7" s="15">
        <v>3.0000000000000001E-3</v>
      </c>
      <c r="M7" s="12">
        <f t="shared" ref="M7" si="10">K7-L7*2</f>
        <v>1.6E-2</v>
      </c>
      <c r="N7" s="77">
        <v>0.14399999999999999</v>
      </c>
      <c r="O7" s="77">
        <v>5.0000000000000001E-3</v>
      </c>
      <c r="P7" s="12">
        <f>N7-O7*2</f>
        <v>0.13399999999999998</v>
      </c>
      <c r="Q7" s="12">
        <f>P7-M7</f>
        <v>0.11799999999999998</v>
      </c>
      <c r="R7" s="12">
        <f>(Q7-I7)/J7</f>
        <v>12.042105263157893</v>
      </c>
      <c r="S7" s="12">
        <f>R7*H7/10</f>
        <v>6.0210526315789465</v>
      </c>
    </row>
    <row r="8" spans="1:24">
      <c r="A8" s="39" t="s">
        <v>59</v>
      </c>
      <c r="C8" s="72" t="s">
        <v>578</v>
      </c>
      <c r="D8" s="12" t="s">
        <v>85</v>
      </c>
      <c r="H8" s="53">
        <v>10</v>
      </c>
      <c r="I8" s="43">
        <v>3.5999999999999999E-3</v>
      </c>
      <c r="J8" s="15">
        <v>9.4999999999999998E-3</v>
      </c>
      <c r="K8" s="15">
        <v>2.1999999999999999E-2</v>
      </c>
      <c r="L8" s="15">
        <v>3.0000000000000001E-3</v>
      </c>
      <c r="M8" s="12">
        <f t="shared" ref="M8" si="11">K8-L8*2</f>
        <v>1.6E-2</v>
      </c>
      <c r="N8" s="77">
        <v>0.505</v>
      </c>
      <c r="O8" s="77">
        <v>1.7000000000000001E-2</v>
      </c>
      <c r="P8" s="12">
        <f>N8-O8*2</f>
        <v>0.47099999999999997</v>
      </c>
      <c r="Q8" s="12">
        <f>P8-M8</f>
        <v>0.45499999999999996</v>
      </c>
      <c r="R8" s="12">
        <f>(Q8-I8)/J8</f>
        <v>47.515789473684208</v>
      </c>
      <c r="S8" s="12">
        <f>R8*H8/10</f>
        <v>47.515789473684208</v>
      </c>
    </row>
    <row r="9" spans="1:24">
      <c r="A9" s="39" t="s">
        <v>16</v>
      </c>
      <c r="C9" s="72" t="s">
        <v>520</v>
      </c>
      <c r="D9" s="12" t="s">
        <v>67</v>
      </c>
      <c r="H9" s="15">
        <v>5</v>
      </c>
      <c r="I9" s="43">
        <v>3.5999999999999999E-3</v>
      </c>
      <c r="J9" s="15">
        <v>9.4999999999999998E-3</v>
      </c>
      <c r="K9" s="15">
        <v>2.1999999999999999E-2</v>
      </c>
      <c r="L9" s="15">
        <v>3.0000000000000001E-3</v>
      </c>
      <c r="M9" s="12">
        <f t="shared" ref="M9" si="12">K9-L9*2</f>
        <v>1.6E-2</v>
      </c>
      <c r="N9" s="77">
        <v>0.105</v>
      </c>
      <c r="O9" s="77">
        <v>3.0000000000000001E-3</v>
      </c>
      <c r="P9" s="12">
        <f t="shared" ref="P9" si="13">N9-O9*2</f>
        <v>9.8999999999999991E-2</v>
      </c>
      <c r="Q9" s="12">
        <f t="shared" ref="Q9" si="14">P9-M9</f>
        <v>8.299999999999999E-2</v>
      </c>
      <c r="R9" s="12">
        <f t="shared" ref="R9" si="15">(Q9-I9)/J9</f>
        <v>8.3578947368421037</v>
      </c>
      <c r="S9" s="12">
        <f t="shared" ref="S9" si="16">R9*H9/10</f>
        <v>4.1789473684210519</v>
      </c>
      <c r="U9" s="12">
        <v>0.111</v>
      </c>
      <c r="V9" s="12">
        <v>5.2999999999999999E-2</v>
      </c>
      <c r="W9" s="12">
        <f>U9-0.089</f>
        <v>2.2000000000000006E-2</v>
      </c>
      <c r="X9" s="12">
        <f>V9-0.05</f>
        <v>2.9999999999999957E-3</v>
      </c>
    </row>
    <row r="10" spans="1:24">
      <c r="A10" s="39" t="s">
        <v>16</v>
      </c>
      <c r="C10" s="72" t="s">
        <v>521</v>
      </c>
      <c r="H10" s="15">
        <v>5</v>
      </c>
      <c r="I10" s="43">
        <v>3.5999999999999999E-3</v>
      </c>
      <c r="J10" s="15">
        <v>9.4999999999999998E-3</v>
      </c>
      <c r="K10" s="15">
        <v>2.1999999999999999E-2</v>
      </c>
      <c r="L10" s="15">
        <v>3.0000000000000001E-3</v>
      </c>
      <c r="M10" s="12">
        <f t="shared" ref="M10" si="17">K10-L10*2</f>
        <v>1.6E-2</v>
      </c>
      <c r="N10" s="77">
        <v>0.106</v>
      </c>
      <c r="O10" s="77">
        <v>3.0000000000000001E-3</v>
      </c>
      <c r="P10" s="12">
        <f t="shared" ref="P10" si="18">N10-O10*2</f>
        <v>9.9999999999999992E-2</v>
      </c>
      <c r="Q10" s="12">
        <f t="shared" ref="Q10:Q11" si="19">P10-M10</f>
        <v>8.3999999999999991E-2</v>
      </c>
      <c r="R10" s="12">
        <f t="shared" ref="R10:R11" si="20">(Q10-I10)/J10</f>
        <v>8.46315789473684</v>
      </c>
      <c r="S10" s="12">
        <f t="shared" ref="S10:S11" si="21">R10*H10/10</f>
        <v>4.23157894736842</v>
      </c>
    </row>
    <row r="11" spans="1:24">
      <c r="A11" s="39"/>
      <c r="C11" s="30" t="s">
        <v>87</v>
      </c>
      <c r="D11" s="30"/>
      <c r="E11" s="31"/>
      <c r="F11" s="31"/>
      <c r="G11" s="32"/>
      <c r="H11" s="60">
        <v>1</v>
      </c>
      <c r="I11" s="34">
        <v>3.5999999999999999E-3</v>
      </c>
      <c r="J11" s="34">
        <v>9.4999999999999998E-3</v>
      </c>
      <c r="K11" s="35">
        <v>2.1999999999999999E-2</v>
      </c>
      <c r="L11" s="35">
        <v>3.0000000000000001E-3</v>
      </c>
      <c r="M11" s="35">
        <f t="shared" ref="M11" si="22">K11-2*L11</f>
        <v>1.6E-2</v>
      </c>
      <c r="N11" s="36">
        <v>0.125</v>
      </c>
      <c r="O11" s="80">
        <v>4.0000000000000001E-3</v>
      </c>
      <c r="P11" s="35">
        <f t="shared" ref="P11" si="23">N11-2*O11</f>
        <v>0.11699999999999999</v>
      </c>
      <c r="Q11" s="35">
        <f t="shared" si="19"/>
        <v>0.10099999999999999</v>
      </c>
      <c r="R11" s="37">
        <f t="shared" si="20"/>
        <v>10.252631578947367</v>
      </c>
      <c r="S11" s="38">
        <f t="shared" si="21"/>
        <v>1.0252631578947367</v>
      </c>
    </row>
    <row r="12" spans="1:24" ht="15.75" customHeight="1">
      <c r="A12" s="39" t="s">
        <v>72</v>
      </c>
      <c r="C12" s="72" t="s">
        <v>479</v>
      </c>
      <c r="D12" s="12" t="s">
        <v>65</v>
      </c>
      <c r="F12" s="12" t="s">
        <v>480</v>
      </c>
      <c r="H12" s="15">
        <v>1</v>
      </c>
      <c r="I12" s="43">
        <v>3.5999999999999999E-3</v>
      </c>
      <c r="J12" s="15">
        <v>9.4999999999999998E-3</v>
      </c>
      <c r="K12" s="15">
        <v>2.1999999999999999E-2</v>
      </c>
      <c r="L12" s="15">
        <v>3.0000000000000001E-3</v>
      </c>
      <c r="M12" s="12">
        <f t="shared" ref="M12:M15" si="24">K12-L12*2</f>
        <v>1.6E-2</v>
      </c>
      <c r="N12" s="77">
        <v>0.26100000000000001</v>
      </c>
      <c r="O12" s="77">
        <v>6.9999999999999993E-3</v>
      </c>
      <c r="P12" s="12">
        <f t="shared" ref="P12:P15" si="25">N12-O12*2</f>
        <v>0.247</v>
      </c>
      <c r="Q12" s="12">
        <f t="shared" ref="Q12:Q15" si="26">P12-M12</f>
        <v>0.23099999999999998</v>
      </c>
      <c r="R12" s="12">
        <f t="shared" ref="R12:R15" si="27">(Q12-I12)/J12</f>
        <v>23.936842105263157</v>
      </c>
      <c r="S12" s="12">
        <f t="shared" ref="S12:S15" si="28">R12*H12/10</f>
        <v>2.3936842105263159</v>
      </c>
      <c r="U12" s="12">
        <v>0.16800000000000001</v>
      </c>
      <c r="V12" s="12">
        <v>5.7000000000000002E-2</v>
      </c>
      <c r="W12" s="12">
        <f t="shared" ref="W12:W18" si="29">U12-0.089</f>
        <v>7.9000000000000015E-2</v>
      </c>
      <c r="X12" s="12">
        <f t="shared" ref="X12:X18" si="30">V12-0.05</f>
        <v>6.9999999999999993E-3</v>
      </c>
    </row>
    <row r="13" spans="1:24">
      <c r="A13" s="39" t="s">
        <v>72</v>
      </c>
      <c r="C13" s="72" t="s">
        <v>481</v>
      </c>
      <c r="F13" s="12" t="s">
        <v>138</v>
      </c>
      <c r="H13" s="15">
        <v>5</v>
      </c>
      <c r="I13" s="43">
        <v>3.5999999999999999E-3</v>
      </c>
      <c r="J13" s="15">
        <v>9.4999999999999998E-3</v>
      </c>
      <c r="K13" s="15">
        <v>2.1999999999999999E-2</v>
      </c>
      <c r="L13" s="15">
        <v>3.0000000000000001E-3</v>
      </c>
      <c r="M13" s="12">
        <f t="shared" si="24"/>
        <v>1.6E-2</v>
      </c>
      <c r="N13" s="77">
        <v>0.36099999999999999</v>
      </c>
      <c r="O13" s="77">
        <v>2.8999999999999998E-2</v>
      </c>
      <c r="P13" s="12">
        <f t="shared" si="25"/>
        <v>0.30299999999999999</v>
      </c>
      <c r="Q13" s="12">
        <f t="shared" si="26"/>
        <v>0.28699999999999998</v>
      </c>
      <c r="R13" s="12">
        <f t="shared" si="27"/>
        <v>29.831578947368421</v>
      </c>
      <c r="S13" s="12">
        <f t="shared" si="28"/>
        <v>14.91578947368421</v>
      </c>
      <c r="U13" s="12">
        <v>0.45</v>
      </c>
      <c r="V13" s="12">
        <v>7.9000000000000001E-2</v>
      </c>
      <c r="W13" s="12">
        <f t="shared" si="29"/>
        <v>0.36099999999999999</v>
      </c>
      <c r="X13" s="12">
        <f t="shared" si="30"/>
        <v>2.8999999999999998E-2</v>
      </c>
    </row>
    <row r="14" spans="1:24">
      <c r="A14" s="39" t="s">
        <v>72</v>
      </c>
      <c r="C14" s="72" t="s">
        <v>482</v>
      </c>
      <c r="D14" s="12" t="s">
        <v>483</v>
      </c>
      <c r="F14" s="12" t="s">
        <v>138</v>
      </c>
      <c r="H14" s="15">
        <v>10</v>
      </c>
      <c r="I14" s="43">
        <v>3.5999999999999999E-3</v>
      </c>
      <c r="J14" s="15">
        <v>9.4999999999999998E-3</v>
      </c>
      <c r="K14" s="15">
        <v>2.1999999999999999E-2</v>
      </c>
      <c r="L14" s="15">
        <v>3.0000000000000001E-3</v>
      </c>
      <c r="M14" s="12">
        <f t="shared" si="24"/>
        <v>1.6E-2</v>
      </c>
      <c r="N14" s="77">
        <v>0.128</v>
      </c>
      <c r="O14" s="77">
        <v>8.0000000000000002E-3</v>
      </c>
      <c r="P14" s="12">
        <f t="shared" si="25"/>
        <v>0.112</v>
      </c>
      <c r="Q14" s="12">
        <f t="shared" si="26"/>
        <v>9.6000000000000002E-2</v>
      </c>
      <c r="R14" s="12">
        <f t="shared" si="27"/>
        <v>9.7263157894736842</v>
      </c>
      <c r="S14" s="12">
        <f t="shared" si="28"/>
        <v>9.7263157894736842</v>
      </c>
      <c r="U14" s="12">
        <v>0.217</v>
      </c>
      <c r="V14" s="12">
        <v>5.8000000000000003E-2</v>
      </c>
      <c r="W14" s="12">
        <f t="shared" si="29"/>
        <v>0.128</v>
      </c>
      <c r="X14" s="12">
        <f t="shared" si="30"/>
        <v>8.0000000000000002E-3</v>
      </c>
    </row>
    <row r="15" spans="1:24">
      <c r="A15" s="39" t="s">
        <v>59</v>
      </c>
      <c r="C15" s="72" t="s">
        <v>496</v>
      </c>
      <c r="D15" s="12" t="s">
        <v>497</v>
      </c>
      <c r="H15" s="15">
        <v>10</v>
      </c>
      <c r="I15" s="43">
        <v>3.5999999999999999E-3</v>
      </c>
      <c r="J15" s="15">
        <v>9.4999999999999998E-3</v>
      </c>
      <c r="K15" s="15">
        <v>2.1999999999999999E-2</v>
      </c>
      <c r="L15" s="15">
        <v>3.0000000000000001E-3</v>
      </c>
      <c r="M15" s="12">
        <f t="shared" si="24"/>
        <v>1.6E-2</v>
      </c>
      <c r="N15" s="77">
        <v>0.505</v>
      </c>
      <c r="O15" s="77">
        <v>1.7000000000000001E-2</v>
      </c>
      <c r="P15" s="12">
        <f t="shared" si="25"/>
        <v>0.47099999999999997</v>
      </c>
      <c r="Q15" s="12">
        <f t="shared" si="26"/>
        <v>0.45499999999999996</v>
      </c>
      <c r="R15" s="12">
        <f t="shared" si="27"/>
        <v>47.515789473684208</v>
      </c>
      <c r="S15" s="12">
        <f t="shared" si="28"/>
        <v>47.515789473684208</v>
      </c>
    </row>
    <row r="16" spans="1:24">
      <c r="A16" s="39" t="s">
        <v>16</v>
      </c>
      <c r="C16" s="72" t="s">
        <v>484</v>
      </c>
      <c r="D16" s="12" t="s">
        <v>69</v>
      </c>
      <c r="F16" s="12" t="s">
        <v>485</v>
      </c>
      <c r="H16" s="15">
        <v>2</v>
      </c>
      <c r="I16" s="43">
        <v>3.5999999999999999E-3</v>
      </c>
      <c r="J16" s="15">
        <v>9.4999999999999998E-3</v>
      </c>
      <c r="K16" s="15">
        <v>2.1999999999999999E-2</v>
      </c>
      <c r="L16" s="15">
        <v>3.0000000000000001E-3</v>
      </c>
      <c r="M16" s="12">
        <f t="shared" ref="M16:M19" si="31">K16-L16*2</f>
        <v>1.6E-2</v>
      </c>
      <c r="N16" s="77">
        <v>0.20399999999999999</v>
      </c>
      <c r="O16" s="77">
        <v>1.0000000000000009E-3</v>
      </c>
      <c r="P16" s="12">
        <f t="shared" ref="P16:P20" si="32">N16-O16*2</f>
        <v>0.20199999999999999</v>
      </c>
      <c r="Q16" s="12">
        <f t="shared" ref="Q16:Q20" si="33">P16-M16</f>
        <v>0.186</v>
      </c>
      <c r="R16" s="12">
        <f t="shared" ref="R16:R20" si="34">(Q16-I16)/J16</f>
        <v>19.200000000000003</v>
      </c>
      <c r="S16" s="12">
        <f t="shared" ref="S16:S20" si="35">R16*H16/10</f>
        <v>3.8400000000000007</v>
      </c>
      <c r="U16" s="12">
        <v>1.046</v>
      </c>
      <c r="V16" s="12">
        <v>6.7000000000000004E-2</v>
      </c>
      <c r="W16" s="12">
        <f t="shared" si="29"/>
        <v>0.95700000000000007</v>
      </c>
      <c r="X16" s="12">
        <f t="shared" si="30"/>
        <v>1.7000000000000001E-2</v>
      </c>
    </row>
    <row r="17" spans="1:24">
      <c r="A17" s="39" t="s">
        <v>16</v>
      </c>
      <c r="C17" s="72" t="s">
        <v>486</v>
      </c>
      <c r="D17" s="12" t="s">
        <v>118</v>
      </c>
      <c r="F17" s="12" t="s">
        <v>119</v>
      </c>
      <c r="H17" s="15">
        <v>100</v>
      </c>
      <c r="I17" s="43">
        <v>3.5999999999999999E-3</v>
      </c>
      <c r="J17" s="15">
        <v>9.4999999999999998E-3</v>
      </c>
      <c r="K17" s="15">
        <v>2.1999999999999999E-2</v>
      </c>
      <c r="L17" s="15">
        <v>3.0000000000000001E-3</v>
      </c>
      <c r="M17" s="12">
        <f t="shared" si="31"/>
        <v>1.6E-2</v>
      </c>
      <c r="N17" s="77">
        <v>0.16500000000000001</v>
      </c>
      <c r="O17" s="77">
        <v>3.0000000000000027E-3</v>
      </c>
      <c r="P17" s="12">
        <f t="shared" si="32"/>
        <v>0.159</v>
      </c>
      <c r="Q17" s="12">
        <f t="shared" si="33"/>
        <v>0.14300000000000002</v>
      </c>
      <c r="R17" s="12">
        <f t="shared" si="34"/>
        <v>14.673684210526318</v>
      </c>
      <c r="S17" s="12">
        <f t="shared" si="35"/>
        <v>146.73684210526318</v>
      </c>
      <c r="U17" s="12">
        <v>0.502</v>
      </c>
      <c r="V17" s="12">
        <v>6.7000000000000004E-2</v>
      </c>
      <c r="W17" s="12">
        <f t="shared" si="29"/>
        <v>0.41300000000000003</v>
      </c>
      <c r="X17" s="12">
        <f t="shared" si="30"/>
        <v>1.7000000000000001E-2</v>
      </c>
    </row>
    <row r="18" spans="1:24">
      <c r="A18" s="39" t="s">
        <v>16</v>
      </c>
      <c r="C18" s="72" t="s">
        <v>487</v>
      </c>
      <c r="F18" s="12" t="s">
        <v>121</v>
      </c>
      <c r="H18" s="15">
        <v>1</v>
      </c>
      <c r="I18" s="43">
        <v>3.5999999999999999E-3</v>
      </c>
      <c r="J18" s="15">
        <v>9.4999999999999998E-3</v>
      </c>
      <c r="K18" s="15">
        <v>2.1999999999999999E-2</v>
      </c>
      <c r="L18" s="15">
        <v>3.0000000000000001E-3</v>
      </c>
      <c r="M18" s="12">
        <f t="shared" si="31"/>
        <v>1.6E-2</v>
      </c>
      <c r="N18" s="77">
        <v>0.35399999999999998</v>
      </c>
      <c r="O18" s="77">
        <v>4.0000000000000036E-3</v>
      </c>
      <c r="P18" s="12">
        <f t="shared" si="32"/>
        <v>0.34599999999999997</v>
      </c>
      <c r="Q18" s="12">
        <f t="shared" si="33"/>
        <v>0.32999999999999996</v>
      </c>
      <c r="R18" s="12">
        <f t="shared" si="34"/>
        <v>34.357894736842105</v>
      </c>
      <c r="S18" s="12">
        <f t="shared" si="35"/>
        <v>3.4357894736842107</v>
      </c>
      <c r="U18" s="12">
        <v>0.20799999999999999</v>
      </c>
      <c r="V18" s="12">
        <v>5.5E-2</v>
      </c>
      <c r="W18" s="12">
        <f t="shared" si="29"/>
        <v>0.11899999999999999</v>
      </c>
      <c r="X18" s="12">
        <f t="shared" si="30"/>
        <v>4.9999999999999975E-3</v>
      </c>
    </row>
    <row r="19" spans="1:24">
      <c r="A19" s="39" t="s">
        <v>503</v>
      </c>
      <c r="C19" s="72" t="s">
        <v>498</v>
      </c>
      <c r="D19" s="12" t="s">
        <v>500</v>
      </c>
      <c r="F19" s="12" t="s">
        <v>501</v>
      </c>
      <c r="H19" s="15">
        <v>50</v>
      </c>
      <c r="I19" s="43">
        <v>3.5999999999999999E-3</v>
      </c>
      <c r="J19" s="15">
        <v>9.4999999999999998E-3</v>
      </c>
      <c r="K19" s="15">
        <v>0.02</v>
      </c>
      <c r="L19" s="15">
        <v>2E-3</v>
      </c>
      <c r="M19" s="12">
        <f t="shared" si="31"/>
        <v>1.6E-2</v>
      </c>
      <c r="N19" s="77">
        <v>0.111</v>
      </c>
      <c r="O19" s="77">
        <v>6.9999999999999993E-3</v>
      </c>
      <c r="P19" s="12">
        <f t="shared" si="32"/>
        <v>9.7000000000000003E-2</v>
      </c>
      <c r="Q19" s="12">
        <f t="shared" si="33"/>
        <v>8.1000000000000003E-2</v>
      </c>
      <c r="R19" s="12">
        <f t="shared" si="34"/>
        <v>8.1473684210526311</v>
      </c>
      <c r="S19" s="12">
        <f t="shared" si="35"/>
        <v>40.736842105263158</v>
      </c>
    </row>
    <row r="20" spans="1:24">
      <c r="A20" s="39" t="s">
        <v>503</v>
      </c>
      <c r="C20" s="72" t="s">
        <v>499</v>
      </c>
      <c r="F20" s="12" t="s">
        <v>502</v>
      </c>
      <c r="H20" s="15">
        <v>100</v>
      </c>
      <c r="I20" s="43">
        <v>3.5999999999999999E-3</v>
      </c>
      <c r="J20" s="15">
        <v>9.4999999999999998E-3</v>
      </c>
      <c r="K20" s="15">
        <v>0.02</v>
      </c>
      <c r="L20" s="15">
        <v>2E-3</v>
      </c>
      <c r="M20" s="12">
        <f t="shared" ref="M20:M21" si="36">K20-L20*2</f>
        <v>1.6E-2</v>
      </c>
      <c r="N20" s="77">
        <v>0.192</v>
      </c>
      <c r="O20" s="77">
        <v>8.0000000000000002E-3</v>
      </c>
      <c r="P20" s="12">
        <f t="shared" si="32"/>
        <v>0.17599999999999999</v>
      </c>
      <c r="Q20" s="12">
        <f t="shared" si="33"/>
        <v>0.15999999999999998</v>
      </c>
      <c r="R20" s="12">
        <f t="shared" si="34"/>
        <v>16.463157894736842</v>
      </c>
      <c r="S20" s="12">
        <f t="shared" si="35"/>
        <v>164.63157894736841</v>
      </c>
      <c r="U20" s="12">
        <v>0.11700000000000001</v>
      </c>
      <c r="V20" s="12">
        <v>5.5E-2</v>
      </c>
      <c r="W20" s="12">
        <f>U20-0.097</f>
        <v>2.0000000000000004E-2</v>
      </c>
      <c r="X20" s="12">
        <f>V20-0.053</f>
        <v>2.0000000000000018E-3</v>
      </c>
    </row>
    <row r="21" spans="1:24">
      <c r="A21" s="39" t="s">
        <v>505</v>
      </c>
      <c r="B21" s="13">
        <v>43928</v>
      </c>
      <c r="C21" s="72" t="s">
        <v>522</v>
      </c>
      <c r="D21" s="12" t="s">
        <v>17</v>
      </c>
      <c r="F21" s="65"/>
      <c r="G21" s="65"/>
      <c r="H21" s="15">
        <v>5</v>
      </c>
      <c r="I21" s="43">
        <v>3.5999999999999999E-3</v>
      </c>
      <c r="J21" s="15">
        <v>9.4999999999999998E-3</v>
      </c>
      <c r="K21" s="12">
        <v>2.3E-2</v>
      </c>
      <c r="L21" s="12">
        <v>2E-3</v>
      </c>
      <c r="M21" s="12">
        <f t="shared" si="36"/>
        <v>1.9E-2</v>
      </c>
      <c r="N21" s="77">
        <v>0.11799999999999999</v>
      </c>
      <c r="O21" s="77">
        <v>5.0000000000000001E-3</v>
      </c>
      <c r="P21" s="12">
        <f t="shared" ref="P21:P36" si="37">N21-O21*2</f>
        <v>0.108</v>
      </c>
      <c r="Q21" s="12">
        <f t="shared" ref="Q21:Q36" si="38">P21-M21</f>
        <v>8.8999999999999996E-2</v>
      </c>
      <c r="R21" s="12">
        <f t="shared" ref="R21:R36" si="39">(Q21-I21)/J21</f>
        <v>8.989473684210525</v>
      </c>
      <c r="S21" s="12">
        <f t="shared" ref="S21:S36" si="40">R21*H21/10</f>
        <v>4.4947368421052625</v>
      </c>
    </row>
    <row r="22" spans="1:24">
      <c r="A22" s="39" t="s">
        <v>505</v>
      </c>
      <c r="B22" s="13" t="s">
        <v>519</v>
      </c>
      <c r="C22" s="72" t="s">
        <v>523</v>
      </c>
      <c r="F22" s="65"/>
      <c r="G22" s="65"/>
      <c r="H22" s="15">
        <v>5</v>
      </c>
      <c r="I22" s="43">
        <v>3.5999999999999999E-3</v>
      </c>
      <c r="J22" s="15">
        <v>9.4999999999999998E-3</v>
      </c>
      <c r="K22" s="12">
        <v>2.3E-2</v>
      </c>
      <c r="L22" s="12">
        <v>2E-3</v>
      </c>
      <c r="M22" s="12">
        <f t="shared" ref="M22" si="41">K22-L22*2</f>
        <v>1.9E-2</v>
      </c>
      <c r="N22" s="77">
        <v>0.11899999999999999</v>
      </c>
      <c r="O22" s="77">
        <v>5.0000000000000001E-3</v>
      </c>
      <c r="P22" s="12">
        <f t="shared" ref="P22" si="42">N22-O22*2</f>
        <v>0.109</v>
      </c>
      <c r="Q22" s="12">
        <f t="shared" ref="Q22:Q23" si="43">P22-M22</f>
        <v>0.09</v>
      </c>
      <c r="R22" s="12">
        <f t="shared" ref="R22:R23" si="44">(Q22-I22)/J22</f>
        <v>9.094736842105263</v>
      </c>
      <c r="S22" s="12">
        <f t="shared" ref="S22:S23" si="45">R22*H22/10</f>
        <v>4.5473684210526315</v>
      </c>
    </row>
    <row r="23" spans="1:24">
      <c r="A23" s="39"/>
      <c r="C23" s="30" t="s">
        <v>87</v>
      </c>
      <c r="D23" s="30"/>
      <c r="E23" s="31"/>
      <c r="F23" s="31"/>
      <c r="G23" s="32"/>
      <c r="H23" s="60">
        <v>1</v>
      </c>
      <c r="I23" s="34">
        <v>3.5999999999999999E-3</v>
      </c>
      <c r="J23" s="34">
        <v>9.4999999999999998E-3</v>
      </c>
      <c r="K23" s="35">
        <v>2.3E-2</v>
      </c>
      <c r="L23" s="35">
        <v>3.0000000000000001E-3</v>
      </c>
      <c r="M23" s="35">
        <v>1.9E-2</v>
      </c>
      <c r="N23" s="36">
        <v>0.126</v>
      </c>
      <c r="O23" s="80">
        <v>4.0000000000000001E-3</v>
      </c>
      <c r="P23" s="35">
        <f t="shared" ref="P23" si="46">N23-2*O23</f>
        <v>0.11799999999999999</v>
      </c>
      <c r="Q23" s="35">
        <f t="shared" si="43"/>
        <v>9.8999999999999991E-2</v>
      </c>
      <c r="R23" s="37">
        <f t="shared" si="44"/>
        <v>10.042105263157893</v>
      </c>
      <c r="S23" s="38">
        <f t="shared" si="45"/>
        <v>1.0042105263157892</v>
      </c>
    </row>
    <row r="24" spans="1:24">
      <c r="A24" s="39" t="s">
        <v>505</v>
      </c>
      <c r="C24" s="72" t="s">
        <v>506</v>
      </c>
      <c r="D24" s="12" t="s">
        <v>132</v>
      </c>
      <c r="F24" s="65"/>
      <c r="G24" s="65"/>
      <c r="H24" s="15">
        <v>5</v>
      </c>
      <c r="I24" s="43">
        <v>3.5999999999999999E-3</v>
      </c>
      <c r="J24" s="15">
        <v>9.4999999999999998E-3</v>
      </c>
      <c r="K24" s="12">
        <v>2.3E-2</v>
      </c>
      <c r="L24" s="12">
        <v>2E-3</v>
      </c>
      <c r="M24" s="12">
        <f t="shared" ref="M24:M36" si="47">K24-L24*2</f>
        <v>1.9E-2</v>
      </c>
      <c r="N24" s="77">
        <v>0.123</v>
      </c>
      <c r="O24" s="77">
        <v>4.0000000000000001E-3</v>
      </c>
      <c r="P24" s="12">
        <f t="shared" si="37"/>
        <v>0.11499999999999999</v>
      </c>
      <c r="Q24" s="12">
        <f t="shared" si="38"/>
        <v>9.5999999999999988E-2</v>
      </c>
      <c r="R24" s="12">
        <f t="shared" si="39"/>
        <v>9.7263157894736825</v>
      </c>
      <c r="S24" s="12">
        <f t="shared" si="40"/>
        <v>4.8631578947368412</v>
      </c>
      <c r="U24" s="12">
        <v>0.11799999999999999</v>
      </c>
      <c r="V24" s="12">
        <v>0.06</v>
      </c>
      <c r="W24" s="12">
        <f>U24-0.095</f>
        <v>2.2999999999999993E-2</v>
      </c>
      <c r="X24" s="12">
        <f>V24-0.058</f>
        <v>1.9999999999999948E-3</v>
      </c>
    </row>
    <row r="25" spans="1:24">
      <c r="A25" s="39" t="s">
        <v>505</v>
      </c>
      <c r="C25" s="72" t="s">
        <v>507</v>
      </c>
      <c r="D25" s="12" t="s">
        <v>508</v>
      </c>
      <c r="F25" s="65"/>
      <c r="G25" s="65"/>
      <c r="H25" s="15">
        <v>5</v>
      </c>
      <c r="I25" s="43">
        <v>3.5999999999999999E-3</v>
      </c>
      <c r="J25" s="15">
        <v>9.4999999999999998E-3</v>
      </c>
      <c r="K25" s="12">
        <v>2.3E-2</v>
      </c>
      <c r="L25" s="12">
        <v>2E-3</v>
      </c>
      <c r="M25" s="12">
        <f t="shared" si="47"/>
        <v>1.9E-2</v>
      </c>
      <c r="N25" s="77">
        <v>0.16300000000000001</v>
      </c>
      <c r="O25" s="77">
        <v>5.0000000000000001E-3</v>
      </c>
      <c r="P25" s="12">
        <f t="shared" si="37"/>
        <v>0.153</v>
      </c>
      <c r="Q25" s="12">
        <f t="shared" si="38"/>
        <v>0.13400000000000001</v>
      </c>
      <c r="R25" s="12">
        <f t="shared" si="39"/>
        <v>13.726315789473686</v>
      </c>
      <c r="S25" s="12">
        <f t="shared" si="40"/>
        <v>6.8631578947368421</v>
      </c>
      <c r="U25" s="12">
        <v>0.21299999999999999</v>
      </c>
      <c r="V25" s="12">
        <v>6.3E-2</v>
      </c>
      <c r="W25" s="12">
        <f t="shared" ref="W25:W31" si="48">U25-0.095</f>
        <v>0.11799999999999999</v>
      </c>
      <c r="X25" s="12">
        <f t="shared" ref="X25:X31" si="49">V25-0.058</f>
        <v>4.9999999999999975E-3</v>
      </c>
    </row>
    <row r="26" spans="1:24">
      <c r="A26" s="39" t="s">
        <v>505</v>
      </c>
      <c r="C26" s="72" t="s">
        <v>509</v>
      </c>
      <c r="D26" s="12" t="s">
        <v>20</v>
      </c>
      <c r="F26" s="65"/>
      <c r="G26" s="65"/>
      <c r="H26" s="15">
        <v>5</v>
      </c>
      <c r="I26" s="43">
        <v>3.5999999999999999E-3</v>
      </c>
      <c r="J26" s="15">
        <v>9.4999999999999998E-3</v>
      </c>
      <c r="K26" s="12">
        <v>2.3E-2</v>
      </c>
      <c r="L26" s="12">
        <v>2E-3</v>
      </c>
      <c r="M26" s="12">
        <f t="shared" si="47"/>
        <v>1.9E-2</v>
      </c>
      <c r="N26" s="77">
        <v>0.11899999999999999</v>
      </c>
      <c r="O26" s="77">
        <v>5.0000000000000001E-3</v>
      </c>
      <c r="P26" s="12">
        <f t="shared" si="37"/>
        <v>0.109</v>
      </c>
      <c r="Q26" s="12">
        <f t="shared" si="38"/>
        <v>0.09</v>
      </c>
      <c r="R26" s="12">
        <f t="shared" si="39"/>
        <v>9.094736842105263</v>
      </c>
      <c r="S26" s="12">
        <f t="shared" si="40"/>
        <v>4.5473684210526315</v>
      </c>
      <c r="U26" s="12">
        <v>0.16600000000000001</v>
      </c>
      <c r="V26" s="12">
        <v>6.0999999999999999E-2</v>
      </c>
      <c r="W26" s="12">
        <f t="shared" si="48"/>
        <v>7.1000000000000008E-2</v>
      </c>
      <c r="X26" s="12">
        <f t="shared" si="49"/>
        <v>2.9999999999999957E-3</v>
      </c>
    </row>
    <row r="27" spans="1:24">
      <c r="A27" s="39" t="s">
        <v>505</v>
      </c>
      <c r="C27" s="72" t="s">
        <v>510</v>
      </c>
      <c r="D27" s="12" t="s">
        <v>22</v>
      </c>
      <c r="F27" s="65"/>
      <c r="G27" s="65"/>
      <c r="H27" s="15">
        <v>5</v>
      </c>
      <c r="I27" s="43">
        <v>3.5999999999999999E-3</v>
      </c>
      <c r="J27" s="15">
        <v>9.4999999999999998E-3</v>
      </c>
      <c r="K27" s="12">
        <v>2.3E-2</v>
      </c>
      <c r="L27" s="12">
        <v>2E-3</v>
      </c>
      <c r="M27" s="12">
        <f t="shared" si="47"/>
        <v>1.9E-2</v>
      </c>
      <c r="N27" s="77">
        <v>0.157</v>
      </c>
      <c r="O27" s="77">
        <v>4.0000000000000001E-3</v>
      </c>
      <c r="P27" s="12">
        <f t="shared" si="37"/>
        <v>0.14899999999999999</v>
      </c>
      <c r="Q27" s="12">
        <f t="shared" si="38"/>
        <v>0.13</v>
      </c>
      <c r="R27" s="12">
        <f t="shared" si="39"/>
        <v>13.305263157894739</v>
      </c>
      <c r="S27" s="12">
        <f t="shared" si="40"/>
        <v>6.6526315789473696</v>
      </c>
      <c r="U27" s="12">
        <v>0.22600000000000001</v>
      </c>
      <c r="V27" s="12">
        <v>6.6000000000000003E-2</v>
      </c>
      <c r="W27" s="12">
        <f t="shared" si="48"/>
        <v>0.13100000000000001</v>
      </c>
      <c r="X27" s="12">
        <f t="shared" si="49"/>
        <v>8.0000000000000002E-3</v>
      </c>
    </row>
    <row r="28" spans="1:24">
      <c r="A28" s="39" t="s">
        <v>505</v>
      </c>
      <c r="C28" s="72" t="s">
        <v>511</v>
      </c>
      <c r="D28" s="12" t="s">
        <v>24</v>
      </c>
      <c r="F28" s="65"/>
      <c r="G28" s="65"/>
      <c r="H28" s="15">
        <v>5</v>
      </c>
      <c r="I28" s="43">
        <v>3.5999999999999999E-3</v>
      </c>
      <c r="J28" s="15">
        <v>9.4999999999999998E-3</v>
      </c>
      <c r="K28" s="12">
        <v>2.3E-2</v>
      </c>
      <c r="L28" s="12">
        <v>2E-3</v>
      </c>
      <c r="M28" s="12">
        <f t="shared" si="47"/>
        <v>1.9E-2</v>
      </c>
      <c r="N28" s="77">
        <v>0.19900000000000001</v>
      </c>
      <c r="O28" s="77">
        <v>3.0000000000000001E-3</v>
      </c>
      <c r="P28" s="12">
        <f t="shared" si="37"/>
        <v>0.193</v>
      </c>
      <c r="Q28" s="12">
        <f t="shared" si="38"/>
        <v>0.17400000000000002</v>
      </c>
      <c r="R28" s="12">
        <f t="shared" si="39"/>
        <v>17.93684210526316</v>
      </c>
      <c r="S28" s="12">
        <f t="shared" si="40"/>
        <v>8.9684210526315802</v>
      </c>
      <c r="U28" s="12">
        <v>0.21299999999999999</v>
      </c>
      <c r="V28" s="12">
        <v>6.6000000000000003E-2</v>
      </c>
      <c r="W28" s="12">
        <f t="shared" si="48"/>
        <v>0.11799999999999999</v>
      </c>
      <c r="X28" s="12">
        <f t="shared" si="49"/>
        <v>8.0000000000000002E-3</v>
      </c>
    </row>
    <row r="29" spans="1:24">
      <c r="A29" s="39" t="s">
        <v>505</v>
      </c>
      <c r="C29" s="72" t="s">
        <v>512</v>
      </c>
      <c r="D29" s="12" t="s">
        <v>26</v>
      </c>
      <c r="F29" s="65"/>
      <c r="G29" s="65"/>
      <c r="H29" s="15">
        <v>1</v>
      </c>
      <c r="I29" s="43">
        <v>3.5999999999999999E-3</v>
      </c>
      <c r="J29" s="15">
        <v>9.4999999999999998E-3</v>
      </c>
      <c r="K29" s="12">
        <v>2.3E-2</v>
      </c>
      <c r="L29" s="12">
        <v>2E-3</v>
      </c>
      <c r="M29" s="12">
        <f t="shared" si="47"/>
        <v>1.9E-2</v>
      </c>
      <c r="N29" s="77">
        <v>0.16500000000000001</v>
      </c>
      <c r="O29" s="77">
        <v>4.0000000000000001E-3</v>
      </c>
      <c r="P29" s="12">
        <f t="shared" si="37"/>
        <v>0.157</v>
      </c>
      <c r="Q29" s="12">
        <f t="shared" si="38"/>
        <v>0.13800000000000001</v>
      </c>
      <c r="R29" s="12">
        <f t="shared" si="39"/>
        <v>14.147368421052635</v>
      </c>
      <c r="S29" s="12">
        <f t="shared" si="40"/>
        <v>1.4147368421052635</v>
      </c>
      <c r="U29" s="12">
        <v>0.25600000000000001</v>
      </c>
      <c r="V29" s="12">
        <v>6.3E-2</v>
      </c>
      <c r="W29" s="12">
        <f t="shared" si="48"/>
        <v>0.161</v>
      </c>
      <c r="X29" s="12">
        <f t="shared" si="49"/>
        <v>4.9999999999999975E-3</v>
      </c>
    </row>
    <row r="30" spans="1:24">
      <c r="A30" s="39" t="s">
        <v>505</v>
      </c>
      <c r="C30" s="72" t="s">
        <v>513</v>
      </c>
      <c r="D30" s="12" t="s">
        <v>28</v>
      </c>
      <c r="F30" s="65"/>
      <c r="G30" s="65"/>
      <c r="H30" s="15">
        <v>5</v>
      </c>
      <c r="I30" s="43">
        <v>3.5999999999999999E-3</v>
      </c>
      <c r="J30" s="15">
        <v>9.4999999999999998E-3</v>
      </c>
      <c r="K30" s="12">
        <v>2.3E-2</v>
      </c>
      <c r="L30" s="12">
        <v>2E-3</v>
      </c>
      <c r="M30" s="12">
        <f t="shared" si="47"/>
        <v>1.9E-2</v>
      </c>
      <c r="N30" s="77">
        <v>0.129</v>
      </c>
      <c r="O30" s="77">
        <v>4.0000000000000001E-3</v>
      </c>
      <c r="P30" s="12">
        <f t="shared" si="37"/>
        <v>0.121</v>
      </c>
      <c r="Q30" s="12">
        <f t="shared" si="38"/>
        <v>0.10199999999999999</v>
      </c>
      <c r="R30" s="12">
        <f t="shared" si="39"/>
        <v>10.357894736842104</v>
      </c>
      <c r="S30" s="12">
        <f t="shared" si="40"/>
        <v>5.1789473684210519</v>
      </c>
      <c r="U30" s="12">
        <v>0.46700000000000003</v>
      </c>
      <c r="V30" s="12">
        <v>6.9000000000000006E-2</v>
      </c>
      <c r="W30" s="12">
        <f t="shared" si="48"/>
        <v>0.372</v>
      </c>
      <c r="X30" s="12">
        <f t="shared" si="49"/>
        <v>1.1000000000000003E-2</v>
      </c>
    </row>
    <row r="31" spans="1:24">
      <c r="A31" s="39" t="s">
        <v>505</v>
      </c>
      <c r="C31" s="72" t="s">
        <v>514</v>
      </c>
      <c r="D31" s="12" t="s">
        <v>30</v>
      </c>
      <c r="F31" s="65"/>
      <c r="G31" s="65"/>
      <c r="H31" s="15">
        <v>5</v>
      </c>
      <c r="I31" s="43">
        <v>3.5999999999999999E-3</v>
      </c>
      <c r="J31" s="15">
        <v>9.4999999999999998E-3</v>
      </c>
      <c r="K31" s="12">
        <v>2.3E-2</v>
      </c>
      <c r="L31" s="12">
        <v>2E-3</v>
      </c>
      <c r="M31" s="12">
        <f t="shared" si="47"/>
        <v>1.9E-2</v>
      </c>
      <c r="N31" s="77">
        <v>0.13100000000000001</v>
      </c>
      <c r="O31" s="77">
        <v>8.0000000000000002E-3</v>
      </c>
      <c r="P31" s="12">
        <f t="shared" si="37"/>
        <v>0.115</v>
      </c>
      <c r="Q31" s="12">
        <f t="shared" si="38"/>
        <v>9.6000000000000002E-2</v>
      </c>
      <c r="R31" s="12">
        <f t="shared" si="39"/>
        <v>9.7263157894736842</v>
      </c>
      <c r="S31" s="12">
        <f t="shared" si="40"/>
        <v>4.8631578947368421</v>
      </c>
      <c r="U31" s="12">
        <v>0.21199999999999999</v>
      </c>
      <c r="V31" s="12">
        <v>6.5000000000000002E-2</v>
      </c>
      <c r="W31" s="12">
        <f t="shared" si="48"/>
        <v>0.11699999999999999</v>
      </c>
      <c r="X31" s="12">
        <f t="shared" si="49"/>
        <v>6.9999999999999993E-3</v>
      </c>
    </row>
    <row r="32" spans="1:24">
      <c r="A32" s="39" t="s">
        <v>505</v>
      </c>
      <c r="C32" s="72" t="s">
        <v>515</v>
      </c>
      <c r="D32" s="12" t="s">
        <v>32</v>
      </c>
      <c r="F32" s="65"/>
      <c r="G32" s="65"/>
      <c r="H32" s="15">
        <v>10</v>
      </c>
      <c r="I32" s="43">
        <v>3.5999999999999999E-3</v>
      </c>
      <c r="J32" s="15">
        <v>9.4999999999999998E-3</v>
      </c>
      <c r="K32" s="12">
        <v>2.3E-2</v>
      </c>
      <c r="L32" s="12">
        <v>2E-3</v>
      </c>
      <c r="M32" s="12">
        <f t="shared" si="47"/>
        <v>1.9E-2</v>
      </c>
      <c r="N32" s="77">
        <v>0.11799999999999999</v>
      </c>
      <c r="O32" s="77">
        <v>8.0000000000000002E-3</v>
      </c>
      <c r="P32" s="12">
        <f t="shared" si="37"/>
        <v>0.10199999999999999</v>
      </c>
      <c r="Q32" s="12">
        <f t="shared" si="38"/>
        <v>8.299999999999999E-2</v>
      </c>
      <c r="R32" s="12">
        <f t="shared" si="39"/>
        <v>8.3578947368421037</v>
      </c>
      <c r="S32" s="12">
        <f t="shared" si="40"/>
        <v>8.3578947368421037</v>
      </c>
    </row>
    <row r="33" spans="1:24">
      <c r="A33" s="39" t="s">
        <v>505</v>
      </c>
      <c r="C33" s="72" t="s">
        <v>560</v>
      </c>
      <c r="D33" s="12" t="s">
        <v>34</v>
      </c>
      <c r="F33" s="65"/>
      <c r="G33" s="65"/>
      <c r="H33" s="15">
        <v>10</v>
      </c>
      <c r="I33" s="43">
        <v>3.5999999999999999E-3</v>
      </c>
      <c r="J33" s="15">
        <v>9.4999999999999998E-3</v>
      </c>
      <c r="K33" s="12">
        <v>2.3E-2</v>
      </c>
      <c r="L33" s="12">
        <v>2E-3</v>
      </c>
      <c r="M33" s="12">
        <f t="shared" si="47"/>
        <v>1.9E-2</v>
      </c>
      <c r="N33" s="77">
        <v>0.161</v>
      </c>
      <c r="O33" s="77">
        <v>4.9999999999999975E-3</v>
      </c>
      <c r="P33" s="12">
        <f t="shared" si="37"/>
        <v>0.15100000000000002</v>
      </c>
      <c r="Q33" s="12">
        <f t="shared" si="38"/>
        <v>0.13200000000000003</v>
      </c>
      <c r="R33" s="12">
        <f t="shared" si="39"/>
        <v>13.515789473684215</v>
      </c>
      <c r="S33" s="12">
        <f t="shared" si="40"/>
        <v>13.515789473684213</v>
      </c>
    </row>
    <row r="34" spans="1:24">
      <c r="A34" s="39" t="s">
        <v>505</v>
      </c>
      <c r="C34" s="72" t="s">
        <v>561</v>
      </c>
      <c r="F34" s="65"/>
      <c r="G34" s="65"/>
      <c r="H34" s="15">
        <v>10</v>
      </c>
      <c r="I34" s="43">
        <v>3.5999999999999999E-3</v>
      </c>
      <c r="J34" s="15">
        <v>9.4999999999999998E-3</v>
      </c>
      <c r="K34" s="12">
        <v>2.3E-2</v>
      </c>
      <c r="L34" s="12">
        <v>2E-3</v>
      </c>
      <c r="M34" s="12">
        <f t="shared" ref="M34" si="50">K34-L34*2</f>
        <v>1.9E-2</v>
      </c>
      <c r="N34" s="77">
        <v>0.16200000000000001</v>
      </c>
      <c r="O34" s="77">
        <v>4.9999999999999975E-3</v>
      </c>
      <c r="P34" s="12">
        <f t="shared" ref="P34" si="51">N34-O34*2</f>
        <v>0.15200000000000002</v>
      </c>
      <c r="Q34" s="12">
        <f t="shared" ref="Q34" si="52">P34-M34</f>
        <v>0.13300000000000003</v>
      </c>
      <c r="R34" s="12">
        <f t="shared" ref="R34" si="53">(Q34-I34)/J34</f>
        <v>13.621052631578952</v>
      </c>
      <c r="S34" s="12">
        <f t="shared" ref="S34" si="54">R34*H34/10</f>
        <v>13.621052631578952</v>
      </c>
    </row>
    <row r="35" spans="1:24">
      <c r="A35" s="39" t="s">
        <v>516</v>
      </c>
      <c r="C35" s="72" t="s">
        <v>517</v>
      </c>
      <c r="D35" s="12" t="s">
        <v>492</v>
      </c>
      <c r="F35" s="65"/>
      <c r="G35" s="65"/>
      <c r="H35" s="82">
        <v>5</v>
      </c>
      <c r="I35" s="43">
        <v>3.5999999999999999E-3</v>
      </c>
      <c r="J35" s="15">
        <v>9.4999999999999998E-3</v>
      </c>
      <c r="K35" s="12">
        <v>2.3E-2</v>
      </c>
      <c r="L35" s="12">
        <v>2E-3</v>
      </c>
      <c r="M35" s="12">
        <f t="shared" si="47"/>
        <v>1.9E-2</v>
      </c>
      <c r="N35" s="77">
        <v>0.28899999999999998</v>
      </c>
      <c r="O35" s="77">
        <v>1.1000000000000003E-2</v>
      </c>
      <c r="P35" s="12">
        <f t="shared" si="37"/>
        <v>0.26699999999999996</v>
      </c>
      <c r="Q35" s="12">
        <f t="shared" si="38"/>
        <v>0.24799999999999997</v>
      </c>
      <c r="R35" s="12">
        <f t="shared" si="39"/>
        <v>25.726315789473684</v>
      </c>
      <c r="S35" s="12">
        <f t="shared" si="40"/>
        <v>12.86315789473684</v>
      </c>
    </row>
    <row r="36" spans="1:24">
      <c r="A36" s="39" t="s">
        <v>516</v>
      </c>
      <c r="C36" s="72" t="s">
        <v>518</v>
      </c>
      <c r="D36" s="12" t="s">
        <v>494</v>
      </c>
      <c r="F36" s="65"/>
      <c r="G36" s="65"/>
      <c r="H36" s="82">
        <v>5</v>
      </c>
      <c r="I36" s="43">
        <v>3.5999999999999999E-3</v>
      </c>
      <c r="J36" s="15">
        <v>9.4999999999999998E-3</v>
      </c>
      <c r="K36" s="12">
        <v>2.3E-2</v>
      </c>
      <c r="L36" s="12">
        <v>2E-3</v>
      </c>
      <c r="M36" s="12">
        <f t="shared" si="47"/>
        <v>1.9E-2</v>
      </c>
      <c r="N36" s="77">
        <v>0.11699999999999999</v>
      </c>
      <c r="O36" s="77">
        <v>6.9999999999999993E-3</v>
      </c>
      <c r="P36" s="12">
        <f t="shared" si="37"/>
        <v>0.10299999999999999</v>
      </c>
      <c r="Q36" s="12">
        <f t="shared" si="38"/>
        <v>8.3999999999999991E-2</v>
      </c>
      <c r="R36" s="12">
        <f t="shared" si="39"/>
        <v>8.46315789473684</v>
      </c>
      <c r="S36" s="12">
        <f t="shared" si="40"/>
        <v>4.23157894736842</v>
      </c>
    </row>
    <row r="37" spans="1:24">
      <c r="A37" s="39" t="s">
        <v>524</v>
      </c>
      <c r="C37" s="72" t="s">
        <v>525</v>
      </c>
      <c r="D37" s="12" t="s">
        <v>526</v>
      </c>
      <c r="H37" s="15">
        <v>5</v>
      </c>
      <c r="I37" s="43">
        <v>3.5999999999999999E-3</v>
      </c>
      <c r="J37" s="15">
        <v>9.4999999999999998E-3</v>
      </c>
      <c r="K37" s="12">
        <v>2.3E-2</v>
      </c>
      <c r="L37" s="12">
        <v>2E-3</v>
      </c>
      <c r="M37" s="12">
        <f t="shared" ref="M37" si="55">K37-L37*2</f>
        <v>1.9E-2</v>
      </c>
      <c r="N37" s="77">
        <v>0.16900000000000001</v>
      </c>
      <c r="O37" s="77">
        <v>1.2E-2</v>
      </c>
      <c r="P37" s="12">
        <f t="shared" ref="P37" si="56">N37-O37*2</f>
        <v>0.14500000000000002</v>
      </c>
      <c r="Q37" s="12">
        <f t="shared" ref="Q37" si="57">P37-M37</f>
        <v>0.12600000000000003</v>
      </c>
      <c r="R37" s="12">
        <f t="shared" ref="R37" si="58">(Q37-I37)/J37</f>
        <v>12.884210526315792</v>
      </c>
      <c r="S37" s="12">
        <f t="shared" ref="S37" si="59">R37*H37/10</f>
        <v>6.4421052631578961</v>
      </c>
    </row>
    <row r="38" spans="1:24">
      <c r="A38" s="39" t="s">
        <v>160</v>
      </c>
      <c r="C38" s="72" t="s">
        <v>536</v>
      </c>
      <c r="D38" s="12" t="s">
        <v>39</v>
      </c>
      <c r="H38" s="15">
        <v>5</v>
      </c>
      <c r="I38" s="43">
        <v>3.5999999999999999E-3</v>
      </c>
      <c r="J38" s="15">
        <v>9.4999999999999998E-3</v>
      </c>
      <c r="K38" s="12">
        <v>2.3E-2</v>
      </c>
      <c r="L38" s="12">
        <v>2E-3</v>
      </c>
      <c r="M38" s="12">
        <f t="shared" ref="M38:M49" si="60">K38-L38*2</f>
        <v>1.9E-2</v>
      </c>
      <c r="N38" s="77">
        <v>0.13100000000000001</v>
      </c>
      <c r="O38" s="77">
        <v>5.0000000000000001E-3</v>
      </c>
      <c r="P38" s="12">
        <f t="shared" ref="P38:P49" si="61">N38-O38*2</f>
        <v>0.12100000000000001</v>
      </c>
      <c r="Q38" s="12">
        <f t="shared" ref="Q38:Q49" si="62">P38-M38</f>
        <v>0.10200000000000001</v>
      </c>
      <c r="R38" s="12">
        <f t="shared" ref="R38:R49" si="63">(Q38-I38)/J38</f>
        <v>10.357894736842105</v>
      </c>
      <c r="S38" s="12">
        <f t="shared" ref="S38:S49" si="64">R38*H38/10</f>
        <v>5.1789473684210527</v>
      </c>
      <c r="U38" s="12">
        <v>0.14799999999999999</v>
      </c>
      <c r="V38" s="12">
        <v>6.4000000000000001E-2</v>
      </c>
      <c r="W38" s="12">
        <f t="shared" ref="W38:W45" si="65">U38-0.102</f>
        <v>4.5999999999999999E-2</v>
      </c>
      <c r="X38" s="12">
        <f t="shared" ref="X38:X45" si="66">V38-0.059</f>
        <v>5.0000000000000044E-3</v>
      </c>
    </row>
    <row r="39" spans="1:24">
      <c r="A39" s="39" t="s">
        <v>160</v>
      </c>
      <c r="C39" s="72" t="s">
        <v>537</v>
      </c>
      <c r="D39" s="12" t="s">
        <v>538</v>
      </c>
      <c r="H39" s="15">
        <v>5</v>
      </c>
      <c r="I39" s="43">
        <v>3.5999999999999999E-3</v>
      </c>
      <c r="J39" s="15">
        <v>9.4999999999999998E-3</v>
      </c>
      <c r="K39" s="12">
        <v>2.3E-2</v>
      </c>
      <c r="L39" s="12">
        <v>2E-3</v>
      </c>
      <c r="M39" s="12">
        <f t="shared" si="60"/>
        <v>1.9E-2</v>
      </c>
      <c r="N39" s="77">
        <v>0.10299999999999999</v>
      </c>
      <c r="O39" s="77">
        <v>6.0000000000000001E-3</v>
      </c>
      <c r="P39" s="12">
        <f t="shared" si="61"/>
        <v>9.0999999999999998E-2</v>
      </c>
      <c r="Q39" s="12">
        <f t="shared" si="62"/>
        <v>7.1999999999999995E-2</v>
      </c>
      <c r="R39" s="12">
        <f t="shared" si="63"/>
        <v>7.1999999999999993</v>
      </c>
      <c r="S39" s="12">
        <f t="shared" si="64"/>
        <v>3.6</v>
      </c>
      <c r="U39" s="12">
        <v>0.67900000000000005</v>
      </c>
      <c r="V39" s="12">
        <v>6.9000000000000006E-2</v>
      </c>
      <c r="W39" s="12">
        <f t="shared" si="65"/>
        <v>0.57700000000000007</v>
      </c>
      <c r="X39" s="12">
        <f t="shared" si="66"/>
        <v>1.0000000000000009E-2</v>
      </c>
    </row>
    <row r="40" spans="1:24">
      <c r="A40" s="39" t="s">
        <v>160</v>
      </c>
      <c r="C40" s="72" t="s">
        <v>539</v>
      </c>
      <c r="D40" s="12" t="s">
        <v>73</v>
      </c>
      <c r="H40" s="15">
        <v>5</v>
      </c>
      <c r="I40" s="43">
        <v>3.5999999999999999E-3</v>
      </c>
      <c r="J40" s="15">
        <v>9.4999999999999998E-3</v>
      </c>
      <c r="K40" s="12">
        <v>2.3E-2</v>
      </c>
      <c r="L40" s="12">
        <v>2E-3</v>
      </c>
      <c r="M40" s="12">
        <f t="shared" si="60"/>
        <v>1.9E-2</v>
      </c>
      <c r="N40" s="77">
        <v>0.316</v>
      </c>
      <c r="O40" s="77">
        <v>5.0000000000000001E-3</v>
      </c>
      <c r="P40" s="12">
        <f t="shared" si="61"/>
        <v>0.30599999999999999</v>
      </c>
      <c r="Q40" s="12">
        <f t="shared" si="62"/>
        <v>0.28699999999999998</v>
      </c>
      <c r="R40" s="12">
        <f t="shared" si="63"/>
        <v>29.831578947368421</v>
      </c>
      <c r="S40" s="12">
        <f t="shared" si="64"/>
        <v>14.91578947368421</v>
      </c>
      <c r="U40" s="12">
        <v>0.377</v>
      </c>
      <c r="V40" s="12">
        <v>6.7000000000000004E-2</v>
      </c>
      <c r="W40" s="12">
        <f t="shared" si="65"/>
        <v>0.27500000000000002</v>
      </c>
      <c r="X40" s="12">
        <f t="shared" si="66"/>
        <v>8.0000000000000071E-3</v>
      </c>
    </row>
    <row r="41" spans="1:24">
      <c r="A41" s="39" t="s">
        <v>160</v>
      </c>
      <c r="C41" s="72" t="s">
        <v>540</v>
      </c>
      <c r="D41" s="12" t="s">
        <v>75</v>
      </c>
      <c r="H41" s="15">
        <v>2</v>
      </c>
      <c r="I41" s="43">
        <v>3.5999999999999999E-3</v>
      </c>
      <c r="J41" s="15">
        <v>9.4999999999999998E-3</v>
      </c>
      <c r="K41" s="12">
        <v>2.3E-2</v>
      </c>
      <c r="L41" s="12">
        <v>2E-3</v>
      </c>
      <c r="M41" s="12">
        <f t="shared" si="60"/>
        <v>1.9E-2</v>
      </c>
      <c r="N41" s="77">
        <v>0.123</v>
      </c>
      <c r="O41" s="77">
        <v>5.0000000000000001E-3</v>
      </c>
      <c r="P41" s="12">
        <f t="shared" si="61"/>
        <v>0.113</v>
      </c>
      <c r="Q41" s="12">
        <f t="shared" si="62"/>
        <v>9.4E-2</v>
      </c>
      <c r="R41" s="12">
        <f t="shared" si="63"/>
        <v>9.5157894736842099</v>
      </c>
      <c r="S41" s="12">
        <f t="shared" si="64"/>
        <v>1.9031578947368419</v>
      </c>
      <c r="U41" s="12">
        <v>0.23100000000000001</v>
      </c>
      <c r="V41" s="12">
        <v>6.8000000000000005E-2</v>
      </c>
      <c r="W41" s="12">
        <f t="shared" si="65"/>
        <v>0.129</v>
      </c>
      <c r="X41" s="12">
        <f t="shared" si="66"/>
        <v>9.000000000000008E-3</v>
      </c>
    </row>
    <row r="42" spans="1:24">
      <c r="A42" s="39" t="s">
        <v>160</v>
      </c>
      <c r="C42" s="72" t="s">
        <v>541</v>
      </c>
      <c r="D42" s="12" t="s">
        <v>542</v>
      </c>
      <c r="H42" s="15">
        <v>5</v>
      </c>
      <c r="I42" s="43">
        <v>3.5999999999999999E-3</v>
      </c>
      <c r="J42" s="15">
        <v>9.4999999999999998E-3</v>
      </c>
      <c r="K42" s="12">
        <v>2.3E-2</v>
      </c>
      <c r="L42" s="12">
        <v>2E-3</v>
      </c>
      <c r="M42" s="12">
        <f t="shared" si="60"/>
        <v>1.9E-2</v>
      </c>
      <c r="N42" s="77">
        <v>0.104</v>
      </c>
      <c r="O42" s="77">
        <v>8.0000000000000002E-3</v>
      </c>
      <c r="P42" s="12">
        <f t="shared" si="61"/>
        <v>8.7999999999999995E-2</v>
      </c>
      <c r="Q42" s="12">
        <f t="shared" si="62"/>
        <v>6.8999999999999992E-2</v>
      </c>
      <c r="R42" s="12">
        <f t="shared" si="63"/>
        <v>6.8842105263157878</v>
      </c>
      <c r="S42" s="12">
        <f t="shared" si="64"/>
        <v>3.4421052631578939</v>
      </c>
      <c r="U42" s="12">
        <v>0.22800000000000001</v>
      </c>
      <c r="V42" s="12">
        <v>6.7000000000000004E-2</v>
      </c>
      <c r="W42" s="12">
        <f t="shared" si="65"/>
        <v>0.126</v>
      </c>
      <c r="X42" s="12">
        <f t="shared" si="66"/>
        <v>8.0000000000000071E-3</v>
      </c>
    </row>
    <row r="43" spans="1:24">
      <c r="A43" s="39" t="s">
        <v>160</v>
      </c>
      <c r="C43" s="72" t="s">
        <v>543</v>
      </c>
      <c r="D43" s="12" t="s">
        <v>79</v>
      </c>
      <c r="H43" s="15">
        <v>5</v>
      </c>
      <c r="I43" s="43">
        <v>3.5999999999999999E-3</v>
      </c>
      <c r="J43" s="15">
        <v>9.4999999999999998E-3</v>
      </c>
      <c r="K43" s="12">
        <v>2.3E-2</v>
      </c>
      <c r="L43" s="12">
        <v>2E-3</v>
      </c>
      <c r="M43" s="12">
        <f t="shared" si="60"/>
        <v>1.9E-2</v>
      </c>
      <c r="N43" s="77">
        <v>0.57599999999999996</v>
      </c>
      <c r="O43" s="77">
        <v>8.9999999999999993E-3</v>
      </c>
      <c r="P43" s="12">
        <f t="shared" si="61"/>
        <v>0.55799999999999994</v>
      </c>
      <c r="Q43" s="12">
        <f t="shared" si="62"/>
        <v>0.53899999999999992</v>
      </c>
      <c r="R43" s="12">
        <f t="shared" si="63"/>
        <v>56.357894736842091</v>
      </c>
      <c r="S43" s="12">
        <f t="shared" si="64"/>
        <v>28.178947368421046</v>
      </c>
      <c r="U43" s="12">
        <v>0.21199999999999999</v>
      </c>
      <c r="V43" s="12">
        <v>6.8000000000000005E-2</v>
      </c>
      <c r="W43" s="12">
        <f t="shared" si="65"/>
        <v>0.11</v>
      </c>
      <c r="X43" s="12">
        <f t="shared" si="66"/>
        <v>9.000000000000008E-3</v>
      </c>
    </row>
    <row r="44" spans="1:24">
      <c r="A44" s="39" t="s">
        <v>160</v>
      </c>
      <c r="C44" s="72" t="s">
        <v>544</v>
      </c>
      <c r="D44" s="12" t="s">
        <v>81</v>
      </c>
      <c r="H44" s="15">
        <v>5</v>
      </c>
      <c r="I44" s="43">
        <v>3.5999999999999999E-3</v>
      </c>
      <c r="J44" s="15">
        <v>9.4999999999999998E-3</v>
      </c>
      <c r="K44" s="12">
        <v>2.3E-2</v>
      </c>
      <c r="L44" s="12">
        <v>2E-3</v>
      </c>
      <c r="M44" s="12">
        <f t="shared" si="60"/>
        <v>1.9E-2</v>
      </c>
      <c r="N44" s="77">
        <v>0.30499999999999999</v>
      </c>
      <c r="O44" s="77">
        <v>0.06</v>
      </c>
      <c r="P44" s="12">
        <f t="shared" si="61"/>
        <v>0.185</v>
      </c>
      <c r="Q44" s="12">
        <f t="shared" si="62"/>
        <v>0.16600000000000001</v>
      </c>
      <c r="R44" s="12">
        <f t="shared" si="63"/>
        <v>17.094736842105267</v>
      </c>
      <c r="S44" s="12">
        <f t="shared" si="64"/>
        <v>8.5473684210526333</v>
      </c>
      <c r="U44" s="12">
        <v>0.249</v>
      </c>
      <c r="V44" s="12">
        <v>6.7000000000000004E-2</v>
      </c>
      <c r="W44" s="12">
        <f t="shared" si="65"/>
        <v>0.14700000000000002</v>
      </c>
      <c r="X44" s="12">
        <f t="shared" si="66"/>
        <v>8.0000000000000071E-3</v>
      </c>
    </row>
    <row r="45" spans="1:24">
      <c r="A45" s="39" t="s">
        <v>160</v>
      </c>
      <c r="C45" s="72" t="s">
        <v>545</v>
      </c>
      <c r="D45" s="12" t="s">
        <v>83</v>
      </c>
      <c r="H45" s="15">
        <v>5</v>
      </c>
      <c r="I45" s="43">
        <v>3.5999999999999999E-3</v>
      </c>
      <c r="J45" s="15">
        <v>9.4999999999999998E-3</v>
      </c>
      <c r="K45" s="12">
        <v>2.3E-2</v>
      </c>
      <c r="L45" s="12">
        <v>2E-3</v>
      </c>
      <c r="M45" s="12">
        <f t="shared" si="60"/>
        <v>1.9E-2</v>
      </c>
      <c r="N45" s="77">
        <v>0.13200000000000001</v>
      </c>
      <c r="O45" s="77">
        <v>8.0000000000000002E-3</v>
      </c>
      <c r="P45" s="12">
        <f t="shared" si="61"/>
        <v>0.11600000000000001</v>
      </c>
      <c r="Q45" s="12">
        <f t="shared" si="62"/>
        <v>9.7000000000000003E-2</v>
      </c>
      <c r="R45" s="12">
        <f t="shared" si="63"/>
        <v>9.8315789473684205</v>
      </c>
      <c r="S45" s="12">
        <f t="shared" si="64"/>
        <v>4.9157894736842103</v>
      </c>
      <c r="U45" s="12">
        <v>0.20699999999999999</v>
      </c>
      <c r="V45" s="12">
        <v>6.7000000000000004E-2</v>
      </c>
      <c r="W45" s="12">
        <f t="shared" si="65"/>
        <v>0.105</v>
      </c>
      <c r="X45" s="12">
        <f t="shared" si="66"/>
        <v>8.0000000000000071E-3</v>
      </c>
    </row>
    <row r="46" spans="1:24">
      <c r="A46" s="39" t="s">
        <v>160</v>
      </c>
      <c r="C46" s="72" t="s">
        <v>546</v>
      </c>
      <c r="D46" s="12" t="s">
        <v>85</v>
      </c>
      <c r="H46" s="15">
        <v>5</v>
      </c>
      <c r="I46" s="43">
        <v>3.5999999999999999E-3</v>
      </c>
      <c r="J46" s="15">
        <v>9.4999999999999998E-3</v>
      </c>
      <c r="K46" s="12">
        <v>2.3E-2</v>
      </c>
      <c r="L46" s="12">
        <v>2E-3</v>
      </c>
      <c r="M46" s="12">
        <f t="shared" si="60"/>
        <v>1.9E-2</v>
      </c>
      <c r="N46" s="77">
        <v>0.55000000000000004</v>
      </c>
      <c r="O46" s="77">
        <v>0.01</v>
      </c>
      <c r="P46" s="12">
        <f t="shared" si="61"/>
        <v>0.53</v>
      </c>
      <c r="Q46" s="12">
        <f t="shared" si="62"/>
        <v>0.51100000000000001</v>
      </c>
      <c r="R46" s="12">
        <f t="shared" si="63"/>
        <v>53.410526315789468</v>
      </c>
      <c r="S46" s="12">
        <f t="shared" si="64"/>
        <v>26.705263157894734</v>
      </c>
      <c r="U46" s="12">
        <v>0.27500000000000002</v>
      </c>
      <c r="V46" s="12">
        <v>6.7000000000000004E-2</v>
      </c>
      <c r="W46" s="12">
        <f>U46-0.102</f>
        <v>0.17300000000000004</v>
      </c>
      <c r="X46" s="12">
        <f>V46-0.059</f>
        <v>8.0000000000000071E-3</v>
      </c>
    </row>
    <row r="47" spans="1:24">
      <c r="A47" s="39" t="s">
        <v>160</v>
      </c>
      <c r="C47" s="72" t="s">
        <v>547</v>
      </c>
      <c r="D47" s="12" t="s">
        <v>43</v>
      </c>
      <c r="H47" s="15">
        <v>10</v>
      </c>
      <c r="I47" s="43">
        <v>3.5999999999999999E-3</v>
      </c>
      <c r="J47" s="15">
        <v>9.4999999999999998E-3</v>
      </c>
      <c r="K47" s="12">
        <v>2.3E-2</v>
      </c>
      <c r="L47" s="12">
        <v>2E-3</v>
      </c>
      <c r="M47" s="12">
        <f t="shared" si="60"/>
        <v>1.9E-2</v>
      </c>
      <c r="N47" s="77">
        <v>0.27600000000000002</v>
      </c>
      <c r="O47" s="77">
        <v>1.2999999999999999E-2</v>
      </c>
      <c r="P47" s="12">
        <f t="shared" si="61"/>
        <v>0.25</v>
      </c>
      <c r="Q47" s="12">
        <f t="shared" si="62"/>
        <v>0.23100000000000001</v>
      </c>
      <c r="R47" s="12">
        <f t="shared" si="63"/>
        <v>23.93684210526316</v>
      </c>
      <c r="S47" s="12">
        <f t="shared" si="64"/>
        <v>23.93684210526316</v>
      </c>
    </row>
    <row r="48" spans="1:24">
      <c r="A48" s="39" t="s">
        <v>160</v>
      </c>
      <c r="C48" s="72" t="s">
        <v>548</v>
      </c>
      <c r="D48" s="12" t="s">
        <v>109</v>
      </c>
      <c r="H48" s="15">
        <v>5</v>
      </c>
      <c r="I48" s="43">
        <v>3.5999999999999999E-3</v>
      </c>
      <c r="J48" s="15">
        <v>9.4999999999999998E-3</v>
      </c>
      <c r="K48" s="12">
        <v>2.3E-2</v>
      </c>
      <c r="L48" s="12">
        <v>2E-3</v>
      </c>
      <c r="M48" s="12">
        <f t="shared" si="60"/>
        <v>1.9E-2</v>
      </c>
      <c r="N48" s="77">
        <v>0.41799999999999998</v>
      </c>
      <c r="O48" s="77">
        <v>8.0000000000000002E-3</v>
      </c>
      <c r="P48" s="12">
        <f t="shared" si="61"/>
        <v>0.40199999999999997</v>
      </c>
      <c r="Q48" s="12">
        <f t="shared" si="62"/>
        <v>0.38299999999999995</v>
      </c>
      <c r="R48" s="12">
        <f t="shared" si="63"/>
        <v>39.936842105263153</v>
      </c>
      <c r="S48" s="12">
        <f t="shared" si="64"/>
        <v>19.968421052631577</v>
      </c>
    </row>
    <row r="49" spans="1:25">
      <c r="A49" s="39" t="s">
        <v>160</v>
      </c>
      <c r="C49" s="72" t="s">
        <v>549</v>
      </c>
      <c r="D49" s="12" t="s">
        <v>105</v>
      </c>
      <c r="H49" s="15">
        <v>1</v>
      </c>
      <c r="I49" s="43">
        <v>3.5999999999999999E-3</v>
      </c>
      <c r="J49" s="15">
        <v>9.4999999999999998E-3</v>
      </c>
      <c r="K49" s="12">
        <v>2.3E-2</v>
      </c>
      <c r="L49" s="12">
        <v>2E-3</v>
      </c>
      <c r="M49" s="12">
        <f t="shared" si="60"/>
        <v>1.9E-2</v>
      </c>
      <c r="N49" s="77">
        <v>0.29399999999999998</v>
      </c>
      <c r="O49" s="77">
        <v>8.9999999999999993E-3</v>
      </c>
      <c r="P49" s="12">
        <f t="shared" si="61"/>
        <v>0.27599999999999997</v>
      </c>
      <c r="Q49" s="12">
        <f t="shared" si="62"/>
        <v>0.25699999999999995</v>
      </c>
      <c r="R49" s="12">
        <f t="shared" si="63"/>
        <v>26.673684210526311</v>
      </c>
      <c r="S49" s="12">
        <f t="shared" si="64"/>
        <v>2.6673684210526312</v>
      </c>
    </row>
    <row r="50" spans="1:25" ht="15" customHeight="1">
      <c r="A50" s="39" t="s">
        <v>533</v>
      </c>
      <c r="B50" s="13">
        <v>43929</v>
      </c>
      <c r="C50" s="72" t="s">
        <v>530</v>
      </c>
      <c r="D50" s="12" t="s">
        <v>529</v>
      </c>
      <c r="F50" s="12" t="s">
        <v>534</v>
      </c>
      <c r="H50" s="15">
        <v>200</v>
      </c>
      <c r="I50" s="43">
        <v>3.5999999999999999E-3</v>
      </c>
      <c r="J50" s="15">
        <v>9.4999999999999998E-3</v>
      </c>
      <c r="K50" s="12">
        <v>1.7000000000000001E-2</v>
      </c>
      <c r="L50" s="12">
        <v>3.0000000000000001E-3</v>
      </c>
      <c r="M50" s="12">
        <f t="shared" ref="M50" si="67">K50-L50*2</f>
        <v>1.1000000000000001E-2</v>
      </c>
      <c r="N50" s="77">
        <v>7.9999999999999988E-2</v>
      </c>
      <c r="O50" s="77">
        <v>6.9999999999999993E-3</v>
      </c>
      <c r="P50" s="12">
        <f t="shared" ref="P50" si="68">N50-O50*2</f>
        <v>6.5999999999999989E-2</v>
      </c>
      <c r="Q50" s="12">
        <f t="shared" ref="Q50" si="69">P50-M50</f>
        <v>5.4999999999999986E-2</v>
      </c>
      <c r="R50" s="12">
        <f t="shared" ref="R50" si="70">(Q50-I50)/J50</f>
        <v>5.4105263157894727</v>
      </c>
      <c r="S50" s="12">
        <f t="shared" ref="S50" si="71">R50*H50/10</f>
        <v>108.21052631578945</v>
      </c>
      <c r="U50" s="12">
        <v>0.26200000000000001</v>
      </c>
      <c r="V50" s="12">
        <v>7.0000000000000007E-2</v>
      </c>
      <c r="W50" s="12">
        <f>U50-0.101</f>
        <v>0.161</v>
      </c>
      <c r="X50" s="12">
        <f>V50-0.058</f>
        <v>1.2000000000000004E-2</v>
      </c>
    </row>
    <row r="51" spans="1:25">
      <c r="A51" s="73" t="s">
        <v>533</v>
      </c>
      <c r="B51" s="13" t="s">
        <v>562</v>
      </c>
      <c r="F51" s="12" t="s">
        <v>531</v>
      </c>
      <c r="H51" s="15">
        <v>200</v>
      </c>
      <c r="I51" s="43">
        <v>3.5999999999999999E-3</v>
      </c>
      <c r="J51" s="15">
        <v>9.4999999999999998E-3</v>
      </c>
      <c r="K51" s="12">
        <v>1.7000000000000001E-2</v>
      </c>
      <c r="L51" s="12">
        <v>3.0000000000000001E-3</v>
      </c>
      <c r="M51" s="12">
        <f t="shared" ref="M51:M52" si="72">K51-L51*2</f>
        <v>1.1000000000000001E-2</v>
      </c>
      <c r="N51" s="77">
        <v>5.5999999999999994E-2</v>
      </c>
      <c r="O51" s="77">
        <v>6.9999999999999993E-3</v>
      </c>
      <c r="P51" s="12">
        <f t="shared" ref="P51:P52" si="73">N51-O51*2</f>
        <v>4.1999999999999996E-2</v>
      </c>
      <c r="Q51" s="12">
        <f t="shared" ref="Q51:Q52" si="74">P51-M51</f>
        <v>3.0999999999999993E-2</v>
      </c>
      <c r="R51" s="12">
        <f t="shared" ref="R51:R52" si="75">(Q51-I51)/J51</f>
        <v>2.8842105263157891</v>
      </c>
      <c r="S51" s="12">
        <f t="shared" ref="S51:S52" si="76">R51*H51/10</f>
        <v>57.68421052631578</v>
      </c>
      <c r="U51" s="12">
        <v>0.18099999999999999</v>
      </c>
      <c r="V51" s="12">
        <v>6.5000000000000002E-2</v>
      </c>
      <c r="W51" s="12">
        <f t="shared" ref="W51:W52" si="77">U51-0.101</f>
        <v>7.9999999999999988E-2</v>
      </c>
      <c r="X51" s="12">
        <f t="shared" ref="X51:X52" si="78">V51-0.058</f>
        <v>6.9999999999999993E-3</v>
      </c>
    </row>
    <row r="52" spans="1:25">
      <c r="A52" s="73" t="s">
        <v>533</v>
      </c>
      <c r="F52" s="12" t="s">
        <v>532</v>
      </c>
      <c r="H52" s="15">
        <v>50</v>
      </c>
      <c r="I52" s="43">
        <v>3.5999999999999999E-3</v>
      </c>
      <c r="J52" s="15">
        <v>9.4999999999999998E-3</v>
      </c>
      <c r="K52" s="12">
        <v>1.7000000000000001E-2</v>
      </c>
      <c r="L52" s="12">
        <v>3.0000000000000001E-3</v>
      </c>
      <c r="M52" s="12">
        <f t="shared" si="72"/>
        <v>1.1000000000000001E-2</v>
      </c>
      <c r="N52" s="77">
        <v>0.16</v>
      </c>
      <c r="O52" s="77">
        <v>2.9999999999999957E-3</v>
      </c>
      <c r="P52" s="12">
        <f t="shared" si="73"/>
        <v>0.15400000000000003</v>
      </c>
      <c r="Q52" s="12">
        <f t="shared" si="74"/>
        <v>0.14300000000000002</v>
      </c>
      <c r="R52" s="12">
        <f t="shared" si="75"/>
        <v>14.673684210526318</v>
      </c>
      <c r="S52" s="12">
        <f t="shared" si="76"/>
        <v>73.368421052631589</v>
      </c>
      <c r="U52" s="12">
        <v>0.157</v>
      </c>
      <c r="V52" s="12">
        <v>6.5000000000000002E-2</v>
      </c>
      <c r="W52" s="12">
        <f t="shared" si="77"/>
        <v>5.5999999999999994E-2</v>
      </c>
      <c r="X52" s="12">
        <f t="shared" si="78"/>
        <v>6.9999999999999993E-3</v>
      </c>
    </row>
    <row r="53" spans="1:25">
      <c r="A53" s="39" t="s">
        <v>160</v>
      </c>
      <c r="C53" s="72" t="s">
        <v>550</v>
      </c>
      <c r="D53" s="12" t="s">
        <v>387</v>
      </c>
      <c r="G53" s="12" t="s">
        <v>553</v>
      </c>
      <c r="H53" s="82">
        <v>1</v>
      </c>
      <c r="I53" s="43">
        <v>3.5999999999999999E-3</v>
      </c>
      <c r="J53" s="15">
        <v>9.4999999999999998E-3</v>
      </c>
      <c r="K53" s="12">
        <v>1.7000000000000001E-2</v>
      </c>
      <c r="L53" s="12">
        <v>3.0000000000000001E-3</v>
      </c>
      <c r="M53" s="12">
        <f t="shared" ref="M53" si="79">K53-L53*2</f>
        <v>1.1000000000000001E-2</v>
      </c>
      <c r="N53" s="77">
        <v>0.40699999999999997</v>
      </c>
      <c r="O53" s="77">
        <v>2.9999999999999957E-3</v>
      </c>
      <c r="P53" s="12">
        <f t="shared" ref="P53" si="80">N53-O53*2</f>
        <v>0.40099999999999997</v>
      </c>
      <c r="Q53" s="12">
        <f t="shared" ref="Q53" si="81">P53-M53</f>
        <v>0.38999999999999996</v>
      </c>
      <c r="R53" s="12">
        <f t="shared" ref="R53" si="82">(Q53-I53)/J53</f>
        <v>40.673684210526311</v>
      </c>
      <c r="S53" s="12">
        <f t="shared" ref="S53" si="83">R53*H53/10</f>
        <v>4.0673684210526311</v>
      </c>
    </row>
    <row r="54" spans="1:25">
      <c r="A54" s="39" t="s">
        <v>524</v>
      </c>
      <c r="C54" s="72" t="s">
        <v>551</v>
      </c>
      <c r="D54" s="12" t="s">
        <v>552</v>
      </c>
      <c r="E54" s="12" t="s">
        <v>535</v>
      </c>
      <c r="F54" s="12" t="s">
        <v>535</v>
      </c>
      <c r="H54" s="82">
        <v>5</v>
      </c>
      <c r="I54" s="43">
        <v>3.5999999999999999E-3</v>
      </c>
      <c r="J54" s="15">
        <v>9.4999999999999998E-3</v>
      </c>
      <c r="K54" s="12">
        <v>1.7000000000000001E-2</v>
      </c>
      <c r="L54" s="12">
        <v>3.0000000000000001E-3</v>
      </c>
      <c r="M54" s="12">
        <f t="shared" ref="M54" si="84">K54-L54*2</f>
        <v>1.1000000000000001E-2</v>
      </c>
      <c r="N54" s="77">
        <v>0.254</v>
      </c>
      <c r="O54" s="77">
        <v>2.9999999999999957E-3</v>
      </c>
      <c r="P54" s="12">
        <f t="shared" ref="P54" si="85">N54-O54*2</f>
        <v>0.248</v>
      </c>
      <c r="Q54" s="12">
        <f t="shared" ref="Q54" si="86">P54-M54</f>
        <v>0.23699999999999999</v>
      </c>
      <c r="R54" s="12">
        <f t="shared" ref="R54" si="87">(Q54-I54)/J54</f>
        <v>24.568421052631578</v>
      </c>
      <c r="S54" s="12">
        <f t="shared" ref="S54" si="88">R54*H54/10</f>
        <v>12.284210526315789</v>
      </c>
    </row>
    <row r="55" spans="1:25">
      <c r="A55" s="39" t="s">
        <v>160</v>
      </c>
      <c r="C55" s="72" t="s">
        <v>620</v>
      </c>
      <c r="D55" s="12" t="s">
        <v>220</v>
      </c>
      <c r="H55" s="82">
        <v>5</v>
      </c>
      <c r="I55" s="43">
        <v>3.5999999999999999E-3</v>
      </c>
      <c r="J55" s="15">
        <v>9.4999999999999998E-3</v>
      </c>
      <c r="K55" s="12">
        <v>1.7000000000000001E-2</v>
      </c>
      <c r="L55" s="12">
        <v>3.0000000000000001E-3</v>
      </c>
      <c r="M55" s="12">
        <f t="shared" ref="M55" si="89">K55-L55*2</f>
        <v>1.1000000000000001E-2</v>
      </c>
      <c r="N55" s="77">
        <v>0.11899999999999999</v>
      </c>
      <c r="O55" s="77">
        <v>4.0000000000000001E-3</v>
      </c>
      <c r="P55" s="12">
        <f t="shared" ref="P55" si="90">N55-O55*2</f>
        <v>0.11099999999999999</v>
      </c>
      <c r="Q55" s="12">
        <f t="shared" ref="Q55" si="91">P55-M55</f>
        <v>9.9999999999999992E-2</v>
      </c>
      <c r="R55" s="12">
        <f t="shared" ref="R55" si="92">(Q55-I55)/J55</f>
        <v>10.147368421052631</v>
      </c>
      <c r="S55" s="12">
        <f t="shared" ref="S55" si="93">R55*H55/10</f>
        <v>5.0736842105263156</v>
      </c>
    </row>
    <row r="56" spans="1:25">
      <c r="A56" s="73" t="s">
        <v>533</v>
      </c>
      <c r="B56" s="13">
        <v>43930</v>
      </c>
      <c r="D56" s="12" t="s">
        <v>554</v>
      </c>
      <c r="G56" s="67"/>
      <c r="H56" s="15">
        <v>20</v>
      </c>
      <c r="I56" s="43">
        <v>3.5999999999999999E-3</v>
      </c>
      <c r="J56" s="15">
        <v>9.4999999999999998E-3</v>
      </c>
      <c r="K56" s="12">
        <v>3.5999999999999997E-2</v>
      </c>
      <c r="L56" s="12">
        <v>5.0000000000000001E-3</v>
      </c>
      <c r="M56" s="12">
        <f t="shared" ref="M56" si="94">K56-L56*2</f>
        <v>2.5999999999999995E-2</v>
      </c>
      <c r="N56" s="77">
        <v>0.26500000000000001</v>
      </c>
      <c r="O56" s="77">
        <v>8.0000000000000002E-3</v>
      </c>
      <c r="P56" s="12">
        <f t="shared" ref="P56" si="95">N56-O56*2</f>
        <v>0.249</v>
      </c>
      <c r="Q56" s="12">
        <f t="shared" ref="Q56" si="96">P56-M56</f>
        <v>0.223</v>
      </c>
      <c r="R56" s="12">
        <f t="shared" ref="R56" si="97">(Q56-I56)/J56</f>
        <v>23.094736842105267</v>
      </c>
      <c r="S56" s="12">
        <f t="shared" ref="S56" si="98">R56*H56/10</f>
        <v>46.189473684210533</v>
      </c>
      <c r="V56" s="12">
        <v>0.25600000000000001</v>
      </c>
      <c r="W56" s="12">
        <v>9.1999999999999998E-2</v>
      </c>
      <c r="X56" s="12">
        <f>V56-0.1</f>
        <v>0.156</v>
      </c>
      <c r="Y56" s="12">
        <f>W56-0.064</f>
        <v>2.7999999999999997E-2</v>
      </c>
    </row>
    <row r="57" spans="1:25">
      <c r="A57" s="73" t="s">
        <v>533</v>
      </c>
      <c r="B57" s="12" t="s">
        <v>589</v>
      </c>
      <c r="D57" s="12" t="s">
        <v>555</v>
      </c>
      <c r="F57" s="12" t="s">
        <v>556</v>
      </c>
      <c r="H57" s="15">
        <v>100</v>
      </c>
      <c r="I57" s="43">
        <v>3.5999999999999999E-3</v>
      </c>
      <c r="J57" s="15">
        <v>9.4999999999999998E-3</v>
      </c>
      <c r="K57" s="12">
        <v>3.5999999999999997E-2</v>
      </c>
      <c r="L57" s="12">
        <v>5.0000000000000001E-3</v>
      </c>
      <c r="M57" s="12">
        <f t="shared" ref="M57:M60" si="99">K57-L57*2</f>
        <v>2.5999999999999995E-2</v>
      </c>
      <c r="N57" s="77">
        <v>0.1</v>
      </c>
      <c r="O57" s="77">
        <v>9.000000000000008E-3</v>
      </c>
      <c r="P57" s="12">
        <f t="shared" ref="P57:P60" si="100">N57-O57*2</f>
        <v>8.199999999999999E-2</v>
      </c>
      <c r="Q57" s="12">
        <f t="shared" ref="Q57:Q60" si="101">P57-M57</f>
        <v>5.5999999999999994E-2</v>
      </c>
      <c r="R57" s="12">
        <f t="shared" ref="R57:R60" si="102">(Q57-I57)/J57</f>
        <v>5.5157894736842099</v>
      </c>
      <c r="S57" s="12">
        <f t="shared" ref="S57:S60" si="103">R57*H57/10</f>
        <v>55.157894736842103</v>
      </c>
      <c r="V57" s="12">
        <v>0.24</v>
      </c>
      <c r="W57" s="12">
        <v>7.0999999999999994E-2</v>
      </c>
      <c r="X57" s="12">
        <f t="shared" ref="X57:X59" si="104">V57-0.1</f>
        <v>0.13999999999999999</v>
      </c>
      <c r="Y57" s="12">
        <f t="shared" ref="Y57:Y59" si="105">W57-0.064</f>
        <v>6.9999999999999923E-3</v>
      </c>
    </row>
    <row r="58" spans="1:25">
      <c r="A58" s="73" t="s">
        <v>533</v>
      </c>
      <c r="F58" s="12" t="s">
        <v>557</v>
      </c>
      <c r="H58" s="15">
        <v>100</v>
      </c>
      <c r="I58" s="43">
        <v>3.5999999999999999E-3</v>
      </c>
      <c r="J58" s="15">
        <v>9.4999999999999998E-3</v>
      </c>
      <c r="K58" s="12">
        <v>3.5999999999999997E-2</v>
      </c>
      <c r="L58" s="12">
        <v>5.0000000000000001E-3</v>
      </c>
      <c r="M58" s="12">
        <f t="shared" si="99"/>
        <v>2.5999999999999995E-2</v>
      </c>
      <c r="N58" s="77">
        <v>0.13700000000000001</v>
      </c>
      <c r="O58" s="77">
        <v>8.0000000000000071E-3</v>
      </c>
      <c r="P58" s="12">
        <f t="shared" si="100"/>
        <v>0.121</v>
      </c>
      <c r="Q58" s="12">
        <f t="shared" si="101"/>
        <v>9.5000000000000001E-2</v>
      </c>
      <c r="R58" s="12">
        <f t="shared" si="102"/>
        <v>9.621052631578948</v>
      </c>
      <c r="S58" s="12">
        <f t="shared" si="103"/>
        <v>96.21052631578948</v>
      </c>
      <c r="V58" s="12">
        <v>0.20699999999999999</v>
      </c>
      <c r="W58" s="12">
        <v>7.3999999999999996E-2</v>
      </c>
      <c r="X58" s="12">
        <f t="shared" si="104"/>
        <v>0.10699999999999998</v>
      </c>
      <c r="Y58" s="12">
        <f t="shared" si="105"/>
        <v>9.999999999999995E-3</v>
      </c>
    </row>
    <row r="59" spans="1:25">
      <c r="A59" s="73" t="s">
        <v>533</v>
      </c>
      <c r="F59" s="12" t="s">
        <v>558</v>
      </c>
      <c r="H59" s="15">
        <v>100</v>
      </c>
      <c r="I59" s="43">
        <v>3.5999999999999999E-3</v>
      </c>
      <c r="J59" s="15">
        <v>9.4999999999999998E-3</v>
      </c>
      <c r="K59" s="12">
        <v>3.5999999999999997E-2</v>
      </c>
      <c r="L59" s="12">
        <v>5.0000000000000001E-3</v>
      </c>
      <c r="M59" s="12">
        <f t="shared" si="99"/>
        <v>2.5999999999999995E-2</v>
      </c>
      <c r="N59" s="77">
        <v>9.5000000000000001E-2</v>
      </c>
      <c r="O59" s="77">
        <v>8.0000000000000071E-3</v>
      </c>
      <c r="P59" s="12">
        <f t="shared" si="100"/>
        <v>7.8999999999999987E-2</v>
      </c>
      <c r="Q59" s="12">
        <f t="shared" si="101"/>
        <v>5.2999999999999992E-2</v>
      </c>
      <c r="R59" s="12">
        <f t="shared" si="102"/>
        <v>5.1999999999999993</v>
      </c>
      <c r="S59" s="12">
        <f t="shared" si="103"/>
        <v>51.999999999999986</v>
      </c>
      <c r="V59" s="12">
        <v>0.20399999999999999</v>
      </c>
      <c r="W59" s="12">
        <v>7.1999999999999995E-2</v>
      </c>
      <c r="X59" s="12">
        <f t="shared" si="104"/>
        <v>0.10399999999999998</v>
      </c>
      <c r="Y59" s="12">
        <f t="shared" si="105"/>
        <v>7.9999999999999932E-3</v>
      </c>
    </row>
    <row r="60" spans="1:25">
      <c r="A60" s="73" t="s">
        <v>533</v>
      </c>
      <c r="F60" s="12" t="s">
        <v>559</v>
      </c>
      <c r="H60" s="15">
        <v>50</v>
      </c>
      <c r="I60" s="43">
        <v>3.5999999999999999E-3</v>
      </c>
      <c r="J60" s="15">
        <v>9.4999999999999998E-3</v>
      </c>
      <c r="K60" s="12">
        <v>3.5999999999999997E-2</v>
      </c>
      <c r="L60" s="12">
        <v>5.0000000000000001E-3</v>
      </c>
      <c r="M60" s="12">
        <f t="shared" si="99"/>
        <v>2.5999999999999995E-2</v>
      </c>
      <c r="N60" s="77">
        <v>0.16300000000000001</v>
      </c>
      <c r="O60" s="77">
        <v>8.0000000000000071E-3</v>
      </c>
      <c r="P60" s="12">
        <f t="shared" si="100"/>
        <v>0.14699999999999999</v>
      </c>
      <c r="Q60" s="12">
        <f t="shared" si="101"/>
        <v>0.121</v>
      </c>
      <c r="R60" s="12">
        <f t="shared" si="102"/>
        <v>12.357894736842104</v>
      </c>
      <c r="S60" s="12">
        <f t="shared" si="103"/>
        <v>61.78947368421052</v>
      </c>
    </row>
    <row r="61" spans="1:25">
      <c r="A61" s="39" t="s">
        <v>666</v>
      </c>
      <c r="C61" s="72" t="s">
        <v>667</v>
      </c>
      <c r="D61" s="12" t="s">
        <v>123</v>
      </c>
      <c r="H61" s="15">
        <v>20</v>
      </c>
      <c r="I61" s="43">
        <v>-1.8E-3</v>
      </c>
      <c r="J61" s="15">
        <v>1.01E-2</v>
      </c>
      <c r="K61" s="12">
        <v>3.5999999999999997E-2</v>
      </c>
      <c r="L61" s="12">
        <v>5.0000000000000001E-3</v>
      </c>
      <c r="M61" s="12">
        <f t="shared" ref="M61" si="106">K61-L61*2</f>
        <v>2.5999999999999995E-2</v>
      </c>
      <c r="N61" s="77">
        <v>0.105</v>
      </c>
      <c r="O61" s="77">
        <v>8.0000000000000071E-3</v>
      </c>
      <c r="P61" s="12">
        <f t="shared" ref="P61" si="107">N61-O61*2</f>
        <v>8.8999999999999982E-2</v>
      </c>
      <c r="Q61" s="12">
        <f t="shared" ref="Q61" si="108">P61-M61</f>
        <v>6.2999999999999987E-2</v>
      </c>
      <c r="R61" s="12">
        <f t="shared" ref="R61" si="109">(Q61-I61)/J61</f>
        <v>6.4158415841584144</v>
      </c>
      <c r="S61" s="12">
        <f t="shared" ref="S61" si="110">R61*H61/10</f>
        <v>12.831683168316829</v>
      </c>
    </row>
    <row r="62" spans="1:25" ht="14.25" customHeight="1">
      <c r="A62" s="39" t="s">
        <v>579</v>
      </c>
      <c r="B62" s="74"/>
      <c r="C62" s="72" t="s">
        <v>587</v>
      </c>
      <c r="D62" s="12" t="s">
        <v>54</v>
      </c>
      <c r="E62" s="42"/>
      <c r="F62" s="47"/>
      <c r="G62" s="42"/>
      <c r="H62" s="15">
        <v>1</v>
      </c>
      <c r="I62" s="43">
        <v>-1.8E-3</v>
      </c>
      <c r="J62" s="15">
        <v>1.01E-2</v>
      </c>
      <c r="K62" s="12">
        <v>2.5999999999999999E-2</v>
      </c>
      <c r="L62" s="12">
        <v>5.0000000000000001E-3</v>
      </c>
      <c r="M62" s="12">
        <f t="shared" ref="M62" si="111">K62-L62*2</f>
        <v>1.6E-2</v>
      </c>
      <c r="N62" s="77">
        <v>0.245</v>
      </c>
      <c r="O62" s="77">
        <v>8.9999999999999993E-3</v>
      </c>
      <c r="P62" s="12">
        <f t="shared" ref="P62" si="112">N62-O62*2</f>
        <v>0.22700000000000001</v>
      </c>
      <c r="Q62" s="12">
        <f t="shared" ref="Q62" si="113">P62-M62</f>
        <v>0.21100000000000002</v>
      </c>
      <c r="R62" s="12">
        <f t="shared" ref="R62" si="114">(Q62-I62)/J62</f>
        <v>21.06930693069307</v>
      </c>
      <c r="S62" s="12">
        <f t="shared" ref="S62" si="115">R62*H62/10</f>
        <v>2.106930693069307</v>
      </c>
    </row>
    <row r="63" spans="1:25" ht="14.25" customHeight="1">
      <c r="A63" s="39" t="s">
        <v>16</v>
      </c>
      <c r="B63" s="74"/>
      <c r="C63" s="72" t="s">
        <v>588</v>
      </c>
      <c r="E63" s="42"/>
      <c r="F63" s="47"/>
      <c r="G63" s="42"/>
      <c r="H63" s="15">
        <v>1</v>
      </c>
      <c r="I63" s="43">
        <v>-1.8E-3</v>
      </c>
      <c r="J63" s="15">
        <v>1.01E-2</v>
      </c>
      <c r="K63" s="12">
        <v>2.5999999999999999E-2</v>
      </c>
      <c r="L63" s="12">
        <v>5.0000000000000001E-3</v>
      </c>
      <c r="M63" s="12">
        <f t="shared" ref="M63" si="116">K63-L63*2</f>
        <v>1.6E-2</v>
      </c>
      <c r="N63" s="77">
        <v>0.24399999999999999</v>
      </c>
      <c r="O63" s="77">
        <v>8.9999999999999993E-3</v>
      </c>
      <c r="P63" s="12">
        <f t="shared" ref="P63" si="117">N63-O63*2</f>
        <v>0.22600000000000001</v>
      </c>
      <c r="Q63" s="12">
        <f t="shared" ref="Q63" si="118">P63-M63</f>
        <v>0.21000000000000002</v>
      </c>
      <c r="R63" s="12">
        <f t="shared" ref="R63" si="119">(Q63-I63)/J63</f>
        <v>20.970297029702973</v>
      </c>
      <c r="S63" s="12">
        <f t="shared" ref="S63" si="120">R63*H63/10</f>
        <v>2.0970297029702971</v>
      </c>
      <c r="V63" s="56"/>
    </row>
    <row r="64" spans="1:25">
      <c r="A64" s="39"/>
      <c r="C64" s="86" t="s">
        <v>527</v>
      </c>
      <c r="D64" s="50"/>
      <c r="E64" s="50"/>
      <c r="F64" s="50"/>
      <c r="G64" s="50"/>
      <c r="H64" s="59">
        <v>1</v>
      </c>
      <c r="I64" s="23">
        <v>-1.8E-3</v>
      </c>
      <c r="J64" s="23">
        <v>1.01E-2</v>
      </c>
      <c r="K64" s="24">
        <v>2.5999999999999999E-2</v>
      </c>
      <c r="L64" s="24">
        <v>5.0000000000000001E-3</v>
      </c>
      <c r="M64" s="24">
        <f t="shared" ref="M64" si="121">K64-2*L64</f>
        <v>1.6E-2</v>
      </c>
      <c r="N64" s="25">
        <v>9.1999999999999998E-2</v>
      </c>
      <c r="O64" s="81">
        <v>8.9999999999999993E-3</v>
      </c>
      <c r="P64" s="24">
        <f t="shared" ref="P64" si="122">N64-2*O64</f>
        <v>7.3999999999999996E-2</v>
      </c>
      <c r="Q64" s="24">
        <f>P64-M64</f>
        <v>5.7999999999999996E-2</v>
      </c>
      <c r="R64" s="26">
        <f>(Q64-I64)/J64</f>
        <v>5.9207920792079207</v>
      </c>
      <c r="S64" s="27">
        <f t="shared" ref="S64" si="123">R64*H64/10</f>
        <v>0.59207920792079205</v>
      </c>
      <c r="T64" s="47" t="s">
        <v>586</v>
      </c>
      <c r="V64" s="75" t="s">
        <v>584</v>
      </c>
    </row>
    <row r="65" spans="1:25">
      <c r="A65" s="39"/>
      <c r="C65" s="86" t="s">
        <v>528</v>
      </c>
      <c r="D65" s="50"/>
      <c r="E65" s="50"/>
      <c r="F65" s="50"/>
      <c r="G65" s="50"/>
      <c r="H65" s="59">
        <v>1</v>
      </c>
      <c r="I65" s="23">
        <v>-1.8E-3</v>
      </c>
      <c r="J65" s="23">
        <v>1.01E-2</v>
      </c>
      <c r="K65" s="24">
        <v>2.5999999999999999E-2</v>
      </c>
      <c r="L65" s="24">
        <v>5.0000000000000001E-3</v>
      </c>
      <c r="M65" s="24">
        <f t="shared" ref="M65" si="124">K65-2*L65</f>
        <v>1.6E-2</v>
      </c>
      <c r="N65" s="25">
        <v>9.2999999999999999E-2</v>
      </c>
      <c r="O65" s="81">
        <v>8.9999999999999993E-3</v>
      </c>
      <c r="P65" s="24">
        <f t="shared" ref="P65:P66" si="125">N65-2*O65</f>
        <v>7.4999999999999997E-2</v>
      </c>
      <c r="Q65" s="24">
        <f>P65-M65</f>
        <v>5.8999999999999997E-2</v>
      </c>
      <c r="R65" s="26">
        <f>(Q65-I65)/J65</f>
        <v>6.0198019801980198</v>
      </c>
      <c r="S65" s="27">
        <f>R65*H65/10</f>
        <v>0.60198019801980196</v>
      </c>
      <c r="T65" s="47"/>
      <c r="V65" s="75" t="s">
        <v>585</v>
      </c>
    </row>
    <row r="66" spans="1:25">
      <c r="A66" s="39"/>
      <c r="C66" s="30" t="s">
        <v>87</v>
      </c>
      <c r="D66" s="30"/>
      <c r="E66" s="31"/>
      <c r="F66" s="31"/>
      <c r="G66" s="32"/>
      <c r="H66" s="60">
        <v>1</v>
      </c>
      <c r="I66" s="34">
        <v>-1.8E-3</v>
      </c>
      <c r="J66" s="34">
        <v>1.01E-2</v>
      </c>
      <c r="K66" s="35">
        <v>2.5999999999999999E-2</v>
      </c>
      <c r="L66" s="35">
        <v>5.0000000000000001E-3</v>
      </c>
      <c r="M66" s="35">
        <f>K66-2*L66</f>
        <v>1.6E-2</v>
      </c>
      <c r="N66" s="36">
        <v>0.125</v>
      </c>
      <c r="O66" s="80">
        <v>4.0000000000000001E-3</v>
      </c>
      <c r="P66" s="35">
        <f t="shared" si="125"/>
        <v>0.11699999999999999</v>
      </c>
      <c r="Q66" s="35">
        <f t="shared" ref="Q66:Q67" si="126">P66-M66</f>
        <v>0.10099999999999999</v>
      </c>
      <c r="R66" s="37">
        <f t="shared" ref="R66:R67" si="127">(Q66-I66)/J66</f>
        <v>10.178217821782178</v>
      </c>
      <c r="S66" s="38">
        <f t="shared" ref="S66:S67" si="128">R66*H66/10</f>
        <v>1.0178217821782178</v>
      </c>
    </row>
    <row r="67" spans="1:25">
      <c r="A67" s="39" t="s">
        <v>651</v>
      </c>
      <c r="C67" s="72" t="s">
        <v>652</v>
      </c>
      <c r="D67" s="12" t="s">
        <v>653</v>
      </c>
      <c r="H67" s="15">
        <v>20</v>
      </c>
      <c r="I67" s="43">
        <v>-1.8E-3</v>
      </c>
      <c r="J67" s="15">
        <v>1.01E-2</v>
      </c>
      <c r="K67" s="12">
        <v>2.5999999999999999E-2</v>
      </c>
      <c r="L67" s="12">
        <v>5.0000000000000001E-3</v>
      </c>
      <c r="M67" s="12">
        <f t="shared" ref="M67" si="129">K67-L67*2</f>
        <v>1.6E-2</v>
      </c>
      <c r="N67" s="77">
        <v>0.16900000000000001</v>
      </c>
      <c r="O67" s="77">
        <v>2.7999999999999997E-2</v>
      </c>
      <c r="P67" s="12">
        <f t="shared" ref="P67" si="130">N67-O67*2</f>
        <v>0.11300000000000002</v>
      </c>
      <c r="Q67" s="12">
        <f t="shared" si="126"/>
        <v>9.7000000000000017E-2</v>
      </c>
      <c r="R67" s="12">
        <f t="shared" si="127"/>
        <v>9.7821782178217838</v>
      </c>
      <c r="S67" s="12">
        <f t="shared" si="128"/>
        <v>19.564356435643568</v>
      </c>
    </row>
    <row r="68" spans="1:25">
      <c r="A68" s="73" t="s">
        <v>59</v>
      </c>
      <c r="B68" s="13">
        <v>43931</v>
      </c>
      <c r="D68" s="12" t="s">
        <v>500</v>
      </c>
      <c r="F68" s="12" t="s">
        <v>556</v>
      </c>
      <c r="H68" s="15">
        <v>50</v>
      </c>
      <c r="I68" s="43">
        <v>3.5999999999999999E-3</v>
      </c>
      <c r="J68" s="15">
        <v>9.4999999999999998E-3</v>
      </c>
      <c r="K68" s="12">
        <v>0.02</v>
      </c>
      <c r="L68" s="12">
        <v>1E-3</v>
      </c>
      <c r="M68" s="12">
        <f t="shared" ref="M68" si="131">K68-L68*2</f>
        <v>1.8000000000000002E-2</v>
      </c>
      <c r="N68" s="77">
        <v>0.156</v>
      </c>
      <c r="O68" s="77">
        <v>2.7999999999999997E-2</v>
      </c>
      <c r="P68" s="12">
        <f t="shared" ref="P68:P71" si="132">N68-O68*2</f>
        <v>0.1</v>
      </c>
      <c r="Q68" s="12">
        <f t="shared" ref="Q68:Q71" si="133">P68-M68</f>
        <v>8.2000000000000003E-2</v>
      </c>
      <c r="R68" s="12">
        <f t="shared" ref="R68:R71" si="134">(Q68-I68)/J68</f>
        <v>8.2526315789473692</v>
      </c>
      <c r="S68" s="12">
        <f t="shared" ref="S68:S71" si="135">R68*H68/10</f>
        <v>41.263157894736842</v>
      </c>
    </row>
    <row r="69" spans="1:25">
      <c r="A69" s="73" t="s">
        <v>59</v>
      </c>
      <c r="B69" s="12" t="s">
        <v>590</v>
      </c>
      <c r="F69" s="12" t="s">
        <v>557</v>
      </c>
      <c r="H69" s="15">
        <v>50</v>
      </c>
      <c r="I69" s="43">
        <v>3.5999999999999999E-3</v>
      </c>
      <c r="J69" s="15">
        <v>9.4999999999999998E-3</v>
      </c>
      <c r="K69" s="12">
        <v>0.02</v>
      </c>
      <c r="L69" s="12">
        <v>1E-3</v>
      </c>
      <c r="M69" s="12">
        <f t="shared" ref="M69:M72" si="136">K69-L69*2</f>
        <v>1.8000000000000002E-2</v>
      </c>
      <c r="N69" s="77">
        <v>0.13999999999999999</v>
      </c>
      <c r="O69" s="77">
        <v>6.9999999999999923E-3</v>
      </c>
      <c r="P69" s="12">
        <f t="shared" si="132"/>
        <v>0.126</v>
      </c>
      <c r="Q69" s="12">
        <f t="shared" si="133"/>
        <v>0.108</v>
      </c>
      <c r="R69" s="12">
        <f t="shared" si="134"/>
        <v>10.989473684210525</v>
      </c>
      <c r="S69" s="12">
        <f t="shared" si="135"/>
        <v>54.947368421052623</v>
      </c>
    </row>
    <row r="70" spans="1:25">
      <c r="A70" s="73" t="s">
        <v>59</v>
      </c>
      <c r="F70" s="12" t="s">
        <v>558</v>
      </c>
      <c r="H70" s="15">
        <v>50</v>
      </c>
      <c r="I70" s="43">
        <v>3.5999999999999999E-3</v>
      </c>
      <c r="J70" s="15">
        <v>9.4999999999999998E-3</v>
      </c>
      <c r="K70" s="12">
        <v>0.02</v>
      </c>
      <c r="L70" s="12">
        <v>1E-3</v>
      </c>
      <c r="M70" s="12">
        <f t="shared" si="136"/>
        <v>1.8000000000000002E-2</v>
      </c>
      <c r="N70" s="77">
        <v>0.10699999999999998</v>
      </c>
      <c r="O70" s="77">
        <v>9.999999999999995E-3</v>
      </c>
      <c r="P70" s="12">
        <f t="shared" si="132"/>
        <v>8.6999999999999994E-2</v>
      </c>
      <c r="Q70" s="12">
        <f t="shared" si="133"/>
        <v>6.8999999999999992E-2</v>
      </c>
      <c r="R70" s="12">
        <f t="shared" si="134"/>
        <v>6.8842105263157878</v>
      </c>
      <c r="S70" s="12">
        <f t="shared" si="135"/>
        <v>34.421052631578938</v>
      </c>
    </row>
    <row r="71" spans="1:25">
      <c r="A71" s="73" t="s">
        <v>59</v>
      </c>
      <c r="F71" s="12" t="s">
        <v>559</v>
      </c>
      <c r="H71" s="15">
        <v>50</v>
      </c>
      <c r="I71" s="43">
        <v>3.5999999999999999E-3</v>
      </c>
      <c r="J71" s="15">
        <v>9.4999999999999998E-3</v>
      </c>
      <c r="K71" s="12">
        <v>0.02</v>
      </c>
      <c r="L71" s="12">
        <v>1E-3</v>
      </c>
      <c r="M71" s="12">
        <f t="shared" si="136"/>
        <v>1.8000000000000002E-2</v>
      </c>
      <c r="N71" s="77">
        <v>0.10399999999999998</v>
      </c>
      <c r="O71" s="77">
        <v>7.9999999999999932E-3</v>
      </c>
      <c r="P71" s="12">
        <f t="shared" si="132"/>
        <v>8.7999999999999995E-2</v>
      </c>
      <c r="Q71" s="12">
        <f t="shared" si="133"/>
        <v>6.9999999999999993E-2</v>
      </c>
      <c r="R71" s="12">
        <f t="shared" si="134"/>
        <v>6.989473684210525</v>
      </c>
      <c r="S71" s="12">
        <f t="shared" si="135"/>
        <v>34.947368421052623</v>
      </c>
      <c r="V71" s="12">
        <v>0.13500000000000001</v>
      </c>
      <c r="W71" s="12">
        <v>6.9000000000000006E-2</v>
      </c>
      <c r="X71" s="12">
        <f>V71-0.112</f>
        <v>2.3000000000000007E-2</v>
      </c>
      <c r="Y71" s="12">
        <f>W71-0.067</f>
        <v>2.0000000000000018E-3</v>
      </c>
    </row>
    <row r="72" spans="1:25">
      <c r="A72" s="39" t="s">
        <v>72</v>
      </c>
      <c r="C72" s="72" t="s">
        <v>565</v>
      </c>
      <c r="D72" s="12" t="s">
        <v>566</v>
      </c>
      <c r="G72" s="66"/>
      <c r="H72" s="15">
        <v>10</v>
      </c>
      <c r="I72" s="43">
        <v>-1.8E-3</v>
      </c>
      <c r="J72" s="15">
        <v>1.01E-2</v>
      </c>
      <c r="K72" s="12">
        <v>2.3E-2</v>
      </c>
      <c r="L72" s="12">
        <v>2E-3</v>
      </c>
      <c r="M72" s="12">
        <f t="shared" si="136"/>
        <v>1.9E-2</v>
      </c>
      <c r="N72" s="77">
        <v>0.251</v>
      </c>
      <c r="O72" s="77">
        <v>4.9999999999999906E-3</v>
      </c>
      <c r="P72" s="12">
        <f t="shared" ref="P72:P81" si="137">N72-O72*2</f>
        <v>0.24100000000000002</v>
      </c>
      <c r="Q72" s="12">
        <f t="shared" ref="Q72:Q81" si="138">P72-M72</f>
        <v>0.22200000000000003</v>
      </c>
      <c r="R72" s="12">
        <f t="shared" ref="R72:R81" si="139">(Q72-I72)/J72</f>
        <v>22.158415841584162</v>
      </c>
      <c r="S72" s="12">
        <f t="shared" ref="S72:S81" si="140">R72*H72/10</f>
        <v>22.158415841584162</v>
      </c>
      <c r="V72" s="12">
        <v>0.24199999999999999</v>
      </c>
      <c r="W72" s="12">
        <v>7.1999999999999995E-2</v>
      </c>
      <c r="X72" s="12">
        <f t="shared" ref="X72:X82" si="141">V72-0.112</f>
        <v>0.13</v>
      </c>
      <c r="Y72" s="12">
        <f t="shared" ref="Y72:Y82" si="142">W72-0.067</f>
        <v>4.9999999999999906E-3</v>
      </c>
    </row>
    <row r="73" spans="1:25" ht="18.75" customHeight="1">
      <c r="A73" s="73" t="s">
        <v>59</v>
      </c>
      <c r="B73" s="13">
        <v>43934</v>
      </c>
      <c r="C73" s="72" t="s">
        <v>567</v>
      </c>
      <c r="D73" s="12" t="s">
        <v>85</v>
      </c>
      <c r="F73" s="12" t="s">
        <v>572</v>
      </c>
      <c r="G73" s="66"/>
      <c r="H73" s="15">
        <v>10</v>
      </c>
      <c r="I73" s="43">
        <v>3.5999999999999999E-3</v>
      </c>
      <c r="J73" s="15">
        <v>9.4999999999999998E-3</v>
      </c>
      <c r="K73" s="12">
        <v>2.3E-2</v>
      </c>
      <c r="L73" s="12">
        <v>2E-3</v>
      </c>
      <c r="M73" s="12">
        <f t="shared" ref="M73:M82" si="143">K73-L73*2</f>
        <v>1.9E-2</v>
      </c>
      <c r="N73" s="77">
        <v>0.503</v>
      </c>
      <c r="O73" s="77">
        <v>3.0000000000000027E-3</v>
      </c>
      <c r="P73" s="12">
        <f t="shared" si="137"/>
        <v>0.497</v>
      </c>
      <c r="Q73" s="12">
        <f t="shared" si="138"/>
        <v>0.47799999999999998</v>
      </c>
      <c r="R73" s="12">
        <f t="shared" si="139"/>
        <v>49.93684210526316</v>
      </c>
      <c r="S73" s="12">
        <f t="shared" si="140"/>
        <v>49.93684210526316</v>
      </c>
      <c r="V73" s="12">
        <v>0.184</v>
      </c>
      <c r="W73" s="12">
        <v>7.1999999999999995E-2</v>
      </c>
      <c r="X73" s="12">
        <f t="shared" si="141"/>
        <v>7.1999999999999995E-2</v>
      </c>
      <c r="Y73" s="12">
        <f t="shared" si="142"/>
        <v>4.9999999999999906E-3</v>
      </c>
    </row>
    <row r="74" spans="1:25">
      <c r="A74" s="73" t="s">
        <v>59</v>
      </c>
      <c r="B74" s="12" t="s">
        <v>591</v>
      </c>
      <c r="C74" s="72" t="s">
        <v>568</v>
      </c>
      <c r="F74" s="12" t="s">
        <v>573</v>
      </c>
      <c r="G74" s="66"/>
      <c r="H74" s="15">
        <v>10</v>
      </c>
      <c r="I74" s="43">
        <v>3.5999999999999999E-3</v>
      </c>
      <c r="J74" s="15">
        <v>9.4999999999999998E-3</v>
      </c>
      <c r="K74" s="12">
        <v>2.3E-2</v>
      </c>
      <c r="L74" s="12">
        <v>2E-3</v>
      </c>
      <c r="M74" s="12">
        <f t="shared" si="143"/>
        <v>1.9E-2</v>
      </c>
      <c r="N74" s="77">
        <v>0.46700000000000003</v>
      </c>
      <c r="O74" s="77">
        <v>3.0000000000000027E-3</v>
      </c>
      <c r="P74" s="12">
        <f t="shared" si="137"/>
        <v>0.46100000000000002</v>
      </c>
      <c r="Q74" s="12">
        <f t="shared" si="138"/>
        <v>0.442</v>
      </c>
      <c r="R74" s="12">
        <f t="shared" si="139"/>
        <v>46.147368421052633</v>
      </c>
      <c r="S74" s="12">
        <f t="shared" si="140"/>
        <v>46.147368421052633</v>
      </c>
      <c r="V74" s="12">
        <v>1.089</v>
      </c>
      <c r="W74" s="12">
        <v>7.0000000000000007E-2</v>
      </c>
      <c r="X74" s="12">
        <f t="shared" si="141"/>
        <v>0.97699999999999998</v>
      </c>
      <c r="Y74" s="12">
        <f t="shared" si="142"/>
        <v>3.0000000000000027E-3</v>
      </c>
    </row>
    <row r="75" spans="1:25">
      <c r="A75" s="73" t="s">
        <v>59</v>
      </c>
      <c r="C75" s="72" t="s">
        <v>569</v>
      </c>
      <c r="F75" s="12" t="s">
        <v>574</v>
      </c>
      <c r="G75" s="66"/>
      <c r="H75" s="15">
        <v>20</v>
      </c>
      <c r="I75" s="43">
        <v>3.5999999999999999E-3</v>
      </c>
      <c r="J75" s="15">
        <v>9.4999999999999998E-3</v>
      </c>
      <c r="K75" s="12">
        <v>2.3E-2</v>
      </c>
      <c r="L75" s="12">
        <v>2E-3</v>
      </c>
      <c r="M75" s="12">
        <f t="shared" si="143"/>
        <v>1.9E-2</v>
      </c>
      <c r="N75" s="77">
        <v>0.36199999999999999</v>
      </c>
      <c r="O75" s="77">
        <v>4.9999999999999906E-3</v>
      </c>
      <c r="P75" s="12">
        <f t="shared" si="137"/>
        <v>0.35199999999999998</v>
      </c>
      <c r="Q75" s="12">
        <f t="shared" si="138"/>
        <v>0.33299999999999996</v>
      </c>
      <c r="R75" s="12">
        <f t="shared" si="139"/>
        <v>34.673684210526311</v>
      </c>
      <c r="S75" s="12">
        <f t="shared" si="140"/>
        <v>69.347368421052622</v>
      </c>
      <c r="V75" s="12">
        <v>1.016</v>
      </c>
      <c r="W75" s="12">
        <v>7.0000000000000007E-2</v>
      </c>
      <c r="X75" s="12">
        <f t="shared" si="141"/>
        <v>0.90400000000000003</v>
      </c>
      <c r="Y75" s="12">
        <f t="shared" si="142"/>
        <v>3.0000000000000027E-3</v>
      </c>
    </row>
    <row r="76" spans="1:25">
      <c r="A76" s="73" t="s">
        <v>59</v>
      </c>
      <c r="C76" s="72" t="s">
        <v>570</v>
      </c>
      <c r="F76" s="12" t="s">
        <v>575</v>
      </c>
      <c r="G76" s="66"/>
      <c r="H76" s="15">
        <v>5</v>
      </c>
      <c r="I76" s="43">
        <v>3.5999999999999999E-3</v>
      </c>
      <c r="J76" s="15">
        <v>9.4999999999999998E-3</v>
      </c>
      <c r="K76" s="12">
        <v>2.3E-2</v>
      </c>
      <c r="L76" s="12">
        <v>2E-3</v>
      </c>
      <c r="M76" s="12">
        <f t="shared" si="143"/>
        <v>1.9E-2</v>
      </c>
      <c r="N76" s="77">
        <v>0.74099999999999999</v>
      </c>
      <c r="O76" s="77">
        <v>7.9999999999999932E-3</v>
      </c>
      <c r="P76" s="12">
        <f t="shared" si="137"/>
        <v>0.72499999999999998</v>
      </c>
      <c r="Q76" s="12">
        <f t="shared" si="138"/>
        <v>0.70599999999999996</v>
      </c>
      <c r="R76" s="12">
        <f t="shared" si="139"/>
        <v>73.936842105263153</v>
      </c>
      <c r="S76" s="12">
        <f t="shared" si="140"/>
        <v>36.968421052631577</v>
      </c>
      <c r="V76" s="12">
        <v>0.47399999999999998</v>
      </c>
      <c r="W76" s="12">
        <v>7.1999999999999995E-2</v>
      </c>
      <c r="X76" s="12">
        <f t="shared" si="141"/>
        <v>0.36199999999999999</v>
      </c>
      <c r="Y76" s="12">
        <f t="shared" si="142"/>
        <v>4.9999999999999906E-3</v>
      </c>
    </row>
    <row r="77" spans="1:25">
      <c r="A77" s="73" t="s">
        <v>59</v>
      </c>
      <c r="C77" s="72" t="s">
        <v>571</v>
      </c>
      <c r="F77" s="12" t="s">
        <v>576</v>
      </c>
      <c r="G77" s="66"/>
      <c r="H77" s="15">
        <v>5</v>
      </c>
      <c r="I77" s="43">
        <v>3.5999999999999999E-3</v>
      </c>
      <c r="J77" s="15">
        <v>9.4999999999999998E-3</v>
      </c>
      <c r="K77" s="12">
        <v>2.3E-2</v>
      </c>
      <c r="L77" s="12">
        <v>2E-3</v>
      </c>
      <c r="M77" s="12">
        <f t="shared" si="143"/>
        <v>1.9E-2</v>
      </c>
      <c r="N77" s="77">
        <v>0.38</v>
      </c>
      <c r="O77" s="77">
        <v>0</v>
      </c>
      <c r="P77" s="12">
        <f t="shared" si="137"/>
        <v>0.38</v>
      </c>
      <c r="Q77" s="12">
        <f t="shared" si="138"/>
        <v>0.36099999999999999</v>
      </c>
      <c r="R77" s="12">
        <f t="shared" si="139"/>
        <v>37.621052631578948</v>
      </c>
      <c r="S77" s="12">
        <f t="shared" si="140"/>
        <v>18.810526315789474</v>
      </c>
      <c r="V77" s="12">
        <v>0.85299999999999998</v>
      </c>
      <c r="W77" s="12">
        <v>7.4999999999999997E-2</v>
      </c>
      <c r="X77" s="12">
        <f t="shared" si="141"/>
        <v>0.74099999999999999</v>
      </c>
      <c r="Y77" s="12">
        <f t="shared" si="142"/>
        <v>7.9999999999999932E-3</v>
      </c>
    </row>
    <row r="78" spans="1:25">
      <c r="A78" s="73" t="s">
        <v>59</v>
      </c>
      <c r="B78" s="13"/>
      <c r="C78" s="72" t="s">
        <v>580</v>
      </c>
      <c r="D78" s="12" t="s">
        <v>500</v>
      </c>
      <c r="F78" s="12" t="s">
        <v>556</v>
      </c>
      <c r="G78" s="66"/>
      <c r="H78" s="15">
        <v>50</v>
      </c>
      <c r="I78" s="43">
        <v>3.5999999999999999E-3</v>
      </c>
      <c r="J78" s="15">
        <v>9.4999999999999998E-3</v>
      </c>
      <c r="K78" s="12">
        <v>2.3E-2</v>
      </c>
      <c r="L78" s="12">
        <v>2E-3</v>
      </c>
      <c r="M78" s="12">
        <f t="shared" si="143"/>
        <v>1.9E-2</v>
      </c>
      <c r="N78" s="77">
        <v>0.127</v>
      </c>
      <c r="O78" s="77">
        <v>3.0000000000000027E-3</v>
      </c>
      <c r="P78" s="12">
        <f t="shared" si="137"/>
        <v>0.121</v>
      </c>
      <c r="Q78" s="12">
        <f t="shared" si="138"/>
        <v>0.10199999999999999</v>
      </c>
      <c r="R78" s="12">
        <f t="shared" si="139"/>
        <v>10.357894736842104</v>
      </c>
      <c r="S78" s="12">
        <f t="shared" si="140"/>
        <v>51.78947368421052</v>
      </c>
      <c r="V78" s="12">
        <v>0.49199999999999999</v>
      </c>
      <c r="W78" s="12">
        <v>6.7000000000000004E-2</v>
      </c>
      <c r="X78" s="12">
        <f t="shared" si="141"/>
        <v>0.38</v>
      </c>
      <c r="Y78" s="12">
        <f t="shared" si="142"/>
        <v>0</v>
      </c>
    </row>
    <row r="79" spans="1:25">
      <c r="A79" s="73" t="s">
        <v>59</v>
      </c>
      <c r="C79" s="72" t="s">
        <v>581</v>
      </c>
      <c r="F79" s="12" t="s">
        <v>557</v>
      </c>
      <c r="H79" s="15">
        <v>10</v>
      </c>
      <c r="I79" s="43">
        <v>3.5999999999999999E-3</v>
      </c>
      <c r="J79" s="15">
        <v>9.4999999999999998E-3</v>
      </c>
      <c r="K79" s="12">
        <v>2.3E-2</v>
      </c>
      <c r="L79" s="12">
        <v>2E-3</v>
      </c>
      <c r="M79" s="12">
        <f t="shared" si="143"/>
        <v>1.9E-2</v>
      </c>
      <c r="N79" s="77">
        <v>0.35799999999999998</v>
      </c>
      <c r="O79" s="77">
        <v>2.0000000000000018E-3</v>
      </c>
      <c r="P79" s="12">
        <f t="shared" si="137"/>
        <v>0.35399999999999998</v>
      </c>
      <c r="Q79" s="12">
        <f t="shared" si="138"/>
        <v>0.33499999999999996</v>
      </c>
      <c r="R79" s="12">
        <f t="shared" si="139"/>
        <v>34.88421052631579</v>
      </c>
      <c r="S79" s="12">
        <f t="shared" si="140"/>
        <v>34.88421052631579</v>
      </c>
      <c r="V79" s="12">
        <v>0.23899999999999999</v>
      </c>
      <c r="W79" s="12">
        <v>7.0000000000000007E-2</v>
      </c>
      <c r="X79" s="12">
        <f t="shared" si="141"/>
        <v>0.127</v>
      </c>
      <c r="Y79" s="12">
        <f t="shared" si="142"/>
        <v>3.0000000000000027E-3</v>
      </c>
    </row>
    <row r="80" spans="1:25">
      <c r="A80" s="73" t="s">
        <v>59</v>
      </c>
      <c r="C80" s="72" t="s">
        <v>582</v>
      </c>
      <c r="F80" s="12" t="s">
        <v>558</v>
      </c>
      <c r="H80" s="15">
        <v>50</v>
      </c>
      <c r="I80" s="43">
        <v>3.5999999999999999E-3</v>
      </c>
      <c r="J80" s="15">
        <v>9.4999999999999998E-3</v>
      </c>
      <c r="K80" s="12">
        <v>2.3E-2</v>
      </c>
      <c r="L80" s="12">
        <v>2E-3</v>
      </c>
      <c r="M80" s="12">
        <f t="shared" si="143"/>
        <v>1.9E-2</v>
      </c>
      <c r="N80" s="77">
        <v>0.13900000000000001</v>
      </c>
      <c r="O80" s="77">
        <v>6.9999999999999923E-3</v>
      </c>
      <c r="P80" s="12">
        <f t="shared" si="137"/>
        <v>0.12500000000000003</v>
      </c>
      <c r="Q80" s="12">
        <f t="shared" si="138"/>
        <v>0.10600000000000002</v>
      </c>
      <c r="R80" s="12">
        <f t="shared" si="139"/>
        <v>10.778947368421054</v>
      </c>
      <c r="S80" s="12">
        <f t="shared" si="140"/>
        <v>53.894736842105274</v>
      </c>
      <c r="V80" s="12">
        <v>0.20499999999999999</v>
      </c>
      <c r="W80" s="12">
        <v>6.9000000000000006E-2</v>
      </c>
      <c r="X80" s="12">
        <f t="shared" si="141"/>
        <v>9.2999999999999985E-2</v>
      </c>
      <c r="Y80" s="12">
        <f t="shared" si="142"/>
        <v>2.0000000000000018E-3</v>
      </c>
    </row>
    <row r="81" spans="1:25">
      <c r="A81" s="73" t="s">
        <v>59</v>
      </c>
      <c r="C81" s="72" t="s">
        <v>583</v>
      </c>
      <c r="F81" s="12" t="s">
        <v>559</v>
      </c>
      <c r="H81" s="15">
        <v>50</v>
      </c>
      <c r="I81" s="43">
        <v>3.5999999999999999E-3</v>
      </c>
      <c r="J81" s="15">
        <v>9.4999999999999998E-3</v>
      </c>
      <c r="K81" s="12">
        <v>2.3E-2</v>
      </c>
      <c r="L81" s="12">
        <v>2E-3</v>
      </c>
      <c r="M81" s="12">
        <f t="shared" si="143"/>
        <v>1.9E-2</v>
      </c>
      <c r="N81" s="77">
        <v>0.11800000000000001</v>
      </c>
      <c r="O81" s="77">
        <v>3.0000000000000027E-3</v>
      </c>
      <c r="P81" s="12">
        <f t="shared" si="137"/>
        <v>0.112</v>
      </c>
      <c r="Q81" s="12">
        <f t="shared" si="138"/>
        <v>9.2999999999999999E-2</v>
      </c>
      <c r="R81" s="12">
        <f t="shared" si="139"/>
        <v>9.4105263157894736</v>
      </c>
      <c r="S81" s="12">
        <f t="shared" si="140"/>
        <v>47.05263157894737</v>
      </c>
      <c r="V81" s="12">
        <v>0.251</v>
      </c>
      <c r="W81" s="12">
        <v>7.3999999999999996E-2</v>
      </c>
      <c r="X81" s="12">
        <f t="shared" si="141"/>
        <v>0.13900000000000001</v>
      </c>
      <c r="Y81" s="12">
        <f t="shared" si="142"/>
        <v>6.9999999999999923E-3</v>
      </c>
    </row>
    <row r="82" spans="1:25">
      <c r="A82" s="39" t="s">
        <v>160</v>
      </c>
      <c r="B82" s="13">
        <v>43935</v>
      </c>
      <c r="C82" s="72" t="s">
        <v>593</v>
      </c>
      <c r="D82" s="12" t="s">
        <v>594</v>
      </c>
      <c r="H82" s="15">
        <v>5</v>
      </c>
      <c r="I82" s="43">
        <v>-1.8E-3</v>
      </c>
      <c r="J82" s="15">
        <v>1.01E-2</v>
      </c>
      <c r="K82" s="12">
        <v>2.5999999999999999E-2</v>
      </c>
      <c r="L82" s="12">
        <v>2E-3</v>
      </c>
      <c r="M82" s="12">
        <f t="shared" si="143"/>
        <v>2.1999999999999999E-2</v>
      </c>
      <c r="N82" s="77">
        <v>0.188</v>
      </c>
      <c r="O82" s="77">
        <v>4.0000000000000001E-3</v>
      </c>
      <c r="P82" s="12">
        <f t="shared" ref="P82" si="144">N82-O82*2</f>
        <v>0.18</v>
      </c>
      <c r="Q82" s="12">
        <f t="shared" ref="Q82" si="145">P82-M82</f>
        <v>0.158</v>
      </c>
      <c r="R82" s="12">
        <f t="shared" ref="R82" si="146">(Q82-I82)/J82</f>
        <v>15.821782178217822</v>
      </c>
      <c r="S82" s="12">
        <f t="shared" ref="S82" si="147">R82*H82/10</f>
        <v>7.9108910891089108</v>
      </c>
      <c r="V82" s="12">
        <v>0.23</v>
      </c>
      <c r="W82" s="12">
        <v>7.0000000000000007E-2</v>
      </c>
      <c r="X82" s="12">
        <f t="shared" si="141"/>
        <v>0.11800000000000001</v>
      </c>
      <c r="Y82" s="12">
        <f t="shared" si="142"/>
        <v>3.0000000000000027E-3</v>
      </c>
    </row>
    <row r="83" spans="1:25">
      <c r="A83" s="39" t="s">
        <v>16</v>
      </c>
      <c r="B83" s="12" t="s">
        <v>600</v>
      </c>
      <c r="C83" s="72" t="s">
        <v>595</v>
      </c>
      <c r="D83" s="12" t="s">
        <v>596</v>
      </c>
      <c r="H83" s="15">
        <v>10</v>
      </c>
      <c r="I83" s="43">
        <v>-1.8E-3</v>
      </c>
      <c r="J83" s="15">
        <v>1.01E-2</v>
      </c>
      <c r="K83" s="12">
        <v>2.5999999999999999E-2</v>
      </c>
      <c r="L83" s="12">
        <v>2E-3</v>
      </c>
      <c r="M83" s="12">
        <f t="shared" ref="M83:M88" si="148">K83-L83*2</f>
        <v>2.1999999999999999E-2</v>
      </c>
      <c r="N83" s="77">
        <v>0.218</v>
      </c>
      <c r="O83" s="77">
        <v>5.0000000000000001E-3</v>
      </c>
      <c r="P83" s="12">
        <f t="shared" ref="P83:P88" si="149">N83-O83*2</f>
        <v>0.20799999999999999</v>
      </c>
      <c r="Q83" s="12">
        <f t="shared" ref="Q83:Q84" si="150">P83-M83</f>
        <v>0.186</v>
      </c>
      <c r="R83" s="12">
        <f t="shared" ref="R83:R84" si="151">(Q83-I83)/J83</f>
        <v>18.594059405940595</v>
      </c>
      <c r="S83" s="12">
        <f t="shared" ref="S83:S84" si="152">R83*H83/10</f>
        <v>18.594059405940595</v>
      </c>
      <c r="T83" s="12">
        <v>93</v>
      </c>
    </row>
    <row r="84" spans="1:25">
      <c r="A84" s="39" t="s">
        <v>160</v>
      </c>
      <c r="C84" s="72" t="s">
        <v>597</v>
      </c>
      <c r="D84" s="12" t="s">
        <v>598</v>
      </c>
      <c r="H84" s="15">
        <v>1</v>
      </c>
      <c r="I84" s="43">
        <v>-1.8E-3</v>
      </c>
      <c r="J84" s="15">
        <v>1.01E-2</v>
      </c>
      <c r="K84" s="12">
        <v>2.5999999999999999E-2</v>
      </c>
      <c r="L84" s="12">
        <v>2E-3</v>
      </c>
      <c r="M84" s="12">
        <f t="shared" si="148"/>
        <v>2.1999999999999999E-2</v>
      </c>
      <c r="N84" s="77">
        <v>0.16400000000000001</v>
      </c>
      <c r="O84" s="77">
        <v>4.0000000000000001E-3</v>
      </c>
      <c r="P84" s="12">
        <f t="shared" si="149"/>
        <v>0.156</v>
      </c>
      <c r="Q84" s="12">
        <f t="shared" si="150"/>
        <v>0.13400000000000001</v>
      </c>
      <c r="R84" s="12">
        <f t="shared" si="151"/>
        <v>13.445544554455447</v>
      </c>
      <c r="S84" s="12">
        <f t="shared" si="152"/>
        <v>1.3445544554455446</v>
      </c>
    </row>
    <row r="85" spans="1:25">
      <c r="A85" s="39" t="s">
        <v>16</v>
      </c>
      <c r="C85" s="72" t="s">
        <v>609</v>
      </c>
      <c r="D85" s="12" t="s">
        <v>599</v>
      </c>
      <c r="H85" s="15">
        <v>5</v>
      </c>
      <c r="I85" s="43">
        <v>-1.8E-3</v>
      </c>
      <c r="J85" s="15">
        <v>1.01E-2</v>
      </c>
      <c r="K85" s="12">
        <v>2.5999999999999999E-2</v>
      </c>
      <c r="L85" s="12">
        <v>2E-3</v>
      </c>
      <c r="M85" s="12">
        <f t="shared" ref="M85" si="153">K85-L85*2</f>
        <v>2.1999999999999999E-2</v>
      </c>
      <c r="N85" s="77">
        <v>0.34799999999999998</v>
      </c>
      <c r="O85" s="77">
        <v>0</v>
      </c>
      <c r="P85" s="12">
        <f t="shared" si="149"/>
        <v>0.34799999999999998</v>
      </c>
      <c r="Q85" s="12">
        <f t="shared" ref="Q85:Q88" si="154">P85-M85</f>
        <v>0.32599999999999996</v>
      </c>
      <c r="R85" s="12">
        <f t="shared" ref="R85:R88" si="155">(Q85-I85)/J85</f>
        <v>32.455445544554458</v>
      </c>
      <c r="S85" s="12">
        <f t="shared" ref="S85:S88" si="156">R85*H85/10</f>
        <v>16.227722772277229</v>
      </c>
    </row>
    <row r="86" spans="1:25">
      <c r="A86" s="39" t="s">
        <v>16</v>
      </c>
      <c r="C86" s="72" t="s">
        <v>610</v>
      </c>
      <c r="H86" s="15">
        <v>5</v>
      </c>
      <c r="I86" s="43">
        <v>-1.8E-3</v>
      </c>
      <c r="J86" s="15">
        <v>1.01E-2</v>
      </c>
      <c r="K86" s="12">
        <v>2.5999999999999999E-2</v>
      </c>
      <c r="L86" s="12">
        <v>2E-3</v>
      </c>
      <c r="M86" s="12">
        <f t="shared" ref="M86" si="157">K86-L86*2</f>
        <v>2.1999999999999999E-2</v>
      </c>
      <c r="N86" s="77">
        <v>0.34699999999999998</v>
      </c>
      <c r="O86" s="77">
        <v>0</v>
      </c>
      <c r="P86" s="12">
        <f t="shared" ref="P86" si="158">N86-O86*2</f>
        <v>0.34699999999999998</v>
      </c>
      <c r="Q86" s="12">
        <f t="shared" ref="Q86:Q87" si="159">P86-M86</f>
        <v>0.32499999999999996</v>
      </c>
      <c r="R86" s="12">
        <f t="shared" ref="R86:R87" si="160">(Q86-I86)/J86</f>
        <v>32.356435643564353</v>
      </c>
      <c r="S86" s="12">
        <f t="shared" ref="S86:S87" si="161">R86*H86/10</f>
        <v>16.178217821782177</v>
      </c>
    </row>
    <row r="87" spans="1:25">
      <c r="A87" s="39"/>
      <c r="C87" s="30" t="s">
        <v>87</v>
      </c>
      <c r="D87" s="30"/>
      <c r="E87" s="31"/>
      <c r="F87" s="31"/>
      <c r="G87" s="32"/>
      <c r="H87" s="60">
        <v>1</v>
      </c>
      <c r="I87" s="34">
        <v>-1.8E-3</v>
      </c>
      <c r="J87" s="34">
        <v>1.01E-2</v>
      </c>
      <c r="K87" s="35">
        <v>2.5999999999999999E-2</v>
      </c>
      <c r="L87" s="35">
        <v>2E-3</v>
      </c>
      <c r="M87" s="35">
        <f>K87-2*L87</f>
        <v>2.1999999999999999E-2</v>
      </c>
      <c r="N87" s="36">
        <v>0.13400000000000001</v>
      </c>
      <c r="O87" s="80">
        <v>6.0000000000000001E-3</v>
      </c>
      <c r="P87" s="35">
        <f t="shared" ref="P87" si="162">N87-2*O87</f>
        <v>0.12200000000000001</v>
      </c>
      <c r="Q87" s="35">
        <f t="shared" si="159"/>
        <v>0.1</v>
      </c>
      <c r="R87" s="37">
        <f t="shared" si="160"/>
        <v>10.079207920792079</v>
      </c>
      <c r="S87" s="38">
        <f t="shared" si="161"/>
        <v>1.0079207920792079</v>
      </c>
    </row>
    <row r="88" spans="1:25">
      <c r="A88" s="39" t="s">
        <v>16</v>
      </c>
      <c r="B88" s="13">
        <v>43937</v>
      </c>
      <c r="C88" s="72" t="s">
        <v>607</v>
      </c>
      <c r="D88" s="12" t="s">
        <v>608</v>
      </c>
      <c r="H88" s="15">
        <v>1</v>
      </c>
      <c r="I88" s="43">
        <v>-1.8E-3</v>
      </c>
      <c r="J88" s="15">
        <v>1.01E-2</v>
      </c>
      <c r="K88" s="12">
        <v>2.5999999999999999E-2</v>
      </c>
      <c r="L88" s="12">
        <v>0</v>
      </c>
      <c r="M88" s="12">
        <f t="shared" si="148"/>
        <v>2.5999999999999999E-2</v>
      </c>
      <c r="N88" s="77">
        <v>0.26300000000000001</v>
      </c>
      <c r="O88" s="77">
        <v>5.0000000000000001E-3</v>
      </c>
      <c r="P88" s="12">
        <f t="shared" si="149"/>
        <v>0.253</v>
      </c>
      <c r="Q88" s="12">
        <f t="shared" si="154"/>
        <v>0.22700000000000001</v>
      </c>
      <c r="R88" s="12">
        <f t="shared" si="155"/>
        <v>22.653465346534656</v>
      </c>
      <c r="S88" s="12">
        <f t="shared" si="156"/>
        <v>2.2653465346534656</v>
      </c>
      <c r="U88" s="12">
        <v>0.05</v>
      </c>
      <c r="V88" s="12">
        <v>1.2999999999999999E-2</v>
      </c>
      <c r="W88" s="12">
        <f>U88-0.024</f>
        <v>2.6000000000000002E-2</v>
      </c>
      <c r="X88" s="12">
        <f>V88-0.013</f>
        <v>0</v>
      </c>
    </row>
    <row r="89" spans="1:25">
      <c r="A89" s="39" t="s">
        <v>16</v>
      </c>
      <c r="B89" s="12" t="s">
        <v>611</v>
      </c>
      <c r="C89" s="72" t="s">
        <v>612</v>
      </c>
      <c r="D89" s="12" t="s">
        <v>130</v>
      </c>
      <c r="H89" s="44">
        <v>5</v>
      </c>
      <c r="I89" s="43">
        <v>-1.8E-3</v>
      </c>
      <c r="J89" s="15">
        <v>1.01E-2</v>
      </c>
      <c r="K89" s="12">
        <v>2.5999999999999999E-2</v>
      </c>
      <c r="L89" s="12">
        <v>0</v>
      </c>
      <c r="M89" s="12">
        <f t="shared" ref="M89:M98" si="163">K89-L89*2</f>
        <v>2.5999999999999999E-2</v>
      </c>
      <c r="N89" s="78">
        <v>0.33500000000000002</v>
      </c>
      <c r="O89" s="79">
        <v>0</v>
      </c>
      <c r="P89" s="12">
        <f t="shared" ref="P89" si="164">N89-O89*2</f>
        <v>0.33500000000000002</v>
      </c>
      <c r="Q89" s="12">
        <f t="shared" ref="Q89" si="165">P89-M89</f>
        <v>0.309</v>
      </c>
      <c r="R89" s="12">
        <f t="shared" ref="R89" si="166">(Q89-I89)/J89</f>
        <v>30.772277227722775</v>
      </c>
      <c r="S89" s="12">
        <f t="shared" ref="S89" si="167">R89*H89/10</f>
        <v>15.386138613861387</v>
      </c>
      <c r="U89" s="12">
        <v>1.016</v>
      </c>
      <c r="V89" s="12">
        <v>1.7000000000000001E-2</v>
      </c>
      <c r="W89" s="12">
        <f t="shared" ref="W89:W94" si="168">U89-0.024</f>
        <v>0.99199999999999999</v>
      </c>
      <c r="X89" s="12">
        <f t="shared" ref="X89:X94" si="169">V89-0.013</f>
        <v>4.0000000000000018E-3</v>
      </c>
    </row>
    <row r="90" spans="1:25">
      <c r="A90" s="39" t="s">
        <v>16</v>
      </c>
      <c r="C90" s="72" t="s">
        <v>613</v>
      </c>
      <c r="H90" s="44">
        <v>5</v>
      </c>
      <c r="I90" s="43">
        <v>-1.8E-3</v>
      </c>
      <c r="J90" s="15">
        <v>1.01E-2</v>
      </c>
      <c r="K90" s="12">
        <v>2.5999999999999999E-2</v>
      </c>
      <c r="L90" s="12">
        <v>0</v>
      </c>
      <c r="M90" s="12">
        <f t="shared" ref="M90" si="170">K90-L90*2</f>
        <v>2.5999999999999999E-2</v>
      </c>
      <c r="N90" s="78">
        <v>0.33600000000000002</v>
      </c>
      <c r="O90" s="79">
        <v>0</v>
      </c>
      <c r="P90" s="12">
        <f t="shared" ref="P90" si="171">N90-O90*2</f>
        <v>0.33600000000000002</v>
      </c>
      <c r="Q90" s="12">
        <f t="shared" ref="Q90:Q91" si="172">P90-M90</f>
        <v>0.31</v>
      </c>
      <c r="R90" s="12">
        <f t="shared" ref="R90:R91" si="173">(Q90-I90)/J90</f>
        <v>30.871287128712876</v>
      </c>
      <c r="S90" s="12">
        <f t="shared" ref="S90:S91" si="174">R90*H90/10</f>
        <v>15.435643564356436</v>
      </c>
    </row>
    <row r="91" spans="1:25">
      <c r="A91" s="39"/>
      <c r="C91" s="30" t="s">
        <v>87</v>
      </c>
      <c r="D91" s="30"/>
      <c r="E91" s="31"/>
      <c r="F91" s="31"/>
      <c r="G91" s="32"/>
      <c r="H91" s="60">
        <v>1</v>
      </c>
      <c r="I91" s="34">
        <v>-1.8E-3</v>
      </c>
      <c r="J91" s="34">
        <v>1.01E-2</v>
      </c>
      <c r="K91" s="35">
        <v>2.5999999999999999E-2</v>
      </c>
      <c r="L91" s="35">
        <v>0</v>
      </c>
      <c r="M91" s="35">
        <f>K91-2*L91</f>
        <v>2.5999999999999999E-2</v>
      </c>
      <c r="N91" s="36">
        <v>0.13100000000000001</v>
      </c>
      <c r="O91" s="80">
        <v>2E-3</v>
      </c>
      <c r="P91" s="35">
        <f t="shared" ref="P91" si="175">N91-2*O91</f>
        <v>0.127</v>
      </c>
      <c r="Q91" s="35">
        <f t="shared" si="172"/>
        <v>0.10100000000000001</v>
      </c>
      <c r="R91" s="37">
        <f t="shared" si="173"/>
        <v>10.178217821782178</v>
      </c>
      <c r="S91" s="38">
        <f t="shared" si="174"/>
        <v>1.0178217821782178</v>
      </c>
    </row>
    <row r="92" spans="1:25">
      <c r="A92" s="39"/>
      <c r="C92" s="72" t="s">
        <v>601</v>
      </c>
      <c r="D92" s="12" t="s">
        <v>30</v>
      </c>
      <c r="H92" s="53">
        <v>5</v>
      </c>
      <c r="I92" s="43">
        <v>-1.8E-3</v>
      </c>
      <c r="J92" s="15">
        <v>1.01E-2</v>
      </c>
      <c r="K92" s="12">
        <v>2.5999999999999999E-2</v>
      </c>
      <c r="L92" s="12">
        <v>0</v>
      </c>
      <c r="M92" s="12">
        <f t="shared" si="163"/>
        <v>2.5999999999999999E-2</v>
      </c>
      <c r="N92" s="77">
        <v>0.218</v>
      </c>
      <c r="O92" s="77">
        <v>5.0000000000000001E-3</v>
      </c>
      <c r="P92" s="12">
        <f t="shared" ref="P92" si="176">N92-O92*2</f>
        <v>0.20799999999999999</v>
      </c>
      <c r="Q92" s="12">
        <f t="shared" ref="Q92" si="177">P92-M92</f>
        <v>0.182</v>
      </c>
      <c r="R92" s="12">
        <f t="shared" ref="R92" si="178">(Q92-I92)/J92</f>
        <v>18.198019801980198</v>
      </c>
      <c r="S92" s="12">
        <f t="shared" ref="S92" si="179">R92*H92/10</f>
        <v>9.0990099009900991</v>
      </c>
      <c r="U92" s="12">
        <v>8.1000000000000003E-2</v>
      </c>
      <c r="V92" s="12">
        <v>1.2999999999999999E-2</v>
      </c>
      <c r="W92" s="12">
        <f t="shared" si="168"/>
        <v>5.7000000000000002E-2</v>
      </c>
      <c r="X92" s="12">
        <f t="shared" si="169"/>
        <v>0</v>
      </c>
    </row>
    <row r="93" spans="1:25">
      <c r="A93" s="39"/>
      <c r="C93" s="72" t="s">
        <v>602</v>
      </c>
      <c r="D93" s="12" t="s">
        <v>32</v>
      </c>
      <c r="H93" s="53">
        <v>10</v>
      </c>
      <c r="I93" s="43">
        <v>-1.8E-3</v>
      </c>
      <c r="J93" s="15">
        <v>1.01E-2</v>
      </c>
      <c r="K93" s="12">
        <v>2.5999999999999999E-2</v>
      </c>
      <c r="L93" s="12">
        <v>0</v>
      </c>
      <c r="M93" s="12">
        <f t="shared" si="163"/>
        <v>2.5999999999999999E-2</v>
      </c>
      <c r="N93" s="77">
        <v>0.246</v>
      </c>
      <c r="O93" s="77">
        <v>5.0000000000000001E-3</v>
      </c>
      <c r="P93" s="12">
        <f t="shared" ref="P93:P97" si="180">N93-O93*2</f>
        <v>0.23599999999999999</v>
      </c>
      <c r="Q93" s="12">
        <f t="shared" ref="Q93:Q97" si="181">P93-M93</f>
        <v>0.21</v>
      </c>
      <c r="R93" s="12">
        <f t="shared" ref="R93:R97" si="182">(Q93-I93)/J93</f>
        <v>20.970297029702969</v>
      </c>
      <c r="S93" s="12">
        <f t="shared" ref="S93:S97" si="183">R93*H93/10</f>
        <v>20.970297029702969</v>
      </c>
      <c r="U93" s="12">
        <v>0.35899999999999999</v>
      </c>
      <c r="V93" s="12">
        <v>1.2999999999999999E-2</v>
      </c>
      <c r="W93" s="12">
        <f t="shared" si="168"/>
        <v>0.33499999999999996</v>
      </c>
      <c r="X93" s="12">
        <f t="shared" si="169"/>
        <v>0</v>
      </c>
    </row>
    <row r="94" spans="1:25">
      <c r="A94" s="39"/>
      <c r="C94" s="72" t="s">
        <v>603</v>
      </c>
      <c r="D94" s="12" t="s">
        <v>34</v>
      </c>
      <c r="H94" s="53">
        <v>10</v>
      </c>
      <c r="I94" s="43">
        <v>-1.8E-3</v>
      </c>
      <c r="J94" s="15">
        <v>1.01E-2</v>
      </c>
      <c r="K94" s="12">
        <v>2.5999999999999999E-2</v>
      </c>
      <c r="L94" s="12">
        <v>0</v>
      </c>
      <c r="M94" s="12">
        <f t="shared" si="163"/>
        <v>2.5999999999999999E-2</v>
      </c>
      <c r="N94" s="77">
        <v>0.22900000000000001</v>
      </c>
      <c r="O94" s="77">
        <v>6.0000000000000001E-3</v>
      </c>
      <c r="P94" s="12">
        <f t="shared" si="180"/>
        <v>0.217</v>
      </c>
      <c r="Q94" s="12">
        <f t="shared" si="181"/>
        <v>0.191</v>
      </c>
      <c r="R94" s="12">
        <f t="shared" si="182"/>
        <v>19.089108910891088</v>
      </c>
      <c r="S94" s="12">
        <f t="shared" si="183"/>
        <v>19.089108910891088</v>
      </c>
      <c r="U94" s="12">
        <v>0.105</v>
      </c>
      <c r="V94" s="12">
        <v>1.4E-2</v>
      </c>
      <c r="W94" s="12">
        <f t="shared" si="168"/>
        <v>8.0999999999999989E-2</v>
      </c>
      <c r="X94" s="12">
        <f t="shared" si="169"/>
        <v>1.0000000000000009E-3</v>
      </c>
    </row>
    <row r="95" spans="1:25">
      <c r="A95" s="39"/>
      <c r="C95" s="72" t="s">
        <v>672</v>
      </c>
      <c r="D95" s="12" t="s">
        <v>492</v>
      </c>
      <c r="H95" s="15">
        <v>5</v>
      </c>
      <c r="I95" s="43">
        <v>-1.8E-3</v>
      </c>
      <c r="J95" s="15">
        <v>1.01E-2</v>
      </c>
      <c r="K95" s="12">
        <v>2.5999999999999999E-2</v>
      </c>
      <c r="L95" s="12">
        <v>0</v>
      </c>
      <c r="M95" s="12">
        <f t="shared" si="163"/>
        <v>2.5999999999999999E-2</v>
      </c>
      <c r="N95" s="78">
        <v>0.27700000000000002</v>
      </c>
      <c r="O95" s="79">
        <v>1.7000000000000001E-2</v>
      </c>
      <c r="P95" s="12">
        <f t="shared" si="180"/>
        <v>0.24300000000000002</v>
      </c>
      <c r="Q95" s="12">
        <f t="shared" si="181"/>
        <v>0.21700000000000003</v>
      </c>
      <c r="R95" s="12">
        <f t="shared" si="182"/>
        <v>21.663366336633665</v>
      </c>
      <c r="S95" s="12">
        <f t="shared" si="183"/>
        <v>10.831683168316832</v>
      </c>
    </row>
    <row r="96" spans="1:25">
      <c r="A96" s="39"/>
      <c r="C96" s="72" t="s">
        <v>604</v>
      </c>
      <c r="D96" s="12" t="s">
        <v>494</v>
      </c>
      <c r="H96" s="15">
        <v>5</v>
      </c>
      <c r="I96" s="43">
        <v>-1.8E-3</v>
      </c>
      <c r="J96" s="15">
        <v>1.01E-2</v>
      </c>
      <c r="K96" s="12">
        <v>2.5999999999999999E-2</v>
      </c>
      <c r="L96" s="12">
        <v>0</v>
      </c>
      <c r="M96" s="12">
        <f t="shared" si="163"/>
        <v>2.5999999999999999E-2</v>
      </c>
      <c r="N96" s="78">
        <v>0.13100000000000001</v>
      </c>
      <c r="O96" s="79">
        <v>4.9999999999999975E-3</v>
      </c>
      <c r="P96" s="12">
        <f t="shared" si="180"/>
        <v>0.12100000000000001</v>
      </c>
      <c r="Q96" s="12">
        <f t="shared" si="181"/>
        <v>9.5000000000000015E-2</v>
      </c>
      <c r="R96" s="12">
        <f t="shared" si="182"/>
        <v>9.5841584158415856</v>
      </c>
      <c r="S96" s="12">
        <f t="shared" si="183"/>
        <v>4.7920792079207928</v>
      </c>
    </row>
    <row r="97" spans="1:25">
      <c r="A97" s="39" t="s">
        <v>16</v>
      </c>
      <c r="C97" s="72" t="s">
        <v>605</v>
      </c>
      <c r="D97" s="12" t="s">
        <v>36</v>
      </c>
      <c r="H97" s="53">
        <v>5</v>
      </c>
      <c r="I97" s="43">
        <v>-1.8E-3</v>
      </c>
      <c r="J97" s="15">
        <v>1.01E-2</v>
      </c>
      <c r="K97" s="12">
        <v>2.5999999999999999E-2</v>
      </c>
      <c r="L97" s="12">
        <v>0</v>
      </c>
      <c r="M97" s="12">
        <f t="shared" si="163"/>
        <v>2.5999999999999999E-2</v>
      </c>
      <c r="N97" s="77">
        <v>0.128</v>
      </c>
      <c r="O97" s="77">
        <v>5.0000000000000001E-3</v>
      </c>
      <c r="P97" s="12">
        <f t="shared" si="180"/>
        <v>0.11800000000000001</v>
      </c>
      <c r="Q97" s="12">
        <f t="shared" si="181"/>
        <v>9.2000000000000012E-2</v>
      </c>
      <c r="R97" s="12">
        <f t="shared" si="182"/>
        <v>9.2871287128712883</v>
      </c>
      <c r="S97" s="12">
        <f t="shared" si="183"/>
        <v>4.6435643564356441</v>
      </c>
      <c r="V97" s="12">
        <v>4.5999999999999999E-2</v>
      </c>
      <c r="W97" s="12">
        <v>1.2999999999999999E-2</v>
      </c>
      <c r="X97" s="12">
        <f t="shared" ref="X97:X103" si="184">V97-0.017</f>
        <v>2.8999999999999998E-2</v>
      </c>
      <c r="Y97" s="12">
        <f t="shared" ref="Y97:Y103" si="185">W97-0.012</f>
        <v>9.9999999999999915E-4</v>
      </c>
    </row>
    <row r="98" spans="1:25" ht="15" customHeight="1">
      <c r="A98" s="39" t="s">
        <v>16</v>
      </c>
      <c r="C98" s="72" t="s">
        <v>606</v>
      </c>
      <c r="D98" s="12" t="s">
        <v>114</v>
      </c>
      <c r="H98" s="44">
        <v>10</v>
      </c>
      <c r="I98" s="43">
        <v>-1.8E-3</v>
      </c>
      <c r="J98" s="15">
        <v>1.01E-2</v>
      </c>
      <c r="K98" s="12">
        <v>2.5999999999999999E-2</v>
      </c>
      <c r="L98" s="12">
        <v>0</v>
      </c>
      <c r="M98" s="12">
        <f t="shared" si="163"/>
        <v>2.5999999999999999E-2</v>
      </c>
      <c r="N98" s="78">
        <v>0.51200000000000001</v>
      </c>
      <c r="O98" s="79">
        <v>4.0000000000000001E-3</v>
      </c>
      <c r="P98" s="12">
        <f t="shared" ref="P98:P99" si="186">N98-O98*2</f>
        <v>0.504</v>
      </c>
      <c r="Q98" s="12">
        <f t="shared" ref="Q98:Q99" si="187">P98-M98</f>
        <v>0.47799999999999998</v>
      </c>
      <c r="R98" s="12">
        <f t="shared" ref="R98:R99" si="188">(Q98-I98)/J98</f>
        <v>47.504950495049506</v>
      </c>
      <c r="S98" s="12">
        <f t="shared" ref="S98:S99" si="189">R98*H98/10</f>
        <v>47.504950495049506</v>
      </c>
      <c r="V98" s="12">
        <v>7.8E-2</v>
      </c>
      <c r="W98" s="12">
        <v>0.02</v>
      </c>
      <c r="X98" s="12">
        <f t="shared" si="184"/>
        <v>6.0999999999999999E-2</v>
      </c>
      <c r="Y98" s="12">
        <f t="shared" si="185"/>
        <v>8.0000000000000002E-3</v>
      </c>
    </row>
    <row r="99" spans="1:25">
      <c r="A99" s="39" t="s">
        <v>619</v>
      </c>
      <c r="C99" s="72" t="s">
        <v>615</v>
      </c>
      <c r="D99" s="12" t="s">
        <v>616</v>
      </c>
      <c r="G99" s="12" t="s">
        <v>618</v>
      </c>
      <c r="H99" s="53">
        <v>5</v>
      </c>
      <c r="I99" s="43">
        <v>-1.8E-3</v>
      </c>
      <c r="J99" s="15">
        <v>1.01E-2</v>
      </c>
      <c r="K99" s="12">
        <v>2.5999999999999999E-2</v>
      </c>
      <c r="L99" s="12">
        <v>0</v>
      </c>
      <c r="M99" s="12">
        <f t="shared" ref="M99" si="190">K99-L99*2</f>
        <v>2.5999999999999999E-2</v>
      </c>
      <c r="N99" s="77">
        <v>0.13700000000000001</v>
      </c>
      <c r="O99" s="77">
        <v>5.0000000000000001E-3</v>
      </c>
      <c r="P99" s="12">
        <f t="shared" si="186"/>
        <v>0.127</v>
      </c>
      <c r="Q99" s="12">
        <f t="shared" si="187"/>
        <v>0.10100000000000001</v>
      </c>
      <c r="R99" s="12">
        <f t="shared" si="188"/>
        <v>10.178217821782178</v>
      </c>
      <c r="S99" s="12">
        <f t="shared" si="189"/>
        <v>5.0891089108910892</v>
      </c>
      <c r="V99" s="12">
        <v>6.8000000000000005E-2</v>
      </c>
      <c r="W99" s="12">
        <v>1.7000000000000001E-2</v>
      </c>
      <c r="X99" s="12">
        <f t="shared" si="184"/>
        <v>5.1000000000000004E-2</v>
      </c>
      <c r="Y99" s="12">
        <f t="shared" si="185"/>
        <v>5.000000000000001E-3</v>
      </c>
    </row>
    <row r="100" spans="1:25">
      <c r="A100" s="39" t="s">
        <v>614</v>
      </c>
      <c r="C100" s="72" t="s">
        <v>617</v>
      </c>
      <c r="D100" s="12" t="s">
        <v>616</v>
      </c>
      <c r="G100" s="12" t="s">
        <v>618</v>
      </c>
      <c r="H100" s="53">
        <v>5</v>
      </c>
      <c r="I100" s="43">
        <v>-1.8E-3</v>
      </c>
      <c r="J100" s="15">
        <v>1.01E-2</v>
      </c>
      <c r="K100" s="12">
        <v>2.5999999999999999E-2</v>
      </c>
      <c r="L100" s="12">
        <v>0</v>
      </c>
      <c r="M100" s="12">
        <f t="shared" ref="M100" si="191">K100-L100*2</f>
        <v>2.5999999999999999E-2</v>
      </c>
      <c r="N100" s="77">
        <v>9.8000000000000004E-2</v>
      </c>
      <c r="O100" s="77">
        <v>5.0000000000000001E-3</v>
      </c>
      <c r="P100" s="12">
        <f t="shared" ref="P100" si="192">N100-O100*2</f>
        <v>8.8000000000000009E-2</v>
      </c>
      <c r="Q100" s="12">
        <f t="shared" ref="Q100" si="193">P100-M100</f>
        <v>6.2000000000000013E-2</v>
      </c>
      <c r="R100" s="12">
        <f t="shared" ref="R100" si="194">(Q100-I100)/J100</f>
        <v>6.316831683168318</v>
      </c>
      <c r="S100" s="12">
        <f t="shared" ref="S100" si="195">R100*H100/10</f>
        <v>3.158415841584159</v>
      </c>
      <c r="V100" s="12">
        <v>6.8000000000000005E-2</v>
      </c>
      <c r="W100" s="12">
        <v>1.6E-2</v>
      </c>
      <c r="X100" s="12">
        <f t="shared" si="184"/>
        <v>5.1000000000000004E-2</v>
      </c>
      <c r="Y100" s="12">
        <f t="shared" si="185"/>
        <v>4.0000000000000001E-3</v>
      </c>
    </row>
    <row r="101" spans="1:25">
      <c r="A101" s="39" t="s">
        <v>614</v>
      </c>
      <c r="B101" s="13">
        <v>43941</v>
      </c>
      <c r="C101" s="72" t="s">
        <v>627</v>
      </c>
      <c r="D101" s="12" t="s">
        <v>616</v>
      </c>
      <c r="G101" s="12" t="s">
        <v>618</v>
      </c>
      <c r="H101" s="53">
        <v>5</v>
      </c>
      <c r="I101" s="43">
        <v>-1.8E-3</v>
      </c>
      <c r="J101" s="15">
        <v>1.01E-2</v>
      </c>
      <c r="K101" s="12">
        <v>2.9000000000000001E-2</v>
      </c>
      <c r="L101" s="12">
        <v>1E-3</v>
      </c>
      <c r="M101" s="12">
        <f t="shared" ref="M101" si="196">K101-L101*2</f>
        <v>2.7000000000000003E-2</v>
      </c>
      <c r="N101" s="77">
        <v>0.105</v>
      </c>
      <c r="O101" s="77">
        <v>4.0000000000000001E-3</v>
      </c>
      <c r="P101" s="12">
        <f t="shared" ref="P101:P102" si="197">N101-O101*2</f>
        <v>9.7000000000000003E-2</v>
      </c>
      <c r="Q101" s="12">
        <f t="shared" ref="Q101:Q102" si="198">P101-M101</f>
        <v>7.0000000000000007E-2</v>
      </c>
      <c r="R101" s="12">
        <f t="shared" ref="R101:R102" si="199">(Q101-I101)/J101</f>
        <v>7.1089108910891099</v>
      </c>
      <c r="S101" s="12">
        <f t="shared" ref="S101:S102" si="200">R101*H101/10</f>
        <v>3.5544554455445549</v>
      </c>
      <c r="V101" s="12">
        <v>0.71699999999999997</v>
      </c>
      <c r="W101" s="12">
        <v>2.1999999999999999E-2</v>
      </c>
      <c r="X101" s="12">
        <f t="shared" si="184"/>
        <v>0.7</v>
      </c>
      <c r="Y101" s="12">
        <f t="shared" si="185"/>
        <v>9.9999999999999985E-3</v>
      </c>
    </row>
    <row r="102" spans="1:25">
      <c r="A102" s="46" t="s">
        <v>631</v>
      </c>
      <c r="B102" s="12" t="s">
        <v>630</v>
      </c>
      <c r="C102" s="72" t="s">
        <v>632</v>
      </c>
      <c r="D102" s="12" t="s">
        <v>633</v>
      </c>
      <c r="H102" s="63">
        <v>5</v>
      </c>
      <c r="I102" s="43">
        <v>-1.8E-3</v>
      </c>
      <c r="J102" s="15">
        <v>1.01E-2</v>
      </c>
      <c r="K102" s="12">
        <v>2.9000000000000001E-2</v>
      </c>
      <c r="L102" s="12">
        <v>1E-3</v>
      </c>
      <c r="M102" s="12">
        <f t="shared" ref="M102" si="201">K102-L102*2</f>
        <v>2.7000000000000003E-2</v>
      </c>
      <c r="N102" s="77">
        <v>0.23799999999999999</v>
      </c>
      <c r="O102" s="77">
        <v>3.0000000000000001E-3</v>
      </c>
      <c r="P102" s="12">
        <f t="shared" si="197"/>
        <v>0.23199999999999998</v>
      </c>
      <c r="Q102" s="12">
        <f t="shared" si="198"/>
        <v>0.20499999999999999</v>
      </c>
      <c r="R102" s="12">
        <f t="shared" si="199"/>
        <v>20.475247524752476</v>
      </c>
      <c r="S102" s="12">
        <f t="shared" si="200"/>
        <v>10.237623762376238</v>
      </c>
    </row>
    <row r="103" spans="1:25">
      <c r="A103" s="39" t="s">
        <v>614</v>
      </c>
      <c r="C103" s="72" t="s">
        <v>628</v>
      </c>
      <c r="D103" s="12" t="s">
        <v>616</v>
      </c>
      <c r="G103" s="12" t="s">
        <v>618</v>
      </c>
      <c r="H103" s="53">
        <v>5</v>
      </c>
      <c r="I103" s="43">
        <v>-1.8E-3</v>
      </c>
      <c r="J103" s="15">
        <v>1.01E-2</v>
      </c>
      <c r="K103" s="12">
        <v>2.9000000000000001E-2</v>
      </c>
      <c r="L103" s="12">
        <v>1E-3</v>
      </c>
      <c r="M103" s="12">
        <f t="shared" ref="M103" si="202">K103-L103*2</f>
        <v>2.7000000000000003E-2</v>
      </c>
      <c r="N103" s="77">
        <v>0.107</v>
      </c>
      <c r="O103" s="77">
        <v>5.0000000000000001E-3</v>
      </c>
      <c r="P103" s="12">
        <f t="shared" ref="P103" si="203">N103-O103*2</f>
        <v>9.7000000000000003E-2</v>
      </c>
      <c r="Q103" s="12">
        <f t="shared" ref="Q103" si="204">P103-M103</f>
        <v>7.0000000000000007E-2</v>
      </c>
      <c r="R103" s="12">
        <f t="shared" ref="R103" si="205">(Q103-I103)/J103</f>
        <v>7.1089108910891099</v>
      </c>
      <c r="S103" s="12">
        <f t="shared" ref="S103:S105" si="206">R103*H103/10</f>
        <v>3.5544554455445549</v>
      </c>
      <c r="V103" s="12">
        <v>0.66600000000000004</v>
      </c>
      <c r="W103" s="12">
        <v>1.7000000000000001E-2</v>
      </c>
      <c r="X103" s="12">
        <f t="shared" si="184"/>
        <v>0.64900000000000002</v>
      </c>
      <c r="Y103" s="12">
        <f t="shared" si="185"/>
        <v>5.000000000000001E-3</v>
      </c>
    </row>
    <row r="104" spans="1:25">
      <c r="A104" s="39" t="s">
        <v>614</v>
      </c>
      <c r="C104" s="72" t="s">
        <v>629</v>
      </c>
      <c r="H104" s="53">
        <v>5</v>
      </c>
      <c r="I104" s="43">
        <v>-1.8E-3</v>
      </c>
      <c r="J104" s="15">
        <v>1.01E-2</v>
      </c>
      <c r="K104" s="12">
        <v>2.9000000000000001E-2</v>
      </c>
      <c r="L104" s="12">
        <v>1E-3</v>
      </c>
      <c r="M104" s="12">
        <f t="shared" ref="M104" si="207">K104-L104*2</f>
        <v>2.7000000000000003E-2</v>
      </c>
      <c r="N104" s="77">
        <v>0.106</v>
      </c>
      <c r="O104" s="77">
        <v>5.0000000000000001E-3</v>
      </c>
      <c r="P104" s="12">
        <f t="shared" ref="P104" si="208">N104-O104*2</f>
        <v>9.6000000000000002E-2</v>
      </c>
      <c r="Q104" s="12">
        <f t="shared" ref="Q104" si="209">P104-M104</f>
        <v>6.9000000000000006E-2</v>
      </c>
      <c r="R104" s="12">
        <f t="shared" ref="R104" si="210">(Q104-I104)/J104</f>
        <v>7.0099009900990108</v>
      </c>
      <c r="S104" s="12">
        <f t="shared" ref="S104" si="211">R104*H104/10</f>
        <v>3.5049504950495054</v>
      </c>
      <c r="V104" s="56"/>
    </row>
    <row r="105" spans="1:25">
      <c r="A105" s="39"/>
      <c r="C105" s="86" t="s">
        <v>527</v>
      </c>
      <c r="D105" s="50"/>
      <c r="E105" s="50"/>
      <c r="F105" s="50"/>
      <c r="G105" s="50"/>
      <c r="H105" s="59">
        <v>1</v>
      </c>
      <c r="I105" s="23">
        <v>-1.8E-3</v>
      </c>
      <c r="J105" s="23">
        <v>1.01E-2</v>
      </c>
      <c r="K105" s="24">
        <v>2.9000000000000001E-2</v>
      </c>
      <c r="L105" s="24">
        <v>1E-3</v>
      </c>
      <c r="M105" s="24">
        <f t="shared" ref="M105:M106" si="212">K105-2*L105</f>
        <v>2.7000000000000003E-2</v>
      </c>
      <c r="N105" s="25">
        <v>9.1999999999999998E-2</v>
      </c>
      <c r="O105" s="81">
        <v>5.0000000000000001E-3</v>
      </c>
      <c r="P105" s="24">
        <f t="shared" ref="P105:P107" si="213">N105-2*O105</f>
        <v>8.2000000000000003E-2</v>
      </c>
      <c r="Q105" s="24">
        <f>P105-M105</f>
        <v>5.5E-2</v>
      </c>
      <c r="R105" s="26">
        <f>(Q105-I105)/J105</f>
        <v>5.6237623762376243</v>
      </c>
      <c r="S105" s="27">
        <f t="shared" si="206"/>
        <v>0.56237623762376243</v>
      </c>
      <c r="T105" s="47" t="s">
        <v>586</v>
      </c>
      <c r="V105" s="75" t="s">
        <v>584</v>
      </c>
    </row>
    <row r="106" spans="1:25">
      <c r="A106" s="39"/>
      <c r="C106" s="86" t="s">
        <v>528</v>
      </c>
      <c r="D106" s="50"/>
      <c r="E106" s="50"/>
      <c r="F106" s="50"/>
      <c r="G106" s="50"/>
      <c r="H106" s="59">
        <v>1</v>
      </c>
      <c r="I106" s="23">
        <v>-1.8E-3</v>
      </c>
      <c r="J106" s="23">
        <v>1.01E-2</v>
      </c>
      <c r="K106" s="24">
        <v>2.9000000000000001E-2</v>
      </c>
      <c r="L106" s="24">
        <v>1E-3</v>
      </c>
      <c r="M106" s="24">
        <f t="shared" si="212"/>
        <v>2.7000000000000003E-2</v>
      </c>
      <c r="N106" s="25">
        <v>9.2999999999999999E-2</v>
      </c>
      <c r="O106" s="81">
        <v>5.0000000000000001E-3</v>
      </c>
      <c r="P106" s="24">
        <f t="shared" si="213"/>
        <v>8.3000000000000004E-2</v>
      </c>
      <c r="Q106" s="24">
        <f>P106-M106</f>
        <v>5.6000000000000001E-2</v>
      </c>
      <c r="R106" s="26">
        <f>(Q106-I106)/J106</f>
        <v>5.7227722772277234</v>
      </c>
      <c r="S106" s="27">
        <f>R106*H106/10</f>
        <v>0.57227722772277234</v>
      </c>
      <c r="T106" s="47"/>
      <c r="V106" s="75" t="s">
        <v>585</v>
      </c>
    </row>
    <row r="107" spans="1:25">
      <c r="A107" s="39"/>
      <c r="C107" s="30" t="s">
        <v>87</v>
      </c>
      <c r="D107" s="30"/>
      <c r="E107" s="31"/>
      <c r="F107" s="31"/>
      <c r="G107" s="32"/>
      <c r="H107" s="60">
        <v>1</v>
      </c>
      <c r="I107" s="34">
        <v>-1.8E-3</v>
      </c>
      <c r="J107" s="34">
        <v>1.01E-2</v>
      </c>
      <c r="K107" s="35">
        <v>2.9000000000000001E-2</v>
      </c>
      <c r="L107" s="35">
        <v>1E-3</v>
      </c>
      <c r="M107" s="35">
        <f>K107-2*L107</f>
        <v>2.7000000000000003E-2</v>
      </c>
      <c r="N107" s="36">
        <v>0.13500000000000001</v>
      </c>
      <c r="O107" s="80">
        <v>4.0000000000000001E-3</v>
      </c>
      <c r="P107" s="35">
        <f t="shared" si="213"/>
        <v>0.127</v>
      </c>
      <c r="Q107" s="35">
        <f t="shared" ref="Q107" si="214">P107-M107</f>
        <v>0.1</v>
      </c>
      <c r="R107" s="37">
        <f t="shared" ref="R107" si="215">(Q107-I107)/J107</f>
        <v>10.079207920792079</v>
      </c>
      <c r="S107" s="38">
        <f t="shared" ref="S107" si="216">R107*H107/10</f>
        <v>1.0079207920792079</v>
      </c>
    </row>
    <row r="108" spans="1:25">
      <c r="A108" s="73" t="s">
        <v>409</v>
      </c>
      <c r="C108" s="72" t="s">
        <v>621</v>
      </c>
      <c r="D108" s="12" t="s">
        <v>85</v>
      </c>
      <c r="G108" s="12" t="s">
        <v>624</v>
      </c>
      <c r="H108" s="53">
        <v>5</v>
      </c>
      <c r="I108" s="43">
        <v>-1.8E-3</v>
      </c>
      <c r="J108" s="15">
        <v>1.01E-2</v>
      </c>
      <c r="K108" s="12">
        <v>2.9000000000000001E-2</v>
      </c>
      <c r="L108" s="12">
        <v>1E-3</v>
      </c>
      <c r="M108" s="12">
        <f t="shared" ref="M108:M110" si="217">K108-L108*2</f>
        <v>2.7000000000000003E-2</v>
      </c>
      <c r="N108" s="77">
        <v>0.7</v>
      </c>
      <c r="O108" s="77">
        <v>9.9999999999999985E-3</v>
      </c>
      <c r="P108" s="12">
        <f t="shared" ref="P108:P110" si="218">N108-O108*2</f>
        <v>0.67999999999999994</v>
      </c>
      <c r="Q108" s="12">
        <f t="shared" ref="Q108:Q110" si="219">P108-M108</f>
        <v>0.65299999999999991</v>
      </c>
      <c r="R108" s="12">
        <f t="shared" ref="R108:R110" si="220">(Q108-I108)/J108</f>
        <v>64.831683168316829</v>
      </c>
      <c r="S108" s="12">
        <f t="shared" ref="S108:S110" si="221">R108*H108/10</f>
        <v>32.415841584158414</v>
      </c>
      <c r="V108" s="12">
        <v>0.55800000000000005</v>
      </c>
      <c r="W108" s="12">
        <v>1.7999999999999999E-2</v>
      </c>
      <c r="X108" s="12">
        <f>V108-0.017</f>
        <v>0.54100000000000004</v>
      </c>
      <c r="Y108" s="12">
        <f>W108-0.012</f>
        <v>5.9999999999999984E-3</v>
      </c>
    </row>
    <row r="109" spans="1:25">
      <c r="A109" s="73" t="s">
        <v>59</v>
      </c>
      <c r="C109" s="72" t="s">
        <v>622</v>
      </c>
      <c r="G109" s="12" t="s">
        <v>625</v>
      </c>
      <c r="H109" s="53">
        <v>5</v>
      </c>
      <c r="I109" s="43">
        <v>-1.8E-3</v>
      </c>
      <c r="J109" s="15">
        <v>1.01E-2</v>
      </c>
      <c r="K109" s="12">
        <v>2.9000000000000001E-2</v>
      </c>
      <c r="L109" s="12">
        <v>1E-3</v>
      </c>
      <c r="M109" s="12">
        <f t="shared" si="217"/>
        <v>2.7000000000000003E-2</v>
      </c>
      <c r="N109" s="77">
        <v>0.64900000000000002</v>
      </c>
      <c r="O109" s="77">
        <v>5.000000000000001E-3</v>
      </c>
      <c r="P109" s="12">
        <f t="shared" si="218"/>
        <v>0.63900000000000001</v>
      </c>
      <c r="Q109" s="12">
        <f t="shared" si="219"/>
        <v>0.61199999999999999</v>
      </c>
      <c r="R109" s="12">
        <f t="shared" si="220"/>
        <v>60.772277227722775</v>
      </c>
      <c r="S109" s="12">
        <f t="shared" si="221"/>
        <v>30.386138613861384</v>
      </c>
    </row>
    <row r="110" spans="1:25">
      <c r="A110" s="73" t="s">
        <v>59</v>
      </c>
      <c r="C110" s="72" t="s">
        <v>623</v>
      </c>
      <c r="G110" s="12" t="s">
        <v>626</v>
      </c>
      <c r="H110" s="53">
        <v>5</v>
      </c>
      <c r="I110" s="43">
        <v>-1.8E-3</v>
      </c>
      <c r="J110" s="15">
        <v>1.01E-2</v>
      </c>
      <c r="K110" s="12">
        <v>2.9000000000000001E-2</v>
      </c>
      <c r="L110" s="12">
        <v>1E-3</v>
      </c>
      <c r="M110" s="12">
        <f t="shared" si="217"/>
        <v>2.7000000000000003E-2</v>
      </c>
      <c r="N110" s="77">
        <v>0.54100000000000004</v>
      </c>
      <c r="O110" s="77">
        <v>5.9999999999999984E-3</v>
      </c>
      <c r="P110" s="12">
        <f t="shared" si="218"/>
        <v>0.52900000000000003</v>
      </c>
      <c r="Q110" s="12">
        <f t="shared" si="219"/>
        <v>0.502</v>
      </c>
      <c r="R110" s="12">
        <f t="shared" si="220"/>
        <v>49.881188118811885</v>
      </c>
      <c r="S110" s="12">
        <f t="shared" si="221"/>
        <v>24.940594059405942</v>
      </c>
    </row>
    <row r="111" spans="1:25">
      <c r="A111" s="39" t="s">
        <v>614</v>
      </c>
      <c r="C111" s="72" t="s">
        <v>635</v>
      </c>
      <c r="D111" s="12" t="s">
        <v>636</v>
      </c>
      <c r="H111" s="53">
        <v>5</v>
      </c>
      <c r="I111" s="43">
        <v>-1.8E-3</v>
      </c>
      <c r="J111" s="15">
        <v>1.01E-2</v>
      </c>
      <c r="K111" s="12">
        <v>2.9000000000000001E-2</v>
      </c>
      <c r="L111" s="12">
        <v>1E-3</v>
      </c>
      <c r="M111" s="12">
        <f t="shared" ref="M111" si="222">K111-L111*2</f>
        <v>2.7000000000000003E-2</v>
      </c>
      <c r="N111" s="77">
        <v>0.16400000000000001</v>
      </c>
      <c r="O111" s="77">
        <v>4.0000000000000001E-3</v>
      </c>
      <c r="P111" s="12">
        <f t="shared" ref="P111" si="223">N111-O111*2</f>
        <v>0.156</v>
      </c>
      <c r="Q111" s="12">
        <f t="shared" ref="Q111" si="224">P111-M111</f>
        <v>0.129</v>
      </c>
      <c r="R111" s="12">
        <f t="shared" ref="R111" si="225">(Q111-I111)/J111</f>
        <v>12.950495049504951</v>
      </c>
      <c r="S111" s="12">
        <f t="shared" ref="S111" si="226">R111*H111/10</f>
        <v>6.4752475247524757</v>
      </c>
    </row>
    <row r="112" spans="1:25">
      <c r="A112" s="39" t="s">
        <v>634</v>
      </c>
      <c r="C112" s="72" t="s">
        <v>637</v>
      </c>
      <c r="D112" s="12" t="s">
        <v>638</v>
      </c>
      <c r="H112" s="53">
        <v>20</v>
      </c>
      <c r="I112" s="43">
        <v>-1.8E-3</v>
      </c>
      <c r="J112" s="15">
        <v>1.01E-2</v>
      </c>
      <c r="K112" s="12">
        <v>2.9000000000000001E-2</v>
      </c>
      <c r="L112" s="12">
        <v>1E-3</v>
      </c>
      <c r="M112" s="12">
        <f t="shared" ref="M112" si="227">K112-L112*2</f>
        <v>2.7000000000000003E-2</v>
      </c>
      <c r="N112" s="77">
        <v>0.104</v>
      </c>
      <c r="O112" s="77">
        <v>4.0000000000000001E-3</v>
      </c>
      <c r="P112" s="12">
        <f t="shared" ref="P112" si="228">N112-O112*2</f>
        <v>9.6000000000000002E-2</v>
      </c>
      <c r="Q112" s="12">
        <f t="shared" ref="Q112" si="229">P112-M112</f>
        <v>6.9000000000000006E-2</v>
      </c>
      <c r="R112" s="12">
        <f t="shared" ref="R112" si="230">(Q112-I112)/J112</f>
        <v>7.0099009900990108</v>
      </c>
      <c r="S112" s="12">
        <f t="shared" ref="S112" si="231">R112*H112/10</f>
        <v>14.019801980198022</v>
      </c>
    </row>
    <row r="113" spans="1:25">
      <c r="A113" s="73" t="s">
        <v>59</v>
      </c>
      <c r="B113" s="13">
        <v>43942</v>
      </c>
      <c r="C113" s="72" t="s">
        <v>639</v>
      </c>
      <c r="D113" s="12" t="s">
        <v>85</v>
      </c>
      <c r="G113" s="12" t="s">
        <v>624</v>
      </c>
      <c r="H113" s="53">
        <v>10</v>
      </c>
      <c r="I113" s="43">
        <v>-1.8E-3</v>
      </c>
      <c r="J113" s="15">
        <v>1.01E-2</v>
      </c>
      <c r="K113" s="12">
        <v>2.3E-2</v>
      </c>
      <c r="L113" s="12">
        <v>1E-3</v>
      </c>
      <c r="M113" s="12">
        <f>K113-L113*2</f>
        <v>2.0999999999999998E-2</v>
      </c>
      <c r="N113" s="77">
        <v>0.34299999999999997</v>
      </c>
      <c r="O113" s="77">
        <v>5.000000000000001E-3</v>
      </c>
      <c r="P113" s="12">
        <f>N113-O113*2</f>
        <v>0.33299999999999996</v>
      </c>
      <c r="Q113" s="12">
        <f>P113-M113</f>
        <v>0.31199999999999994</v>
      </c>
      <c r="R113" s="12">
        <f>(Q113-I113)/J113</f>
        <v>31.069306930693067</v>
      </c>
      <c r="S113" s="12">
        <f>R113*H113/10</f>
        <v>31.069306930693067</v>
      </c>
    </row>
    <row r="114" spans="1:25">
      <c r="A114" s="73" t="s">
        <v>59</v>
      </c>
      <c r="B114" s="13" t="s">
        <v>649</v>
      </c>
      <c r="C114" s="72" t="s">
        <v>640</v>
      </c>
      <c r="G114" s="12" t="s">
        <v>625</v>
      </c>
      <c r="H114" s="53">
        <v>10</v>
      </c>
      <c r="I114" s="43">
        <v>-1.8E-3</v>
      </c>
      <c r="J114" s="15">
        <v>1.01E-2</v>
      </c>
      <c r="K114" s="12">
        <v>2.3E-2</v>
      </c>
      <c r="L114" s="12">
        <v>1E-3</v>
      </c>
      <c r="M114" s="12">
        <f>K114-L114*2</f>
        <v>2.0999999999999998E-2</v>
      </c>
      <c r="N114" s="77">
        <v>0.35499999999999998</v>
      </c>
      <c r="O114" s="77">
        <v>4.0000000000000001E-3</v>
      </c>
      <c r="P114" s="12">
        <f>N114-O114*2</f>
        <v>0.34699999999999998</v>
      </c>
      <c r="Q114" s="12">
        <f>P114-M114</f>
        <v>0.32599999999999996</v>
      </c>
      <c r="R114" s="12">
        <f>(Q114-I114)/J114</f>
        <v>32.455445544554458</v>
      </c>
      <c r="S114" s="12">
        <f>R114*H114/10</f>
        <v>32.455445544554458</v>
      </c>
    </row>
    <row r="115" spans="1:25">
      <c r="A115" s="73" t="s">
        <v>59</v>
      </c>
      <c r="C115" s="72" t="s">
        <v>641</v>
      </c>
      <c r="G115" s="12" t="s">
        <v>626</v>
      </c>
      <c r="H115" s="53">
        <v>10</v>
      </c>
      <c r="I115" s="43">
        <v>-1.8E-3</v>
      </c>
      <c r="J115" s="15">
        <v>1.01E-2</v>
      </c>
      <c r="K115" s="12">
        <v>2.3E-2</v>
      </c>
      <c r="L115" s="12">
        <v>1E-3</v>
      </c>
      <c r="M115" s="12">
        <f>K115-L115*2</f>
        <v>2.0999999999999998E-2</v>
      </c>
      <c r="N115" s="77">
        <v>0.32400000000000001</v>
      </c>
      <c r="O115" s="77">
        <v>5.000000000000001E-3</v>
      </c>
      <c r="P115" s="12">
        <f>N115-O115*2</f>
        <v>0.314</v>
      </c>
      <c r="Q115" s="12">
        <f>P115-M115</f>
        <v>0.29299999999999998</v>
      </c>
      <c r="R115" s="12">
        <f>(Q115-I115)/J115</f>
        <v>29.188118811881189</v>
      </c>
      <c r="S115" s="12">
        <f>R115*H115/10</f>
        <v>29.188118811881189</v>
      </c>
      <c r="W115" s="62">
        <v>-0.1</v>
      </c>
      <c r="X115" s="62">
        <v>0.1</v>
      </c>
    </row>
    <row r="116" spans="1:25">
      <c r="A116" s="39" t="s">
        <v>642</v>
      </c>
      <c r="B116" s="13"/>
      <c r="C116" s="72" t="s">
        <v>643</v>
      </c>
      <c r="D116" s="12" t="s">
        <v>466</v>
      </c>
      <c r="G116" s="12" t="s">
        <v>148</v>
      </c>
      <c r="H116" s="53">
        <v>5</v>
      </c>
      <c r="I116" s="43">
        <v>-1.8E-3</v>
      </c>
      <c r="J116" s="15">
        <v>1.01E-2</v>
      </c>
      <c r="K116" s="12">
        <v>2.3E-2</v>
      </c>
      <c r="L116" s="12">
        <v>1E-3</v>
      </c>
      <c r="M116" s="12">
        <f t="shared" ref="M116:M121" si="232">K116-L116*2</f>
        <v>2.0999999999999998E-2</v>
      </c>
      <c r="N116" s="77">
        <v>0.14199999999999999</v>
      </c>
      <c r="O116" s="77">
        <v>4.0000000000000001E-3</v>
      </c>
      <c r="P116" s="12">
        <f t="shared" ref="P116:P121" si="233">N116-O116*2</f>
        <v>0.13399999999999998</v>
      </c>
      <c r="Q116" s="12">
        <f t="shared" ref="Q116:Q121" si="234">P116-M116</f>
        <v>0.11299999999999999</v>
      </c>
      <c r="R116" s="12">
        <f t="shared" ref="R116:R121" si="235">(Q116-I116)/J116</f>
        <v>11.366336633663366</v>
      </c>
      <c r="S116" s="12">
        <f t="shared" ref="S116:S121" si="236">R116*H116/10</f>
        <v>5.6831683168316829</v>
      </c>
      <c r="V116" s="12">
        <v>5.798</v>
      </c>
      <c r="W116" s="12">
        <f>V116*0.9</f>
        <v>5.2182000000000004</v>
      </c>
      <c r="X116" s="12">
        <f>V116*1.1</f>
        <v>6.3778000000000006</v>
      </c>
    </row>
    <row r="117" spans="1:25">
      <c r="A117" s="39" t="s">
        <v>642</v>
      </c>
      <c r="B117" s="13"/>
      <c r="C117" s="72" t="s">
        <v>644</v>
      </c>
      <c r="H117" s="53">
        <v>5</v>
      </c>
      <c r="I117" s="43">
        <v>-1.8E-3</v>
      </c>
      <c r="J117" s="15">
        <v>1.01E-2</v>
      </c>
      <c r="K117" s="12">
        <v>2.3E-2</v>
      </c>
      <c r="L117" s="12">
        <v>1E-3</v>
      </c>
      <c r="M117" s="12">
        <f t="shared" si="232"/>
        <v>2.0999999999999998E-2</v>
      </c>
      <c r="N117" s="77">
        <v>0.14599999999999999</v>
      </c>
      <c r="O117" s="77">
        <v>4.0000000000000001E-3</v>
      </c>
      <c r="P117" s="12">
        <f t="shared" si="233"/>
        <v>0.13799999999999998</v>
      </c>
      <c r="Q117" s="12">
        <f t="shared" si="234"/>
        <v>0.11699999999999999</v>
      </c>
      <c r="R117" s="12">
        <f t="shared" si="235"/>
        <v>11.762376237623762</v>
      </c>
      <c r="S117" s="12">
        <f t="shared" si="236"/>
        <v>5.8811881188118811</v>
      </c>
      <c r="V117" s="12">
        <v>5.665</v>
      </c>
      <c r="W117" s="12">
        <f t="shared" ref="W117:W121" si="237">V117*0.9</f>
        <v>5.0985000000000005</v>
      </c>
      <c r="X117" s="12">
        <f t="shared" ref="X117:X121" si="238">V117*1.1</f>
        <v>6.2315000000000005</v>
      </c>
    </row>
    <row r="118" spans="1:25">
      <c r="A118" s="39" t="s">
        <v>642</v>
      </c>
      <c r="B118" s="13"/>
      <c r="C118" s="72" t="s">
        <v>645</v>
      </c>
      <c r="H118" s="53">
        <v>5</v>
      </c>
      <c r="I118" s="43">
        <v>-1.8E-3</v>
      </c>
      <c r="J118" s="15">
        <v>1.01E-2</v>
      </c>
      <c r="K118" s="12">
        <v>2.3E-2</v>
      </c>
      <c r="L118" s="12">
        <v>1E-3</v>
      </c>
      <c r="M118" s="12">
        <f t="shared" si="232"/>
        <v>2.0999999999999998E-2</v>
      </c>
      <c r="N118" s="77">
        <v>0.14899999999999999</v>
      </c>
      <c r="O118" s="77">
        <v>5.0000000000000001E-3</v>
      </c>
      <c r="P118" s="12">
        <f t="shared" si="233"/>
        <v>0.13899999999999998</v>
      </c>
      <c r="Q118" s="12">
        <f t="shared" si="234"/>
        <v>0.11799999999999999</v>
      </c>
      <c r="R118" s="12">
        <f t="shared" si="235"/>
        <v>11.861386138613861</v>
      </c>
      <c r="S118" s="12">
        <f t="shared" si="236"/>
        <v>5.9306930693069306</v>
      </c>
      <c r="V118" s="12">
        <v>5.5220000000000002</v>
      </c>
      <c r="W118" s="12">
        <f t="shared" si="237"/>
        <v>4.9698000000000002</v>
      </c>
      <c r="X118" s="12">
        <f t="shared" si="238"/>
        <v>6.0742000000000012</v>
      </c>
    </row>
    <row r="119" spans="1:25">
      <c r="A119" s="39" t="s">
        <v>642</v>
      </c>
      <c r="C119" s="72" t="s">
        <v>646</v>
      </c>
      <c r="D119" s="12" t="s">
        <v>466</v>
      </c>
      <c r="G119" s="12" t="s">
        <v>650</v>
      </c>
      <c r="H119" s="53">
        <v>5</v>
      </c>
      <c r="I119" s="43">
        <v>-1.8E-3</v>
      </c>
      <c r="J119" s="15">
        <v>1.01E-2</v>
      </c>
      <c r="K119" s="12">
        <v>2.3E-2</v>
      </c>
      <c r="L119" s="12">
        <v>1E-3</v>
      </c>
      <c r="M119" s="12">
        <f t="shared" si="232"/>
        <v>2.0999999999999998E-2</v>
      </c>
      <c r="N119" s="77">
        <v>0.158</v>
      </c>
      <c r="O119" s="77">
        <v>5.0000000000000001E-3</v>
      </c>
      <c r="P119" s="12">
        <f t="shared" si="233"/>
        <v>0.14799999999999999</v>
      </c>
      <c r="Q119" s="12">
        <f t="shared" si="234"/>
        <v>0.127</v>
      </c>
      <c r="R119" s="12">
        <f t="shared" si="235"/>
        <v>12.752475247524753</v>
      </c>
      <c r="S119" s="12">
        <f t="shared" si="236"/>
        <v>6.3762376237623766</v>
      </c>
      <c r="V119" s="12">
        <v>6.899</v>
      </c>
      <c r="W119" s="12">
        <f t="shared" si="237"/>
        <v>6.2091000000000003</v>
      </c>
      <c r="X119" s="12">
        <f t="shared" si="238"/>
        <v>7.5889000000000006</v>
      </c>
    </row>
    <row r="120" spans="1:25">
      <c r="A120" s="39" t="s">
        <v>642</v>
      </c>
      <c r="C120" s="72" t="s">
        <v>647</v>
      </c>
      <c r="H120" s="53">
        <v>5</v>
      </c>
      <c r="I120" s="43">
        <v>-1.8E-3</v>
      </c>
      <c r="J120" s="15">
        <v>1.01E-2</v>
      </c>
      <c r="K120" s="12">
        <v>2.3E-2</v>
      </c>
      <c r="L120" s="12">
        <v>1E-3</v>
      </c>
      <c r="M120" s="12">
        <f t="shared" si="232"/>
        <v>2.0999999999999998E-2</v>
      </c>
      <c r="N120" s="77">
        <v>0.153</v>
      </c>
      <c r="O120" s="77">
        <v>4.0000000000000001E-3</v>
      </c>
      <c r="P120" s="12">
        <f t="shared" si="233"/>
        <v>0.14499999999999999</v>
      </c>
      <c r="Q120" s="12">
        <f t="shared" si="234"/>
        <v>0.124</v>
      </c>
      <c r="R120" s="12">
        <f t="shared" si="235"/>
        <v>12.455445544554456</v>
      </c>
      <c r="S120" s="12">
        <f t="shared" si="236"/>
        <v>6.2277227722772279</v>
      </c>
      <c r="V120" s="12">
        <v>5.9569999999999999</v>
      </c>
      <c r="W120" s="12">
        <f t="shared" si="237"/>
        <v>5.3613</v>
      </c>
      <c r="X120" s="12">
        <f t="shared" si="238"/>
        <v>6.5527000000000006</v>
      </c>
    </row>
    <row r="121" spans="1:25">
      <c r="A121" s="39" t="s">
        <v>642</v>
      </c>
      <c r="C121" s="72" t="s">
        <v>648</v>
      </c>
      <c r="H121" s="53">
        <v>5</v>
      </c>
      <c r="I121" s="43">
        <v>-1.8E-3</v>
      </c>
      <c r="J121" s="15">
        <v>1.01E-2</v>
      </c>
      <c r="K121" s="12">
        <v>2.3E-2</v>
      </c>
      <c r="L121" s="12">
        <v>1E-3</v>
      </c>
      <c r="M121" s="12">
        <f t="shared" si="232"/>
        <v>2.0999999999999998E-2</v>
      </c>
      <c r="N121" s="77">
        <v>0.14899999999999999</v>
      </c>
      <c r="O121" s="77">
        <v>5.0000000000000001E-3</v>
      </c>
      <c r="P121" s="12">
        <f t="shared" si="233"/>
        <v>0.13899999999999998</v>
      </c>
      <c r="Q121" s="12">
        <f t="shared" si="234"/>
        <v>0.11799999999999999</v>
      </c>
      <c r="R121" s="12">
        <f t="shared" si="235"/>
        <v>11.861386138613861</v>
      </c>
      <c r="S121" s="12">
        <f t="shared" si="236"/>
        <v>5.9306930693069306</v>
      </c>
      <c r="V121" s="12">
        <v>5.9980000000000002</v>
      </c>
      <c r="W121" s="12">
        <f t="shared" si="237"/>
        <v>5.3982000000000001</v>
      </c>
      <c r="X121" s="12">
        <f t="shared" si="238"/>
        <v>6.5978000000000012</v>
      </c>
    </row>
    <row r="122" spans="1:25">
      <c r="A122" s="39" t="s">
        <v>642</v>
      </c>
      <c r="C122" s="72" t="s">
        <v>661</v>
      </c>
      <c r="D122" s="12" t="s">
        <v>663</v>
      </c>
      <c r="H122" s="53">
        <v>1</v>
      </c>
      <c r="I122" s="43">
        <v>-1.8E-3</v>
      </c>
      <c r="J122" s="15">
        <v>1.01E-2</v>
      </c>
      <c r="K122" s="12">
        <v>2.3E-2</v>
      </c>
      <c r="L122" s="12">
        <v>1E-3</v>
      </c>
      <c r="M122" s="12">
        <f t="shared" ref="M122:M123" si="239">K122-L122*2</f>
        <v>2.0999999999999998E-2</v>
      </c>
      <c r="N122" s="77">
        <v>0.127</v>
      </c>
      <c r="O122" s="77">
        <v>5.0000000000000001E-3</v>
      </c>
      <c r="P122" s="12">
        <f t="shared" ref="P122:P123" si="240">N122-O122*2</f>
        <v>0.11700000000000001</v>
      </c>
      <c r="Q122" s="12">
        <f t="shared" ref="Q122:Q123" si="241">P122-M122</f>
        <v>9.6000000000000002E-2</v>
      </c>
      <c r="R122" s="12">
        <f t="shared" ref="R122:R123" si="242">(Q122-I122)/J122</f>
        <v>9.6831683168316829</v>
      </c>
      <c r="S122" s="12">
        <f t="shared" ref="S122:S123" si="243">R122*H122/10</f>
        <v>0.96831683168316829</v>
      </c>
    </row>
    <row r="123" spans="1:25">
      <c r="A123" s="39" t="s">
        <v>642</v>
      </c>
      <c r="C123" s="72" t="s">
        <v>662</v>
      </c>
      <c r="H123" s="53">
        <v>1</v>
      </c>
      <c r="I123" s="43">
        <v>-1.8E-3</v>
      </c>
      <c r="J123" s="15">
        <v>1.01E-2</v>
      </c>
      <c r="K123" s="12">
        <v>2.3E-2</v>
      </c>
      <c r="L123" s="12">
        <v>1E-3</v>
      </c>
      <c r="M123" s="12">
        <f t="shared" si="239"/>
        <v>2.0999999999999998E-2</v>
      </c>
      <c r="N123" s="77">
        <v>0.126</v>
      </c>
      <c r="O123" s="77">
        <v>5.0000000000000001E-3</v>
      </c>
      <c r="P123" s="12">
        <f t="shared" si="240"/>
        <v>0.11600000000000001</v>
      </c>
      <c r="Q123" s="12">
        <f t="shared" si="241"/>
        <v>9.5000000000000001E-2</v>
      </c>
      <c r="R123" s="12">
        <f t="shared" si="242"/>
        <v>9.5841584158415838</v>
      </c>
      <c r="S123" s="12">
        <f t="shared" si="243"/>
        <v>0.95841584158415838</v>
      </c>
      <c r="V123" s="56"/>
    </row>
    <row r="124" spans="1:25">
      <c r="A124" s="39"/>
      <c r="C124" s="86" t="s">
        <v>527</v>
      </c>
      <c r="D124" s="50"/>
      <c r="E124" s="50"/>
      <c r="F124" s="50"/>
      <c r="G124" s="50"/>
      <c r="H124" s="59">
        <v>1</v>
      </c>
      <c r="I124" s="23">
        <v>-1.8E-3</v>
      </c>
      <c r="J124" s="23">
        <v>1.01E-2</v>
      </c>
      <c r="K124" s="24">
        <v>2.3E-2</v>
      </c>
      <c r="L124" s="24">
        <v>1E-3</v>
      </c>
      <c r="M124" s="24">
        <f t="shared" ref="M124:M125" si="244">K124-2*L124</f>
        <v>2.0999999999999998E-2</v>
      </c>
      <c r="N124" s="25">
        <v>8.7999999999999995E-2</v>
      </c>
      <c r="O124" s="81">
        <v>5.0000000000000001E-3</v>
      </c>
      <c r="P124" s="24">
        <f t="shared" ref="P124:P126" si="245">N124-2*O124</f>
        <v>7.8E-2</v>
      </c>
      <c r="Q124" s="24">
        <f>P124-M124</f>
        <v>5.7000000000000002E-2</v>
      </c>
      <c r="R124" s="26">
        <f>(Q124-I124)/J124</f>
        <v>5.8217821782178225</v>
      </c>
      <c r="S124" s="27">
        <f t="shared" ref="S124" si="246">R124*H124/10</f>
        <v>0.58217821782178225</v>
      </c>
      <c r="T124" s="47" t="s">
        <v>586</v>
      </c>
      <c r="V124" s="75" t="s">
        <v>584</v>
      </c>
    </row>
    <row r="125" spans="1:25">
      <c r="A125" s="39"/>
      <c r="C125" s="86" t="s">
        <v>528</v>
      </c>
      <c r="D125" s="50"/>
      <c r="E125" s="50"/>
      <c r="F125" s="50"/>
      <c r="G125" s="50"/>
      <c r="H125" s="59">
        <v>1</v>
      </c>
      <c r="I125" s="23">
        <v>-1.8E-3</v>
      </c>
      <c r="J125" s="23">
        <v>1.01E-2</v>
      </c>
      <c r="K125" s="24">
        <v>2.3E-2</v>
      </c>
      <c r="L125" s="24">
        <v>1E-3</v>
      </c>
      <c r="M125" s="24">
        <f t="shared" si="244"/>
        <v>2.0999999999999998E-2</v>
      </c>
      <c r="N125" s="25">
        <v>8.8999999999999996E-2</v>
      </c>
      <c r="O125" s="81">
        <v>5.0000000000000001E-3</v>
      </c>
      <c r="P125" s="24">
        <f t="shared" si="245"/>
        <v>7.9000000000000001E-2</v>
      </c>
      <c r="Q125" s="24">
        <f>P125-M125</f>
        <v>5.8000000000000003E-2</v>
      </c>
      <c r="R125" s="26">
        <f>(Q125-I125)/J125</f>
        <v>5.9207920792079216</v>
      </c>
      <c r="S125" s="27">
        <f>R125*H125/10</f>
        <v>0.59207920792079216</v>
      </c>
      <c r="T125" s="47"/>
      <c r="V125" s="75" t="s">
        <v>585</v>
      </c>
    </row>
    <row r="126" spans="1:25">
      <c r="A126" s="39"/>
      <c r="C126" s="30" t="s">
        <v>87</v>
      </c>
      <c r="D126" s="30"/>
      <c r="E126" s="31"/>
      <c r="F126" s="31"/>
      <c r="G126" s="32"/>
      <c r="H126" s="60">
        <v>1</v>
      </c>
      <c r="I126" s="34">
        <v>-1.8E-3</v>
      </c>
      <c r="J126" s="34">
        <v>1.01E-2</v>
      </c>
      <c r="K126" s="35">
        <v>2.3E-2</v>
      </c>
      <c r="L126" s="35">
        <v>1E-3</v>
      </c>
      <c r="M126" s="35">
        <f>K126-2*L126</f>
        <v>2.0999999999999998E-2</v>
      </c>
      <c r="N126" s="36">
        <v>0.128</v>
      </c>
      <c r="O126" s="80">
        <v>4.0000000000000001E-3</v>
      </c>
      <c r="P126" s="35">
        <f t="shared" si="245"/>
        <v>0.12</v>
      </c>
      <c r="Q126" s="35">
        <f t="shared" ref="Q126:Q135" si="247">P126-M126</f>
        <v>9.9000000000000005E-2</v>
      </c>
      <c r="R126" s="37">
        <f t="shared" ref="R126:R135" si="248">(Q126-I126)/J126</f>
        <v>9.9801980198019802</v>
      </c>
      <c r="S126" s="38">
        <f t="shared" ref="S126:S135" si="249">R126*H126/10</f>
        <v>0.99801980198019802</v>
      </c>
    </row>
    <row r="127" spans="1:25">
      <c r="A127" s="39"/>
      <c r="B127" s="13">
        <v>43943</v>
      </c>
      <c r="C127" s="72" t="s">
        <v>664</v>
      </c>
      <c r="D127" s="12" t="s">
        <v>30</v>
      </c>
      <c r="H127" s="53">
        <v>5</v>
      </c>
      <c r="I127" s="43">
        <v>-1.8E-3</v>
      </c>
      <c r="J127" s="15">
        <v>1.01E-2</v>
      </c>
      <c r="K127" s="12">
        <v>2.5999999999999999E-2</v>
      </c>
      <c r="L127" s="12">
        <v>2E-3</v>
      </c>
      <c r="M127" s="12">
        <f t="shared" ref="M127:M136" si="250">K127-L127*2</f>
        <v>2.1999999999999999E-2</v>
      </c>
      <c r="N127" s="77">
        <v>0.222</v>
      </c>
      <c r="O127" s="77">
        <v>5.0000000000000001E-3</v>
      </c>
      <c r="P127" s="12">
        <f t="shared" ref="P127:P135" si="251">N127-O127*2</f>
        <v>0.21199999999999999</v>
      </c>
      <c r="Q127" s="12">
        <f t="shared" si="247"/>
        <v>0.19</v>
      </c>
      <c r="R127" s="12">
        <f t="shared" si="248"/>
        <v>18.990099009900991</v>
      </c>
      <c r="S127" s="12">
        <f t="shared" si="249"/>
        <v>9.4950495049504955</v>
      </c>
      <c r="V127" s="12">
        <v>4.2999999999999997E-2</v>
      </c>
      <c r="W127" s="12">
        <v>1.6E-2</v>
      </c>
      <c r="X127" s="12">
        <f>V127-0.022</f>
        <v>2.0999999999999998E-2</v>
      </c>
      <c r="Y127" s="12">
        <f>W127-0.012</f>
        <v>4.0000000000000001E-3</v>
      </c>
    </row>
    <row r="128" spans="1:25">
      <c r="A128" s="39"/>
      <c r="B128" s="12" t="s">
        <v>654</v>
      </c>
      <c r="C128" s="72" t="s">
        <v>665</v>
      </c>
      <c r="H128" s="53">
        <v>5</v>
      </c>
      <c r="I128" s="43">
        <v>-1.8E-3</v>
      </c>
      <c r="J128" s="15">
        <v>1.01E-2</v>
      </c>
      <c r="K128" s="12">
        <v>2.5999999999999999E-2</v>
      </c>
      <c r="L128" s="12">
        <v>2E-3</v>
      </c>
      <c r="M128" s="12">
        <f t="shared" ref="M128" si="252">K128-L128*2</f>
        <v>2.1999999999999999E-2</v>
      </c>
      <c r="N128" s="77">
        <v>0.223</v>
      </c>
      <c r="O128" s="77">
        <v>5.0000000000000001E-3</v>
      </c>
      <c r="P128" s="12">
        <f t="shared" ref="P128" si="253">N128-O128*2</f>
        <v>0.21299999999999999</v>
      </c>
      <c r="Q128" s="12">
        <f t="shared" ref="Q128" si="254">P128-M128</f>
        <v>0.191</v>
      </c>
      <c r="R128" s="12">
        <f t="shared" ref="R128" si="255">(Q128-I128)/J128</f>
        <v>19.089108910891088</v>
      </c>
      <c r="S128" s="12">
        <f t="shared" ref="S128" si="256">R128*H128/10</f>
        <v>9.5445544554455441</v>
      </c>
      <c r="V128" s="12">
        <v>0.112</v>
      </c>
      <c r="W128" s="12">
        <v>1.6E-2</v>
      </c>
      <c r="X128" s="12">
        <f>V128-0.022</f>
        <v>0.09</v>
      </c>
      <c r="Y128" s="12">
        <f>W128-0.012</f>
        <v>4.0000000000000001E-3</v>
      </c>
    </row>
    <row r="129" spans="1:25">
      <c r="A129" s="39"/>
      <c r="C129" s="30" t="s">
        <v>87</v>
      </c>
      <c r="D129" s="30"/>
      <c r="E129" s="31"/>
      <c r="F129" s="31"/>
      <c r="G129" s="32"/>
      <c r="H129" s="60">
        <v>1</v>
      </c>
      <c r="I129" s="34">
        <v>-1.8E-3</v>
      </c>
      <c r="J129" s="34">
        <v>1.01E-2</v>
      </c>
      <c r="K129" s="35">
        <v>2.5999999999999999E-2</v>
      </c>
      <c r="L129" s="35">
        <v>2E-3</v>
      </c>
      <c r="M129" s="35">
        <f>K129-2*L129</f>
        <v>2.1999999999999999E-2</v>
      </c>
      <c r="N129" s="36">
        <v>0.13100000000000001</v>
      </c>
      <c r="O129" s="80">
        <v>4.0000000000000001E-3</v>
      </c>
      <c r="P129" s="35">
        <f t="shared" ref="P129" si="257">N129-2*O129</f>
        <v>0.123</v>
      </c>
      <c r="Q129" s="35">
        <f t="shared" ref="Q129" si="258">P129-M129</f>
        <v>0.10100000000000001</v>
      </c>
      <c r="R129" s="37">
        <f t="shared" ref="R129" si="259">(Q129-I129)/J129</f>
        <v>10.178217821782178</v>
      </c>
      <c r="S129" s="38">
        <f t="shared" ref="S129" si="260">R129*H129/10</f>
        <v>1.0178217821782178</v>
      </c>
    </row>
    <row r="130" spans="1:25">
      <c r="A130" s="39"/>
      <c r="C130" s="72" t="s">
        <v>655</v>
      </c>
      <c r="D130" s="12" t="s">
        <v>32</v>
      </c>
      <c r="H130" s="53">
        <v>10</v>
      </c>
      <c r="I130" s="43">
        <v>-1.8E-3</v>
      </c>
      <c r="J130" s="15">
        <v>1.01E-2</v>
      </c>
      <c r="K130" s="12">
        <v>2.5999999999999999E-2</v>
      </c>
      <c r="L130" s="12">
        <v>2E-3</v>
      </c>
      <c r="M130" s="12">
        <f t="shared" si="250"/>
        <v>2.1999999999999999E-2</v>
      </c>
      <c r="N130" s="77">
        <v>0.23699999999999999</v>
      </c>
      <c r="O130" s="77">
        <v>5.0000000000000001E-3</v>
      </c>
      <c r="P130" s="12">
        <f t="shared" si="251"/>
        <v>0.22699999999999998</v>
      </c>
      <c r="Q130" s="12">
        <f t="shared" si="247"/>
        <v>0.20499999999999999</v>
      </c>
      <c r="R130" s="12">
        <f t="shared" si="248"/>
        <v>20.475247524752476</v>
      </c>
      <c r="S130" s="12">
        <f t="shared" si="249"/>
        <v>20.475247524752476</v>
      </c>
    </row>
    <row r="131" spans="1:25">
      <c r="A131" s="39"/>
      <c r="C131" s="72" t="s">
        <v>656</v>
      </c>
      <c r="D131" s="12" t="s">
        <v>34</v>
      </c>
      <c r="H131" s="53">
        <v>10</v>
      </c>
      <c r="I131" s="43">
        <v>-1.8E-3</v>
      </c>
      <c r="J131" s="15">
        <v>1.01E-2</v>
      </c>
      <c r="K131" s="12">
        <v>2.5999999999999999E-2</v>
      </c>
      <c r="L131" s="12">
        <v>2E-3</v>
      </c>
      <c r="M131" s="12">
        <f t="shared" si="250"/>
        <v>2.1999999999999999E-2</v>
      </c>
      <c r="N131" s="77">
        <v>0.222</v>
      </c>
      <c r="O131" s="77">
        <v>6.0000000000000001E-3</v>
      </c>
      <c r="P131" s="12">
        <f t="shared" si="251"/>
        <v>0.21</v>
      </c>
      <c r="Q131" s="12">
        <f t="shared" si="247"/>
        <v>0.188</v>
      </c>
      <c r="R131" s="12">
        <f t="shared" si="248"/>
        <v>18.792079207920793</v>
      </c>
      <c r="S131" s="12">
        <f t="shared" si="249"/>
        <v>18.792079207920793</v>
      </c>
    </row>
    <row r="132" spans="1:25">
      <c r="A132" s="39"/>
      <c r="C132" s="72" t="s">
        <v>657</v>
      </c>
      <c r="D132" s="12" t="s">
        <v>492</v>
      </c>
      <c r="H132" s="15">
        <v>5</v>
      </c>
      <c r="I132" s="43">
        <v>-1.8E-3</v>
      </c>
      <c r="J132" s="15">
        <v>1.01E-2</v>
      </c>
      <c r="K132" s="12">
        <v>2.5999999999999999E-2</v>
      </c>
      <c r="L132" s="12">
        <v>2E-3</v>
      </c>
      <c r="M132" s="12">
        <f t="shared" si="250"/>
        <v>2.1999999999999999E-2</v>
      </c>
      <c r="N132" s="78">
        <v>0.27600000000000002</v>
      </c>
      <c r="O132" s="79">
        <v>8.9999999999999993E-3</v>
      </c>
      <c r="P132" s="12">
        <f t="shared" si="251"/>
        <v>0.25800000000000001</v>
      </c>
      <c r="Q132" s="12">
        <f t="shared" si="247"/>
        <v>0.23600000000000002</v>
      </c>
      <c r="R132" s="12">
        <f t="shared" si="248"/>
        <v>23.544554455445546</v>
      </c>
      <c r="S132" s="12">
        <f t="shared" si="249"/>
        <v>11.772277227722773</v>
      </c>
    </row>
    <row r="133" spans="1:25">
      <c r="A133" s="39"/>
      <c r="C133" s="72" t="s">
        <v>658</v>
      </c>
      <c r="D133" s="12" t="s">
        <v>494</v>
      </c>
      <c r="H133" s="15">
        <v>5</v>
      </c>
      <c r="I133" s="43">
        <v>-1.8E-3</v>
      </c>
      <c r="J133" s="15">
        <v>1.01E-2</v>
      </c>
      <c r="K133" s="12">
        <v>2.5999999999999999E-2</v>
      </c>
      <c r="L133" s="12">
        <v>2E-3</v>
      </c>
      <c r="M133" s="12">
        <f t="shared" si="250"/>
        <v>2.1999999999999999E-2</v>
      </c>
      <c r="N133" s="78">
        <v>0.128</v>
      </c>
      <c r="O133" s="79">
        <v>4.9999999999999975E-3</v>
      </c>
      <c r="P133" s="12">
        <f t="shared" si="251"/>
        <v>0.11800000000000001</v>
      </c>
      <c r="Q133" s="12">
        <f t="shared" si="247"/>
        <v>9.6000000000000002E-2</v>
      </c>
      <c r="R133" s="12">
        <f t="shared" si="248"/>
        <v>9.6831683168316829</v>
      </c>
      <c r="S133" s="12">
        <f t="shared" si="249"/>
        <v>4.8415841584158414</v>
      </c>
    </row>
    <row r="134" spans="1:25">
      <c r="A134" s="39"/>
      <c r="C134" s="72" t="s">
        <v>659</v>
      </c>
      <c r="D134" s="12" t="s">
        <v>660</v>
      </c>
      <c r="H134" s="53">
        <v>5</v>
      </c>
      <c r="I134" s="43">
        <v>-1.8E-3</v>
      </c>
      <c r="J134" s="15">
        <v>1.01E-2</v>
      </c>
      <c r="K134" s="12">
        <v>2.5999999999999999E-2</v>
      </c>
      <c r="L134" s="12">
        <v>2E-3</v>
      </c>
      <c r="M134" s="12">
        <f t="shared" si="250"/>
        <v>2.1999999999999999E-2</v>
      </c>
      <c r="N134" s="77">
        <v>0.152</v>
      </c>
      <c r="O134" s="77">
        <v>5.0000000000000001E-3</v>
      </c>
      <c r="P134" s="12">
        <f t="shared" si="251"/>
        <v>0.14199999999999999</v>
      </c>
      <c r="Q134" s="12">
        <f t="shared" si="247"/>
        <v>0.12</v>
      </c>
      <c r="R134" s="12">
        <f t="shared" si="248"/>
        <v>12.059405940594059</v>
      </c>
      <c r="S134" s="12">
        <f t="shared" si="249"/>
        <v>6.0297029702970297</v>
      </c>
    </row>
    <row r="135" spans="1:25">
      <c r="A135" s="39" t="s">
        <v>16</v>
      </c>
      <c r="B135" s="13">
        <v>43946</v>
      </c>
      <c r="C135" s="72" t="s">
        <v>681</v>
      </c>
      <c r="D135" s="12" t="s">
        <v>54</v>
      </c>
      <c r="H135" s="15">
        <v>1</v>
      </c>
      <c r="I135" s="43">
        <v>-1.8E-3</v>
      </c>
      <c r="J135" s="15">
        <v>1.01E-2</v>
      </c>
      <c r="K135" s="12">
        <v>2.5999999999999999E-2</v>
      </c>
      <c r="L135" s="12">
        <v>5.0000000000000001E-3</v>
      </c>
      <c r="M135" s="12">
        <f t="shared" si="250"/>
        <v>1.6E-2</v>
      </c>
      <c r="N135" s="77">
        <v>0.23899999999999999</v>
      </c>
      <c r="O135" s="77">
        <v>8.0000000000000002E-3</v>
      </c>
      <c r="P135" s="12">
        <f t="shared" si="251"/>
        <v>0.22299999999999998</v>
      </c>
      <c r="Q135" s="12">
        <f t="shared" si="247"/>
        <v>0.20699999999999996</v>
      </c>
      <c r="R135" s="12">
        <f t="shared" si="248"/>
        <v>20.67326732673267</v>
      </c>
      <c r="S135" s="12">
        <f t="shared" si="249"/>
        <v>2.0673267326732669</v>
      </c>
      <c r="V135" s="12">
        <v>4.1000000000000002E-2</v>
      </c>
      <c r="W135" s="12">
        <v>1.2999999999999999E-2</v>
      </c>
      <c r="X135" s="12">
        <f>V135-0.021</f>
        <v>0.02</v>
      </c>
      <c r="Y135" s="12">
        <f>W135-0.011</f>
        <v>2E-3</v>
      </c>
    </row>
    <row r="136" spans="1:25">
      <c r="A136" s="39" t="s">
        <v>16</v>
      </c>
      <c r="B136" s="12" t="s">
        <v>668</v>
      </c>
      <c r="C136" s="72" t="s">
        <v>682</v>
      </c>
      <c r="H136" s="15">
        <v>1</v>
      </c>
      <c r="I136" s="43">
        <v>-1.8E-3</v>
      </c>
      <c r="J136" s="15">
        <v>1.01E-2</v>
      </c>
      <c r="K136" s="12">
        <v>2.5999999999999999E-2</v>
      </c>
      <c r="L136" s="12">
        <v>5.0000000000000001E-3</v>
      </c>
      <c r="M136" s="12">
        <f t="shared" si="250"/>
        <v>1.6E-2</v>
      </c>
      <c r="N136" s="77">
        <v>0.23899999999999999</v>
      </c>
      <c r="O136" s="77">
        <v>8.0000000000000002E-3</v>
      </c>
      <c r="P136" s="12">
        <f t="shared" ref="P136" si="261">N136-O136*2</f>
        <v>0.22299999999999998</v>
      </c>
      <c r="Q136" s="12">
        <f t="shared" ref="Q136" si="262">P136-M136</f>
        <v>0.20699999999999996</v>
      </c>
      <c r="R136" s="12">
        <f t="shared" ref="R136" si="263">(Q136-I136)/J136</f>
        <v>20.67326732673267</v>
      </c>
      <c r="S136" s="12">
        <f t="shared" ref="S136" si="264">R136*H136/10</f>
        <v>2.0673267326732669</v>
      </c>
      <c r="V136" s="12">
        <v>8.1000000000000003E-2</v>
      </c>
      <c r="W136" s="12">
        <v>1.2E-2</v>
      </c>
      <c r="X136" s="12">
        <f>V136-0.021</f>
        <v>0.06</v>
      </c>
      <c r="Y136" s="12">
        <f>W136-0.011</f>
        <v>1.0000000000000009E-3</v>
      </c>
    </row>
    <row r="137" spans="1:25" ht="17.25" customHeight="1">
      <c r="A137" s="39" t="s">
        <v>669</v>
      </c>
      <c r="B137" s="13">
        <v>43949</v>
      </c>
      <c r="C137" s="72" t="s">
        <v>670</v>
      </c>
      <c r="D137" s="12" t="s">
        <v>671</v>
      </c>
      <c r="H137" s="63">
        <v>10</v>
      </c>
      <c r="I137" s="43">
        <v>-1.8E-3</v>
      </c>
      <c r="J137" s="15">
        <v>1.01E-2</v>
      </c>
      <c r="K137" s="12">
        <v>0.02</v>
      </c>
      <c r="L137" s="12">
        <v>2E-3</v>
      </c>
      <c r="M137" s="12">
        <f>K137-L137*2</f>
        <v>1.6E-2</v>
      </c>
      <c r="N137" s="77">
        <v>0.13500000000000001</v>
      </c>
      <c r="O137" s="77">
        <v>1E-3</v>
      </c>
      <c r="P137" s="12">
        <f>N137-O137*2</f>
        <v>0.13300000000000001</v>
      </c>
      <c r="Q137" s="12">
        <f t="shared" ref="Q137:Q158" si="265">P137-M137</f>
        <v>0.11700000000000001</v>
      </c>
      <c r="R137" s="12">
        <f t="shared" ref="R137:R158" si="266">(Q137-I137)/J137</f>
        <v>11.762376237623764</v>
      </c>
      <c r="S137" s="16">
        <f t="shared" ref="S137:S158" si="267">R137*H137/10</f>
        <v>11.762376237623764</v>
      </c>
      <c r="T137" s="12">
        <v>86</v>
      </c>
      <c r="V137" s="12">
        <v>8.5999999999999993E-2</v>
      </c>
      <c r="W137" s="12">
        <v>1.4E-2</v>
      </c>
      <c r="X137" s="12">
        <f>V137-0.021</f>
        <v>6.4999999999999988E-2</v>
      </c>
      <c r="Y137" s="12">
        <f>W137-0.011</f>
        <v>3.0000000000000009E-3</v>
      </c>
    </row>
    <row r="138" spans="1:25">
      <c r="A138" s="39" t="s">
        <v>673</v>
      </c>
      <c r="B138" s="13" t="s">
        <v>683</v>
      </c>
      <c r="C138" s="72" t="s">
        <v>684</v>
      </c>
      <c r="D138" s="12" t="s">
        <v>101</v>
      </c>
      <c r="F138" s="85"/>
      <c r="G138" s="85"/>
      <c r="H138" s="63">
        <v>1</v>
      </c>
      <c r="I138" s="43">
        <v>-1.8E-3</v>
      </c>
      <c r="J138" s="15">
        <v>1.01E-2</v>
      </c>
      <c r="K138" s="12">
        <v>0.02</v>
      </c>
      <c r="L138" s="12">
        <v>2E-3</v>
      </c>
      <c r="M138" s="12">
        <f>K138-L138*2</f>
        <v>1.6E-2</v>
      </c>
      <c r="N138" s="77">
        <v>0.247</v>
      </c>
      <c r="O138" s="77">
        <v>4.0000000000000001E-3</v>
      </c>
      <c r="P138" s="12">
        <f>N138-O138*2</f>
        <v>0.23899999999999999</v>
      </c>
      <c r="Q138" s="12">
        <f t="shared" si="265"/>
        <v>0.22299999999999998</v>
      </c>
      <c r="R138" s="12">
        <f t="shared" si="266"/>
        <v>22.257425742574256</v>
      </c>
      <c r="S138" s="12">
        <f t="shared" si="267"/>
        <v>2.2257425742574255</v>
      </c>
      <c r="V138" s="12">
        <v>0.112</v>
      </c>
      <c r="W138" s="12">
        <v>1.2999999999999999E-2</v>
      </c>
      <c r="X138" s="12">
        <f>V138-0.021</f>
        <v>9.0999999999999998E-2</v>
      </c>
      <c r="Y138" s="12">
        <f>W138-0.011</f>
        <v>2E-3</v>
      </c>
    </row>
    <row r="139" spans="1:25">
      <c r="A139" s="39" t="s">
        <v>673</v>
      </c>
      <c r="B139" s="13"/>
      <c r="C139" s="72" t="s">
        <v>685</v>
      </c>
      <c r="F139" s="85"/>
      <c r="G139" s="85"/>
      <c r="H139" s="63">
        <v>1</v>
      </c>
      <c r="I139" s="43">
        <v>-1.8E-3</v>
      </c>
      <c r="J139" s="15">
        <v>1.01E-2</v>
      </c>
      <c r="K139" s="12">
        <v>0.02</v>
      </c>
      <c r="L139" s="12">
        <v>2E-3</v>
      </c>
      <c r="M139" s="12">
        <f>K139-L139*2</f>
        <v>1.6E-2</v>
      </c>
      <c r="N139" s="77">
        <v>0.247</v>
      </c>
      <c r="O139" s="77">
        <v>4.0000000000000001E-3</v>
      </c>
      <c r="P139" s="12">
        <f>N139-O139*2</f>
        <v>0.23899999999999999</v>
      </c>
      <c r="Q139" s="12">
        <f t="shared" si="265"/>
        <v>0.22299999999999998</v>
      </c>
      <c r="R139" s="12">
        <f t="shared" si="266"/>
        <v>22.257425742574256</v>
      </c>
      <c r="S139" s="12">
        <f t="shared" si="267"/>
        <v>2.2257425742574255</v>
      </c>
    </row>
    <row r="140" spans="1:25">
      <c r="A140" s="39"/>
      <c r="C140" s="30" t="s">
        <v>87</v>
      </c>
      <c r="D140" s="30"/>
      <c r="E140" s="31"/>
      <c r="F140" s="31"/>
      <c r="G140" s="32"/>
      <c r="H140" s="60">
        <v>1</v>
      </c>
      <c r="I140" s="34">
        <v>-1.8E-3</v>
      </c>
      <c r="J140" s="34">
        <v>1.01E-2</v>
      </c>
      <c r="K140" s="35">
        <v>0.02</v>
      </c>
      <c r="L140" s="35">
        <v>2E-3</v>
      </c>
      <c r="M140" s="35">
        <f>K140-2*L140</f>
        <v>1.6E-2</v>
      </c>
      <c r="N140" s="36">
        <v>0.128</v>
      </c>
      <c r="O140" s="80">
        <v>4.0000000000000001E-3</v>
      </c>
      <c r="P140" s="35">
        <f>N140-2*O140</f>
        <v>0.12</v>
      </c>
      <c r="Q140" s="35">
        <f t="shared" si="265"/>
        <v>0.104</v>
      </c>
      <c r="R140" s="37">
        <f t="shared" si="266"/>
        <v>10.475247524752476</v>
      </c>
      <c r="S140" s="38">
        <f t="shared" si="267"/>
        <v>1.0475247524752476</v>
      </c>
    </row>
    <row r="141" spans="1:25" ht="14.25" customHeight="1">
      <c r="A141" s="39" t="s">
        <v>673</v>
      </c>
      <c r="C141" s="72" t="s">
        <v>674</v>
      </c>
      <c r="D141" s="12" t="s">
        <v>103</v>
      </c>
      <c r="F141" s="85"/>
      <c r="G141" s="85"/>
      <c r="H141" s="63">
        <v>5</v>
      </c>
      <c r="I141" s="43">
        <v>-1.8E-3</v>
      </c>
      <c r="J141" s="15">
        <v>1.01E-2</v>
      </c>
      <c r="K141" s="12">
        <v>0.02</v>
      </c>
      <c r="L141" s="12">
        <v>2E-3</v>
      </c>
      <c r="M141" s="12">
        <f t="shared" ref="M141:M158" si="268">K141-L141*2</f>
        <v>1.6E-2</v>
      </c>
      <c r="N141" s="77">
        <v>0.13200000000000001</v>
      </c>
      <c r="O141" s="77">
        <v>5.0000000000000001E-3</v>
      </c>
      <c r="P141" s="12">
        <f t="shared" ref="P141:P158" si="269">N141-O141*2</f>
        <v>0.12200000000000001</v>
      </c>
      <c r="Q141" s="12">
        <f t="shared" si="265"/>
        <v>0.10600000000000001</v>
      </c>
      <c r="R141" s="12">
        <f t="shared" si="266"/>
        <v>10.673267326732674</v>
      </c>
      <c r="S141" s="12">
        <f t="shared" si="267"/>
        <v>5.3366336633663369</v>
      </c>
      <c r="V141" s="12">
        <v>0.14699999999999999</v>
      </c>
      <c r="W141" s="12">
        <v>1.4999999999999999E-2</v>
      </c>
      <c r="X141" s="12">
        <f>V141-0.021</f>
        <v>0.126</v>
      </c>
      <c r="Y141" s="12">
        <f>W141-0.011</f>
        <v>4.0000000000000001E-3</v>
      </c>
    </row>
    <row r="142" spans="1:25">
      <c r="A142" s="39" t="s">
        <v>59</v>
      </c>
      <c r="C142" s="72" t="s">
        <v>675</v>
      </c>
      <c r="D142" s="12" t="s">
        <v>454</v>
      </c>
      <c r="H142" s="63">
        <v>5</v>
      </c>
      <c r="I142" s="43">
        <v>-1.8E-3</v>
      </c>
      <c r="J142" s="15">
        <v>1.01E-2</v>
      </c>
      <c r="K142" s="12">
        <v>0.02</v>
      </c>
      <c r="L142" s="12">
        <v>2E-3</v>
      </c>
      <c r="M142" s="12">
        <f t="shared" si="268"/>
        <v>1.6E-2</v>
      </c>
      <c r="N142" s="77">
        <v>0.19900000000000001</v>
      </c>
      <c r="O142" s="77">
        <v>3.0000000000000001E-3</v>
      </c>
      <c r="P142" s="12">
        <f t="shared" si="269"/>
        <v>0.193</v>
      </c>
      <c r="Q142" s="12">
        <f t="shared" si="265"/>
        <v>0.17699999999999999</v>
      </c>
      <c r="R142" s="12">
        <f t="shared" si="266"/>
        <v>17.702970297029701</v>
      </c>
      <c r="S142" s="12">
        <f t="shared" si="267"/>
        <v>8.8514851485148505</v>
      </c>
      <c r="V142" s="12">
        <v>0.11</v>
      </c>
      <c r="W142" s="12">
        <v>1.7999999999999999E-2</v>
      </c>
      <c r="X142" s="12">
        <f>V142-0.021</f>
        <v>8.8999999999999996E-2</v>
      </c>
      <c r="Y142" s="12">
        <f>W142-0.011</f>
        <v>6.9999999999999993E-3</v>
      </c>
    </row>
    <row r="143" spans="1:25">
      <c r="A143" s="39" t="s">
        <v>59</v>
      </c>
      <c r="C143" s="72">
        <v>20200429001</v>
      </c>
      <c r="D143" s="12" t="s">
        <v>676</v>
      </c>
      <c r="F143" s="12" t="s">
        <v>677</v>
      </c>
      <c r="H143" s="63">
        <v>200</v>
      </c>
      <c r="I143" s="43">
        <v>-1.8E-3</v>
      </c>
      <c r="J143" s="15">
        <v>1.01E-2</v>
      </c>
      <c r="K143" s="12">
        <v>0.02</v>
      </c>
      <c r="L143" s="12">
        <v>2E-3</v>
      </c>
      <c r="M143" s="12">
        <f t="shared" si="268"/>
        <v>1.6E-2</v>
      </c>
      <c r="N143" s="77">
        <v>9.0999999999999998E-2</v>
      </c>
      <c r="O143" s="77">
        <v>2E-3</v>
      </c>
      <c r="P143" s="12">
        <f t="shared" si="269"/>
        <v>8.6999999999999994E-2</v>
      </c>
      <c r="Q143" s="12">
        <f t="shared" si="265"/>
        <v>7.0999999999999994E-2</v>
      </c>
      <c r="R143" s="12">
        <f t="shared" si="266"/>
        <v>7.2079207920792072</v>
      </c>
      <c r="S143" s="12">
        <f t="shared" si="267"/>
        <v>144.15841584158414</v>
      </c>
    </row>
    <row r="144" spans="1:25">
      <c r="A144" s="73" t="s">
        <v>59</v>
      </c>
      <c r="C144" s="72">
        <v>20200429002</v>
      </c>
      <c r="F144" s="12" t="s">
        <v>678</v>
      </c>
      <c r="H144" s="15">
        <v>50</v>
      </c>
      <c r="I144" s="43">
        <v>-1.8E-3</v>
      </c>
      <c r="J144" s="15">
        <v>1.01E-2</v>
      </c>
      <c r="K144" s="12">
        <v>0.02</v>
      </c>
      <c r="L144" s="12">
        <v>2E-3</v>
      </c>
      <c r="M144" s="12">
        <f t="shared" si="268"/>
        <v>1.6E-2</v>
      </c>
      <c r="N144" s="77">
        <v>0.126</v>
      </c>
      <c r="O144" s="77">
        <v>4.0000000000000001E-3</v>
      </c>
      <c r="P144" s="12">
        <f t="shared" si="269"/>
        <v>0.11799999999999999</v>
      </c>
      <c r="Q144" s="12">
        <f t="shared" si="265"/>
        <v>0.10199999999999999</v>
      </c>
      <c r="R144" s="12">
        <f t="shared" si="266"/>
        <v>10.277227722772277</v>
      </c>
      <c r="S144" s="12">
        <f t="shared" si="267"/>
        <v>51.386138613861384</v>
      </c>
    </row>
    <row r="145" spans="1:25">
      <c r="A145" s="73" t="s">
        <v>59</v>
      </c>
      <c r="C145" s="72">
        <v>20200429003</v>
      </c>
      <c r="F145" s="12" t="s">
        <v>679</v>
      </c>
      <c r="H145" s="15">
        <v>200</v>
      </c>
      <c r="I145" s="43">
        <v>-1.8E-3</v>
      </c>
      <c r="J145" s="15">
        <v>1.01E-2</v>
      </c>
      <c r="K145" s="12">
        <v>0.02</v>
      </c>
      <c r="L145" s="12">
        <v>2E-3</v>
      </c>
      <c r="M145" s="12">
        <f t="shared" si="268"/>
        <v>1.6E-2</v>
      </c>
      <c r="N145" s="77">
        <v>8.8999999999999996E-2</v>
      </c>
      <c r="O145" s="77">
        <v>6.9999999999999993E-3</v>
      </c>
      <c r="P145" s="12">
        <f t="shared" si="269"/>
        <v>7.4999999999999997E-2</v>
      </c>
      <c r="Q145" s="12">
        <f t="shared" si="265"/>
        <v>5.8999999999999997E-2</v>
      </c>
      <c r="R145" s="12">
        <f t="shared" si="266"/>
        <v>6.0198019801980198</v>
      </c>
      <c r="S145" s="12">
        <f t="shared" si="267"/>
        <v>120.39603960396039</v>
      </c>
    </row>
    <row r="146" spans="1:25">
      <c r="A146" s="73" t="s">
        <v>59</v>
      </c>
      <c r="C146" s="72">
        <v>20200429004</v>
      </c>
      <c r="F146" s="12" t="s">
        <v>680</v>
      </c>
      <c r="H146" s="15">
        <v>20</v>
      </c>
      <c r="I146" s="43">
        <v>-1.8E-3</v>
      </c>
      <c r="J146" s="15">
        <v>1.01E-2</v>
      </c>
      <c r="K146" s="77">
        <v>0.02</v>
      </c>
      <c r="L146" s="77">
        <v>2E-3</v>
      </c>
      <c r="M146" s="77">
        <f t="shared" si="268"/>
        <v>1.6E-2</v>
      </c>
      <c r="N146" s="77">
        <v>0.28399999999999997</v>
      </c>
      <c r="O146" s="77">
        <v>4.0000000000000001E-3</v>
      </c>
      <c r="P146" s="77">
        <f t="shared" si="269"/>
        <v>0.27599999999999997</v>
      </c>
      <c r="Q146" s="77">
        <f t="shared" si="265"/>
        <v>0.25999999999999995</v>
      </c>
      <c r="R146" s="12">
        <f t="shared" si="266"/>
        <v>25.920792079207921</v>
      </c>
      <c r="S146" s="12">
        <f t="shared" si="267"/>
        <v>51.841584158415841</v>
      </c>
    </row>
    <row r="147" spans="1:25">
      <c r="A147" s="39" t="s">
        <v>686</v>
      </c>
      <c r="B147" s="13">
        <v>43951</v>
      </c>
      <c r="C147" s="12" t="s">
        <v>687</v>
      </c>
      <c r="D147" s="12" t="s">
        <v>20</v>
      </c>
      <c r="F147" s="12">
        <v>1</v>
      </c>
      <c r="H147" s="63">
        <v>5</v>
      </c>
      <c r="I147" s="43">
        <v>-1.8E-3</v>
      </c>
      <c r="J147" s="15">
        <v>1.01E-2</v>
      </c>
      <c r="K147" s="77">
        <v>3.3000000000000002E-2</v>
      </c>
      <c r="L147" s="77">
        <v>5.0000000000000001E-3</v>
      </c>
      <c r="M147" s="77">
        <f t="shared" si="268"/>
        <v>2.3E-2</v>
      </c>
      <c r="N147" s="77">
        <v>0.13300000000000001</v>
      </c>
      <c r="O147" s="77">
        <v>0.01</v>
      </c>
      <c r="P147" s="77">
        <f t="shared" si="269"/>
        <v>0.113</v>
      </c>
      <c r="Q147" s="77">
        <f t="shared" si="265"/>
        <v>0.09</v>
      </c>
      <c r="R147" s="12">
        <f t="shared" si="266"/>
        <v>9.0891089108910883</v>
      </c>
      <c r="S147" s="12">
        <f t="shared" si="267"/>
        <v>4.5445544554455441</v>
      </c>
    </row>
    <row r="148" spans="1:25">
      <c r="A148" s="39"/>
      <c r="B148" s="12" t="s">
        <v>698</v>
      </c>
      <c r="C148" s="12" t="s">
        <v>688</v>
      </c>
      <c r="D148" s="12" t="s">
        <v>30</v>
      </c>
      <c r="H148" s="63">
        <v>5</v>
      </c>
      <c r="I148" s="43">
        <v>-1.8E-3</v>
      </c>
      <c r="J148" s="15">
        <v>1.01E-2</v>
      </c>
      <c r="K148" s="77">
        <v>3.3000000000000002E-2</v>
      </c>
      <c r="L148" s="77">
        <v>5.0000000000000001E-3</v>
      </c>
      <c r="M148" s="77">
        <f t="shared" si="268"/>
        <v>2.3E-2</v>
      </c>
      <c r="N148" s="77">
        <v>0.23599999999999999</v>
      </c>
      <c r="O148" s="77">
        <v>5.0000000000000001E-3</v>
      </c>
      <c r="P148" s="77">
        <f t="shared" si="269"/>
        <v>0.22599999999999998</v>
      </c>
      <c r="Q148" s="77">
        <f t="shared" si="265"/>
        <v>0.20299999999999999</v>
      </c>
      <c r="R148" s="12">
        <f t="shared" si="266"/>
        <v>20.277227722772277</v>
      </c>
      <c r="S148" s="12">
        <f t="shared" si="267"/>
        <v>10.138613861386139</v>
      </c>
      <c r="V148" s="12">
        <v>7.2999999999999995E-2</v>
      </c>
      <c r="W148" s="12">
        <v>2.4E-2</v>
      </c>
      <c r="X148" s="12">
        <f t="shared" ref="X148:X153" si="270">V148-0.03</f>
        <v>4.2999999999999997E-2</v>
      </c>
      <c r="Y148" s="12">
        <f t="shared" ref="Y148:Y153" si="271">W148-0.019</f>
        <v>5.000000000000001E-3</v>
      </c>
    </row>
    <row r="149" spans="1:25">
      <c r="A149" s="39"/>
      <c r="C149" s="12" t="s">
        <v>689</v>
      </c>
      <c r="D149" s="12" t="s">
        <v>32</v>
      </c>
      <c r="F149" s="12">
        <v>1</v>
      </c>
      <c r="H149" s="63">
        <v>10</v>
      </c>
      <c r="I149" s="43">
        <v>-1.8E-3</v>
      </c>
      <c r="J149" s="15">
        <v>1.01E-2</v>
      </c>
      <c r="K149" s="77">
        <v>3.3000000000000002E-2</v>
      </c>
      <c r="L149" s="77">
        <v>5.0000000000000001E-3</v>
      </c>
      <c r="M149" s="77">
        <f t="shared" si="268"/>
        <v>2.3E-2</v>
      </c>
      <c r="N149" s="77">
        <v>0.13100000000000001</v>
      </c>
      <c r="O149" s="77">
        <v>7.0000000000000001E-3</v>
      </c>
      <c r="P149" s="77">
        <f t="shared" si="269"/>
        <v>0.11700000000000001</v>
      </c>
      <c r="Q149" s="77">
        <f t="shared" si="265"/>
        <v>9.4E-2</v>
      </c>
      <c r="R149" s="12">
        <f t="shared" si="266"/>
        <v>9.4851485148514847</v>
      </c>
      <c r="S149" s="12">
        <f t="shared" si="267"/>
        <v>9.4851485148514847</v>
      </c>
      <c r="V149" s="12">
        <v>0.127</v>
      </c>
      <c r="W149" s="12">
        <v>2.9000000000000001E-2</v>
      </c>
      <c r="X149" s="12">
        <f t="shared" si="270"/>
        <v>9.7000000000000003E-2</v>
      </c>
      <c r="Y149" s="12">
        <f t="shared" si="271"/>
        <v>1.0000000000000002E-2</v>
      </c>
    </row>
    <row r="150" spans="1:25">
      <c r="A150" s="39"/>
      <c r="C150" s="12" t="s">
        <v>690</v>
      </c>
      <c r="D150" s="12" t="s">
        <v>34</v>
      </c>
      <c r="F150" s="12">
        <v>1</v>
      </c>
      <c r="H150" s="63">
        <v>10</v>
      </c>
      <c r="I150" s="43">
        <v>-1.8E-3</v>
      </c>
      <c r="J150" s="15">
        <v>1.01E-2</v>
      </c>
      <c r="K150" s="77">
        <v>3.3000000000000002E-2</v>
      </c>
      <c r="L150" s="77">
        <v>5.0000000000000001E-3</v>
      </c>
      <c r="M150" s="77">
        <f t="shared" si="268"/>
        <v>2.3E-2</v>
      </c>
      <c r="N150" s="77">
        <v>0.11899999999999999</v>
      </c>
      <c r="O150" s="77">
        <v>8.0000000000000002E-3</v>
      </c>
      <c r="P150" s="77">
        <f t="shared" si="269"/>
        <v>0.10299999999999999</v>
      </c>
      <c r="Q150" s="77">
        <f t="shared" si="265"/>
        <v>7.9999999999999988E-2</v>
      </c>
      <c r="R150" s="12">
        <f t="shared" si="266"/>
        <v>8.0990099009900973</v>
      </c>
      <c r="S150" s="12">
        <f t="shared" si="267"/>
        <v>8.0990099009900973</v>
      </c>
      <c r="V150" s="12">
        <v>0.17100000000000001</v>
      </c>
      <c r="W150" s="12">
        <v>2.5999999999999999E-2</v>
      </c>
      <c r="X150" s="12">
        <f t="shared" si="270"/>
        <v>0.14100000000000001</v>
      </c>
      <c r="Y150" s="12">
        <f t="shared" si="271"/>
        <v>6.9999999999999993E-3</v>
      </c>
    </row>
    <row r="151" spans="1:25">
      <c r="A151" s="39"/>
      <c r="C151" s="12" t="s">
        <v>691</v>
      </c>
      <c r="D151" s="12" t="s">
        <v>492</v>
      </c>
      <c r="H151" s="63">
        <v>5</v>
      </c>
      <c r="I151" s="43">
        <v>-1.8E-3</v>
      </c>
      <c r="J151" s="15">
        <v>1.01E-2</v>
      </c>
      <c r="K151" s="77">
        <v>3.3000000000000002E-2</v>
      </c>
      <c r="L151" s="77">
        <v>5.0000000000000001E-3</v>
      </c>
      <c r="M151" s="77">
        <f t="shared" si="268"/>
        <v>2.3E-2</v>
      </c>
      <c r="N151" s="78">
        <v>0.26600000000000001</v>
      </c>
      <c r="O151" s="79">
        <v>5.0000000000000001E-3</v>
      </c>
      <c r="P151" s="77">
        <f t="shared" si="269"/>
        <v>0.25600000000000001</v>
      </c>
      <c r="Q151" s="77">
        <f t="shared" si="265"/>
        <v>0.23300000000000001</v>
      </c>
      <c r="R151" s="12">
        <f t="shared" si="266"/>
        <v>23.24752475247525</v>
      </c>
      <c r="S151" s="12">
        <f t="shared" si="267"/>
        <v>11.623762376237625</v>
      </c>
      <c r="V151" s="12">
        <v>0.159</v>
      </c>
      <c r="W151" s="12">
        <v>2.7E-2</v>
      </c>
      <c r="X151" s="12">
        <f t="shared" si="270"/>
        <v>0.129</v>
      </c>
      <c r="Y151" s="12">
        <f t="shared" si="271"/>
        <v>8.0000000000000002E-3</v>
      </c>
    </row>
    <row r="152" spans="1:25">
      <c r="A152" s="39"/>
      <c r="C152" s="12" t="s">
        <v>692</v>
      </c>
      <c r="D152" s="12" t="s">
        <v>494</v>
      </c>
      <c r="H152" s="63">
        <v>5</v>
      </c>
      <c r="I152" s="43">
        <v>-1.8E-3</v>
      </c>
      <c r="J152" s="15">
        <v>1.01E-2</v>
      </c>
      <c r="K152" s="77">
        <v>3.3000000000000002E-2</v>
      </c>
      <c r="L152" s="77">
        <v>5.0000000000000001E-3</v>
      </c>
      <c r="M152" s="77">
        <f t="shared" si="268"/>
        <v>2.3E-2</v>
      </c>
      <c r="N152" s="78">
        <v>0.13500000000000001</v>
      </c>
      <c r="O152" s="79">
        <v>6.0000000000000001E-3</v>
      </c>
      <c r="P152" s="77">
        <f t="shared" si="269"/>
        <v>0.12300000000000001</v>
      </c>
      <c r="Q152" s="77">
        <f t="shared" si="265"/>
        <v>0.1</v>
      </c>
      <c r="R152" s="12">
        <f t="shared" si="266"/>
        <v>10.079207920792079</v>
      </c>
      <c r="S152" s="12">
        <f t="shared" si="267"/>
        <v>5.0396039603960396</v>
      </c>
      <c r="V152" s="12">
        <v>0.219</v>
      </c>
      <c r="W152" s="12">
        <v>0.04</v>
      </c>
      <c r="X152" s="12">
        <f t="shared" si="270"/>
        <v>0.189</v>
      </c>
      <c r="Y152" s="12">
        <f t="shared" si="271"/>
        <v>2.1000000000000001E-2</v>
      </c>
    </row>
    <row r="153" spans="1:25">
      <c r="A153" s="39"/>
      <c r="C153" s="12" t="s">
        <v>693</v>
      </c>
      <c r="D153" s="12" t="s">
        <v>36</v>
      </c>
      <c r="H153" s="63">
        <v>5</v>
      </c>
      <c r="I153" s="43">
        <v>-1.8E-3</v>
      </c>
      <c r="J153" s="15">
        <v>1.01E-2</v>
      </c>
      <c r="K153" s="77">
        <v>3.3000000000000002E-2</v>
      </c>
      <c r="L153" s="77">
        <v>5.0000000000000001E-3</v>
      </c>
      <c r="M153" s="77">
        <f t="shared" si="268"/>
        <v>2.3E-2</v>
      </c>
      <c r="N153" s="77">
        <v>0.16200000000000001</v>
      </c>
      <c r="O153" s="77">
        <v>4.0000000000000001E-3</v>
      </c>
      <c r="P153" s="77">
        <f t="shared" si="269"/>
        <v>0.154</v>
      </c>
      <c r="Q153" s="77">
        <f t="shared" si="265"/>
        <v>0.13100000000000001</v>
      </c>
      <c r="R153" s="12">
        <f t="shared" si="266"/>
        <v>13.14851485148515</v>
      </c>
      <c r="S153" s="12">
        <f t="shared" si="267"/>
        <v>6.5742574257425748</v>
      </c>
      <c r="V153" s="12">
        <v>0.17399999999999999</v>
      </c>
      <c r="W153" s="12">
        <v>2.7E-2</v>
      </c>
      <c r="X153" s="12">
        <f t="shared" si="270"/>
        <v>0.14399999999999999</v>
      </c>
      <c r="Y153" s="12">
        <f t="shared" si="271"/>
        <v>8.0000000000000002E-3</v>
      </c>
    </row>
    <row r="154" spans="1:25">
      <c r="A154" s="39" t="s">
        <v>614</v>
      </c>
      <c r="C154" s="12" t="s">
        <v>839</v>
      </c>
      <c r="D154" s="12" t="s">
        <v>54</v>
      </c>
      <c r="H154" s="15">
        <v>1</v>
      </c>
      <c r="I154" s="43">
        <v>-1.8E-3</v>
      </c>
      <c r="J154" s="15">
        <v>1.01E-2</v>
      </c>
      <c r="K154" s="12">
        <v>3.3000000000000002E-2</v>
      </c>
      <c r="L154" s="12">
        <v>5.0000000000000001E-3</v>
      </c>
      <c r="M154" s="12">
        <f t="shared" si="268"/>
        <v>2.3E-2</v>
      </c>
      <c r="N154" s="77">
        <v>0.221</v>
      </c>
      <c r="O154" s="77">
        <v>5.0000000000000001E-3</v>
      </c>
      <c r="P154" s="12">
        <f t="shared" si="269"/>
        <v>0.21099999999999999</v>
      </c>
      <c r="Q154" s="12">
        <f t="shared" si="265"/>
        <v>0.188</v>
      </c>
      <c r="R154" s="12">
        <f t="shared" si="266"/>
        <v>18.792079207920793</v>
      </c>
      <c r="S154" s="12">
        <f t="shared" si="267"/>
        <v>1.8792079207920793</v>
      </c>
    </row>
    <row r="155" spans="1:25" ht="12.75" customHeight="1">
      <c r="A155" s="73" t="s">
        <v>59</v>
      </c>
      <c r="C155" s="90" t="s">
        <v>694</v>
      </c>
      <c r="D155" s="12" t="s">
        <v>676</v>
      </c>
      <c r="F155" s="12" t="s">
        <v>677</v>
      </c>
      <c r="H155" s="15">
        <v>100</v>
      </c>
      <c r="I155" s="43">
        <v>-1.8E-3</v>
      </c>
      <c r="J155" s="15">
        <v>1.01E-2</v>
      </c>
      <c r="K155" s="77">
        <v>4.2999999999999997E-2</v>
      </c>
      <c r="L155" s="77">
        <v>5.0000000000000001E-3</v>
      </c>
      <c r="M155" s="77">
        <f t="shared" si="268"/>
        <v>3.2999999999999995E-2</v>
      </c>
      <c r="N155" s="77">
        <v>0.189</v>
      </c>
      <c r="O155" s="77">
        <v>2.1000000000000001E-2</v>
      </c>
      <c r="P155" s="77">
        <f t="shared" si="269"/>
        <v>0.14699999999999999</v>
      </c>
      <c r="Q155" s="77">
        <f t="shared" si="265"/>
        <v>0.11399999999999999</v>
      </c>
      <c r="R155" s="12">
        <f t="shared" si="266"/>
        <v>11.465346534653465</v>
      </c>
      <c r="S155" s="12">
        <f t="shared" si="267"/>
        <v>114.65346534653466</v>
      </c>
      <c r="V155" s="12">
        <v>0.20200000000000001</v>
      </c>
      <c r="W155" s="12">
        <v>3.1E-2</v>
      </c>
      <c r="X155" s="12">
        <f>V155-0.03</f>
        <v>0.17200000000000001</v>
      </c>
      <c r="Y155" s="12">
        <f>W155-0.019</f>
        <v>1.2E-2</v>
      </c>
    </row>
    <row r="156" spans="1:25" ht="12.75" customHeight="1">
      <c r="A156" s="73" t="s">
        <v>59</v>
      </c>
      <c r="C156" s="90" t="s">
        <v>695</v>
      </c>
      <c r="F156" s="12" t="s">
        <v>678</v>
      </c>
      <c r="H156" s="15">
        <v>50</v>
      </c>
      <c r="I156" s="43">
        <v>-1.8E-3</v>
      </c>
      <c r="J156" s="15">
        <v>1.01E-2</v>
      </c>
      <c r="K156" s="77">
        <v>4.2999999999999997E-2</v>
      </c>
      <c r="L156" s="77">
        <v>5.0000000000000001E-3</v>
      </c>
      <c r="M156" s="77">
        <f t="shared" si="268"/>
        <v>3.2999999999999995E-2</v>
      </c>
      <c r="N156" s="77">
        <v>0.14399999999999999</v>
      </c>
      <c r="O156" s="77">
        <v>8.0000000000000002E-3</v>
      </c>
      <c r="P156" s="77">
        <f t="shared" si="269"/>
        <v>0.128</v>
      </c>
      <c r="Q156" s="77">
        <f t="shared" si="265"/>
        <v>9.5000000000000001E-2</v>
      </c>
      <c r="R156" s="12">
        <f t="shared" si="266"/>
        <v>9.5841584158415838</v>
      </c>
      <c r="S156" s="12">
        <f t="shared" si="267"/>
        <v>47.920792079207914</v>
      </c>
      <c r="V156" s="12">
        <v>0.38700000000000001</v>
      </c>
      <c r="W156" s="12">
        <v>0.03</v>
      </c>
      <c r="X156" s="12">
        <f>V156-0.03</f>
        <v>0.35699999999999998</v>
      </c>
      <c r="Y156" s="12">
        <f>W156-0.019</f>
        <v>1.0999999999999999E-2</v>
      </c>
    </row>
    <row r="157" spans="1:25" ht="12.75" customHeight="1">
      <c r="A157" s="73" t="s">
        <v>59</v>
      </c>
      <c r="C157" s="90" t="s">
        <v>696</v>
      </c>
      <c r="F157" s="12" t="s">
        <v>679</v>
      </c>
      <c r="H157" s="15">
        <v>100</v>
      </c>
      <c r="I157" s="43">
        <v>-1.8E-3</v>
      </c>
      <c r="J157" s="15">
        <v>1.01E-2</v>
      </c>
      <c r="K157" s="77">
        <v>4.2999999999999997E-2</v>
      </c>
      <c r="L157" s="77">
        <v>5.0000000000000001E-3</v>
      </c>
      <c r="M157" s="77">
        <f t="shared" si="268"/>
        <v>3.2999999999999995E-2</v>
      </c>
      <c r="N157" s="77">
        <v>0.17200000000000001</v>
      </c>
      <c r="O157" s="77">
        <v>1.2E-2</v>
      </c>
      <c r="P157" s="77">
        <f t="shared" si="269"/>
        <v>0.14800000000000002</v>
      </c>
      <c r="Q157" s="77">
        <f t="shared" si="265"/>
        <v>0.11500000000000002</v>
      </c>
      <c r="R157" s="12">
        <f t="shared" si="266"/>
        <v>11.564356435643566</v>
      </c>
      <c r="S157" s="12">
        <f t="shared" si="267"/>
        <v>115.64356435643565</v>
      </c>
    </row>
    <row r="158" spans="1:25" ht="12.75" customHeight="1">
      <c r="A158" s="73" t="s">
        <v>59</v>
      </c>
      <c r="C158" s="90" t="s">
        <v>697</v>
      </c>
      <c r="F158" s="12" t="s">
        <v>680</v>
      </c>
      <c r="H158" s="15">
        <v>20</v>
      </c>
      <c r="I158" s="43">
        <v>-1.8E-3</v>
      </c>
      <c r="J158" s="15">
        <v>1.01E-2</v>
      </c>
      <c r="K158" s="77">
        <v>4.2999999999999997E-2</v>
      </c>
      <c r="L158" s="77">
        <v>5.0000000000000001E-3</v>
      </c>
      <c r="M158" s="77">
        <f t="shared" si="268"/>
        <v>3.2999999999999995E-2</v>
      </c>
      <c r="N158" s="77">
        <v>0.35699999999999998</v>
      </c>
      <c r="O158" s="77">
        <v>1.0999999999999999E-2</v>
      </c>
      <c r="P158" s="77">
        <f t="shared" si="269"/>
        <v>0.33499999999999996</v>
      </c>
      <c r="Q158" s="77">
        <f t="shared" si="265"/>
        <v>0.30199999999999999</v>
      </c>
      <c r="R158" s="12">
        <f t="shared" si="266"/>
        <v>30.079207920792083</v>
      </c>
      <c r="S158" s="12">
        <f t="shared" si="267"/>
        <v>60.158415841584166</v>
      </c>
    </row>
    <row r="165" spans="7:8">
      <c r="G165" s="66"/>
      <c r="H165" s="52"/>
    </row>
    <row r="166" spans="7:8">
      <c r="G166" s="88"/>
      <c r="H166" s="87"/>
    </row>
    <row r="167" spans="7:8">
      <c r="G167" s="67"/>
      <c r="H167" s="52"/>
    </row>
    <row r="168" spans="7:8">
      <c r="G168" s="89"/>
      <c r="H168" s="8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A150"/>
  <sheetViews>
    <sheetView workbookViewId="0">
      <pane ySplit="1" topLeftCell="A131" activePane="bottomLeft" state="frozen"/>
      <selection pane="bottomLeft" activeCell="D141" sqref="D141"/>
    </sheetView>
  </sheetViews>
  <sheetFormatPr defaultRowHeight="13.5"/>
  <cols>
    <col min="1" max="1" width="8.75" style="12" customWidth="1"/>
    <col min="2" max="2" width="9" style="12"/>
    <col min="3" max="3" width="18.625" style="12" customWidth="1"/>
    <col min="4" max="4" width="17.625" style="12" customWidth="1"/>
    <col min="5" max="5" width="9.125" style="12" bestFit="1" customWidth="1"/>
    <col min="6" max="6" width="9.5" style="12" bestFit="1" customWidth="1"/>
    <col min="7" max="7" width="10.5" style="12" bestFit="1" customWidth="1"/>
    <col min="8" max="8" width="9.625" style="12" bestFit="1" customWidth="1"/>
    <col min="9" max="9" width="9.5" style="12" bestFit="1" customWidth="1"/>
    <col min="10" max="14" width="9.125" style="12" bestFit="1" customWidth="1"/>
    <col min="15" max="15" width="9.5" style="12" bestFit="1" customWidth="1"/>
    <col min="16" max="19" width="9.125" style="12" bestFit="1" customWidth="1"/>
    <col min="20" max="16384" width="9" style="12"/>
  </cols>
  <sheetData>
    <row r="1" spans="1:26" s="11" customFormat="1" ht="34.5" customHeight="1">
      <c r="A1" s="106" t="s">
        <v>319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58" t="s">
        <v>7</v>
      </c>
      <c r="I1" s="14" t="s">
        <v>8</v>
      </c>
      <c r="J1" s="14" t="s">
        <v>9</v>
      </c>
      <c r="K1" s="5" t="s">
        <v>10</v>
      </c>
      <c r="L1" s="5" t="s">
        <v>10</v>
      </c>
      <c r="M1" s="5" t="s">
        <v>10</v>
      </c>
      <c r="N1" s="6" t="s">
        <v>10</v>
      </c>
      <c r="O1" s="76" t="s">
        <v>10</v>
      </c>
      <c r="P1" s="7" t="s">
        <v>10</v>
      </c>
      <c r="Q1" s="8" t="s">
        <v>10</v>
      </c>
      <c r="R1" s="9" t="s">
        <v>11</v>
      </c>
      <c r="S1" s="9" t="s">
        <v>12</v>
      </c>
      <c r="T1" s="10" t="s">
        <v>13</v>
      </c>
      <c r="U1" s="10" t="s">
        <v>14</v>
      </c>
      <c r="V1" s="11" t="s">
        <v>15</v>
      </c>
    </row>
    <row r="2" spans="1:26">
      <c r="A2" s="39" t="s">
        <v>737</v>
      </c>
      <c r="B2" s="13">
        <v>43957</v>
      </c>
      <c r="C2" s="12" t="s">
        <v>741</v>
      </c>
      <c r="D2" s="12" t="s">
        <v>742</v>
      </c>
      <c r="E2" s="12">
        <v>5</v>
      </c>
      <c r="F2" s="12">
        <v>0.11799999999999999</v>
      </c>
      <c r="G2" s="66"/>
      <c r="H2" s="63">
        <v>5</v>
      </c>
      <c r="I2" s="43">
        <v>-1.8E-3</v>
      </c>
      <c r="J2" s="15">
        <v>1.01E-2</v>
      </c>
      <c r="K2" s="12">
        <v>2.5000000000000001E-2</v>
      </c>
      <c r="L2" s="12">
        <v>0</v>
      </c>
      <c r="M2" s="12">
        <f t="shared" ref="M2:M5" si="0">K2-L2*2</f>
        <v>2.5000000000000001E-2</v>
      </c>
      <c r="N2" s="77">
        <v>0.112</v>
      </c>
      <c r="O2" s="77">
        <v>6.0000000000000001E-3</v>
      </c>
      <c r="P2" s="12">
        <f t="shared" ref="P2:P5" si="1">N2-O2*2</f>
        <v>0.1</v>
      </c>
      <c r="Q2" s="12">
        <f t="shared" ref="Q2:Q5" si="2">P2-M2</f>
        <v>7.5000000000000011E-2</v>
      </c>
      <c r="R2" s="12">
        <f t="shared" ref="R2:R5" si="3">(Q2-I2)/J2</f>
        <v>7.6039603960396054</v>
      </c>
      <c r="S2" s="92">
        <f t="shared" ref="S2:S5" si="4">R2*H2/10</f>
        <v>3.8019801980198027</v>
      </c>
    </row>
    <row r="3" spans="1:26">
      <c r="A3" s="39" t="s">
        <v>737</v>
      </c>
      <c r="B3" s="12" t="s">
        <v>764</v>
      </c>
      <c r="C3" s="12" t="s">
        <v>743</v>
      </c>
      <c r="D3" s="12" t="s">
        <v>744</v>
      </c>
      <c r="E3" s="12">
        <v>5</v>
      </c>
      <c r="F3" s="12">
        <v>0.16300000000000001</v>
      </c>
      <c r="H3" s="63">
        <v>5</v>
      </c>
      <c r="I3" s="43">
        <v>-1.8E-3</v>
      </c>
      <c r="J3" s="15">
        <v>1.01E-2</v>
      </c>
      <c r="K3" s="12">
        <v>2.5000000000000001E-2</v>
      </c>
      <c r="L3" s="12">
        <v>0</v>
      </c>
      <c r="M3" s="12">
        <f t="shared" si="0"/>
        <v>2.5000000000000001E-2</v>
      </c>
      <c r="N3" s="77">
        <v>0.17899999999999999</v>
      </c>
      <c r="O3" s="77">
        <v>5.0000000000000001E-3</v>
      </c>
      <c r="P3" s="12">
        <f t="shared" si="1"/>
        <v>0.16899999999999998</v>
      </c>
      <c r="Q3" s="12">
        <f t="shared" si="2"/>
        <v>0.14399999999999999</v>
      </c>
      <c r="R3" s="12">
        <f t="shared" si="3"/>
        <v>14.435643564356434</v>
      </c>
      <c r="S3" s="92">
        <f t="shared" si="4"/>
        <v>7.2178217821782171</v>
      </c>
    </row>
    <row r="4" spans="1:26">
      <c r="A4" s="39" t="s">
        <v>737</v>
      </c>
      <c r="C4" s="12" t="s">
        <v>745</v>
      </c>
      <c r="D4" s="12" t="s">
        <v>746</v>
      </c>
      <c r="E4" s="12">
        <v>5</v>
      </c>
      <c r="F4" s="12">
        <v>0.11899999999999999</v>
      </c>
      <c r="H4" s="63">
        <v>5</v>
      </c>
      <c r="I4" s="43">
        <v>-1.8E-3</v>
      </c>
      <c r="J4" s="15">
        <v>1.01E-2</v>
      </c>
      <c r="K4" s="12">
        <v>2.5000000000000001E-2</v>
      </c>
      <c r="L4" s="12">
        <v>0</v>
      </c>
      <c r="M4" s="12">
        <f t="shared" si="0"/>
        <v>2.5000000000000001E-2</v>
      </c>
      <c r="N4" s="77">
        <v>0.123</v>
      </c>
      <c r="O4" s="77">
        <v>7.0000000000000001E-3</v>
      </c>
      <c r="P4" s="12">
        <f t="shared" si="1"/>
        <v>0.109</v>
      </c>
      <c r="Q4" s="12">
        <f t="shared" si="2"/>
        <v>8.3999999999999991E-2</v>
      </c>
      <c r="R4" s="12">
        <f t="shared" si="3"/>
        <v>8.4950495049504937</v>
      </c>
      <c r="S4" s="92">
        <f t="shared" si="4"/>
        <v>4.2475247524752469</v>
      </c>
    </row>
    <row r="5" spans="1:26">
      <c r="A5" s="39" t="s">
        <v>737</v>
      </c>
      <c r="C5" s="12" t="s">
        <v>747</v>
      </c>
      <c r="D5" s="12" t="s">
        <v>748</v>
      </c>
      <c r="E5" s="12">
        <v>5</v>
      </c>
      <c r="F5" s="12">
        <v>0.157</v>
      </c>
      <c r="H5" s="63">
        <v>5</v>
      </c>
      <c r="I5" s="43">
        <v>-1.8E-3</v>
      </c>
      <c r="J5" s="15">
        <v>1.01E-2</v>
      </c>
      <c r="K5" s="12">
        <v>2.5000000000000001E-2</v>
      </c>
      <c r="L5" s="12">
        <v>0</v>
      </c>
      <c r="M5" s="12">
        <f t="shared" si="0"/>
        <v>2.5000000000000001E-2</v>
      </c>
      <c r="N5" s="77">
        <v>0.184</v>
      </c>
      <c r="O5" s="77">
        <v>5.0000000000000001E-3</v>
      </c>
      <c r="P5" s="12">
        <f t="shared" si="1"/>
        <v>0.17399999999999999</v>
      </c>
      <c r="Q5" s="12">
        <f t="shared" si="2"/>
        <v>0.14899999999999999</v>
      </c>
      <c r="R5" s="12">
        <f t="shared" si="3"/>
        <v>14.93069306930693</v>
      </c>
      <c r="S5" s="92">
        <f t="shared" si="4"/>
        <v>7.4653465346534649</v>
      </c>
    </row>
    <row r="6" spans="1:26">
      <c r="A6" s="39" t="s">
        <v>737</v>
      </c>
      <c r="C6" s="12" t="s">
        <v>749</v>
      </c>
      <c r="D6" s="12" t="s">
        <v>750</v>
      </c>
      <c r="E6" s="12">
        <v>5</v>
      </c>
      <c r="F6" s="12">
        <v>0.19900000000000001</v>
      </c>
      <c r="H6" s="63">
        <v>5</v>
      </c>
      <c r="I6" s="43">
        <v>-1.8E-3</v>
      </c>
      <c r="J6" s="15">
        <v>1.01E-2</v>
      </c>
      <c r="K6" s="12">
        <v>2.5000000000000001E-2</v>
      </c>
      <c r="L6" s="12">
        <v>0</v>
      </c>
      <c r="M6" s="12">
        <f t="shared" ref="M6" si="5">K6-L6*2</f>
        <v>2.5000000000000001E-2</v>
      </c>
      <c r="N6" s="77">
        <v>0.26400000000000001</v>
      </c>
      <c r="O6" s="77">
        <v>5.0000000000000001E-3</v>
      </c>
      <c r="P6" s="12">
        <f t="shared" ref="P6" si="6">N6-O6*2</f>
        <v>0.254</v>
      </c>
      <c r="Q6" s="12">
        <f t="shared" ref="Q6" si="7">P6-M6</f>
        <v>0.22900000000000001</v>
      </c>
      <c r="R6" s="12">
        <f t="shared" ref="R6" si="8">(Q6-I6)/J6</f>
        <v>22.851485148514854</v>
      </c>
      <c r="S6" s="92">
        <f t="shared" ref="S6" si="9">R6*H6/10</f>
        <v>11.425742574257427</v>
      </c>
    </row>
    <row r="7" spans="1:26">
      <c r="A7" s="39" t="s">
        <v>737</v>
      </c>
      <c r="C7" s="12" t="s">
        <v>751</v>
      </c>
      <c r="D7" s="12" t="s">
        <v>752</v>
      </c>
      <c r="E7" s="12">
        <v>1</v>
      </c>
      <c r="F7" s="12">
        <v>0.16500000000000001</v>
      </c>
      <c r="H7" s="63">
        <v>1</v>
      </c>
      <c r="I7" s="43">
        <v>-1.8E-3</v>
      </c>
      <c r="J7" s="15">
        <v>1.01E-2</v>
      </c>
      <c r="K7" s="12">
        <v>2.5000000000000001E-2</v>
      </c>
      <c r="L7" s="12">
        <v>0</v>
      </c>
      <c r="M7" s="12">
        <f t="shared" ref="M7" si="10">K7-L7*2</f>
        <v>2.5000000000000001E-2</v>
      </c>
      <c r="N7" s="77">
        <v>0.20599999999999999</v>
      </c>
      <c r="O7" s="77">
        <v>6.0000000000000001E-3</v>
      </c>
      <c r="P7" s="12">
        <f t="shared" ref="P7" si="11">N7-O7*2</f>
        <v>0.19399999999999998</v>
      </c>
      <c r="Q7" s="12">
        <f t="shared" ref="Q7" si="12">P7-M7</f>
        <v>0.16899999999999998</v>
      </c>
      <c r="R7" s="12">
        <f t="shared" ref="R7" si="13">(Q7-I7)/J7</f>
        <v>16.910891089108908</v>
      </c>
      <c r="S7" s="92">
        <f t="shared" ref="S7" si="14">R7*H7/10</f>
        <v>1.6910891089108908</v>
      </c>
    </row>
    <row r="8" spans="1:26">
      <c r="A8" s="39" t="s">
        <v>737</v>
      </c>
      <c r="C8" s="12" t="s">
        <v>753</v>
      </c>
      <c r="D8" s="12" t="s">
        <v>754</v>
      </c>
      <c r="E8" s="12">
        <v>5</v>
      </c>
      <c r="F8" s="12">
        <v>0.129</v>
      </c>
      <c r="H8" s="63">
        <v>5</v>
      </c>
      <c r="I8" s="43">
        <v>-1.8E-3</v>
      </c>
      <c r="J8" s="15">
        <v>1.01E-2</v>
      </c>
      <c r="K8" s="12">
        <v>2.5000000000000001E-2</v>
      </c>
      <c r="L8" s="12">
        <v>0</v>
      </c>
      <c r="M8" s="12">
        <f t="shared" ref="M8" si="15">K8-L8*2</f>
        <v>2.5000000000000001E-2</v>
      </c>
      <c r="N8" s="77">
        <v>0.17799999999999999</v>
      </c>
      <c r="O8" s="77">
        <v>6.0000000000000001E-3</v>
      </c>
      <c r="P8" s="12">
        <f t="shared" ref="P8" si="16">N8-O8*2</f>
        <v>0.16599999999999998</v>
      </c>
      <c r="Q8" s="12">
        <f t="shared" ref="Q8" si="17">P8-M8</f>
        <v>0.14099999999999999</v>
      </c>
      <c r="R8" s="12">
        <f t="shared" ref="R8" si="18">(Q8-I8)/J8</f>
        <v>14.138613861386137</v>
      </c>
      <c r="S8" s="12">
        <f t="shared" ref="S8" si="19">R8*H8/10</f>
        <v>7.0693069306930685</v>
      </c>
    </row>
    <row r="9" spans="1:26">
      <c r="A9" s="39" t="s">
        <v>423</v>
      </c>
      <c r="C9" s="12" t="s">
        <v>739</v>
      </c>
      <c r="D9" s="12" t="s">
        <v>740</v>
      </c>
      <c r="E9" s="12">
        <v>10</v>
      </c>
      <c r="F9" s="12">
        <v>0.251</v>
      </c>
      <c r="H9" s="63">
        <v>50</v>
      </c>
      <c r="I9" s="43">
        <v>-1.8E-3</v>
      </c>
      <c r="J9" s="15">
        <v>1.01E-2</v>
      </c>
      <c r="K9" s="12">
        <v>2.5000000000000001E-2</v>
      </c>
      <c r="L9" s="12">
        <v>0</v>
      </c>
      <c r="M9" s="12">
        <f t="shared" ref="M9:M11" si="20">K9-L9*2</f>
        <v>2.5000000000000001E-2</v>
      </c>
      <c r="N9" s="77">
        <v>0.11899999999999999</v>
      </c>
      <c r="O9" s="77">
        <v>8.0000000000000002E-3</v>
      </c>
      <c r="P9" s="12">
        <f t="shared" ref="P9:P11" si="21">N9-O9*2</f>
        <v>0.10299999999999999</v>
      </c>
      <c r="Q9" s="12">
        <f t="shared" ref="Q9:Q11" si="22">P9-M9</f>
        <v>7.7999999999999986E-2</v>
      </c>
      <c r="R9" s="12">
        <f t="shared" ref="R9:R11" si="23">(Q9-I9)/J9</f>
        <v>7.9009900990098991</v>
      </c>
      <c r="S9" s="12">
        <f t="shared" ref="S9:S11" si="24">R9*H9/10</f>
        <v>39.504950495049499</v>
      </c>
    </row>
    <row r="10" spans="1:26">
      <c r="A10" s="39" t="s">
        <v>160</v>
      </c>
      <c r="B10" s="13">
        <v>43958</v>
      </c>
      <c r="C10" s="12" t="s">
        <v>699</v>
      </c>
      <c r="D10" s="12" t="s">
        <v>67</v>
      </c>
      <c r="F10" s="65"/>
      <c r="G10" s="65"/>
      <c r="H10" s="63">
        <v>5</v>
      </c>
      <c r="I10" s="43">
        <v>-1.8E-3</v>
      </c>
      <c r="J10" s="15">
        <v>1.01E-2</v>
      </c>
      <c r="K10" s="12">
        <v>2.5000000000000001E-2</v>
      </c>
      <c r="L10" s="12">
        <v>0</v>
      </c>
      <c r="M10" s="12">
        <f t="shared" si="20"/>
        <v>2.5000000000000001E-2</v>
      </c>
      <c r="N10" s="77">
        <v>0.11600000000000001</v>
      </c>
      <c r="O10" s="77">
        <v>4.0000000000000001E-3</v>
      </c>
      <c r="P10" s="12">
        <f t="shared" si="21"/>
        <v>0.10800000000000001</v>
      </c>
      <c r="Q10" s="12">
        <f t="shared" si="22"/>
        <v>8.3000000000000018E-2</v>
      </c>
      <c r="R10" s="12">
        <f t="shared" si="23"/>
        <v>8.3960396039603982</v>
      </c>
      <c r="S10" s="12">
        <f t="shared" si="24"/>
        <v>4.1980198019801991</v>
      </c>
    </row>
    <row r="11" spans="1:26" ht="15.75" customHeight="1">
      <c r="A11" s="39" t="s">
        <v>160</v>
      </c>
      <c r="B11" s="12" t="s">
        <v>765</v>
      </c>
      <c r="C11" s="12" t="s">
        <v>700</v>
      </c>
      <c r="D11" s="12" t="s">
        <v>65</v>
      </c>
      <c r="F11" s="91" t="s">
        <v>755</v>
      </c>
      <c r="G11" s="65"/>
      <c r="H11" s="63">
        <v>1</v>
      </c>
      <c r="I11" s="43">
        <v>-1.8E-3</v>
      </c>
      <c r="J11" s="15">
        <v>1.01E-2</v>
      </c>
      <c r="K11" s="12">
        <v>2.5000000000000001E-2</v>
      </c>
      <c r="L11" s="12">
        <v>0</v>
      </c>
      <c r="M11" s="12">
        <f t="shared" si="20"/>
        <v>2.5000000000000001E-2</v>
      </c>
      <c r="N11" s="77">
        <v>0.28100000000000003</v>
      </c>
      <c r="O11" s="77">
        <v>5.0000000000000001E-3</v>
      </c>
      <c r="P11" s="12">
        <f t="shared" si="21"/>
        <v>0.27100000000000002</v>
      </c>
      <c r="Q11" s="12">
        <f t="shared" si="22"/>
        <v>0.24600000000000002</v>
      </c>
      <c r="R11" s="12">
        <f t="shared" si="23"/>
        <v>24.534653465346537</v>
      </c>
      <c r="S11" s="12">
        <f t="shared" si="24"/>
        <v>2.4534653465346539</v>
      </c>
    </row>
    <row r="12" spans="1:26">
      <c r="A12" s="39" t="s">
        <v>160</v>
      </c>
      <c r="C12" s="12" t="s">
        <v>703</v>
      </c>
      <c r="F12" s="12" t="s">
        <v>704</v>
      </c>
      <c r="H12" s="63">
        <v>5</v>
      </c>
      <c r="I12" s="43">
        <v>-1.8E-3</v>
      </c>
      <c r="J12" s="15">
        <v>1.01E-2</v>
      </c>
      <c r="K12" s="12">
        <v>2.5000000000000001E-2</v>
      </c>
      <c r="L12" s="12">
        <v>0</v>
      </c>
      <c r="M12" s="12">
        <f t="shared" ref="M12" si="25">K12-L12*2</f>
        <v>2.5000000000000001E-2</v>
      </c>
      <c r="N12" s="77">
        <v>0.36599999999999999</v>
      </c>
      <c r="O12" s="77">
        <v>3.2000000000000001E-2</v>
      </c>
      <c r="P12" s="12">
        <f t="shared" ref="P12" si="26">N12-O12*2</f>
        <v>0.30199999999999999</v>
      </c>
      <c r="Q12" s="12">
        <f t="shared" ref="Q12" si="27">P12-M12</f>
        <v>0.27699999999999997</v>
      </c>
      <c r="R12" s="12">
        <f t="shared" ref="R12" si="28">(Q12-I12)/J12</f>
        <v>27.603960396039604</v>
      </c>
      <c r="S12" s="12">
        <f t="shared" ref="S12" si="29">R12*H12/10</f>
        <v>13.801980198019802</v>
      </c>
      <c r="W12" s="12">
        <v>6.7000000000000004E-2</v>
      </c>
      <c r="X12" s="12">
        <v>1.7999999999999999E-2</v>
      </c>
      <c r="Y12" s="12">
        <f>W12-0.027</f>
        <v>4.0000000000000008E-2</v>
      </c>
      <c r="Z12" s="12">
        <f>X12-0.015</f>
        <v>2.9999999999999992E-3</v>
      </c>
    </row>
    <row r="13" spans="1:26">
      <c r="A13" s="39" t="s">
        <v>160</v>
      </c>
      <c r="C13" s="12" t="s">
        <v>701</v>
      </c>
      <c r="D13" s="12" t="s">
        <v>54</v>
      </c>
      <c r="F13" s="65"/>
      <c r="G13" s="65"/>
      <c r="H13" s="63">
        <v>1</v>
      </c>
      <c r="I13" s="43">
        <v>-1.8E-3</v>
      </c>
      <c r="J13" s="15">
        <v>1.01E-2</v>
      </c>
      <c r="K13" s="12">
        <v>2.5000000000000001E-2</v>
      </c>
      <c r="L13" s="12">
        <v>0</v>
      </c>
      <c r="M13" s="12">
        <f t="shared" ref="M13" si="30">K13-L13*2</f>
        <v>2.5000000000000001E-2</v>
      </c>
      <c r="N13" s="77">
        <v>0.23699999999999999</v>
      </c>
      <c r="O13" s="77">
        <v>4.0000000000000001E-3</v>
      </c>
      <c r="P13" s="12">
        <f t="shared" ref="P13" si="31">N13-O13*2</f>
        <v>0.22899999999999998</v>
      </c>
      <c r="Q13" s="12">
        <f t="shared" ref="Q13" si="32">P13-M13</f>
        <v>0.20399999999999999</v>
      </c>
      <c r="R13" s="12">
        <f t="shared" ref="R13" si="33">(Q13-I13)/J13</f>
        <v>20.376237623762375</v>
      </c>
      <c r="S13" s="12">
        <f t="shared" ref="S13" si="34">R13*H13/10</f>
        <v>2.0376237623762377</v>
      </c>
      <c r="W13" s="12">
        <v>0.22600000000000001</v>
      </c>
      <c r="X13" s="12">
        <v>2.5000000000000001E-2</v>
      </c>
      <c r="Y13" s="12">
        <f t="shared" ref="Y13:Y19" si="35">W13-0.027</f>
        <v>0.19900000000000001</v>
      </c>
      <c r="Z13" s="12">
        <f t="shared" ref="Z13:Z19" si="36">X13-0.015</f>
        <v>1.0000000000000002E-2</v>
      </c>
    </row>
    <row r="14" spans="1:26" ht="12.75" customHeight="1">
      <c r="A14" s="39" t="s">
        <v>160</v>
      </c>
      <c r="C14" s="12" t="s">
        <v>702</v>
      </c>
      <c r="D14" s="12" t="s">
        <v>69</v>
      </c>
      <c r="H14" s="63">
        <v>5</v>
      </c>
      <c r="I14" s="43">
        <v>-1.8E-3</v>
      </c>
      <c r="J14" s="15">
        <v>1.01E-2</v>
      </c>
      <c r="K14" s="12">
        <v>2.5000000000000001E-2</v>
      </c>
      <c r="L14" s="12">
        <v>0</v>
      </c>
      <c r="M14" s="12">
        <f t="shared" ref="M14" si="37">K14-L14*2</f>
        <v>2.5000000000000001E-2</v>
      </c>
      <c r="N14" s="77">
        <v>0.46500000000000002</v>
      </c>
      <c r="O14" s="77">
        <v>6.0000000000000001E-3</v>
      </c>
      <c r="P14" s="12">
        <f t="shared" ref="P14" si="38">N14-O14*2</f>
        <v>0.45300000000000001</v>
      </c>
      <c r="Q14" s="12">
        <f t="shared" ref="Q14" si="39">P14-M14</f>
        <v>0.42799999999999999</v>
      </c>
      <c r="R14" s="12">
        <f t="shared" ref="R14" si="40">(Q14-I14)/J14</f>
        <v>42.554455445544555</v>
      </c>
      <c r="S14" s="12">
        <f t="shared" ref="S14" si="41">R14*H14/10</f>
        <v>21.277227722772277</v>
      </c>
      <c r="W14" s="12">
        <v>0.217</v>
      </c>
      <c r="X14" s="12">
        <v>3.1E-2</v>
      </c>
      <c r="Y14" s="12">
        <f t="shared" si="35"/>
        <v>0.19</v>
      </c>
      <c r="Z14" s="12">
        <f t="shared" si="36"/>
        <v>1.6E-2</v>
      </c>
    </row>
    <row r="15" spans="1:26">
      <c r="A15" s="64" t="s">
        <v>705</v>
      </c>
      <c r="C15" s="12" t="s">
        <v>706</v>
      </c>
      <c r="D15" s="12" t="s">
        <v>497</v>
      </c>
      <c r="F15" s="12" t="s">
        <v>707</v>
      </c>
      <c r="H15" s="63">
        <v>100</v>
      </c>
      <c r="I15" s="43">
        <v>-1.8E-3</v>
      </c>
      <c r="J15" s="15">
        <v>1.01E-2</v>
      </c>
      <c r="K15" s="12">
        <v>0.04</v>
      </c>
      <c r="L15" s="12">
        <v>3.0000000000000001E-3</v>
      </c>
      <c r="M15" s="12">
        <f t="shared" ref="M15" si="42">K15-L15*2</f>
        <v>3.4000000000000002E-2</v>
      </c>
      <c r="N15" s="77">
        <v>0.19900000000000001</v>
      </c>
      <c r="O15" s="77">
        <v>1.0000000000000002E-2</v>
      </c>
      <c r="P15" s="12">
        <f t="shared" ref="P15" si="43">N15-O15*2</f>
        <v>0.17899999999999999</v>
      </c>
      <c r="Q15" s="12">
        <f t="shared" ref="Q15" si="44">P15-M15</f>
        <v>0.14499999999999999</v>
      </c>
      <c r="R15" s="12">
        <f t="shared" ref="R15" si="45">(Q15-I15)/J15</f>
        <v>14.534653465346533</v>
      </c>
      <c r="S15" s="12">
        <f t="shared" ref="S15" si="46">R15*H15/10</f>
        <v>145.34653465346531</v>
      </c>
      <c r="W15" s="12">
        <v>0.21299999999999999</v>
      </c>
      <c r="X15" s="12">
        <v>2.5999999999999999E-2</v>
      </c>
      <c r="Y15" s="12">
        <f t="shared" si="35"/>
        <v>0.186</v>
      </c>
      <c r="Z15" s="12">
        <f t="shared" si="36"/>
        <v>1.0999999999999999E-2</v>
      </c>
    </row>
    <row r="16" spans="1:26">
      <c r="A16" s="64" t="s">
        <v>705</v>
      </c>
      <c r="C16" s="12" t="s">
        <v>708</v>
      </c>
      <c r="F16" s="12" t="s">
        <v>709</v>
      </c>
      <c r="H16" s="63">
        <v>100</v>
      </c>
      <c r="I16" s="43">
        <v>-1.8E-3</v>
      </c>
      <c r="J16" s="15">
        <v>1.01E-2</v>
      </c>
      <c r="K16" s="12">
        <v>0.04</v>
      </c>
      <c r="L16" s="12">
        <v>3.0000000000000001E-3</v>
      </c>
      <c r="M16" s="12">
        <f t="shared" ref="M16:M22" si="47">K16-L16*2</f>
        <v>3.4000000000000002E-2</v>
      </c>
      <c r="N16" s="12">
        <v>0.19</v>
      </c>
      <c r="O16" s="12">
        <v>1.6E-2</v>
      </c>
      <c r="P16" s="12">
        <f t="shared" ref="P16:P22" si="48">N16-O16*2</f>
        <v>0.158</v>
      </c>
      <c r="Q16" s="12">
        <f t="shared" ref="Q16:Q22" si="49">P16-M16</f>
        <v>0.124</v>
      </c>
      <c r="R16" s="12">
        <f t="shared" ref="R16:R22" si="50">(Q16-I16)/J16</f>
        <v>12.455445544554456</v>
      </c>
      <c r="S16" s="12">
        <f t="shared" ref="S16:S22" si="51">R16*H16/10</f>
        <v>124.55445544554456</v>
      </c>
      <c r="W16" s="12">
        <v>0.19</v>
      </c>
      <c r="X16" s="12">
        <v>0.02</v>
      </c>
      <c r="Y16" s="12">
        <f t="shared" si="35"/>
        <v>0.16300000000000001</v>
      </c>
      <c r="Z16" s="12">
        <f t="shared" si="36"/>
        <v>5.000000000000001E-3</v>
      </c>
    </row>
    <row r="17" spans="1:26">
      <c r="A17" s="64" t="s">
        <v>705</v>
      </c>
      <c r="C17" s="12" t="s">
        <v>710</v>
      </c>
      <c r="F17" s="12" t="s">
        <v>711</v>
      </c>
      <c r="H17" s="63">
        <v>100</v>
      </c>
      <c r="I17" s="43">
        <v>-1.8E-3</v>
      </c>
      <c r="J17" s="15">
        <v>1.01E-2</v>
      </c>
      <c r="K17" s="12">
        <v>0.04</v>
      </c>
      <c r="L17" s="12">
        <v>3.0000000000000001E-3</v>
      </c>
      <c r="M17" s="12">
        <f t="shared" si="47"/>
        <v>3.4000000000000002E-2</v>
      </c>
      <c r="N17" s="12">
        <v>0.186</v>
      </c>
      <c r="O17" s="12">
        <v>1.0999999999999999E-2</v>
      </c>
      <c r="P17" s="12">
        <f t="shared" si="48"/>
        <v>0.16400000000000001</v>
      </c>
      <c r="Q17" s="12">
        <f t="shared" si="49"/>
        <v>0.13</v>
      </c>
      <c r="R17" s="12">
        <f t="shared" si="50"/>
        <v>13.04950495049505</v>
      </c>
      <c r="S17" s="12">
        <f t="shared" si="51"/>
        <v>130.49504950495049</v>
      </c>
      <c r="W17" s="12">
        <v>0.185</v>
      </c>
      <c r="X17" s="12">
        <v>2.1000000000000001E-2</v>
      </c>
      <c r="Y17" s="12">
        <f t="shared" si="35"/>
        <v>0.158</v>
      </c>
      <c r="Z17" s="12">
        <f t="shared" si="36"/>
        <v>6.0000000000000019E-3</v>
      </c>
    </row>
    <row r="18" spans="1:26">
      <c r="A18" s="64" t="s">
        <v>705</v>
      </c>
      <c r="C18" s="12" t="s">
        <v>712</v>
      </c>
      <c r="F18" s="12" t="s">
        <v>713</v>
      </c>
      <c r="H18" s="63">
        <v>100</v>
      </c>
      <c r="I18" s="43">
        <v>-1.8E-3</v>
      </c>
      <c r="J18" s="15">
        <v>1.01E-2</v>
      </c>
      <c r="K18" s="12">
        <v>0.04</v>
      </c>
      <c r="L18" s="12">
        <v>3.0000000000000001E-3</v>
      </c>
      <c r="M18" s="12">
        <f t="shared" si="47"/>
        <v>3.4000000000000002E-2</v>
      </c>
      <c r="N18" s="12">
        <v>0.16300000000000001</v>
      </c>
      <c r="O18" s="12">
        <v>5.000000000000001E-3</v>
      </c>
      <c r="P18" s="12">
        <f t="shared" si="48"/>
        <v>0.153</v>
      </c>
      <c r="Q18" s="12">
        <f t="shared" si="49"/>
        <v>0.11899999999999999</v>
      </c>
      <c r="R18" s="12">
        <f t="shared" si="50"/>
        <v>11.96039603960396</v>
      </c>
      <c r="S18" s="12">
        <f t="shared" si="51"/>
        <v>119.60396039603961</v>
      </c>
      <c r="W18" s="12">
        <v>0.187</v>
      </c>
      <c r="X18" s="12">
        <v>2.1999999999999999E-2</v>
      </c>
      <c r="Y18" s="12">
        <f t="shared" si="35"/>
        <v>0.16</v>
      </c>
      <c r="Z18" s="12">
        <f t="shared" si="36"/>
        <v>6.9999999999999993E-3</v>
      </c>
    </row>
    <row r="19" spans="1:26">
      <c r="A19" s="64" t="s">
        <v>705</v>
      </c>
      <c r="C19" s="12" t="s">
        <v>714</v>
      </c>
      <c r="F19" s="12" t="s">
        <v>715</v>
      </c>
      <c r="H19" s="63">
        <v>100</v>
      </c>
      <c r="I19" s="43">
        <v>-1.8E-3</v>
      </c>
      <c r="J19" s="15">
        <v>1.01E-2</v>
      </c>
      <c r="K19" s="12">
        <v>0.04</v>
      </c>
      <c r="L19" s="12">
        <v>3.0000000000000001E-3</v>
      </c>
      <c r="M19" s="12">
        <f t="shared" si="47"/>
        <v>3.4000000000000002E-2</v>
      </c>
      <c r="N19" s="12">
        <v>0.158</v>
      </c>
      <c r="O19" s="12">
        <v>6.0000000000000019E-3</v>
      </c>
      <c r="P19" s="12">
        <f t="shared" si="48"/>
        <v>0.14599999999999999</v>
      </c>
      <c r="Q19" s="12">
        <f t="shared" si="49"/>
        <v>0.11199999999999999</v>
      </c>
      <c r="R19" s="12">
        <f t="shared" si="50"/>
        <v>11.267326732673267</v>
      </c>
      <c r="S19" s="12">
        <f t="shared" si="51"/>
        <v>112.67326732673266</v>
      </c>
      <c r="W19" s="12">
        <v>0.186</v>
      </c>
      <c r="X19" s="12">
        <v>2.1999999999999999E-2</v>
      </c>
      <c r="Y19" s="12">
        <f t="shared" si="35"/>
        <v>0.159</v>
      </c>
      <c r="Z19" s="12">
        <f t="shared" si="36"/>
        <v>6.9999999999999993E-3</v>
      </c>
    </row>
    <row r="20" spans="1:26">
      <c r="A20" s="64" t="s">
        <v>705</v>
      </c>
      <c r="C20" s="12" t="s">
        <v>716</v>
      </c>
      <c r="F20" s="12" t="s">
        <v>717</v>
      </c>
      <c r="H20" s="63">
        <v>100</v>
      </c>
      <c r="I20" s="43">
        <v>-1.8E-3</v>
      </c>
      <c r="J20" s="15">
        <v>1.01E-2</v>
      </c>
      <c r="K20" s="12">
        <v>0.04</v>
      </c>
      <c r="L20" s="12">
        <v>3.0000000000000001E-3</v>
      </c>
      <c r="M20" s="12">
        <f t="shared" si="47"/>
        <v>3.4000000000000002E-2</v>
      </c>
      <c r="N20" s="12">
        <v>0.16</v>
      </c>
      <c r="O20" s="12">
        <v>6.9999999999999993E-3</v>
      </c>
      <c r="P20" s="12">
        <f t="shared" si="48"/>
        <v>0.14600000000000002</v>
      </c>
      <c r="Q20" s="12">
        <f t="shared" si="49"/>
        <v>0.11200000000000002</v>
      </c>
      <c r="R20" s="12">
        <f t="shared" si="50"/>
        <v>11.267326732673268</v>
      </c>
      <c r="S20" s="12">
        <f t="shared" si="51"/>
        <v>112.67326732673268</v>
      </c>
    </row>
    <row r="21" spans="1:26">
      <c r="A21" s="64" t="s">
        <v>705</v>
      </c>
      <c r="C21" s="12" t="s">
        <v>718</v>
      </c>
      <c r="F21" s="12" t="s">
        <v>719</v>
      </c>
      <c r="H21" s="63">
        <v>100</v>
      </c>
      <c r="I21" s="43">
        <v>-1.8E-3</v>
      </c>
      <c r="J21" s="15">
        <v>1.01E-2</v>
      </c>
      <c r="K21" s="12">
        <v>0.04</v>
      </c>
      <c r="L21" s="12">
        <v>3.0000000000000001E-3</v>
      </c>
      <c r="M21" s="12">
        <f t="shared" si="47"/>
        <v>3.4000000000000002E-2</v>
      </c>
      <c r="N21" s="12">
        <v>0.159</v>
      </c>
      <c r="O21" s="12">
        <v>6.9999999999999993E-3</v>
      </c>
      <c r="P21" s="12">
        <f t="shared" si="48"/>
        <v>0.14500000000000002</v>
      </c>
      <c r="Q21" s="12">
        <f t="shared" si="49"/>
        <v>0.11100000000000002</v>
      </c>
      <c r="R21" s="12">
        <f t="shared" si="50"/>
        <v>11.168316831683169</v>
      </c>
      <c r="S21" s="12">
        <f t="shared" si="51"/>
        <v>111.68316831683168</v>
      </c>
    </row>
    <row r="22" spans="1:26">
      <c r="A22" s="39" t="s">
        <v>423</v>
      </c>
      <c r="C22" s="12" t="s">
        <v>720</v>
      </c>
      <c r="D22" s="12" t="s">
        <v>721</v>
      </c>
      <c r="E22" s="12" t="s">
        <v>722</v>
      </c>
      <c r="F22" s="12" t="s">
        <v>722</v>
      </c>
      <c r="H22" s="63">
        <v>5</v>
      </c>
      <c r="I22" s="43">
        <v>-1.8E-3</v>
      </c>
      <c r="J22" s="15">
        <v>1.01E-2</v>
      </c>
      <c r="K22" s="12">
        <v>2.5000000000000001E-2</v>
      </c>
      <c r="L22" s="12">
        <v>0</v>
      </c>
      <c r="M22" s="12">
        <f t="shared" si="47"/>
        <v>2.5000000000000001E-2</v>
      </c>
      <c r="N22" s="77">
        <v>0.124</v>
      </c>
      <c r="O22" s="77">
        <v>5.0000000000000001E-3</v>
      </c>
      <c r="P22" s="12">
        <f t="shared" si="48"/>
        <v>0.114</v>
      </c>
      <c r="Q22" s="12">
        <f t="shared" si="49"/>
        <v>8.8999999999999996E-2</v>
      </c>
      <c r="R22" s="12">
        <f t="shared" si="50"/>
        <v>8.9900990099009892</v>
      </c>
      <c r="S22" s="12">
        <f t="shared" si="51"/>
        <v>4.4950495049504946</v>
      </c>
    </row>
    <row r="23" spans="1:26">
      <c r="A23" s="39" t="s">
        <v>423</v>
      </c>
      <c r="C23" s="12" t="s">
        <v>723</v>
      </c>
      <c r="D23" s="12" t="s">
        <v>483</v>
      </c>
      <c r="G23" s="12" t="s">
        <v>738</v>
      </c>
      <c r="H23" s="63">
        <v>10</v>
      </c>
      <c r="I23" s="43">
        <v>-1.8E-3</v>
      </c>
      <c r="J23" s="15">
        <v>1.01E-2</v>
      </c>
      <c r="K23" s="12">
        <v>2.5000000000000001E-2</v>
      </c>
      <c r="L23" s="12">
        <v>0</v>
      </c>
      <c r="M23" s="12">
        <f t="shared" ref="M23" si="52">K23-L23*2</f>
        <v>2.5000000000000001E-2</v>
      </c>
      <c r="N23" s="77">
        <v>0.317</v>
      </c>
      <c r="O23" s="77">
        <v>8.0000000000000002E-3</v>
      </c>
      <c r="P23" s="12">
        <f t="shared" ref="P23" si="53">N23-O23*2</f>
        <v>0.30099999999999999</v>
      </c>
      <c r="Q23" s="12">
        <f t="shared" ref="Q23" si="54">P23-M23</f>
        <v>0.27599999999999997</v>
      </c>
      <c r="R23" s="12">
        <f t="shared" ref="R23" si="55">(Q23-I23)/J23</f>
        <v>27.504950495049506</v>
      </c>
      <c r="S23" s="12">
        <f t="shared" ref="S23" si="56">R23*H23/10</f>
        <v>27.504950495049506</v>
      </c>
      <c r="W23" s="12">
        <v>5.5E-2</v>
      </c>
      <c r="X23" s="12">
        <v>1.7000000000000001E-2</v>
      </c>
      <c r="Y23" s="12">
        <f>W23-0.03</f>
        <v>2.5000000000000001E-2</v>
      </c>
      <c r="Z23" s="12">
        <f>X23-0.017</f>
        <v>0</v>
      </c>
    </row>
    <row r="24" spans="1:26">
      <c r="A24" s="39" t="s">
        <v>423</v>
      </c>
      <c r="C24" s="12" t="s">
        <v>724</v>
      </c>
      <c r="D24" s="12" t="s">
        <v>123</v>
      </c>
      <c r="H24" s="63">
        <v>1</v>
      </c>
      <c r="I24" s="43">
        <v>-1.8E-3</v>
      </c>
      <c r="J24" s="15">
        <v>1.01E-2</v>
      </c>
      <c r="K24" s="12">
        <v>2.5000000000000001E-2</v>
      </c>
      <c r="L24" s="12">
        <v>0</v>
      </c>
      <c r="M24" s="12">
        <f t="shared" ref="M24" si="57">K24-L24*2</f>
        <v>2.5000000000000001E-2</v>
      </c>
      <c r="N24" s="77">
        <v>0.16800000000000001</v>
      </c>
      <c r="O24" s="77">
        <v>4.0000000000000001E-3</v>
      </c>
      <c r="P24" s="12">
        <f t="shared" ref="P24" si="58">N24-O24*2</f>
        <v>0.16</v>
      </c>
      <c r="Q24" s="12">
        <f t="shared" ref="Q24" si="59">P24-M24</f>
        <v>0.13500000000000001</v>
      </c>
      <c r="R24" s="12">
        <f t="shared" ref="R24" si="60">(Q24-I24)/J24</f>
        <v>13.544554455445546</v>
      </c>
      <c r="S24" s="12">
        <f t="shared" ref="S24" si="61">R24*H24/10</f>
        <v>1.3544554455445545</v>
      </c>
      <c r="W24" s="12">
        <v>6.8000000000000005E-2</v>
      </c>
      <c r="X24" s="12">
        <v>2.1000000000000001E-2</v>
      </c>
      <c r="Y24" s="12">
        <f t="shared" ref="Y24:Y30" si="62">W24-0.03</f>
        <v>3.8000000000000006E-2</v>
      </c>
      <c r="Z24" s="12">
        <f t="shared" ref="Z24:Z30" si="63">X24-0.017</f>
        <v>4.0000000000000001E-3</v>
      </c>
    </row>
    <row r="25" spans="1:26">
      <c r="A25" s="39" t="s">
        <v>423</v>
      </c>
      <c r="C25" s="12" t="s">
        <v>725</v>
      </c>
      <c r="D25" s="12" t="s">
        <v>726</v>
      </c>
      <c r="H25" s="63">
        <v>5</v>
      </c>
      <c r="I25" s="43">
        <v>-1.8E-3</v>
      </c>
      <c r="J25" s="15">
        <v>1.01E-2</v>
      </c>
      <c r="K25" s="12">
        <v>2.5000000000000001E-2</v>
      </c>
      <c r="L25" s="12">
        <v>0</v>
      </c>
      <c r="M25" s="12">
        <f t="shared" ref="M25:M28" si="64">K25-L25*2</f>
        <v>2.5000000000000001E-2</v>
      </c>
      <c r="N25" s="77">
        <v>0.107</v>
      </c>
      <c r="O25" s="77">
        <v>3.0000000000000001E-3</v>
      </c>
      <c r="P25" s="12">
        <f t="shared" ref="P25:P28" si="65">N25-O25*2</f>
        <v>0.10099999999999999</v>
      </c>
      <c r="Q25" s="12">
        <f t="shared" ref="Q25:Q28" si="66">P25-M25</f>
        <v>7.5999999999999984E-2</v>
      </c>
      <c r="R25" s="12">
        <f t="shared" ref="R25:R28" si="67">(Q25-I25)/J25</f>
        <v>7.7029702970297009</v>
      </c>
      <c r="S25" s="12">
        <f t="shared" ref="S25:S28" si="68">R25*H25/10</f>
        <v>3.8514851485148505</v>
      </c>
      <c r="W25" s="12">
        <v>0.39600000000000002</v>
      </c>
      <c r="X25" s="12">
        <v>4.9000000000000002E-2</v>
      </c>
      <c r="Y25" s="12">
        <f t="shared" si="62"/>
        <v>0.36599999999999999</v>
      </c>
      <c r="Z25" s="12">
        <f t="shared" si="63"/>
        <v>3.2000000000000001E-2</v>
      </c>
    </row>
    <row r="26" spans="1:26">
      <c r="A26" s="39" t="s">
        <v>737</v>
      </c>
      <c r="C26" s="12" t="s">
        <v>727</v>
      </c>
      <c r="D26" s="12" t="s">
        <v>728</v>
      </c>
      <c r="H26" s="63">
        <v>5</v>
      </c>
      <c r="I26" s="43">
        <v>-1.8E-3</v>
      </c>
      <c r="J26" s="15">
        <v>1.01E-2</v>
      </c>
      <c r="K26" s="12">
        <v>2.5000000000000001E-2</v>
      </c>
      <c r="L26" s="12">
        <v>0</v>
      </c>
      <c r="M26" s="12">
        <f t="shared" si="64"/>
        <v>2.5000000000000001E-2</v>
      </c>
      <c r="N26" s="77">
        <v>0.26600000000000001</v>
      </c>
      <c r="O26" s="77">
        <v>4.0000000000000001E-3</v>
      </c>
      <c r="P26" s="12">
        <f t="shared" si="65"/>
        <v>0.25800000000000001</v>
      </c>
      <c r="Q26" s="12">
        <f t="shared" si="66"/>
        <v>0.23300000000000001</v>
      </c>
      <c r="R26" s="12">
        <f t="shared" si="67"/>
        <v>23.24752475247525</v>
      </c>
      <c r="S26" s="12">
        <f t="shared" si="68"/>
        <v>11.623762376237625</v>
      </c>
      <c r="W26" s="12">
        <v>0.95099999999999996</v>
      </c>
      <c r="X26" s="12">
        <v>2.3E-2</v>
      </c>
      <c r="Y26" s="12">
        <f t="shared" si="62"/>
        <v>0.92099999999999993</v>
      </c>
      <c r="Z26" s="12">
        <f t="shared" si="63"/>
        <v>5.9999999999999984E-3</v>
      </c>
    </row>
    <row r="27" spans="1:26">
      <c r="A27" s="39" t="s">
        <v>737</v>
      </c>
      <c r="C27" s="12" t="s">
        <v>729</v>
      </c>
      <c r="D27" s="12" t="s">
        <v>730</v>
      </c>
      <c r="G27" s="67"/>
      <c r="H27" s="63">
        <v>10</v>
      </c>
      <c r="I27" s="43">
        <v>-1.8E-3</v>
      </c>
      <c r="J27" s="15">
        <v>1.01E-2</v>
      </c>
      <c r="K27" s="12">
        <v>2.5000000000000001E-2</v>
      </c>
      <c r="L27" s="12">
        <v>0</v>
      </c>
      <c r="M27" s="12">
        <f t="shared" si="64"/>
        <v>2.5000000000000001E-2</v>
      </c>
      <c r="N27" s="77">
        <v>0.22500000000000001</v>
      </c>
      <c r="O27" s="77">
        <v>4.0000000000000001E-3</v>
      </c>
      <c r="P27" s="12">
        <f t="shared" si="65"/>
        <v>0.217</v>
      </c>
      <c r="Q27" s="12">
        <f t="shared" si="66"/>
        <v>0.192</v>
      </c>
      <c r="R27" s="12">
        <f t="shared" si="67"/>
        <v>19.188118811881189</v>
      </c>
      <c r="S27" s="12">
        <f t="shared" si="68"/>
        <v>19.188118811881189</v>
      </c>
      <c r="W27" s="12">
        <v>0.46800000000000003</v>
      </c>
      <c r="X27" s="12">
        <v>5.6000000000000001E-2</v>
      </c>
      <c r="Y27" s="12">
        <f t="shared" si="62"/>
        <v>0.43800000000000006</v>
      </c>
      <c r="Z27" s="12">
        <f t="shared" si="63"/>
        <v>3.9E-2</v>
      </c>
    </row>
    <row r="28" spans="1:26">
      <c r="A28" s="39" t="s">
        <v>737</v>
      </c>
      <c r="C28" s="12" t="s">
        <v>731</v>
      </c>
      <c r="D28" s="12" t="s">
        <v>732</v>
      </c>
      <c r="G28" s="67"/>
      <c r="H28" s="63">
        <v>10</v>
      </c>
      <c r="I28" s="43">
        <v>-1.8E-3</v>
      </c>
      <c r="J28" s="15">
        <v>1.01E-2</v>
      </c>
      <c r="K28" s="12">
        <v>2.5000000000000001E-2</v>
      </c>
      <c r="L28" s="12">
        <v>0</v>
      </c>
      <c r="M28" s="12">
        <f t="shared" si="64"/>
        <v>2.5000000000000001E-2</v>
      </c>
      <c r="N28" s="77">
        <v>0.20100000000000001</v>
      </c>
      <c r="O28" s="77">
        <v>4.0000000000000001E-3</v>
      </c>
      <c r="P28" s="12">
        <f t="shared" si="65"/>
        <v>0.193</v>
      </c>
      <c r="Q28" s="12">
        <f t="shared" si="66"/>
        <v>0.16800000000000001</v>
      </c>
      <c r="R28" s="12">
        <f t="shared" si="67"/>
        <v>16.811881188118814</v>
      </c>
      <c r="S28" s="12">
        <f t="shared" si="68"/>
        <v>16.811881188118814</v>
      </c>
      <c r="W28" s="12">
        <v>0.183</v>
      </c>
      <c r="X28" s="12">
        <v>2.3E-2</v>
      </c>
      <c r="Y28" s="12">
        <f t="shared" si="62"/>
        <v>0.153</v>
      </c>
      <c r="Z28" s="12">
        <f t="shared" si="63"/>
        <v>5.9999999999999984E-3</v>
      </c>
    </row>
    <row r="29" spans="1:26">
      <c r="A29" s="39" t="s">
        <v>423</v>
      </c>
      <c r="C29" s="12" t="s">
        <v>733</v>
      </c>
      <c r="D29" s="12" t="s">
        <v>734</v>
      </c>
      <c r="G29" s="67"/>
      <c r="H29" s="63">
        <v>5</v>
      </c>
      <c r="I29" s="43">
        <v>-1.8E-3</v>
      </c>
      <c r="J29" s="15">
        <v>1.01E-2</v>
      </c>
      <c r="K29" s="12">
        <v>2.5000000000000001E-2</v>
      </c>
      <c r="L29" s="12">
        <v>0</v>
      </c>
      <c r="M29" s="12">
        <f t="shared" ref="M29" si="69">K29-L29*2</f>
        <v>2.5000000000000001E-2</v>
      </c>
      <c r="N29" s="77">
        <v>0.315</v>
      </c>
      <c r="O29" s="77">
        <v>3.9E-2</v>
      </c>
      <c r="P29" s="12">
        <f t="shared" ref="P29" si="70">N29-O29*2</f>
        <v>0.23699999999999999</v>
      </c>
      <c r="Q29" s="12">
        <f t="shared" ref="Q29" si="71">P29-M29</f>
        <v>0.21199999999999999</v>
      </c>
      <c r="R29" s="12">
        <f t="shared" ref="R29" si="72">(Q29-I29)/J29</f>
        <v>21.168316831683168</v>
      </c>
      <c r="S29" s="16">
        <f t="shared" ref="S29" si="73">R29*H29/10</f>
        <v>10.584158415841584</v>
      </c>
      <c r="W29" s="12">
        <v>9.7000000000000003E-2</v>
      </c>
      <c r="X29" s="12">
        <v>2.5000000000000001E-2</v>
      </c>
      <c r="Y29" s="12">
        <f t="shared" si="62"/>
        <v>6.7000000000000004E-2</v>
      </c>
      <c r="Z29" s="12">
        <f t="shared" si="63"/>
        <v>8.0000000000000002E-3</v>
      </c>
    </row>
    <row r="30" spans="1:26">
      <c r="A30" s="39" t="s">
        <v>423</v>
      </c>
      <c r="C30" s="12" t="s">
        <v>735</v>
      </c>
      <c r="D30" s="12" t="s">
        <v>736</v>
      </c>
      <c r="G30" s="66"/>
      <c r="H30" s="63">
        <v>5</v>
      </c>
      <c r="I30" s="43">
        <v>-1.8E-3</v>
      </c>
      <c r="J30" s="15">
        <v>1.01E-2</v>
      </c>
      <c r="K30" s="12">
        <v>2.5000000000000001E-2</v>
      </c>
      <c r="L30" s="12">
        <v>0</v>
      </c>
      <c r="M30" s="12">
        <f t="shared" ref="M30:M31" si="74">K30-L30*2</f>
        <v>2.5000000000000001E-2</v>
      </c>
      <c r="N30" s="77">
        <v>0.153</v>
      </c>
      <c r="O30" s="77">
        <v>5.9999999999999984E-3</v>
      </c>
      <c r="P30" s="12">
        <f t="shared" ref="P30:P34" si="75">N30-O30*2</f>
        <v>0.14100000000000001</v>
      </c>
      <c r="Q30" s="12">
        <f t="shared" ref="Q30:Q34" si="76">P30-M30</f>
        <v>0.11600000000000002</v>
      </c>
      <c r="R30" s="12">
        <f t="shared" ref="R30:R34" si="77">(Q30-I30)/J30</f>
        <v>11.663366336633665</v>
      </c>
      <c r="S30" s="12">
        <f t="shared" ref="S30:S34" si="78">R30*H30/10</f>
        <v>5.8316831683168324</v>
      </c>
      <c r="W30" s="12">
        <v>0.109</v>
      </c>
      <c r="X30" s="12">
        <v>2.5000000000000001E-2</v>
      </c>
      <c r="Y30" s="12">
        <f t="shared" si="62"/>
        <v>7.9000000000000001E-2</v>
      </c>
      <c r="Z30" s="12">
        <f t="shared" si="63"/>
        <v>8.0000000000000002E-3</v>
      </c>
    </row>
    <row r="31" spans="1:26">
      <c r="A31" s="39" t="s">
        <v>423</v>
      </c>
      <c r="B31" s="13">
        <v>43959</v>
      </c>
      <c r="C31" s="12" t="s">
        <v>756</v>
      </c>
      <c r="D31" s="12" t="s">
        <v>596</v>
      </c>
      <c r="H31" s="67">
        <v>10</v>
      </c>
      <c r="I31" s="43">
        <v>-1.8E-3</v>
      </c>
      <c r="J31" s="15">
        <v>1.01E-2</v>
      </c>
      <c r="K31" s="12">
        <v>2.5999999999999999E-2</v>
      </c>
      <c r="L31" s="12">
        <v>4.0000000000000001E-3</v>
      </c>
      <c r="M31" s="12">
        <f t="shared" si="74"/>
        <v>1.7999999999999999E-2</v>
      </c>
      <c r="N31" s="12">
        <v>0.20300000000000001</v>
      </c>
      <c r="O31" s="12">
        <v>5.0000000000000001E-3</v>
      </c>
      <c r="P31" s="12">
        <f t="shared" si="75"/>
        <v>0.193</v>
      </c>
      <c r="Q31" s="12">
        <f t="shared" si="76"/>
        <v>0.17500000000000002</v>
      </c>
      <c r="R31" s="12">
        <f t="shared" si="77"/>
        <v>17.504950495049506</v>
      </c>
      <c r="S31" s="12">
        <f t="shared" si="78"/>
        <v>17.504950495049506</v>
      </c>
      <c r="T31" s="12">
        <v>87.5</v>
      </c>
      <c r="V31" s="12">
        <v>6.2E-2</v>
      </c>
      <c r="W31" s="12">
        <v>0.02</v>
      </c>
      <c r="X31" s="12">
        <f>V31-0.036</f>
        <v>2.6000000000000002E-2</v>
      </c>
      <c r="Y31" s="12">
        <f>W31-0.016</f>
        <v>4.0000000000000001E-3</v>
      </c>
    </row>
    <row r="32" spans="1:26">
      <c r="A32" s="39" t="s">
        <v>423</v>
      </c>
      <c r="B32" s="12" t="s">
        <v>766</v>
      </c>
      <c r="C32" s="12" t="s">
        <v>757</v>
      </c>
      <c r="D32" s="12" t="s">
        <v>758</v>
      </c>
      <c r="H32" s="12">
        <v>10</v>
      </c>
      <c r="I32" s="43">
        <v>-1.8E-3</v>
      </c>
      <c r="J32" s="15">
        <v>1.01E-2</v>
      </c>
      <c r="K32" s="12">
        <v>2.5999999999999999E-2</v>
      </c>
      <c r="L32" s="12">
        <v>4.0000000000000001E-3</v>
      </c>
      <c r="M32" s="12">
        <f t="shared" ref="M32:M34" si="79">K32-L32*2</f>
        <v>1.7999999999999999E-2</v>
      </c>
      <c r="N32" s="12">
        <v>0.52400000000000002</v>
      </c>
      <c r="O32" s="12">
        <v>6.0000000000000001E-3</v>
      </c>
      <c r="P32" s="12">
        <f t="shared" si="75"/>
        <v>0.51200000000000001</v>
      </c>
      <c r="Q32" s="12">
        <f t="shared" si="76"/>
        <v>0.49399999999999999</v>
      </c>
      <c r="R32" s="12">
        <f t="shared" si="77"/>
        <v>49.089108910891092</v>
      </c>
      <c r="S32" s="12">
        <f t="shared" si="78"/>
        <v>49.089108910891092</v>
      </c>
      <c r="V32" s="12">
        <v>0.29299999999999998</v>
      </c>
      <c r="W32" s="12">
        <v>2.1000000000000001E-2</v>
      </c>
      <c r="X32" s="12">
        <f t="shared" ref="X32:X33" si="80">V32-0.036</f>
        <v>0.25700000000000001</v>
      </c>
      <c r="Y32" s="12">
        <f t="shared" ref="Y32:Y33" si="81">W32-0.016</f>
        <v>5.000000000000001E-3</v>
      </c>
    </row>
    <row r="33" spans="1:25">
      <c r="A33" s="39" t="s">
        <v>423</v>
      </c>
      <c r="C33" s="12" t="s">
        <v>759</v>
      </c>
      <c r="D33" s="12" t="s">
        <v>760</v>
      </c>
      <c r="G33" s="85" t="s">
        <v>763</v>
      </c>
      <c r="H33" s="12">
        <v>1</v>
      </c>
      <c r="I33" s="43">
        <v>-1.8E-3</v>
      </c>
      <c r="J33" s="15">
        <v>1.01E-2</v>
      </c>
      <c r="K33" s="12">
        <v>2.5999999999999999E-2</v>
      </c>
      <c r="L33" s="12">
        <v>4.0000000000000001E-3</v>
      </c>
      <c r="M33" s="12">
        <f t="shared" si="79"/>
        <v>1.7999999999999999E-2</v>
      </c>
      <c r="N33" s="12">
        <v>0.41099999999999998</v>
      </c>
      <c r="O33" s="12">
        <v>5.0000000000000001E-3</v>
      </c>
      <c r="P33" s="12">
        <f t="shared" si="75"/>
        <v>0.40099999999999997</v>
      </c>
      <c r="Q33" s="12">
        <f t="shared" si="76"/>
        <v>0.38299999999999995</v>
      </c>
      <c r="R33" s="12">
        <f t="shared" si="77"/>
        <v>38.099009900990097</v>
      </c>
      <c r="S33" s="12">
        <f t="shared" si="78"/>
        <v>3.8099009900990097</v>
      </c>
      <c r="V33" s="12">
        <v>0.20699999999999999</v>
      </c>
      <c r="W33" s="12">
        <v>2.1999999999999999E-2</v>
      </c>
      <c r="X33" s="12">
        <f t="shared" si="80"/>
        <v>0.17099999999999999</v>
      </c>
      <c r="Y33" s="12">
        <f t="shared" si="81"/>
        <v>5.9999999999999984E-3</v>
      </c>
    </row>
    <row r="34" spans="1:25">
      <c r="A34" s="39" t="s">
        <v>737</v>
      </c>
      <c r="C34" s="12" t="s">
        <v>761</v>
      </c>
      <c r="D34" s="12" t="s">
        <v>762</v>
      </c>
      <c r="H34" s="12">
        <v>5</v>
      </c>
      <c r="I34" s="43">
        <v>-1.8E-3</v>
      </c>
      <c r="J34" s="15">
        <v>1.01E-2</v>
      </c>
      <c r="K34" s="12">
        <v>2.5999999999999999E-2</v>
      </c>
      <c r="L34" s="12">
        <v>4.0000000000000001E-3</v>
      </c>
      <c r="M34" s="12">
        <f t="shared" si="79"/>
        <v>1.7999999999999999E-2</v>
      </c>
      <c r="N34" s="12">
        <v>0.13500000000000001</v>
      </c>
      <c r="O34" s="12">
        <v>5.0000000000000001E-3</v>
      </c>
      <c r="P34" s="12">
        <f t="shared" si="75"/>
        <v>0.125</v>
      </c>
      <c r="Q34" s="12">
        <f t="shared" si="76"/>
        <v>0.107</v>
      </c>
      <c r="R34" s="12">
        <f t="shared" si="77"/>
        <v>10.772277227722773</v>
      </c>
      <c r="S34" s="12">
        <f t="shared" si="78"/>
        <v>5.3861386138613865</v>
      </c>
    </row>
    <row r="35" spans="1:25">
      <c r="A35" s="64" t="s">
        <v>705</v>
      </c>
      <c r="B35" s="13">
        <v>43962</v>
      </c>
      <c r="C35" s="12">
        <v>20200511001</v>
      </c>
      <c r="D35" s="12" t="s">
        <v>676</v>
      </c>
      <c r="G35" s="12" t="s">
        <v>707</v>
      </c>
      <c r="H35" s="12">
        <v>100</v>
      </c>
      <c r="I35" s="43">
        <v>-1.8E-3</v>
      </c>
      <c r="J35" s="15">
        <v>1.01E-2</v>
      </c>
      <c r="K35" s="12">
        <v>3.3000000000000002E-2</v>
      </c>
      <c r="L35" s="12">
        <v>6.0000000000000001E-3</v>
      </c>
      <c r="M35" s="12">
        <f t="shared" ref="M35" si="82">K35-L35*2</f>
        <v>2.1000000000000001E-2</v>
      </c>
      <c r="N35" s="12">
        <v>0.14599999999999999</v>
      </c>
      <c r="O35" s="12">
        <v>1.2999999999999999E-2</v>
      </c>
      <c r="P35" s="12">
        <f t="shared" ref="P35" si="83">N35-O35*2</f>
        <v>0.12</v>
      </c>
      <c r="Q35" s="12">
        <f t="shared" ref="Q35" si="84">P35-M35</f>
        <v>9.8999999999999991E-2</v>
      </c>
      <c r="R35" s="12">
        <f t="shared" ref="R35" si="85">(Q35-I35)/J35</f>
        <v>9.9801980198019784</v>
      </c>
      <c r="S35" s="12">
        <f t="shared" ref="S35" si="86">R35*H35/10</f>
        <v>99.801980198019777</v>
      </c>
    </row>
    <row r="36" spans="1:25">
      <c r="A36" s="64" t="s">
        <v>705</v>
      </c>
      <c r="B36" s="12" t="s">
        <v>797</v>
      </c>
      <c r="C36" s="12">
        <v>20200511002</v>
      </c>
      <c r="G36" s="12" t="s">
        <v>709</v>
      </c>
      <c r="H36" s="12">
        <v>100</v>
      </c>
      <c r="I36" s="43">
        <v>-1.8E-3</v>
      </c>
      <c r="J36" s="15">
        <v>1.01E-2</v>
      </c>
      <c r="K36" s="12">
        <v>3.3000000000000002E-2</v>
      </c>
      <c r="L36" s="12">
        <v>6.0000000000000001E-3</v>
      </c>
      <c r="M36" s="12">
        <f t="shared" ref="M36:M41" si="87">K36-L36*2</f>
        <v>2.1000000000000001E-2</v>
      </c>
      <c r="N36" s="12">
        <v>0.14299999999999999</v>
      </c>
      <c r="O36" s="12">
        <v>1.1000000000000001E-2</v>
      </c>
      <c r="P36" s="12">
        <f t="shared" ref="P36:P41" si="88">N36-O36*2</f>
        <v>0.12099999999999998</v>
      </c>
      <c r="Q36" s="12">
        <f t="shared" ref="Q36:Q41" si="89">P36-M36</f>
        <v>9.9999999999999978E-2</v>
      </c>
      <c r="R36" s="12">
        <f t="shared" ref="R36:R41" si="90">(Q36-I36)/J36</f>
        <v>10.079207920792078</v>
      </c>
      <c r="S36" s="12">
        <f t="shared" ref="S36:S41" si="91">R36*H36/10</f>
        <v>100.79207920792078</v>
      </c>
      <c r="V36" s="12">
        <v>6.5000000000000002E-2</v>
      </c>
      <c r="W36" s="12">
        <v>0.02</v>
      </c>
      <c r="X36" s="12">
        <f>V36-0.032</f>
        <v>3.3000000000000002E-2</v>
      </c>
      <c r="Y36" s="12">
        <f>W36-0.014</f>
        <v>6.0000000000000001E-3</v>
      </c>
    </row>
    <row r="37" spans="1:25">
      <c r="A37" s="64" t="s">
        <v>705</v>
      </c>
      <c r="C37" s="12">
        <v>20200511003</v>
      </c>
      <c r="G37" s="12" t="s">
        <v>711</v>
      </c>
      <c r="H37" s="12">
        <v>100</v>
      </c>
      <c r="I37" s="43">
        <v>-1.8E-3</v>
      </c>
      <c r="J37" s="15">
        <v>1.01E-2</v>
      </c>
      <c r="K37" s="12">
        <v>3.3000000000000002E-2</v>
      </c>
      <c r="L37" s="12">
        <v>6.0000000000000001E-3</v>
      </c>
      <c r="M37" s="12">
        <f t="shared" si="87"/>
        <v>2.1000000000000001E-2</v>
      </c>
      <c r="N37" s="12">
        <v>0.153</v>
      </c>
      <c r="O37" s="12">
        <v>1.6E-2</v>
      </c>
      <c r="P37" s="12">
        <f t="shared" si="88"/>
        <v>0.121</v>
      </c>
      <c r="Q37" s="12">
        <f t="shared" si="89"/>
        <v>9.9999999999999992E-2</v>
      </c>
      <c r="R37" s="12">
        <f t="shared" si="90"/>
        <v>10.079207920792078</v>
      </c>
      <c r="S37" s="12">
        <f t="shared" si="91"/>
        <v>100.79207920792078</v>
      </c>
      <c r="V37" s="12">
        <v>0.17799999999999999</v>
      </c>
      <c r="W37" s="12">
        <v>2.7E-2</v>
      </c>
      <c r="X37" s="12">
        <f t="shared" ref="X37:X43" si="92">V37-0.032</f>
        <v>0.14599999999999999</v>
      </c>
      <c r="Y37" s="12">
        <f t="shared" ref="Y37:Y43" si="93">W37-0.014</f>
        <v>1.2999999999999999E-2</v>
      </c>
    </row>
    <row r="38" spans="1:25">
      <c r="A38" s="64" t="s">
        <v>705</v>
      </c>
      <c r="C38" s="12">
        <v>20200511004</v>
      </c>
      <c r="G38" s="12" t="s">
        <v>767</v>
      </c>
      <c r="H38" s="12">
        <v>50</v>
      </c>
      <c r="I38" s="43">
        <v>-1.8E-3</v>
      </c>
      <c r="J38" s="15">
        <v>1.01E-2</v>
      </c>
      <c r="K38" s="12">
        <v>3.3000000000000002E-2</v>
      </c>
      <c r="L38" s="12">
        <v>6.0000000000000001E-3</v>
      </c>
      <c r="M38" s="12">
        <f t="shared" si="87"/>
        <v>2.1000000000000001E-2</v>
      </c>
      <c r="N38" s="12">
        <v>0.221</v>
      </c>
      <c r="O38" s="12">
        <v>1.1999999999999999E-2</v>
      </c>
      <c r="P38" s="12">
        <f t="shared" si="88"/>
        <v>0.19700000000000001</v>
      </c>
      <c r="Q38" s="12">
        <f t="shared" si="89"/>
        <v>0.17600000000000002</v>
      </c>
      <c r="R38" s="12">
        <f t="shared" si="90"/>
        <v>17.603960396039607</v>
      </c>
      <c r="S38" s="12">
        <f t="shared" si="91"/>
        <v>88.019801980198025</v>
      </c>
      <c r="V38" s="12">
        <v>0.17499999999999999</v>
      </c>
      <c r="W38" s="12">
        <v>2.5000000000000001E-2</v>
      </c>
      <c r="X38" s="12">
        <f t="shared" si="92"/>
        <v>0.14299999999999999</v>
      </c>
      <c r="Y38" s="12">
        <f t="shared" si="93"/>
        <v>1.1000000000000001E-2</v>
      </c>
    </row>
    <row r="39" spans="1:25">
      <c r="A39" s="64" t="s">
        <v>705</v>
      </c>
      <c r="C39" s="12">
        <v>20200511005</v>
      </c>
      <c r="G39" s="12" t="s">
        <v>768</v>
      </c>
      <c r="H39" s="12">
        <v>50</v>
      </c>
      <c r="I39" s="43">
        <v>-1.8E-3</v>
      </c>
      <c r="J39" s="15">
        <v>1.01E-2</v>
      </c>
      <c r="K39" s="12">
        <v>3.3000000000000002E-2</v>
      </c>
      <c r="L39" s="12">
        <v>6.0000000000000001E-3</v>
      </c>
      <c r="M39" s="12">
        <f t="shared" si="87"/>
        <v>2.1000000000000001E-2</v>
      </c>
      <c r="N39" s="12">
        <v>0.187</v>
      </c>
      <c r="O39" s="12">
        <v>1.6E-2</v>
      </c>
      <c r="P39" s="12">
        <f t="shared" si="88"/>
        <v>0.155</v>
      </c>
      <c r="Q39" s="12">
        <f t="shared" si="89"/>
        <v>0.13400000000000001</v>
      </c>
      <c r="R39" s="12">
        <f t="shared" si="90"/>
        <v>13.445544554455447</v>
      </c>
      <c r="S39" s="12">
        <f t="shared" si="91"/>
        <v>67.227722772277232</v>
      </c>
      <c r="V39" s="12">
        <v>0.185</v>
      </c>
      <c r="W39" s="12">
        <v>0.03</v>
      </c>
      <c r="X39" s="12">
        <f t="shared" si="92"/>
        <v>0.153</v>
      </c>
      <c r="Y39" s="12">
        <f t="shared" si="93"/>
        <v>1.6E-2</v>
      </c>
    </row>
    <row r="40" spans="1:25">
      <c r="A40" s="64" t="s">
        <v>705</v>
      </c>
      <c r="C40" s="12">
        <v>20200511006</v>
      </c>
      <c r="G40" s="12" t="s">
        <v>769</v>
      </c>
      <c r="H40" s="12">
        <v>50</v>
      </c>
      <c r="I40" s="43">
        <v>-1.8E-3</v>
      </c>
      <c r="J40" s="15">
        <v>1.01E-2</v>
      </c>
      <c r="K40" s="12">
        <v>3.3000000000000002E-2</v>
      </c>
      <c r="L40" s="12">
        <v>6.0000000000000001E-3</v>
      </c>
      <c r="M40" s="12">
        <f t="shared" si="87"/>
        <v>2.1000000000000001E-2</v>
      </c>
      <c r="N40" s="12">
        <v>0.18099999999999999</v>
      </c>
      <c r="O40" s="12">
        <v>1.2999999999999999E-2</v>
      </c>
      <c r="P40" s="12">
        <f t="shared" si="88"/>
        <v>0.155</v>
      </c>
      <c r="Q40" s="12">
        <f t="shared" si="89"/>
        <v>0.13400000000000001</v>
      </c>
      <c r="R40" s="12">
        <f t="shared" si="90"/>
        <v>13.445544554455447</v>
      </c>
      <c r="S40" s="12">
        <f t="shared" si="91"/>
        <v>67.227722772277232</v>
      </c>
      <c r="V40" s="12">
        <v>0.253</v>
      </c>
      <c r="W40" s="12">
        <v>2.5999999999999999E-2</v>
      </c>
      <c r="X40" s="12">
        <f t="shared" si="92"/>
        <v>0.221</v>
      </c>
      <c r="Y40" s="12">
        <f t="shared" si="93"/>
        <v>1.1999999999999999E-2</v>
      </c>
    </row>
    <row r="41" spans="1:25">
      <c r="A41" s="64" t="s">
        <v>705</v>
      </c>
      <c r="C41" s="12">
        <v>20200511007</v>
      </c>
      <c r="G41" s="12" t="s">
        <v>770</v>
      </c>
      <c r="H41" s="12">
        <v>50</v>
      </c>
      <c r="I41" s="43">
        <v>-1.8E-3</v>
      </c>
      <c r="J41" s="15">
        <v>1.01E-2</v>
      </c>
      <c r="K41" s="12">
        <v>3.3000000000000002E-2</v>
      </c>
      <c r="L41" s="12">
        <v>6.0000000000000001E-3</v>
      </c>
      <c r="M41" s="12">
        <f t="shared" si="87"/>
        <v>2.1000000000000001E-2</v>
      </c>
      <c r="N41" s="12">
        <v>0.18</v>
      </c>
      <c r="O41" s="12">
        <v>8.9999999999999993E-3</v>
      </c>
      <c r="P41" s="12">
        <f t="shared" si="88"/>
        <v>0.16200000000000001</v>
      </c>
      <c r="Q41" s="12">
        <f t="shared" si="89"/>
        <v>0.14100000000000001</v>
      </c>
      <c r="R41" s="12">
        <f t="shared" si="90"/>
        <v>14.138613861386141</v>
      </c>
      <c r="S41" s="12">
        <f t="shared" si="91"/>
        <v>70.69306930693071</v>
      </c>
      <c r="V41" s="12">
        <v>0.219</v>
      </c>
      <c r="W41" s="12">
        <v>0.03</v>
      </c>
      <c r="X41" s="12">
        <f t="shared" si="92"/>
        <v>0.187</v>
      </c>
      <c r="Y41" s="12">
        <f t="shared" si="93"/>
        <v>1.6E-2</v>
      </c>
    </row>
    <row r="42" spans="1:25">
      <c r="A42" s="39" t="s">
        <v>423</v>
      </c>
      <c r="C42" s="12" t="s">
        <v>771</v>
      </c>
      <c r="D42" s="12" t="s">
        <v>73</v>
      </c>
      <c r="E42" s="12">
        <v>5</v>
      </c>
      <c r="F42" s="12">
        <v>0.316</v>
      </c>
      <c r="H42" s="12">
        <v>5</v>
      </c>
      <c r="I42" s="43">
        <v>-1.8E-3</v>
      </c>
      <c r="J42" s="15">
        <v>1.01E-2</v>
      </c>
      <c r="K42" s="12">
        <v>3.3000000000000002E-2</v>
      </c>
      <c r="L42" s="12">
        <v>6.0000000000000001E-3</v>
      </c>
      <c r="M42" s="12">
        <f t="shared" ref="M42:M47" si="94">K42-L42*2</f>
        <v>2.1000000000000001E-2</v>
      </c>
      <c r="N42" s="12">
        <v>0.29499999999999998</v>
      </c>
      <c r="O42" s="12">
        <v>5.0000000000000001E-3</v>
      </c>
      <c r="P42" s="12">
        <f t="shared" ref="P42:P47" si="95">N42-O42*2</f>
        <v>0.28499999999999998</v>
      </c>
      <c r="Q42" s="12">
        <f t="shared" ref="Q42:Q47" si="96">P42-M42</f>
        <v>0.26399999999999996</v>
      </c>
      <c r="R42" s="12">
        <f t="shared" ref="R42:R47" si="97">(Q42-I42)/J42</f>
        <v>26.316831683168317</v>
      </c>
      <c r="S42" s="12">
        <f t="shared" ref="S42:S47" si="98">R42*H42/10</f>
        <v>13.158415841584159</v>
      </c>
      <c r="V42" s="12">
        <v>0.21299999999999999</v>
      </c>
      <c r="W42" s="12">
        <v>2.7E-2</v>
      </c>
      <c r="X42" s="12">
        <f t="shared" si="92"/>
        <v>0.18099999999999999</v>
      </c>
      <c r="Y42" s="12">
        <f t="shared" si="93"/>
        <v>1.2999999999999999E-2</v>
      </c>
    </row>
    <row r="43" spans="1:25">
      <c r="A43" s="39" t="s">
        <v>423</v>
      </c>
      <c r="C43" s="12" t="s">
        <v>772</v>
      </c>
      <c r="D43" s="12" t="s">
        <v>75</v>
      </c>
      <c r="E43" s="12">
        <v>2</v>
      </c>
      <c r="F43" s="12">
        <v>0.123</v>
      </c>
      <c r="H43" s="12">
        <v>2</v>
      </c>
      <c r="I43" s="43">
        <v>-1.8E-3</v>
      </c>
      <c r="J43" s="15">
        <v>1.01E-2</v>
      </c>
      <c r="K43" s="12">
        <v>3.3000000000000002E-2</v>
      </c>
      <c r="L43" s="12">
        <v>6.0000000000000001E-3</v>
      </c>
      <c r="M43" s="12">
        <f t="shared" si="94"/>
        <v>2.1000000000000001E-2</v>
      </c>
      <c r="N43" s="12">
        <v>0.13100000000000001</v>
      </c>
      <c r="O43" s="12">
        <v>3.0000000000000001E-3</v>
      </c>
      <c r="P43" s="12">
        <f t="shared" si="95"/>
        <v>0.125</v>
      </c>
      <c r="Q43" s="12">
        <f t="shared" si="96"/>
        <v>0.104</v>
      </c>
      <c r="R43" s="12">
        <f t="shared" si="97"/>
        <v>10.475247524752476</v>
      </c>
      <c r="S43" s="12">
        <f t="shared" si="98"/>
        <v>2.0950495049504951</v>
      </c>
      <c r="V43" s="12">
        <v>0.21199999999999999</v>
      </c>
      <c r="W43" s="12">
        <v>2.3E-2</v>
      </c>
      <c r="X43" s="12">
        <f t="shared" si="92"/>
        <v>0.18</v>
      </c>
      <c r="Y43" s="12">
        <f t="shared" si="93"/>
        <v>8.9999999999999993E-3</v>
      </c>
    </row>
    <row r="44" spans="1:25">
      <c r="A44" s="39" t="s">
        <v>423</v>
      </c>
      <c r="C44" s="12" t="s">
        <v>773</v>
      </c>
      <c r="D44" s="12" t="s">
        <v>542</v>
      </c>
      <c r="E44" s="12">
        <v>5</v>
      </c>
      <c r="F44" s="12">
        <v>0.104</v>
      </c>
      <c r="H44" s="12">
        <v>5</v>
      </c>
      <c r="I44" s="43">
        <v>-1.8E-3</v>
      </c>
      <c r="J44" s="15">
        <v>1.01E-2</v>
      </c>
      <c r="K44" s="12">
        <v>3.3000000000000002E-2</v>
      </c>
      <c r="L44" s="12">
        <v>6.0000000000000001E-3</v>
      </c>
      <c r="M44" s="12">
        <f t="shared" si="94"/>
        <v>2.1000000000000001E-2</v>
      </c>
      <c r="N44" s="12">
        <v>0.126</v>
      </c>
      <c r="O44" s="12">
        <v>4.0000000000000001E-3</v>
      </c>
      <c r="P44" s="12">
        <f t="shared" si="95"/>
        <v>0.11799999999999999</v>
      </c>
      <c r="Q44" s="12">
        <f t="shared" si="96"/>
        <v>9.6999999999999989E-2</v>
      </c>
      <c r="R44" s="12">
        <f t="shared" si="97"/>
        <v>9.7821782178217802</v>
      </c>
      <c r="S44" s="12">
        <f t="shared" si="98"/>
        <v>4.8910891089108901</v>
      </c>
    </row>
    <row r="45" spans="1:25">
      <c r="A45" s="39" t="s">
        <v>423</v>
      </c>
      <c r="C45" s="12" t="s">
        <v>774</v>
      </c>
      <c r="D45" s="12" t="s">
        <v>79</v>
      </c>
      <c r="E45" s="12">
        <v>5</v>
      </c>
      <c r="F45" s="12">
        <v>0.57599999999999996</v>
      </c>
      <c r="H45" s="12">
        <v>5</v>
      </c>
      <c r="I45" s="43">
        <v>-1.8E-3</v>
      </c>
      <c r="J45" s="15">
        <v>1.01E-2</v>
      </c>
      <c r="K45" s="12">
        <v>3.3000000000000002E-2</v>
      </c>
      <c r="L45" s="12">
        <v>6.0000000000000001E-3</v>
      </c>
      <c r="M45" s="12">
        <f t="shared" si="94"/>
        <v>2.1000000000000001E-2</v>
      </c>
      <c r="N45" s="12">
        <v>0.56100000000000005</v>
      </c>
      <c r="O45" s="12">
        <v>6.0000000000000001E-3</v>
      </c>
      <c r="P45" s="12">
        <f t="shared" si="95"/>
        <v>0.54900000000000004</v>
      </c>
      <c r="Q45" s="12">
        <f t="shared" si="96"/>
        <v>0.52800000000000002</v>
      </c>
      <c r="R45" s="12">
        <f t="shared" si="97"/>
        <v>52.455445544554465</v>
      </c>
      <c r="S45" s="12">
        <f t="shared" si="98"/>
        <v>26.227722772277229</v>
      </c>
    </row>
    <row r="46" spans="1:25">
      <c r="A46" s="39" t="s">
        <v>423</v>
      </c>
      <c r="C46" s="12" t="s">
        <v>775</v>
      </c>
      <c r="D46" s="12" t="s">
        <v>81</v>
      </c>
      <c r="E46" s="12">
        <v>5</v>
      </c>
      <c r="F46" s="12">
        <v>0.30499999999999999</v>
      </c>
      <c r="H46" s="12">
        <v>5</v>
      </c>
      <c r="I46" s="43">
        <v>-1.8E-3</v>
      </c>
      <c r="J46" s="15">
        <v>1.01E-2</v>
      </c>
      <c r="K46" s="12">
        <v>3.3000000000000002E-2</v>
      </c>
      <c r="L46" s="12">
        <v>6.0000000000000001E-3</v>
      </c>
      <c r="M46" s="12">
        <f t="shared" si="94"/>
        <v>2.1000000000000001E-2</v>
      </c>
      <c r="N46" s="12">
        <v>0.313</v>
      </c>
      <c r="O46" s="12">
        <v>5.0000000000000001E-3</v>
      </c>
      <c r="P46" s="12">
        <f t="shared" si="95"/>
        <v>0.30299999999999999</v>
      </c>
      <c r="Q46" s="12">
        <f t="shared" si="96"/>
        <v>0.28199999999999997</v>
      </c>
      <c r="R46" s="12">
        <f t="shared" si="97"/>
        <v>28.099009900990101</v>
      </c>
      <c r="S46" s="12">
        <f t="shared" si="98"/>
        <v>14.049504950495052</v>
      </c>
    </row>
    <row r="47" spans="1:25">
      <c r="A47" s="39" t="s">
        <v>423</v>
      </c>
      <c r="C47" s="12" t="s">
        <v>776</v>
      </c>
      <c r="D47" s="12" t="s">
        <v>83</v>
      </c>
      <c r="E47" s="12">
        <v>5</v>
      </c>
      <c r="F47" s="12">
        <v>0.13200000000000001</v>
      </c>
      <c r="H47" s="12">
        <v>5</v>
      </c>
      <c r="I47" s="43">
        <v>-1.8E-3</v>
      </c>
      <c r="J47" s="15">
        <v>1.01E-2</v>
      </c>
      <c r="K47" s="12">
        <v>3.3000000000000002E-2</v>
      </c>
      <c r="L47" s="12">
        <v>6.0000000000000001E-3</v>
      </c>
      <c r="M47" s="12">
        <f t="shared" si="94"/>
        <v>2.1000000000000001E-2</v>
      </c>
      <c r="N47" s="12">
        <v>0.14699999999999999</v>
      </c>
      <c r="O47" s="12">
        <v>5.0000000000000001E-3</v>
      </c>
      <c r="P47" s="12">
        <f t="shared" si="95"/>
        <v>0.13699999999999998</v>
      </c>
      <c r="Q47" s="12">
        <f t="shared" si="96"/>
        <v>0.11599999999999998</v>
      </c>
      <c r="R47" s="12">
        <f t="shared" si="97"/>
        <v>11.663366336633661</v>
      </c>
      <c r="S47" s="12">
        <f t="shared" si="98"/>
        <v>5.8316831683168306</v>
      </c>
    </row>
    <row r="48" spans="1:25">
      <c r="A48" s="39" t="s">
        <v>423</v>
      </c>
      <c r="C48" s="12" t="s">
        <v>777</v>
      </c>
      <c r="D48" s="12" t="s">
        <v>85</v>
      </c>
      <c r="E48" s="12">
        <v>10</v>
      </c>
      <c r="F48" s="12">
        <v>0.505</v>
      </c>
      <c r="H48" s="12">
        <v>10</v>
      </c>
      <c r="I48" s="43">
        <v>-1.8E-3</v>
      </c>
      <c r="J48" s="15">
        <v>1.01E-2</v>
      </c>
      <c r="K48" s="12">
        <v>3.3000000000000002E-2</v>
      </c>
      <c r="L48" s="12">
        <v>6.0000000000000001E-3</v>
      </c>
      <c r="M48" s="12">
        <f t="shared" ref="M48" si="99">K48-L48*2</f>
        <v>2.1000000000000001E-2</v>
      </c>
      <c r="N48" s="12">
        <v>0.29599999999999999</v>
      </c>
      <c r="O48" s="12">
        <v>5.0000000000000001E-3</v>
      </c>
      <c r="P48" s="12">
        <f t="shared" ref="P48" si="100">N48-O48*2</f>
        <v>0.28599999999999998</v>
      </c>
      <c r="Q48" s="12">
        <f t="shared" ref="Q48" si="101">P48-M48</f>
        <v>0.26499999999999996</v>
      </c>
      <c r="R48" s="12">
        <f t="shared" ref="R48" si="102">(Q48-I48)/J48</f>
        <v>26.415841584158414</v>
      </c>
      <c r="S48" s="12">
        <f t="shared" ref="S48" si="103">R48*H48/10</f>
        <v>26.415841584158414</v>
      </c>
    </row>
    <row r="49" spans="1:22">
      <c r="A49" s="39" t="s">
        <v>423</v>
      </c>
      <c r="C49" s="12" t="s">
        <v>778</v>
      </c>
      <c r="D49" s="12" t="s">
        <v>107</v>
      </c>
      <c r="E49" s="12">
        <v>1</v>
      </c>
      <c r="F49" s="12">
        <v>0.127</v>
      </c>
      <c r="H49" s="12">
        <v>1</v>
      </c>
      <c r="I49" s="43">
        <v>-1.8E-3</v>
      </c>
      <c r="J49" s="15">
        <v>1.01E-2</v>
      </c>
      <c r="K49" s="12">
        <v>3.3000000000000002E-2</v>
      </c>
      <c r="L49" s="12">
        <v>6.0000000000000001E-3</v>
      </c>
      <c r="M49" s="12">
        <f t="shared" ref="M49:M52" si="104">K49-L49*2</f>
        <v>2.1000000000000001E-2</v>
      </c>
      <c r="N49" s="12">
        <v>0.11600000000000001</v>
      </c>
      <c r="O49" s="12">
        <v>5.0000000000000001E-3</v>
      </c>
      <c r="P49" s="12">
        <f t="shared" ref="P49:P52" si="105">N49-O49*2</f>
        <v>0.10600000000000001</v>
      </c>
      <c r="Q49" s="12">
        <f t="shared" ref="Q49:Q52" si="106">P49-M49</f>
        <v>8.5000000000000006E-2</v>
      </c>
      <c r="R49" s="12">
        <f t="shared" ref="R49:R52" si="107">(Q49-I49)/J49</f>
        <v>8.5940594059405946</v>
      </c>
      <c r="S49" s="12">
        <f t="shared" ref="S49:S52" si="108">R49*H49/10</f>
        <v>0.8594059405940595</v>
      </c>
    </row>
    <row r="50" spans="1:22">
      <c r="A50" s="39" t="s">
        <v>423</v>
      </c>
      <c r="C50" s="12" t="s">
        <v>779</v>
      </c>
      <c r="D50" s="12" t="s">
        <v>101</v>
      </c>
      <c r="E50" s="12">
        <v>1</v>
      </c>
      <c r="F50" s="12">
        <v>0.247</v>
      </c>
      <c r="H50" s="12">
        <v>1</v>
      </c>
      <c r="I50" s="43">
        <v>-1.8E-3</v>
      </c>
      <c r="J50" s="15">
        <v>1.01E-2</v>
      </c>
      <c r="K50" s="12">
        <v>3.3000000000000002E-2</v>
      </c>
      <c r="L50" s="12">
        <v>6.0000000000000001E-3</v>
      </c>
      <c r="M50" s="12">
        <f t="shared" si="104"/>
        <v>2.1000000000000001E-2</v>
      </c>
      <c r="N50" s="12">
        <v>0.23300000000000001</v>
      </c>
      <c r="O50" s="12">
        <v>5.0000000000000001E-3</v>
      </c>
      <c r="P50" s="12">
        <f t="shared" si="105"/>
        <v>0.223</v>
      </c>
      <c r="Q50" s="12">
        <f t="shared" si="106"/>
        <v>0.20200000000000001</v>
      </c>
      <c r="R50" s="12">
        <f t="shared" si="107"/>
        <v>20.17821782178218</v>
      </c>
      <c r="S50" s="12">
        <f t="shared" si="108"/>
        <v>2.0178217821782178</v>
      </c>
    </row>
    <row r="51" spans="1:22">
      <c r="A51" s="39" t="s">
        <v>423</v>
      </c>
      <c r="C51" s="12" t="s">
        <v>780</v>
      </c>
      <c r="D51" s="12" t="s">
        <v>105</v>
      </c>
      <c r="E51" s="12">
        <v>1</v>
      </c>
      <c r="F51" s="12">
        <v>0.29399999999999998</v>
      </c>
      <c r="H51" s="12">
        <v>1</v>
      </c>
      <c r="I51" s="43">
        <v>-1.8E-3</v>
      </c>
      <c r="J51" s="15">
        <v>1.01E-2</v>
      </c>
      <c r="K51" s="12">
        <v>3.3000000000000002E-2</v>
      </c>
      <c r="L51" s="12">
        <v>6.0000000000000001E-3</v>
      </c>
      <c r="M51" s="12">
        <f t="shared" si="104"/>
        <v>2.1000000000000001E-2</v>
      </c>
      <c r="N51" s="12">
        <v>0.28399999999999997</v>
      </c>
      <c r="O51" s="12">
        <v>4.0000000000000001E-3</v>
      </c>
      <c r="P51" s="12">
        <f t="shared" si="105"/>
        <v>0.27599999999999997</v>
      </c>
      <c r="Q51" s="12">
        <f t="shared" si="106"/>
        <v>0.25499999999999995</v>
      </c>
      <c r="R51" s="12">
        <f t="shared" si="107"/>
        <v>25.425742574257423</v>
      </c>
      <c r="S51" s="12">
        <f t="shared" si="108"/>
        <v>2.5425742574257422</v>
      </c>
    </row>
    <row r="52" spans="1:22">
      <c r="A52" s="39" t="s">
        <v>423</v>
      </c>
      <c r="C52" s="12" t="s">
        <v>781</v>
      </c>
      <c r="D52" s="12" t="s">
        <v>103</v>
      </c>
      <c r="E52" s="12">
        <v>5</v>
      </c>
      <c r="F52" s="12">
        <v>0.13200000000000001</v>
      </c>
      <c r="H52" s="12">
        <v>5</v>
      </c>
      <c r="I52" s="43">
        <v>-1.8E-3</v>
      </c>
      <c r="J52" s="15">
        <v>1.01E-2</v>
      </c>
      <c r="K52" s="12">
        <v>3.3000000000000002E-2</v>
      </c>
      <c r="L52" s="12">
        <v>6.0000000000000001E-3</v>
      </c>
      <c r="M52" s="12">
        <f t="shared" si="104"/>
        <v>2.1000000000000001E-2</v>
      </c>
      <c r="N52" s="12">
        <v>0.14599999999999999</v>
      </c>
      <c r="O52" s="12">
        <v>5.0000000000000001E-3</v>
      </c>
      <c r="P52" s="12">
        <f t="shared" si="105"/>
        <v>0.13599999999999998</v>
      </c>
      <c r="Q52" s="12">
        <f t="shared" si="106"/>
        <v>0.11499999999999998</v>
      </c>
      <c r="R52" s="12">
        <f t="shared" si="107"/>
        <v>11.564356435643562</v>
      </c>
      <c r="S52" s="12">
        <f t="shared" si="108"/>
        <v>5.7821782178217811</v>
      </c>
    </row>
    <row r="53" spans="1:22">
      <c r="A53" s="64" t="s">
        <v>705</v>
      </c>
      <c r="B53" s="13">
        <v>43963</v>
      </c>
      <c r="C53" s="12" t="s">
        <v>782</v>
      </c>
      <c r="D53" s="12" t="s">
        <v>497</v>
      </c>
      <c r="G53" s="12" t="s">
        <v>707</v>
      </c>
      <c r="H53" s="12">
        <v>100</v>
      </c>
      <c r="I53" s="43">
        <v>-1.8E-3</v>
      </c>
      <c r="J53" s="15">
        <v>1.01E-2</v>
      </c>
      <c r="K53" s="12">
        <v>3.3000000000000002E-2</v>
      </c>
      <c r="L53" s="12">
        <v>7.0000000000000001E-3</v>
      </c>
      <c r="M53" s="12">
        <f t="shared" ref="M53" si="109">K53-L53*2</f>
        <v>1.9000000000000003E-2</v>
      </c>
      <c r="N53" s="12">
        <v>0.10999999999999999</v>
      </c>
      <c r="O53" s="12">
        <v>1.1000000000000003E-2</v>
      </c>
      <c r="P53" s="12">
        <f t="shared" ref="P53" si="110">N53-O53*2</f>
        <v>8.7999999999999981E-2</v>
      </c>
      <c r="Q53" s="12">
        <f t="shared" ref="Q53" si="111">P53-M53</f>
        <v>6.8999999999999978E-2</v>
      </c>
      <c r="R53" s="12">
        <f t="shared" ref="R53" si="112">(Q53-I53)/J53</f>
        <v>7.0099009900990072</v>
      </c>
      <c r="S53" s="12">
        <f t="shared" ref="S53" si="113">R53*H53/10</f>
        <v>70.099009900990069</v>
      </c>
    </row>
    <row r="54" spans="1:22">
      <c r="A54" s="64" t="s">
        <v>705</v>
      </c>
      <c r="B54" s="12" t="s">
        <v>803</v>
      </c>
      <c r="C54" s="12" t="s">
        <v>783</v>
      </c>
      <c r="G54" s="12" t="s">
        <v>784</v>
      </c>
      <c r="H54" s="12">
        <v>100</v>
      </c>
      <c r="I54" s="43">
        <v>-1.8E-3</v>
      </c>
      <c r="J54" s="15">
        <v>1.01E-2</v>
      </c>
      <c r="K54" s="12">
        <v>3.3000000000000002E-2</v>
      </c>
      <c r="L54" s="12">
        <v>7.0000000000000001E-3</v>
      </c>
      <c r="M54" s="12">
        <f t="shared" ref="M54:M60" si="114">K54-L54*2</f>
        <v>1.9000000000000003E-2</v>
      </c>
      <c r="N54" s="12">
        <v>0.11499999999999999</v>
      </c>
      <c r="O54" s="12">
        <v>1.0000000000000002E-2</v>
      </c>
      <c r="P54" s="12">
        <f t="shared" ref="P54:P60" si="115">N54-O54*2</f>
        <v>9.4999999999999987E-2</v>
      </c>
      <c r="Q54" s="12">
        <f t="shared" ref="Q54:Q60" si="116">P54-M54</f>
        <v>7.5999999999999984E-2</v>
      </c>
      <c r="R54" s="12">
        <f t="shared" ref="R54:R60" si="117">(Q54-I54)/J54</f>
        <v>7.7029702970297009</v>
      </c>
      <c r="S54" s="12">
        <f t="shared" ref="S54:S60" si="118">R54*H54/10</f>
        <v>77.029702970297009</v>
      </c>
    </row>
    <row r="55" spans="1:22">
      <c r="A55" s="64" t="s">
        <v>705</v>
      </c>
      <c r="C55" s="12" t="s">
        <v>785</v>
      </c>
      <c r="G55" s="12" t="s">
        <v>786</v>
      </c>
      <c r="H55" s="12">
        <v>100</v>
      </c>
      <c r="I55" s="43">
        <v>-1.8E-3</v>
      </c>
      <c r="J55" s="15">
        <v>1.01E-2</v>
      </c>
      <c r="K55" s="12">
        <v>3.3000000000000002E-2</v>
      </c>
      <c r="L55" s="12">
        <v>7.0000000000000001E-3</v>
      </c>
      <c r="M55" s="12">
        <f t="shared" si="114"/>
        <v>1.9000000000000003E-2</v>
      </c>
      <c r="N55" s="12">
        <v>0.11899999999999999</v>
      </c>
      <c r="O55" s="12">
        <v>1.2E-2</v>
      </c>
      <c r="P55" s="12">
        <f t="shared" si="115"/>
        <v>9.5000000000000001E-2</v>
      </c>
      <c r="Q55" s="12">
        <f t="shared" si="116"/>
        <v>7.5999999999999998E-2</v>
      </c>
      <c r="R55" s="12">
        <f t="shared" si="117"/>
        <v>7.7029702970297027</v>
      </c>
      <c r="S55" s="12">
        <f t="shared" si="118"/>
        <v>77.029702970297024</v>
      </c>
    </row>
    <row r="56" spans="1:22">
      <c r="A56" s="64" t="s">
        <v>705</v>
      </c>
      <c r="C56" s="12" t="s">
        <v>787</v>
      </c>
      <c r="G56" s="12" t="s">
        <v>788</v>
      </c>
      <c r="H56" s="12">
        <v>50</v>
      </c>
      <c r="I56" s="43">
        <v>-1.8E-3</v>
      </c>
      <c r="J56" s="15">
        <v>1.01E-2</v>
      </c>
      <c r="K56" s="12">
        <v>3.3000000000000002E-2</v>
      </c>
      <c r="L56" s="12">
        <v>7.0000000000000001E-3</v>
      </c>
      <c r="M56" s="12">
        <f t="shared" si="114"/>
        <v>1.9000000000000003E-2</v>
      </c>
      <c r="N56" s="12">
        <v>0.19599999999999998</v>
      </c>
      <c r="O56" s="12">
        <v>1.1000000000000003E-2</v>
      </c>
      <c r="P56" s="12">
        <f t="shared" si="115"/>
        <v>0.17399999999999999</v>
      </c>
      <c r="Q56" s="12">
        <f t="shared" si="116"/>
        <v>0.15499999999999997</v>
      </c>
      <c r="R56" s="12">
        <f t="shared" si="117"/>
        <v>15.524752475247523</v>
      </c>
      <c r="S56" s="12">
        <f t="shared" si="118"/>
        <v>77.623762376237607</v>
      </c>
    </row>
    <row r="57" spans="1:22">
      <c r="A57" s="64" t="s">
        <v>705</v>
      </c>
      <c r="C57" s="12" t="s">
        <v>789</v>
      </c>
      <c r="G57" s="12" t="s">
        <v>790</v>
      </c>
      <c r="H57" s="12">
        <v>50</v>
      </c>
      <c r="I57" s="43">
        <v>-1.8E-3</v>
      </c>
      <c r="J57" s="15">
        <v>1.01E-2</v>
      </c>
      <c r="K57" s="12">
        <v>3.3000000000000002E-2</v>
      </c>
      <c r="L57" s="12">
        <v>7.0000000000000001E-3</v>
      </c>
      <c r="M57" s="12">
        <f t="shared" si="114"/>
        <v>1.9000000000000003E-2</v>
      </c>
      <c r="N57" s="12">
        <v>0.193</v>
      </c>
      <c r="O57" s="12">
        <v>9.0000000000000011E-3</v>
      </c>
      <c r="P57" s="12">
        <f t="shared" si="115"/>
        <v>0.17499999999999999</v>
      </c>
      <c r="Q57" s="12">
        <f t="shared" si="116"/>
        <v>0.15599999999999997</v>
      </c>
      <c r="R57" s="12">
        <f t="shared" si="117"/>
        <v>15.623762376237622</v>
      </c>
      <c r="S57" s="12">
        <f t="shared" si="118"/>
        <v>78.118811881188108</v>
      </c>
    </row>
    <row r="58" spans="1:22">
      <c r="A58" s="64" t="s">
        <v>705</v>
      </c>
      <c r="C58" s="12" t="s">
        <v>791</v>
      </c>
      <c r="G58" s="12" t="s">
        <v>792</v>
      </c>
      <c r="H58" s="12">
        <v>50</v>
      </c>
      <c r="I58" s="43">
        <v>-1.8E-3</v>
      </c>
      <c r="J58" s="15">
        <v>1.01E-2</v>
      </c>
      <c r="K58" s="12">
        <v>3.3000000000000002E-2</v>
      </c>
      <c r="L58" s="12">
        <v>7.0000000000000001E-3</v>
      </c>
      <c r="M58" s="12">
        <f t="shared" si="114"/>
        <v>1.9000000000000003E-2</v>
      </c>
      <c r="N58" s="12">
        <v>0.19500000000000001</v>
      </c>
      <c r="O58" s="12">
        <v>9.0000000000000011E-3</v>
      </c>
      <c r="P58" s="12">
        <f t="shared" si="115"/>
        <v>0.17699999999999999</v>
      </c>
      <c r="Q58" s="12">
        <f t="shared" si="116"/>
        <v>0.15799999999999997</v>
      </c>
      <c r="R58" s="12">
        <f t="shared" si="117"/>
        <v>15.82178217821782</v>
      </c>
      <c r="S58" s="12">
        <f t="shared" si="118"/>
        <v>79.108910891089096</v>
      </c>
    </row>
    <row r="59" spans="1:22">
      <c r="A59" s="64" t="s">
        <v>705</v>
      </c>
      <c r="C59" s="12" t="s">
        <v>793</v>
      </c>
      <c r="G59" s="12" t="s">
        <v>794</v>
      </c>
      <c r="H59" s="12">
        <v>50</v>
      </c>
      <c r="I59" s="43">
        <v>-1.8E-3</v>
      </c>
      <c r="J59" s="15">
        <v>1.01E-2</v>
      </c>
      <c r="K59" s="12">
        <v>3.3000000000000002E-2</v>
      </c>
      <c r="L59" s="12">
        <v>7.0000000000000001E-3</v>
      </c>
      <c r="M59" s="12">
        <f t="shared" si="114"/>
        <v>1.9000000000000003E-2</v>
      </c>
      <c r="N59" s="12">
        <v>0.19799999999999998</v>
      </c>
      <c r="O59" s="12">
        <v>1.1000000000000003E-2</v>
      </c>
      <c r="P59" s="12">
        <f t="shared" si="115"/>
        <v>0.17599999999999999</v>
      </c>
      <c r="Q59" s="12">
        <f t="shared" si="116"/>
        <v>0.15699999999999997</v>
      </c>
      <c r="R59" s="12">
        <f t="shared" si="117"/>
        <v>15.722772277227721</v>
      </c>
      <c r="S59" s="12">
        <f t="shared" si="118"/>
        <v>78.613861386138609</v>
      </c>
    </row>
    <row r="60" spans="1:22">
      <c r="A60" s="64" t="s">
        <v>705</v>
      </c>
      <c r="C60" s="12" t="s">
        <v>795</v>
      </c>
      <c r="G60" s="12" t="s">
        <v>796</v>
      </c>
      <c r="H60" s="12">
        <v>50</v>
      </c>
      <c r="I60" s="43">
        <v>-1.8E-3</v>
      </c>
      <c r="J60" s="15">
        <v>1.01E-2</v>
      </c>
      <c r="K60" s="12">
        <v>3.3000000000000002E-2</v>
      </c>
      <c r="L60" s="12">
        <v>7.0000000000000001E-3</v>
      </c>
      <c r="M60" s="12">
        <f t="shared" si="114"/>
        <v>1.9000000000000003E-2</v>
      </c>
      <c r="N60" s="12">
        <v>0.128</v>
      </c>
      <c r="O60" s="12">
        <v>7.0000000000000027E-3</v>
      </c>
      <c r="P60" s="12">
        <f t="shared" si="115"/>
        <v>0.11399999999999999</v>
      </c>
      <c r="Q60" s="12">
        <f t="shared" si="116"/>
        <v>9.4999999999999987E-2</v>
      </c>
      <c r="R60" s="12">
        <f t="shared" si="117"/>
        <v>9.584158415841582</v>
      </c>
      <c r="S60" s="12">
        <f t="shared" si="118"/>
        <v>47.920792079207914</v>
      </c>
    </row>
    <row r="61" spans="1:22" ht="14.25" customHeight="1">
      <c r="A61" s="39" t="s">
        <v>804</v>
      </c>
      <c r="B61" s="13">
        <v>43964</v>
      </c>
      <c r="C61" s="12" t="s">
        <v>871</v>
      </c>
      <c r="D61" s="12" t="s">
        <v>805</v>
      </c>
      <c r="H61" s="12">
        <v>5</v>
      </c>
      <c r="I61" s="43">
        <v>2.3E-3</v>
      </c>
      <c r="J61" s="15">
        <v>9.7000000000000003E-3</v>
      </c>
      <c r="K61" s="12">
        <v>2.5999999999999999E-2</v>
      </c>
      <c r="L61" s="12">
        <v>2E-3</v>
      </c>
      <c r="M61" s="12">
        <f t="shared" ref="M61" si="119">K61-L61*2</f>
        <v>2.1999999999999999E-2</v>
      </c>
      <c r="N61" s="12">
        <v>0.111</v>
      </c>
      <c r="O61" s="12">
        <v>7.0000000000000001E-3</v>
      </c>
      <c r="P61" s="12">
        <f t="shared" ref="P61" si="120">N61-O61*2</f>
        <v>9.7000000000000003E-2</v>
      </c>
      <c r="Q61" s="12">
        <f t="shared" ref="Q61" si="121">P61-M61</f>
        <v>7.5000000000000011E-2</v>
      </c>
      <c r="R61" s="12">
        <f t="shared" ref="R61" si="122">(Q61-I61)/J61</f>
        <v>7.4948453608247432</v>
      </c>
      <c r="S61" s="12">
        <f t="shared" ref="S61" si="123">R61*H61/10</f>
        <v>3.7474226804123716</v>
      </c>
    </row>
    <row r="62" spans="1:22" ht="14.25" customHeight="1">
      <c r="A62" s="39" t="s">
        <v>804</v>
      </c>
      <c r="B62" s="12" t="s">
        <v>840</v>
      </c>
      <c r="C62" s="12" t="s">
        <v>872</v>
      </c>
      <c r="H62" s="12">
        <v>5</v>
      </c>
      <c r="I62" s="43">
        <v>2.3E-3</v>
      </c>
      <c r="J62" s="15">
        <v>9.7000000000000003E-3</v>
      </c>
      <c r="K62" s="12">
        <v>2.5999999999999999E-2</v>
      </c>
      <c r="L62" s="12">
        <v>2E-3</v>
      </c>
      <c r="M62" s="12">
        <f t="shared" ref="M62" si="124">K62-L62*2</f>
        <v>2.1999999999999999E-2</v>
      </c>
      <c r="N62" s="12">
        <v>0.112</v>
      </c>
      <c r="O62" s="12">
        <v>7.0000000000000001E-3</v>
      </c>
      <c r="P62" s="12">
        <f t="shared" ref="P62" si="125">N62-O62*2</f>
        <v>9.8000000000000004E-2</v>
      </c>
      <c r="Q62" s="12">
        <f t="shared" ref="Q62" si="126">P62-M62</f>
        <v>7.6000000000000012E-2</v>
      </c>
      <c r="R62" s="12">
        <f t="shared" ref="R62" si="127">(Q62-I62)/J62</f>
        <v>7.5979381443298983</v>
      </c>
      <c r="S62" s="12">
        <f t="shared" ref="S62" si="128">R62*H62/10</f>
        <v>3.7989690721649496</v>
      </c>
    </row>
    <row r="63" spans="1:22">
      <c r="A63" s="39"/>
      <c r="C63" s="86" t="s">
        <v>800</v>
      </c>
      <c r="D63" s="50"/>
      <c r="E63" s="50"/>
      <c r="F63" s="50"/>
      <c r="G63" s="50"/>
      <c r="H63" s="59">
        <v>1</v>
      </c>
      <c r="I63" s="23">
        <v>2.3E-3</v>
      </c>
      <c r="J63" s="21">
        <v>9.7000000000000003E-3</v>
      </c>
      <c r="K63" s="21">
        <v>2.5999999999999999E-2</v>
      </c>
      <c r="L63" s="24">
        <v>2E-3</v>
      </c>
      <c r="M63" s="24">
        <f t="shared" ref="M63:M64" si="129">K63-2*L63</f>
        <v>2.1999999999999999E-2</v>
      </c>
      <c r="N63" s="25">
        <v>0.112</v>
      </c>
      <c r="O63" s="81">
        <v>2E-3</v>
      </c>
      <c r="P63" s="24">
        <f t="shared" ref="P63:P64" si="130">N63-2*O63</f>
        <v>0.108</v>
      </c>
      <c r="Q63" s="24">
        <f>P63-M63</f>
        <v>8.5999999999999993E-2</v>
      </c>
      <c r="R63" s="26">
        <f>(Q63-I63)/J63</f>
        <v>8.6288659793814428</v>
      </c>
      <c r="S63" s="27">
        <f t="shared" ref="S63" si="131">R63*H63/10</f>
        <v>0.86288659793814426</v>
      </c>
      <c r="T63" s="12" t="s">
        <v>802</v>
      </c>
      <c r="V63" s="75" t="s">
        <v>798</v>
      </c>
    </row>
    <row r="64" spans="1:22">
      <c r="A64" s="39"/>
      <c r="C64" s="86" t="s">
        <v>801</v>
      </c>
      <c r="D64" s="50"/>
      <c r="E64" s="50"/>
      <c r="F64" s="50"/>
      <c r="G64" s="50"/>
      <c r="H64" s="59">
        <v>1</v>
      </c>
      <c r="I64" s="23">
        <v>2.3E-3</v>
      </c>
      <c r="J64" s="21">
        <v>9.7000000000000003E-3</v>
      </c>
      <c r="K64" s="21">
        <v>2.5999999999999999E-2</v>
      </c>
      <c r="L64" s="24">
        <v>2E-3</v>
      </c>
      <c r="M64" s="24">
        <f t="shared" si="129"/>
        <v>2.1999999999999999E-2</v>
      </c>
      <c r="N64" s="25">
        <v>0.111</v>
      </c>
      <c r="O64" s="81">
        <v>2E-3</v>
      </c>
      <c r="P64" s="24">
        <f t="shared" si="130"/>
        <v>0.107</v>
      </c>
      <c r="Q64" s="24">
        <f>P64-M64</f>
        <v>8.4999999999999992E-2</v>
      </c>
      <c r="R64" s="26">
        <f>(Q64-I64)/J64</f>
        <v>8.5257731958762886</v>
      </c>
      <c r="S64" s="27">
        <f>R64*H64/10</f>
        <v>0.85257731958762883</v>
      </c>
      <c r="V64" s="75" t="s">
        <v>799</v>
      </c>
    </row>
    <row r="65" spans="1:27">
      <c r="A65" s="39" t="s">
        <v>806</v>
      </c>
      <c r="C65" s="12" t="s">
        <v>807</v>
      </c>
      <c r="D65" s="12" t="s">
        <v>808</v>
      </c>
      <c r="F65" s="12" t="s">
        <v>809</v>
      </c>
      <c r="G65" s="12" t="s">
        <v>810</v>
      </c>
      <c r="H65" s="12">
        <v>2</v>
      </c>
      <c r="I65" s="43">
        <v>2.3E-3</v>
      </c>
      <c r="J65" s="15">
        <v>9.7000000000000003E-3</v>
      </c>
      <c r="K65" s="12">
        <v>2.5999999999999999E-2</v>
      </c>
      <c r="L65" s="12">
        <v>2E-3</v>
      </c>
      <c r="M65" s="12">
        <f t="shared" ref="M65" si="132">K65-L65*2</f>
        <v>2.1999999999999999E-2</v>
      </c>
      <c r="N65" s="12">
        <v>0.10299999999999999</v>
      </c>
      <c r="O65" s="12">
        <v>2.7000000000000003E-2</v>
      </c>
      <c r="P65" s="12">
        <f t="shared" ref="P65" si="133">N65-O65*2</f>
        <v>4.8999999999999988E-2</v>
      </c>
      <c r="Q65" s="12">
        <f t="shared" ref="Q65" si="134">P65-M65</f>
        <v>2.6999999999999989E-2</v>
      </c>
      <c r="R65" s="12">
        <f t="shared" ref="R65" si="135">(Q65-I65)/J65</f>
        <v>2.5463917525773185</v>
      </c>
      <c r="S65" s="12">
        <f t="shared" ref="S65" si="136">R65*H65/10</f>
        <v>0.50927835051546366</v>
      </c>
      <c r="T65" s="89">
        <v>2.3556701030927831</v>
      </c>
      <c r="W65" s="12">
        <v>6.8000000000000005E-2</v>
      </c>
      <c r="X65" s="12">
        <v>2.4E-2</v>
      </c>
      <c r="Y65" s="12">
        <f>W65-0.042</f>
        <v>2.6000000000000002E-2</v>
      </c>
      <c r="Z65" s="12">
        <f>X65-0.022</f>
        <v>2.0000000000000018E-3</v>
      </c>
    </row>
    <row r="66" spans="1:27">
      <c r="A66" s="39" t="s">
        <v>806</v>
      </c>
      <c r="C66" s="12" t="s">
        <v>811</v>
      </c>
      <c r="G66" s="12" t="s">
        <v>812</v>
      </c>
      <c r="H66" s="12">
        <v>1</v>
      </c>
      <c r="I66" s="43">
        <v>2.3E-3</v>
      </c>
      <c r="J66" s="15">
        <v>9.7000000000000003E-3</v>
      </c>
      <c r="K66" s="12">
        <v>2.5999999999999999E-2</v>
      </c>
      <c r="L66" s="12">
        <v>2E-3</v>
      </c>
      <c r="M66" s="12">
        <f t="shared" ref="M66:M70" si="137">K66-L66*2</f>
        <v>2.1999999999999999E-2</v>
      </c>
      <c r="N66" s="12">
        <v>0.123</v>
      </c>
      <c r="O66" s="12">
        <v>1.3000000000000005E-2</v>
      </c>
      <c r="P66" s="12">
        <f t="shared" ref="P66:P70" si="138">N66-O66*2</f>
        <v>9.6999999999999989E-2</v>
      </c>
      <c r="Q66" s="12">
        <f t="shared" ref="Q66:Q70" si="139">P66-M66</f>
        <v>7.4999999999999983E-2</v>
      </c>
      <c r="R66" s="12">
        <f t="shared" ref="R66:R70" si="140">(Q66-I66)/J66</f>
        <v>7.4948453608247405</v>
      </c>
      <c r="S66" s="12">
        <f t="shared" ref="S66:S70" si="141">R66*H66/10</f>
        <v>0.74948453608247401</v>
      </c>
      <c r="T66" s="89">
        <v>4.3144329896907196</v>
      </c>
      <c r="W66" s="12">
        <v>0.16600000000000001</v>
      </c>
      <c r="X66" s="12">
        <v>4.9000000000000002E-2</v>
      </c>
      <c r="Y66" s="12">
        <f t="shared" ref="Y66:Y71" si="142">W66-0.042</f>
        <v>0.124</v>
      </c>
      <c r="Z66" s="12">
        <f t="shared" ref="Z66:Z71" si="143">X66-0.022</f>
        <v>2.7000000000000003E-2</v>
      </c>
    </row>
    <row r="67" spans="1:27">
      <c r="A67" s="39" t="s">
        <v>806</v>
      </c>
      <c r="C67" s="12" t="s">
        <v>813</v>
      </c>
      <c r="G67" s="12" t="s">
        <v>814</v>
      </c>
      <c r="H67" s="12">
        <v>1</v>
      </c>
      <c r="I67" s="43">
        <v>2.3E-3</v>
      </c>
      <c r="J67" s="15">
        <v>9.7000000000000003E-3</v>
      </c>
      <c r="K67" s="12">
        <v>2.5999999999999999E-2</v>
      </c>
      <c r="L67" s="12">
        <v>2E-3</v>
      </c>
      <c r="M67" s="12">
        <f t="shared" si="137"/>
        <v>2.1999999999999999E-2</v>
      </c>
      <c r="N67" s="12">
        <v>0.13699999999999998</v>
      </c>
      <c r="O67" s="12">
        <v>1.8000000000000002E-2</v>
      </c>
      <c r="P67" s="12">
        <f t="shared" si="138"/>
        <v>0.10099999999999998</v>
      </c>
      <c r="Q67" s="12">
        <f t="shared" si="139"/>
        <v>7.8999999999999987E-2</v>
      </c>
      <c r="R67" s="12">
        <f t="shared" si="140"/>
        <v>7.9072164948453594</v>
      </c>
      <c r="S67" s="12">
        <f t="shared" si="141"/>
        <v>0.79072164948453594</v>
      </c>
      <c r="T67" s="89">
        <v>3.9536082474226797</v>
      </c>
      <c r="W67" s="12">
        <v>0.17599999999999999</v>
      </c>
      <c r="X67" s="12">
        <v>3.5000000000000003E-2</v>
      </c>
      <c r="Y67" s="12">
        <f t="shared" si="142"/>
        <v>0.13399999999999998</v>
      </c>
      <c r="Z67" s="12">
        <f t="shared" si="143"/>
        <v>1.3000000000000005E-2</v>
      </c>
    </row>
    <row r="68" spans="1:27">
      <c r="A68" s="39" t="s">
        <v>806</v>
      </c>
      <c r="C68" s="12" t="s">
        <v>815</v>
      </c>
      <c r="G68" s="12" t="s">
        <v>816</v>
      </c>
      <c r="H68" s="12">
        <v>1</v>
      </c>
      <c r="I68" s="43">
        <v>2.3E-3</v>
      </c>
      <c r="J68" s="15">
        <v>9.7000000000000003E-3</v>
      </c>
      <c r="K68" s="12">
        <v>2.5999999999999999E-2</v>
      </c>
      <c r="L68" s="12">
        <v>2E-3</v>
      </c>
      <c r="M68" s="12">
        <f t="shared" si="137"/>
        <v>2.1999999999999999E-2</v>
      </c>
      <c r="N68" s="12">
        <v>0.121</v>
      </c>
      <c r="O68" s="12">
        <v>1.2000000000000004E-2</v>
      </c>
      <c r="P68" s="12">
        <f t="shared" si="138"/>
        <v>9.6999999999999989E-2</v>
      </c>
      <c r="Q68" s="12">
        <f t="shared" si="139"/>
        <v>7.4999999999999983E-2</v>
      </c>
      <c r="R68" s="12">
        <f t="shared" si="140"/>
        <v>7.4948453608247405</v>
      </c>
      <c r="S68" s="12">
        <f t="shared" si="141"/>
        <v>0.74948453608247401</v>
      </c>
      <c r="T68" s="89">
        <v>2.3556701030927831</v>
      </c>
      <c r="W68" s="12">
        <v>0.17899999999999999</v>
      </c>
      <c r="X68" s="12">
        <v>0.04</v>
      </c>
      <c r="Y68" s="12">
        <f t="shared" si="142"/>
        <v>0.13699999999999998</v>
      </c>
      <c r="Z68" s="12">
        <f t="shared" si="143"/>
        <v>1.8000000000000002E-2</v>
      </c>
    </row>
    <row r="69" spans="1:27">
      <c r="A69" s="39" t="s">
        <v>806</v>
      </c>
      <c r="C69" s="12" t="s">
        <v>817</v>
      </c>
      <c r="G69" s="12" t="s">
        <v>818</v>
      </c>
      <c r="H69" s="12">
        <v>1</v>
      </c>
      <c r="I69" s="43">
        <v>2.3E-3</v>
      </c>
      <c r="J69" s="15">
        <v>9.7000000000000003E-3</v>
      </c>
      <c r="K69" s="12">
        <v>2.5999999999999999E-2</v>
      </c>
      <c r="L69" s="12">
        <v>2E-3</v>
      </c>
      <c r="M69" s="12">
        <f t="shared" si="137"/>
        <v>2.1999999999999999E-2</v>
      </c>
      <c r="N69" s="12">
        <v>0.125</v>
      </c>
      <c r="O69" s="12">
        <v>1.6E-2</v>
      </c>
      <c r="P69" s="12">
        <f t="shared" si="138"/>
        <v>9.2999999999999999E-2</v>
      </c>
      <c r="Q69" s="12">
        <f t="shared" si="139"/>
        <v>7.1000000000000008E-2</v>
      </c>
      <c r="R69" s="12">
        <f t="shared" si="140"/>
        <v>7.0824742268041243</v>
      </c>
      <c r="S69" s="12">
        <f t="shared" si="141"/>
        <v>0.70824742268041241</v>
      </c>
      <c r="T69" s="89">
        <v>2.4072164948453598</v>
      </c>
      <c r="W69" s="12">
        <v>0.13600000000000001</v>
      </c>
      <c r="X69" s="12">
        <v>3.4000000000000002E-2</v>
      </c>
      <c r="Y69" s="12">
        <f t="shared" si="142"/>
        <v>9.4E-2</v>
      </c>
      <c r="Z69" s="12">
        <f t="shared" si="143"/>
        <v>1.2000000000000004E-2</v>
      </c>
    </row>
    <row r="70" spans="1:27">
      <c r="A70" s="39" t="s">
        <v>806</v>
      </c>
      <c r="C70" s="12" t="s">
        <v>819</v>
      </c>
      <c r="G70" s="12" t="s">
        <v>820</v>
      </c>
      <c r="H70" s="12">
        <v>1</v>
      </c>
      <c r="I70" s="43">
        <v>2.3E-3</v>
      </c>
      <c r="J70" s="15">
        <v>9.7000000000000003E-3</v>
      </c>
      <c r="K70" s="12">
        <v>2.5999999999999999E-2</v>
      </c>
      <c r="L70" s="12">
        <v>2E-3</v>
      </c>
      <c r="M70" s="12">
        <f t="shared" si="137"/>
        <v>2.1999999999999999E-2</v>
      </c>
      <c r="N70" s="12">
        <v>0.185</v>
      </c>
      <c r="O70" s="12">
        <v>4.8000000000000008E-2</v>
      </c>
      <c r="P70" s="12">
        <f t="shared" si="138"/>
        <v>8.8999999999999982E-2</v>
      </c>
      <c r="Q70" s="12">
        <f t="shared" si="139"/>
        <v>6.6999999999999976E-2</v>
      </c>
      <c r="R70" s="12">
        <f t="shared" si="140"/>
        <v>6.6701030927835028</v>
      </c>
      <c r="S70" s="12">
        <f t="shared" si="141"/>
        <v>0.66701030927835026</v>
      </c>
      <c r="T70" s="89">
        <v>2.3041237113402042</v>
      </c>
      <c r="W70" s="12">
        <v>0.14499999999999999</v>
      </c>
      <c r="X70" s="12">
        <v>3.7999999999999999E-2</v>
      </c>
      <c r="Y70" s="12">
        <f t="shared" si="142"/>
        <v>0.10299999999999998</v>
      </c>
      <c r="Z70" s="12">
        <f t="shared" si="143"/>
        <v>1.6E-2</v>
      </c>
    </row>
    <row r="71" spans="1:27">
      <c r="A71" s="39" t="s">
        <v>806</v>
      </c>
      <c r="C71" s="12" t="s">
        <v>821</v>
      </c>
      <c r="G71" s="12" t="s">
        <v>822</v>
      </c>
      <c r="H71" s="12">
        <v>2</v>
      </c>
      <c r="I71" s="43">
        <v>2.3E-3</v>
      </c>
      <c r="J71" s="15">
        <v>9.7000000000000003E-3</v>
      </c>
      <c r="K71" s="12">
        <v>2.5999999999999999E-2</v>
      </c>
      <c r="L71" s="12">
        <v>2E-3</v>
      </c>
      <c r="M71" s="12">
        <f t="shared" ref="M71:M77" si="144">K71-L71*2</f>
        <v>2.1999999999999999E-2</v>
      </c>
      <c r="N71" s="12">
        <v>0.12100000000000002</v>
      </c>
      <c r="O71" s="12">
        <v>3.6000000000000004E-2</v>
      </c>
      <c r="P71" s="12">
        <f t="shared" ref="P71:P77" si="145">N71-O71*2</f>
        <v>4.9000000000000016E-2</v>
      </c>
      <c r="Q71" s="12">
        <f t="shared" ref="Q71:Q77" si="146">P71-M71</f>
        <v>2.7000000000000017E-2</v>
      </c>
      <c r="R71" s="12">
        <f t="shared" ref="R71:R77" si="147">(Q71-I71)/J71</f>
        <v>2.5463917525773212</v>
      </c>
      <c r="S71" s="12">
        <f t="shared" ref="S71:S77" si="148">R71*H71/10</f>
        <v>0.50927835051546422</v>
      </c>
      <c r="T71" s="89">
        <v>1.2731958762886606</v>
      </c>
      <c r="W71" s="12">
        <v>0.20699999999999999</v>
      </c>
      <c r="X71" s="12">
        <v>7.0000000000000007E-2</v>
      </c>
      <c r="Y71" s="12">
        <f t="shared" si="142"/>
        <v>0.16499999999999998</v>
      </c>
      <c r="Z71" s="12">
        <f t="shared" si="143"/>
        <v>4.8000000000000008E-2</v>
      </c>
    </row>
    <row r="72" spans="1:27">
      <c r="A72" s="39" t="s">
        <v>806</v>
      </c>
      <c r="C72" s="12" t="s">
        <v>823</v>
      </c>
      <c r="G72" s="12" t="s">
        <v>824</v>
      </c>
      <c r="H72" s="12">
        <v>2</v>
      </c>
      <c r="I72" s="43">
        <v>2.3E-3</v>
      </c>
      <c r="J72" s="15">
        <v>9.7000000000000003E-3</v>
      </c>
      <c r="K72" s="12">
        <v>2.5999999999999999E-2</v>
      </c>
      <c r="L72" s="12">
        <v>2E-3</v>
      </c>
      <c r="M72" s="12">
        <f t="shared" si="144"/>
        <v>2.1999999999999999E-2</v>
      </c>
      <c r="N72" s="12">
        <v>0.15600000000000003</v>
      </c>
      <c r="O72" s="12">
        <v>5.5999999999999994E-2</v>
      </c>
      <c r="P72" s="12">
        <f t="shared" si="145"/>
        <v>4.4000000000000039E-2</v>
      </c>
      <c r="Q72" s="12">
        <f t="shared" si="146"/>
        <v>2.200000000000004E-2</v>
      </c>
      <c r="R72" s="12">
        <f t="shared" si="147"/>
        <v>2.0309278350515503</v>
      </c>
      <c r="S72" s="12">
        <f t="shared" si="148"/>
        <v>0.40618556701031006</v>
      </c>
      <c r="T72" s="89">
        <v>1.0154639175257751</v>
      </c>
    </row>
    <row r="73" spans="1:27">
      <c r="A73" s="39" t="s">
        <v>806</v>
      </c>
      <c r="C73" s="12" t="s">
        <v>825</v>
      </c>
      <c r="G73" s="12" t="s">
        <v>826</v>
      </c>
      <c r="H73" s="12">
        <v>5</v>
      </c>
      <c r="I73" s="43">
        <v>2.3E-3</v>
      </c>
      <c r="J73" s="15">
        <v>9.7000000000000003E-3</v>
      </c>
      <c r="K73" s="12">
        <v>2.5999999999999999E-2</v>
      </c>
      <c r="L73" s="12">
        <v>2E-3</v>
      </c>
      <c r="M73" s="12">
        <f t="shared" si="144"/>
        <v>2.1999999999999999E-2</v>
      </c>
      <c r="N73" s="12">
        <v>0.16800000000000001</v>
      </c>
      <c r="O73" s="12">
        <v>6.8000000000000005E-2</v>
      </c>
      <c r="P73" s="12">
        <f t="shared" si="145"/>
        <v>3.2000000000000001E-2</v>
      </c>
      <c r="Q73" s="12">
        <f t="shared" si="146"/>
        <v>1.0000000000000002E-2</v>
      </c>
      <c r="R73" s="12">
        <f t="shared" si="147"/>
        <v>0.7938144329896909</v>
      </c>
      <c r="S73" s="12">
        <f t="shared" si="148"/>
        <v>0.39690721649484545</v>
      </c>
      <c r="T73" s="88">
        <v>0.39690721649484545</v>
      </c>
      <c r="W73" s="12">
        <v>7.8E-2</v>
      </c>
      <c r="X73" s="12">
        <v>3.6999999999999998E-2</v>
      </c>
      <c r="Y73" s="12">
        <f>W73-0.052</f>
        <v>2.6000000000000002E-2</v>
      </c>
      <c r="Z73" s="12">
        <f>X73-0.031</f>
        <v>5.9999999999999984E-3</v>
      </c>
    </row>
    <row r="74" spans="1:27">
      <c r="A74" s="39" t="s">
        <v>806</v>
      </c>
      <c r="C74" s="12" t="s">
        <v>827</v>
      </c>
      <c r="G74" s="12" t="s">
        <v>828</v>
      </c>
      <c r="H74" s="12">
        <v>2</v>
      </c>
      <c r="I74" s="43">
        <v>2.3E-3</v>
      </c>
      <c r="J74" s="15">
        <v>9.7000000000000003E-3</v>
      </c>
      <c r="K74" s="12">
        <v>2.5999999999999999E-2</v>
      </c>
      <c r="L74" s="12">
        <v>2E-3</v>
      </c>
      <c r="M74" s="12">
        <f t="shared" si="144"/>
        <v>2.1999999999999999E-2</v>
      </c>
      <c r="N74" s="12">
        <v>0.13</v>
      </c>
      <c r="O74" s="12">
        <v>3.8000000000000006E-2</v>
      </c>
      <c r="P74" s="12">
        <f t="shared" si="145"/>
        <v>5.3999999999999992E-2</v>
      </c>
      <c r="Q74" s="12">
        <f t="shared" si="146"/>
        <v>3.1999999999999994E-2</v>
      </c>
      <c r="R74" s="12">
        <f t="shared" si="147"/>
        <v>3.0618556701030921</v>
      </c>
      <c r="S74" s="12">
        <f t="shared" si="148"/>
        <v>0.61237113402061838</v>
      </c>
      <c r="T74" s="89">
        <v>1.5309278350515461</v>
      </c>
      <c r="W74" s="12">
        <v>0.16500000000000001</v>
      </c>
      <c r="X74" s="12">
        <v>6.7000000000000004E-2</v>
      </c>
      <c r="Y74" s="12">
        <f t="shared" ref="Y74:Y80" si="149">W74-0.052</f>
        <v>0.11300000000000002</v>
      </c>
      <c r="Z74" s="12">
        <f t="shared" ref="Z74:Z80" si="150">X74-0.031</f>
        <v>3.6000000000000004E-2</v>
      </c>
      <c r="AA74" s="12">
        <f>Y74+0.008</f>
        <v>0.12100000000000002</v>
      </c>
    </row>
    <row r="75" spans="1:27">
      <c r="A75" s="39" t="s">
        <v>806</v>
      </c>
      <c r="C75" s="12" t="s">
        <v>829</v>
      </c>
      <c r="G75" s="12" t="s">
        <v>830</v>
      </c>
      <c r="H75" s="12">
        <v>1</v>
      </c>
      <c r="I75" s="43">
        <v>2.3E-3</v>
      </c>
      <c r="J75" s="15">
        <v>9.7000000000000003E-3</v>
      </c>
      <c r="K75" s="12">
        <v>2.5999999999999999E-2</v>
      </c>
      <c r="L75" s="12">
        <v>2E-3</v>
      </c>
      <c r="M75" s="12">
        <f t="shared" si="144"/>
        <v>2.1999999999999999E-2</v>
      </c>
      <c r="N75" s="12">
        <v>0.157</v>
      </c>
      <c r="O75" s="12">
        <v>4.4999999999999998E-2</v>
      </c>
      <c r="P75" s="12">
        <f t="shared" si="145"/>
        <v>6.7000000000000004E-2</v>
      </c>
      <c r="Q75" s="12">
        <f t="shared" si="146"/>
        <v>4.5000000000000005E-2</v>
      </c>
      <c r="R75" s="12">
        <f t="shared" si="147"/>
        <v>4.4020618556701034</v>
      </c>
      <c r="S75" s="12">
        <f t="shared" si="148"/>
        <v>0.44020618556701036</v>
      </c>
      <c r="T75" s="89">
        <v>5.0360824742268058</v>
      </c>
      <c r="W75" s="12">
        <v>0.2</v>
      </c>
      <c r="X75" s="12">
        <v>8.6999999999999994E-2</v>
      </c>
      <c r="Y75" s="12">
        <f t="shared" si="149"/>
        <v>0.14800000000000002</v>
      </c>
      <c r="Z75" s="12">
        <f t="shared" si="150"/>
        <v>5.5999999999999994E-2</v>
      </c>
      <c r="AA75" s="12">
        <f t="shared" ref="AA75:AA80" si="151">Y75+0.008</f>
        <v>0.15600000000000003</v>
      </c>
    </row>
    <row r="76" spans="1:27">
      <c r="A76" s="39" t="s">
        <v>806</v>
      </c>
      <c r="C76" s="12" t="s">
        <v>831</v>
      </c>
      <c r="G76" s="12" t="s">
        <v>832</v>
      </c>
      <c r="H76" s="12">
        <v>1</v>
      </c>
      <c r="I76" s="43">
        <v>2.3E-3</v>
      </c>
      <c r="J76" s="15">
        <v>9.7000000000000003E-3</v>
      </c>
      <c r="K76" s="12">
        <v>2.5999999999999999E-2</v>
      </c>
      <c r="L76" s="12">
        <v>2E-3</v>
      </c>
      <c r="M76" s="12">
        <f t="shared" si="144"/>
        <v>2.1999999999999999E-2</v>
      </c>
      <c r="N76" s="12">
        <v>0.11400000000000002</v>
      </c>
      <c r="O76" s="12">
        <v>2.7999999999999997E-2</v>
      </c>
      <c r="P76" s="12">
        <f t="shared" si="145"/>
        <v>5.8000000000000024E-2</v>
      </c>
      <c r="Q76" s="12">
        <f t="shared" si="146"/>
        <v>3.6000000000000025E-2</v>
      </c>
      <c r="R76" s="12">
        <f t="shared" si="147"/>
        <v>3.4742268041237137</v>
      </c>
      <c r="S76" s="12">
        <f t="shared" si="148"/>
        <v>0.34742268041237134</v>
      </c>
      <c r="T76" s="89">
        <v>1.737113402061857</v>
      </c>
      <c r="W76" s="12">
        <v>0.21199999999999999</v>
      </c>
      <c r="X76" s="12">
        <v>9.9000000000000005E-2</v>
      </c>
      <c r="Y76" s="12">
        <f t="shared" si="149"/>
        <v>0.16</v>
      </c>
      <c r="Z76" s="12">
        <f t="shared" si="150"/>
        <v>6.8000000000000005E-2</v>
      </c>
      <c r="AA76" s="12">
        <f t="shared" si="151"/>
        <v>0.16800000000000001</v>
      </c>
    </row>
    <row r="77" spans="1:27">
      <c r="A77" s="39" t="s">
        <v>875</v>
      </c>
      <c r="C77" s="12" t="s">
        <v>876</v>
      </c>
      <c r="D77" s="12" t="s">
        <v>20</v>
      </c>
      <c r="H77" s="63">
        <v>5</v>
      </c>
      <c r="I77" s="43">
        <v>2.3E-3</v>
      </c>
      <c r="J77" s="15">
        <v>9.7000000000000003E-3</v>
      </c>
      <c r="K77" s="12">
        <v>2.5999999999999999E-2</v>
      </c>
      <c r="L77" s="12">
        <v>2E-3</v>
      </c>
      <c r="M77" s="12">
        <f t="shared" si="144"/>
        <v>2.1999999999999999E-2</v>
      </c>
      <c r="N77" s="77">
        <v>0.11899999999999999</v>
      </c>
      <c r="O77" s="77">
        <v>5.0000000000000001E-3</v>
      </c>
      <c r="P77" s="12">
        <f t="shared" si="145"/>
        <v>0.109</v>
      </c>
      <c r="Q77" s="12">
        <f t="shared" si="146"/>
        <v>8.6999999999999994E-2</v>
      </c>
      <c r="R77" s="12">
        <f t="shared" si="147"/>
        <v>8.7319587628865971</v>
      </c>
      <c r="S77" s="92">
        <f t="shared" si="148"/>
        <v>4.3659793814432986</v>
      </c>
    </row>
    <row r="78" spans="1:27">
      <c r="A78" s="39"/>
      <c r="C78" s="12" t="s">
        <v>833</v>
      </c>
      <c r="D78" s="12" t="s">
        <v>734</v>
      </c>
      <c r="H78" s="63">
        <v>5</v>
      </c>
      <c r="I78" s="43">
        <v>2.3E-3</v>
      </c>
      <c r="J78" s="15">
        <v>9.7000000000000003E-3</v>
      </c>
      <c r="K78" s="12">
        <v>2.5999999999999999E-2</v>
      </c>
      <c r="L78" s="12">
        <v>2E-3</v>
      </c>
      <c r="M78" s="12">
        <f t="shared" ref="M78:M84" si="152">K78-L78*2</f>
        <v>2.1999999999999999E-2</v>
      </c>
      <c r="N78" s="77">
        <v>0.307</v>
      </c>
      <c r="O78" s="77">
        <v>1.0999999999999999E-2</v>
      </c>
      <c r="P78" s="12">
        <f>N78-O78*2</f>
        <v>0.28499999999999998</v>
      </c>
      <c r="Q78" s="12">
        <f>P78-M78</f>
        <v>0.26299999999999996</v>
      </c>
      <c r="R78" s="12">
        <f>(Q78-I78)/J78</f>
        <v>26.876288659793808</v>
      </c>
      <c r="S78" s="16">
        <f>R78*H78/10</f>
        <v>13.438144329896904</v>
      </c>
      <c r="W78" s="12">
        <v>0.17399999999999999</v>
      </c>
      <c r="X78" s="12">
        <v>6.9000000000000006E-2</v>
      </c>
      <c r="Y78" s="12">
        <f t="shared" si="149"/>
        <v>0.122</v>
      </c>
      <c r="Z78" s="12">
        <f t="shared" si="150"/>
        <v>3.8000000000000006E-2</v>
      </c>
      <c r="AA78" s="12">
        <f t="shared" si="151"/>
        <v>0.13</v>
      </c>
    </row>
    <row r="79" spans="1:27">
      <c r="A79" s="39"/>
      <c r="C79" s="12" t="s">
        <v>834</v>
      </c>
      <c r="D79" s="12" t="s">
        <v>728</v>
      </c>
      <c r="H79" s="63">
        <v>5</v>
      </c>
      <c r="I79" s="43">
        <v>2.3E-3</v>
      </c>
      <c r="J79" s="15">
        <v>9.7000000000000003E-3</v>
      </c>
      <c r="K79" s="12">
        <v>2.5999999999999999E-2</v>
      </c>
      <c r="L79" s="12">
        <v>2E-3</v>
      </c>
      <c r="M79" s="12">
        <f t="shared" si="152"/>
        <v>2.1999999999999999E-2</v>
      </c>
      <c r="N79" s="77">
        <v>0.21099999999999999</v>
      </c>
      <c r="O79" s="77">
        <v>5.0000000000000001E-3</v>
      </c>
      <c r="P79" s="12">
        <f t="shared" ref="P79" si="153">N79-O79*2</f>
        <v>0.20099999999999998</v>
      </c>
      <c r="Q79" s="12">
        <f t="shared" ref="Q79" si="154">P79-M79</f>
        <v>0.17899999999999999</v>
      </c>
      <c r="R79" s="12">
        <f t="shared" ref="R79" si="155">(Q79-I79)/J79</f>
        <v>18.216494845360824</v>
      </c>
      <c r="S79" s="12">
        <f t="shared" ref="S79" si="156">R79*H79/10</f>
        <v>9.108247422680412</v>
      </c>
      <c r="W79" s="12">
        <v>0.25600000000000001</v>
      </c>
      <c r="X79" s="12">
        <v>7.5999999999999998E-2</v>
      </c>
      <c r="Y79" s="12">
        <f t="shared" si="149"/>
        <v>0.20400000000000001</v>
      </c>
      <c r="Z79" s="12">
        <f t="shared" si="150"/>
        <v>4.4999999999999998E-2</v>
      </c>
      <c r="AA79" s="12">
        <f t="shared" si="151"/>
        <v>0.21200000000000002</v>
      </c>
    </row>
    <row r="80" spans="1:27">
      <c r="A80" s="39"/>
      <c r="C80" s="12" t="s">
        <v>835</v>
      </c>
      <c r="D80" s="12" t="s">
        <v>736</v>
      </c>
      <c r="H80" s="63">
        <v>5</v>
      </c>
      <c r="I80" s="43">
        <v>2.3E-3</v>
      </c>
      <c r="J80" s="15">
        <v>9.7000000000000003E-3</v>
      </c>
      <c r="K80" s="12">
        <v>2.5999999999999999E-2</v>
      </c>
      <c r="L80" s="12">
        <v>2E-3</v>
      </c>
      <c r="M80" s="12">
        <f t="shared" si="152"/>
        <v>2.1999999999999999E-2</v>
      </c>
      <c r="N80" s="77">
        <v>0.16800000000000001</v>
      </c>
      <c r="O80" s="77">
        <v>6.0000000000000001E-3</v>
      </c>
      <c r="P80" s="12">
        <f>N80-O80*2</f>
        <v>0.156</v>
      </c>
      <c r="Q80" s="12">
        <f>P80-M80</f>
        <v>0.13400000000000001</v>
      </c>
      <c r="R80" s="12">
        <f>(Q80-I80)/J80</f>
        <v>13.577319587628867</v>
      </c>
      <c r="S80" s="12">
        <f>R80*H80/10</f>
        <v>6.7886597938144337</v>
      </c>
      <c r="W80" s="12">
        <v>0.158</v>
      </c>
      <c r="X80" s="12">
        <v>5.8999999999999997E-2</v>
      </c>
      <c r="Y80" s="12">
        <f t="shared" si="149"/>
        <v>0.10600000000000001</v>
      </c>
      <c r="Z80" s="12">
        <f t="shared" si="150"/>
        <v>2.7999999999999997E-2</v>
      </c>
      <c r="AA80" s="12">
        <f t="shared" si="151"/>
        <v>0.11400000000000002</v>
      </c>
    </row>
    <row r="81" spans="1:19">
      <c r="A81" s="39"/>
      <c r="C81" s="12" t="s">
        <v>836</v>
      </c>
      <c r="D81" s="12" t="s">
        <v>730</v>
      </c>
      <c r="H81" s="63">
        <v>10</v>
      </c>
      <c r="I81" s="43">
        <v>2.3E-3</v>
      </c>
      <c r="J81" s="15">
        <v>9.7000000000000003E-3</v>
      </c>
      <c r="K81" s="12">
        <v>2.5999999999999999E-2</v>
      </c>
      <c r="L81" s="12">
        <v>2E-3</v>
      </c>
      <c r="M81" s="12">
        <f t="shared" si="152"/>
        <v>2.1999999999999999E-2</v>
      </c>
      <c r="N81" s="77">
        <v>0.23200000000000001</v>
      </c>
      <c r="O81" s="77">
        <v>5.0000000000000001E-3</v>
      </c>
      <c r="P81" s="12">
        <f>N81-O81*2</f>
        <v>0.222</v>
      </c>
      <c r="Q81" s="12">
        <f>P81-M81</f>
        <v>0.2</v>
      </c>
      <c r="R81" s="12">
        <f>(Q81-I81)/J81</f>
        <v>20.381443298969074</v>
      </c>
      <c r="S81" s="12">
        <f>R81*H81/10</f>
        <v>20.381443298969074</v>
      </c>
    </row>
    <row r="82" spans="1:19">
      <c r="A82" s="39"/>
      <c r="C82" s="12" t="s">
        <v>837</v>
      </c>
      <c r="D82" s="12" t="s">
        <v>732</v>
      </c>
      <c r="H82" s="63">
        <v>10</v>
      </c>
      <c r="I82" s="43">
        <v>2.3E-3</v>
      </c>
      <c r="J82" s="15">
        <v>9.7000000000000003E-3</v>
      </c>
      <c r="K82" s="12">
        <v>2.5999999999999999E-2</v>
      </c>
      <c r="L82" s="12">
        <v>2E-3</v>
      </c>
      <c r="M82" s="12">
        <f t="shared" si="152"/>
        <v>2.1999999999999999E-2</v>
      </c>
      <c r="N82" s="77">
        <v>0.23400000000000001</v>
      </c>
      <c r="O82" s="77">
        <v>6.0000000000000001E-3</v>
      </c>
      <c r="P82" s="12">
        <f>N82-O82*2</f>
        <v>0.222</v>
      </c>
      <c r="Q82" s="12">
        <f>P82-M82</f>
        <v>0.2</v>
      </c>
      <c r="R82" s="12">
        <f>(Q82-I82)/J82</f>
        <v>20.381443298969074</v>
      </c>
      <c r="S82" s="12">
        <f>R82*H82/10</f>
        <v>20.381443298969074</v>
      </c>
    </row>
    <row r="83" spans="1:19">
      <c r="A83" s="39"/>
      <c r="C83" s="12" t="s">
        <v>838</v>
      </c>
      <c r="D83" s="12" t="s">
        <v>660</v>
      </c>
      <c r="H83" s="63">
        <v>5</v>
      </c>
      <c r="I83" s="43">
        <v>2.3E-3</v>
      </c>
      <c r="J83" s="15">
        <v>9.7000000000000003E-3</v>
      </c>
      <c r="K83" s="12">
        <v>2.5999999999999999E-2</v>
      </c>
      <c r="L83" s="12">
        <v>2E-3</v>
      </c>
      <c r="M83" s="12">
        <f t="shared" si="152"/>
        <v>2.1999999999999999E-2</v>
      </c>
      <c r="N83" s="77">
        <v>0.14799999999999999</v>
      </c>
      <c r="O83" s="77">
        <v>6.0000000000000001E-3</v>
      </c>
      <c r="P83" s="12">
        <f>N83-O83*2</f>
        <v>0.13599999999999998</v>
      </c>
      <c r="Q83" s="12">
        <f>P83-M83</f>
        <v>0.11399999999999999</v>
      </c>
      <c r="R83" s="12">
        <f>(Q83-I83)/J83</f>
        <v>11.515463917525771</v>
      </c>
      <c r="S83" s="12">
        <f>R83*H83/10</f>
        <v>5.7577319587628857</v>
      </c>
    </row>
    <row r="84" spans="1:19">
      <c r="A84" s="39" t="s">
        <v>841</v>
      </c>
      <c r="B84" s="13">
        <v>43966</v>
      </c>
      <c r="C84" s="12" t="s">
        <v>842</v>
      </c>
      <c r="D84" s="12" t="s">
        <v>843</v>
      </c>
      <c r="F84" s="12" t="s">
        <v>873</v>
      </c>
      <c r="H84" s="15">
        <v>100</v>
      </c>
      <c r="I84" s="43">
        <v>2.3E-3</v>
      </c>
      <c r="J84" s="15">
        <v>9.7000000000000003E-3</v>
      </c>
      <c r="K84" s="15">
        <v>2.8000000000000001E-2</v>
      </c>
      <c r="L84" s="15">
        <v>2E-3</v>
      </c>
      <c r="M84" s="12">
        <f t="shared" si="152"/>
        <v>2.4E-2</v>
      </c>
      <c r="N84" s="77">
        <v>0.13500000000000001</v>
      </c>
      <c r="O84" s="77">
        <v>5.0000000000000001E-3</v>
      </c>
      <c r="P84" s="12">
        <f t="shared" ref="P84" si="157">N84-O84*2</f>
        <v>0.125</v>
      </c>
      <c r="Q84" s="12">
        <f t="shared" ref="Q84" si="158">P84-M84</f>
        <v>0.10100000000000001</v>
      </c>
      <c r="R84" s="12">
        <f t="shared" ref="R84" si="159">(Q84-I84)/J84</f>
        <v>10.175257731958764</v>
      </c>
      <c r="S84" s="12">
        <f t="shared" ref="S84" si="160">R84*H84/10</f>
        <v>101.75257731958763</v>
      </c>
    </row>
    <row r="85" spans="1:19">
      <c r="A85" s="39" t="s">
        <v>844</v>
      </c>
      <c r="B85" s="12" t="s">
        <v>882</v>
      </c>
      <c r="C85" s="12" t="s">
        <v>845</v>
      </c>
      <c r="D85" s="12" t="s">
        <v>843</v>
      </c>
      <c r="F85" s="12" t="s">
        <v>874</v>
      </c>
      <c r="H85" s="63">
        <v>2</v>
      </c>
      <c r="I85" s="43">
        <v>2.3E-3</v>
      </c>
      <c r="J85" s="15">
        <v>9.7000000000000003E-3</v>
      </c>
      <c r="K85" s="12">
        <v>2.8000000000000001E-2</v>
      </c>
      <c r="L85" s="12">
        <v>2E-3</v>
      </c>
      <c r="M85" s="12">
        <f t="shared" ref="M85" si="161">K85-L85*2</f>
        <v>2.4E-2</v>
      </c>
      <c r="N85" s="77">
        <v>0.22900000000000001</v>
      </c>
      <c r="O85" s="77">
        <v>2E-3</v>
      </c>
      <c r="P85" s="12">
        <f>N85-O85*2</f>
        <v>0.22500000000000001</v>
      </c>
      <c r="Q85" s="12">
        <f>P85-M85</f>
        <v>0.20100000000000001</v>
      </c>
      <c r="R85" s="12">
        <f>(Q85-I85)/J85</f>
        <v>20.484536082474229</v>
      </c>
      <c r="S85" s="12">
        <f>R85*H85/10</f>
        <v>4.0969072164948459</v>
      </c>
    </row>
    <row r="86" spans="1:19">
      <c r="A86" s="39" t="s">
        <v>806</v>
      </c>
      <c r="C86" s="12" t="s">
        <v>846</v>
      </c>
      <c r="D86" s="12" t="s">
        <v>808</v>
      </c>
      <c r="F86" s="12" t="s">
        <v>809</v>
      </c>
      <c r="G86" s="12" t="s">
        <v>810</v>
      </c>
      <c r="H86" s="12">
        <v>2</v>
      </c>
      <c r="I86" s="43">
        <v>2.3E-3</v>
      </c>
      <c r="J86" s="15">
        <v>9.7000000000000003E-3</v>
      </c>
      <c r="K86" s="12">
        <v>2.8000000000000001E-2</v>
      </c>
      <c r="L86" s="12">
        <v>2E-3</v>
      </c>
      <c r="M86" s="12">
        <f t="shared" ref="M86:M97" si="162">K86-L86*2</f>
        <v>2.4E-2</v>
      </c>
      <c r="N86" s="12">
        <v>0.115</v>
      </c>
      <c r="O86" s="12">
        <v>2.5999999999999999E-2</v>
      </c>
      <c r="P86" s="12">
        <f t="shared" ref="P86:P97" si="163">N86-O86*2</f>
        <v>6.3E-2</v>
      </c>
      <c r="Q86" s="12">
        <f t="shared" ref="Q86:Q97" si="164">P86-M86</f>
        <v>3.9E-2</v>
      </c>
      <c r="R86" s="12">
        <f t="shared" ref="R86:R97" si="165">(Q86-I86)/J86</f>
        <v>3.7835051546391747</v>
      </c>
      <c r="S86" s="12">
        <f t="shared" ref="S86:S97" si="166">R86*H86/10</f>
        <v>0.75670103092783492</v>
      </c>
    </row>
    <row r="87" spans="1:19">
      <c r="A87" s="39" t="s">
        <v>806</v>
      </c>
      <c r="C87" s="12" t="s">
        <v>847</v>
      </c>
      <c r="G87" s="12" t="s">
        <v>812</v>
      </c>
      <c r="H87" s="12">
        <v>1</v>
      </c>
      <c r="I87" s="43">
        <v>2.3E-3</v>
      </c>
      <c r="J87" s="15">
        <v>9.7000000000000003E-3</v>
      </c>
      <c r="K87" s="12">
        <v>2.8000000000000001E-2</v>
      </c>
      <c r="L87" s="12">
        <v>2E-3</v>
      </c>
      <c r="M87" s="12">
        <f t="shared" si="162"/>
        <v>2.4E-2</v>
      </c>
      <c r="N87" s="12">
        <v>0.128</v>
      </c>
      <c r="O87" s="12">
        <v>1.4E-2</v>
      </c>
      <c r="P87" s="12">
        <f t="shared" si="163"/>
        <v>0.1</v>
      </c>
      <c r="Q87" s="12">
        <f t="shared" si="164"/>
        <v>7.6000000000000012E-2</v>
      </c>
      <c r="R87" s="12">
        <f t="shared" si="165"/>
        <v>7.5979381443298983</v>
      </c>
      <c r="S87" s="12">
        <f t="shared" si="166"/>
        <v>0.75979381443298988</v>
      </c>
    </row>
    <row r="88" spans="1:19">
      <c r="A88" s="39" t="s">
        <v>806</v>
      </c>
      <c r="C88" s="12" t="s">
        <v>848</v>
      </c>
      <c r="G88" s="12" t="s">
        <v>814</v>
      </c>
      <c r="H88" s="12">
        <v>1</v>
      </c>
      <c r="I88" s="43">
        <v>2.3E-3</v>
      </c>
      <c r="J88" s="15">
        <v>9.7000000000000003E-3</v>
      </c>
      <c r="K88" s="12">
        <v>2.8000000000000001E-2</v>
      </c>
      <c r="L88" s="12">
        <v>2E-3</v>
      </c>
      <c r="M88" s="12">
        <f t="shared" si="162"/>
        <v>2.4E-2</v>
      </c>
      <c r="N88" s="12">
        <v>0.128</v>
      </c>
      <c r="O88" s="12">
        <v>1.4999999999999999E-2</v>
      </c>
      <c r="P88" s="12">
        <f t="shared" si="163"/>
        <v>9.8000000000000004E-2</v>
      </c>
      <c r="Q88" s="12">
        <f t="shared" si="164"/>
        <v>7.400000000000001E-2</v>
      </c>
      <c r="R88" s="12">
        <f t="shared" si="165"/>
        <v>7.3917525773195889</v>
      </c>
      <c r="S88" s="12">
        <f t="shared" si="166"/>
        <v>0.73917525773195891</v>
      </c>
    </row>
    <row r="89" spans="1:19">
      <c r="A89" s="39" t="s">
        <v>806</v>
      </c>
      <c r="C89" s="12" t="s">
        <v>849</v>
      </c>
      <c r="G89" s="12" t="s">
        <v>816</v>
      </c>
      <c r="H89" s="12">
        <v>1</v>
      </c>
      <c r="I89" s="43">
        <v>2.3E-3</v>
      </c>
      <c r="J89" s="15">
        <v>9.7000000000000003E-3</v>
      </c>
      <c r="K89" s="12">
        <v>2.8000000000000001E-2</v>
      </c>
      <c r="L89" s="12">
        <v>2E-3</v>
      </c>
      <c r="M89" s="12">
        <f t="shared" si="162"/>
        <v>2.4E-2</v>
      </c>
      <c r="N89" s="12">
        <v>0.11799999999999999</v>
      </c>
      <c r="O89" s="12">
        <v>1.2999999999999999E-2</v>
      </c>
      <c r="P89" s="12">
        <f t="shared" si="163"/>
        <v>9.1999999999999998E-2</v>
      </c>
      <c r="Q89" s="12">
        <f t="shared" si="164"/>
        <v>6.8000000000000005E-2</v>
      </c>
      <c r="R89" s="12">
        <f t="shared" si="165"/>
        <v>6.7731958762886606</v>
      </c>
      <c r="S89" s="12">
        <f t="shared" si="166"/>
        <v>0.67731958762886602</v>
      </c>
    </row>
    <row r="90" spans="1:19">
      <c r="A90" s="39" t="s">
        <v>806</v>
      </c>
      <c r="C90" s="12" t="s">
        <v>850</v>
      </c>
      <c r="G90" s="12" t="s">
        <v>818</v>
      </c>
      <c r="H90" s="12">
        <v>1</v>
      </c>
      <c r="I90" s="43">
        <v>2.3E-3</v>
      </c>
      <c r="J90" s="15">
        <v>9.7000000000000003E-3</v>
      </c>
      <c r="K90" s="12">
        <v>2.8000000000000001E-2</v>
      </c>
      <c r="L90" s="12">
        <v>2E-3</v>
      </c>
      <c r="M90" s="12">
        <f t="shared" si="162"/>
        <v>2.4E-2</v>
      </c>
      <c r="N90" s="12">
        <v>0.13200000000000001</v>
      </c>
      <c r="O90" s="12">
        <v>1.7000000000000001E-2</v>
      </c>
      <c r="P90" s="12">
        <f t="shared" si="163"/>
        <v>9.8000000000000004E-2</v>
      </c>
      <c r="Q90" s="12">
        <f t="shared" si="164"/>
        <v>7.400000000000001E-2</v>
      </c>
      <c r="R90" s="12">
        <f t="shared" si="165"/>
        <v>7.3917525773195889</v>
      </c>
      <c r="S90" s="12">
        <f t="shared" si="166"/>
        <v>0.73917525773195891</v>
      </c>
    </row>
    <row r="91" spans="1:19">
      <c r="A91" s="39" t="s">
        <v>806</v>
      </c>
      <c r="C91" s="12" t="s">
        <v>851</v>
      </c>
      <c r="G91" s="12" t="s">
        <v>820</v>
      </c>
      <c r="H91" s="12">
        <v>1</v>
      </c>
      <c r="I91" s="43">
        <v>2.3E-3</v>
      </c>
      <c r="J91" s="15">
        <v>9.7000000000000003E-3</v>
      </c>
      <c r="K91" s="12">
        <v>2.8000000000000001E-2</v>
      </c>
      <c r="L91" s="12">
        <v>2E-3</v>
      </c>
      <c r="M91" s="12">
        <f t="shared" si="162"/>
        <v>2.4E-2</v>
      </c>
      <c r="N91" s="12">
        <v>0.19900000000000001</v>
      </c>
      <c r="O91" s="12">
        <v>5.0999999999999997E-2</v>
      </c>
      <c r="P91" s="12">
        <f t="shared" si="163"/>
        <v>9.7000000000000017E-2</v>
      </c>
      <c r="Q91" s="12">
        <f t="shared" si="164"/>
        <v>7.3000000000000009E-2</v>
      </c>
      <c r="R91" s="12">
        <f t="shared" si="165"/>
        <v>7.2886597938144337</v>
      </c>
      <c r="S91" s="12">
        <f t="shared" si="166"/>
        <v>0.72886597938144337</v>
      </c>
    </row>
    <row r="92" spans="1:19">
      <c r="A92" s="39" t="s">
        <v>806</v>
      </c>
      <c r="C92" s="12" t="s">
        <v>852</v>
      </c>
      <c r="G92" s="12" t="s">
        <v>822</v>
      </c>
      <c r="H92" s="12">
        <v>2</v>
      </c>
      <c r="I92" s="43">
        <v>2.3E-3</v>
      </c>
      <c r="J92" s="15">
        <v>9.7000000000000003E-3</v>
      </c>
      <c r="K92" s="12">
        <v>2.8000000000000001E-2</v>
      </c>
      <c r="L92" s="12">
        <v>2E-3</v>
      </c>
      <c r="M92" s="12">
        <f t="shared" si="162"/>
        <v>2.4E-2</v>
      </c>
      <c r="N92" s="12">
        <v>0.11600000000000001</v>
      </c>
      <c r="O92" s="12">
        <v>3.4000000000000002E-2</v>
      </c>
      <c r="P92" s="12">
        <f t="shared" si="163"/>
        <v>4.8000000000000001E-2</v>
      </c>
      <c r="Q92" s="12">
        <f t="shared" si="164"/>
        <v>2.4E-2</v>
      </c>
      <c r="R92" s="12">
        <f t="shared" si="165"/>
        <v>2.2371134020618557</v>
      </c>
      <c r="S92" s="12">
        <f t="shared" si="166"/>
        <v>0.44742268041237115</v>
      </c>
    </row>
    <row r="93" spans="1:19">
      <c r="A93" s="39" t="s">
        <v>806</v>
      </c>
      <c r="C93" s="12" t="s">
        <v>853</v>
      </c>
      <c r="G93" s="12" t="s">
        <v>824</v>
      </c>
      <c r="H93" s="12">
        <v>2</v>
      </c>
      <c r="I93" s="43">
        <v>2.3E-3</v>
      </c>
      <c r="J93" s="15">
        <v>9.7000000000000003E-3</v>
      </c>
      <c r="K93" s="12">
        <v>2.8000000000000001E-2</v>
      </c>
      <c r="L93" s="12">
        <v>2E-3</v>
      </c>
      <c r="M93" s="12">
        <f t="shared" si="162"/>
        <v>2.4E-2</v>
      </c>
      <c r="N93" s="12">
        <v>0.16800000000000001</v>
      </c>
      <c r="O93" s="12">
        <v>5.5E-2</v>
      </c>
      <c r="P93" s="12">
        <f t="shared" si="163"/>
        <v>5.800000000000001E-2</v>
      </c>
      <c r="Q93" s="12">
        <f t="shared" si="164"/>
        <v>3.4000000000000009E-2</v>
      </c>
      <c r="R93" s="12">
        <f t="shared" si="165"/>
        <v>3.2680412371134024</v>
      </c>
      <c r="S93" s="12">
        <f t="shared" si="166"/>
        <v>0.65360824742268053</v>
      </c>
    </row>
    <row r="94" spans="1:19">
      <c r="A94" s="39" t="s">
        <v>806</v>
      </c>
      <c r="C94" s="12" t="s">
        <v>854</v>
      </c>
      <c r="G94" s="12" t="s">
        <v>826</v>
      </c>
      <c r="H94" s="12">
        <v>5</v>
      </c>
      <c r="I94" s="43">
        <v>2.3E-3</v>
      </c>
      <c r="J94" s="15">
        <v>9.7000000000000003E-3</v>
      </c>
      <c r="K94" s="12">
        <v>2.8000000000000001E-2</v>
      </c>
      <c r="L94" s="12">
        <v>2E-3</v>
      </c>
      <c r="M94" s="12">
        <f t="shared" si="162"/>
        <v>2.4E-2</v>
      </c>
      <c r="N94" s="12">
        <v>0.17199999999999999</v>
      </c>
      <c r="O94" s="12">
        <v>6.5000000000000002E-2</v>
      </c>
      <c r="P94" s="12">
        <f t="shared" si="163"/>
        <v>4.1999999999999982E-2</v>
      </c>
      <c r="Q94" s="12">
        <f t="shared" si="164"/>
        <v>1.7999999999999981E-2</v>
      </c>
      <c r="R94" s="12">
        <f t="shared" si="165"/>
        <v>1.6185567010309259</v>
      </c>
      <c r="S94" s="12">
        <f t="shared" si="166"/>
        <v>0.80927835051546304</v>
      </c>
    </row>
    <row r="95" spans="1:19">
      <c r="A95" s="39" t="s">
        <v>806</v>
      </c>
      <c r="C95" s="12" t="s">
        <v>855</v>
      </c>
      <c r="G95" s="12" t="s">
        <v>828</v>
      </c>
      <c r="H95" s="12">
        <v>2</v>
      </c>
      <c r="I95" s="43">
        <v>2.3E-3</v>
      </c>
      <c r="J95" s="15">
        <v>9.7000000000000003E-3</v>
      </c>
      <c r="K95" s="12">
        <v>2.8000000000000001E-2</v>
      </c>
      <c r="L95" s="12">
        <v>2E-3</v>
      </c>
      <c r="M95" s="12">
        <f t="shared" si="162"/>
        <v>2.4E-2</v>
      </c>
      <c r="N95" s="12">
        <v>0.14399999999999999</v>
      </c>
      <c r="O95" s="12">
        <v>4.1000000000000002E-2</v>
      </c>
      <c r="P95" s="12">
        <f t="shared" si="163"/>
        <v>6.1999999999999986E-2</v>
      </c>
      <c r="Q95" s="12">
        <f t="shared" si="164"/>
        <v>3.7999999999999985E-2</v>
      </c>
      <c r="R95" s="12">
        <f t="shared" si="165"/>
        <v>3.6804123711340186</v>
      </c>
      <c r="S95" s="12">
        <f t="shared" si="166"/>
        <v>0.73608247422680373</v>
      </c>
    </row>
    <row r="96" spans="1:19">
      <c r="A96" s="39" t="s">
        <v>806</v>
      </c>
      <c r="C96" s="12" t="s">
        <v>856</v>
      </c>
      <c r="G96" s="12" t="s">
        <v>830</v>
      </c>
      <c r="H96" s="12">
        <v>1</v>
      </c>
      <c r="I96" s="43">
        <v>2.3E-3</v>
      </c>
      <c r="J96" s="15">
        <v>9.7000000000000003E-3</v>
      </c>
      <c r="K96" s="12">
        <v>2.8000000000000001E-2</v>
      </c>
      <c r="L96" s="12">
        <v>2E-3</v>
      </c>
      <c r="M96" s="12">
        <f t="shared" si="162"/>
        <v>2.4E-2</v>
      </c>
      <c r="N96" s="12">
        <v>0.14699999999999999</v>
      </c>
      <c r="O96" s="12">
        <v>3.5000000000000003E-2</v>
      </c>
      <c r="P96" s="12">
        <f t="shared" si="163"/>
        <v>7.6999999999999985E-2</v>
      </c>
      <c r="Q96" s="12">
        <f t="shared" si="164"/>
        <v>5.2999999999999985E-2</v>
      </c>
      <c r="R96" s="12">
        <f t="shared" si="165"/>
        <v>5.2268041237113385</v>
      </c>
      <c r="S96" s="12">
        <f t="shared" si="166"/>
        <v>0.52268041237113383</v>
      </c>
    </row>
    <row r="97" spans="1:19">
      <c r="A97" s="39" t="s">
        <v>806</v>
      </c>
      <c r="C97" s="12" t="s">
        <v>857</v>
      </c>
      <c r="G97" s="12" t="s">
        <v>832</v>
      </c>
      <c r="H97" s="12">
        <v>1</v>
      </c>
      <c r="I97" s="43">
        <v>2.3E-3</v>
      </c>
      <c r="J97" s="15">
        <v>9.7000000000000003E-3</v>
      </c>
      <c r="K97" s="12">
        <v>2.8000000000000001E-2</v>
      </c>
      <c r="L97" s="12">
        <v>2E-3</v>
      </c>
      <c r="M97" s="12">
        <f t="shared" si="162"/>
        <v>2.4E-2</v>
      </c>
      <c r="N97" s="12">
        <v>0.122</v>
      </c>
      <c r="O97" s="12">
        <v>2.7E-2</v>
      </c>
      <c r="P97" s="12">
        <f t="shared" si="163"/>
        <v>6.8000000000000005E-2</v>
      </c>
      <c r="Q97" s="12">
        <f t="shared" si="164"/>
        <v>4.4000000000000004E-2</v>
      </c>
      <c r="R97" s="12">
        <f t="shared" si="165"/>
        <v>4.2989690721649483</v>
      </c>
      <c r="S97" s="12">
        <f t="shared" si="166"/>
        <v>0.42989690721649482</v>
      </c>
    </row>
    <row r="98" spans="1:19">
      <c r="A98" s="39" t="s">
        <v>841</v>
      </c>
      <c r="C98" s="12" t="s">
        <v>858</v>
      </c>
      <c r="D98" s="12" t="s">
        <v>598</v>
      </c>
      <c r="H98" s="63">
        <v>1</v>
      </c>
      <c r="I98" s="43">
        <v>2.3E-3</v>
      </c>
      <c r="J98" s="15">
        <v>9.7000000000000003E-3</v>
      </c>
      <c r="K98" s="12">
        <v>2.8000000000000001E-2</v>
      </c>
      <c r="L98" s="12">
        <v>2E-3</v>
      </c>
      <c r="M98" s="12">
        <f t="shared" ref="M98:M110" si="167">K98-L98*2</f>
        <v>2.4E-2</v>
      </c>
      <c r="N98" s="77">
        <v>0.184</v>
      </c>
      <c r="O98" s="77">
        <v>5.0000000000000001E-3</v>
      </c>
      <c r="P98" s="12">
        <f>N98-O98*2</f>
        <v>0.17399999999999999</v>
      </c>
      <c r="Q98" s="12">
        <f>P98-M98</f>
        <v>0.15</v>
      </c>
      <c r="R98" s="12">
        <f>(Q98-I98)/J98</f>
        <v>15.226804123711339</v>
      </c>
      <c r="S98" s="12">
        <f>R98*H98/10</f>
        <v>1.5226804123711339</v>
      </c>
    </row>
    <row r="99" spans="1:19">
      <c r="A99" s="39" t="s">
        <v>806</v>
      </c>
      <c r="C99" s="12" t="s">
        <v>859</v>
      </c>
      <c r="D99" s="12" t="s">
        <v>808</v>
      </c>
      <c r="F99" s="12" t="s">
        <v>809</v>
      </c>
      <c r="G99" s="12" t="s">
        <v>810</v>
      </c>
      <c r="H99" s="12">
        <v>2</v>
      </c>
      <c r="I99" s="43">
        <v>2.3E-3</v>
      </c>
      <c r="J99" s="15">
        <v>9.7000000000000003E-3</v>
      </c>
      <c r="K99" s="12">
        <v>2.8000000000000001E-2</v>
      </c>
      <c r="L99" s="12">
        <v>2E-3</v>
      </c>
      <c r="M99" s="12">
        <f t="shared" si="167"/>
        <v>2.4E-2</v>
      </c>
      <c r="N99" s="12">
        <v>0.108</v>
      </c>
      <c r="O99" s="12">
        <v>2.1999999999999999E-2</v>
      </c>
      <c r="P99" s="12">
        <f t="shared" ref="P99:P110" si="168">N99-O99*2</f>
        <v>6.4000000000000001E-2</v>
      </c>
      <c r="Q99" s="12">
        <f t="shared" ref="Q99:Q110" si="169">P99-M99</f>
        <v>0.04</v>
      </c>
      <c r="R99" s="12">
        <f t="shared" ref="R99:R110" si="170">(Q99-I99)/J99</f>
        <v>3.8865979381443294</v>
      </c>
      <c r="S99" s="12">
        <f t="shared" ref="S99:S110" si="171">R99*H99/10</f>
        <v>0.77731958762886588</v>
      </c>
    </row>
    <row r="100" spans="1:19">
      <c r="A100" s="39" t="s">
        <v>806</v>
      </c>
      <c r="C100" s="12" t="s">
        <v>860</v>
      </c>
      <c r="G100" s="12" t="s">
        <v>812</v>
      </c>
      <c r="H100" s="12">
        <v>1</v>
      </c>
      <c r="I100" s="43">
        <v>2.3E-3</v>
      </c>
      <c r="J100" s="15">
        <v>9.7000000000000003E-3</v>
      </c>
      <c r="K100" s="12">
        <v>2.8000000000000001E-2</v>
      </c>
      <c r="L100" s="12">
        <v>2E-3</v>
      </c>
      <c r="M100" s="12">
        <f t="shared" si="167"/>
        <v>2.4E-2</v>
      </c>
      <c r="N100" s="12">
        <v>0.11700000000000001</v>
      </c>
      <c r="O100" s="12">
        <v>1.4999999999999999E-2</v>
      </c>
      <c r="P100" s="12">
        <f t="shared" si="168"/>
        <v>8.7000000000000008E-2</v>
      </c>
      <c r="Q100" s="12">
        <f t="shared" si="169"/>
        <v>6.3E-2</v>
      </c>
      <c r="R100" s="12">
        <f t="shared" si="170"/>
        <v>6.2577319587628866</v>
      </c>
      <c r="S100" s="12">
        <f t="shared" si="171"/>
        <v>0.62577319587628866</v>
      </c>
    </row>
    <row r="101" spans="1:19">
      <c r="A101" s="39" t="s">
        <v>806</v>
      </c>
      <c r="C101" s="12" t="s">
        <v>861</v>
      </c>
      <c r="G101" s="12" t="s">
        <v>814</v>
      </c>
      <c r="H101" s="12">
        <v>1</v>
      </c>
      <c r="I101" s="43">
        <v>2.3E-3</v>
      </c>
      <c r="J101" s="15">
        <v>9.7000000000000003E-3</v>
      </c>
      <c r="K101" s="12">
        <v>2.8000000000000001E-2</v>
      </c>
      <c r="L101" s="12">
        <v>2E-3</v>
      </c>
      <c r="M101" s="12">
        <f t="shared" si="167"/>
        <v>2.4E-2</v>
      </c>
      <c r="N101" s="12">
        <v>0.13200000000000001</v>
      </c>
      <c r="O101" s="12">
        <v>1.7000000000000001E-2</v>
      </c>
      <c r="P101" s="12">
        <f t="shared" si="168"/>
        <v>9.8000000000000004E-2</v>
      </c>
      <c r="Q101" s="12">
        <f t="shared" si="169"/>
        <v>7.400000000000001E-2</v>
      </c>
      <c r="R101" s="12">
        <f t="shared" si="170"/>
        <v>7.3917525773195889</v>
      </c>
      <c r="S101" s="12">
        <f t="shared" si="171"/>
        <v>0.73917525773195891</v>
      </c>
    </row>
    <row r="102" spans="1:19">
      <c r="A102" s="39" t="s">
        <v>806</v>
      </c>
      <c r="C102" s="12" t="s">
        <v>862</v>
      </c>
      <c r="G102" s="12" t="s">
        <v>816</v>
      </c>
      <c r="H102" s="12">
        <v>1</v>
      </c>
      <c r="I102" s="43">
        <v>2.3E-3</v>
      </c>
      <c r="J102" s="15">
        <v>9.7000000000000003E-3</v>
      </c>
      <c r="K102" s="12">
        <v>2.8000000000000001E-2</v>
      </c>
      <c r="L102" s="12">
        <v>2E-3</v>
      </c>
      <c r="M102" s="12">
        <f t="shared" si="167"/>
        <v>2.4E-2</v>
      </c>
      <c r="N102" s="12">
        <v>0.129</v>
      </c>
      <c r="O102" s="12">
        <v>1.6E-2</v>
      </c>
      <c r="P102" s="12">
        <f t="shared" si="168"/>
        <v>9.7000000000000003E-2</v>
      </c>
      <c r="Q102" s="12">
        <f t="shared" si="169"/>
        <v>7.3000000000000009E-2</v>
      </c>
      <c r="R102" s="12">
        <f t="shared" si="170"/>
        <v>7.2886597938144337</v>
      </c>
      <c r="S102" s="12">
        <f t="shared" si="171"/>
        <v>0.72886597938144337</v>
      </c>
    </row>
    <row r="103" spans="1:19">
      <c r="A103" s="39" t="s">
        <v>806</v>
      </c>
      <c r="C103" s="12" t="s">
        <v>863</v>
      </c>
      <c r="G103" s="12" t="s">
        <v>818</v>
      </c>
      <c r="H103" s="12">
        <v>1</v>
      </c>
      <c r="I103" s="43">
        <v>2.3E-3</v>
      </c>
      <c r="J103" s="15">
        <v>9.7000000000000003E-3</v>
      </c>
      <c r="K103" s="12">
        <v>2.8000000000000001E-2</v>
      </c>
      <c r="L103" s="12">
        <v>2E-3</v>
      </c>
      <c r="M103" s="12">
        <f t="shared" si="167"/>
        <v>2.4E-2</v>
      </c>
      <c r="N103" s="12">
        <v>0.13800000000000001</v>
      </c>
      <c r="O103" s="12">
        <v>1.7999999999999999E-2</v>
      </c>
      <c r="P103" s="12">
        <f t="shared" si="168"/>
        <v>0.10200000000000001</v>
      </c>
      <c r="Q103" s="12">
        <f t="shared" si="169"/>
        <v>7.8000000000000014E-2</v>
      </c>
      <c r="R103" s="12">
        <f t="shared" si="170"/>
        <v>7.8041237113402078</v>
      </c>
      <c r="S103" s="12">
        <f t="shared" si="171"/>
        <v>0.78041237113402073</v>
      </c>
    </row>
    <row r="104" spans="1:19">
      <c r="A104" s="39" t="s">
        <v>806</v>
      </c>
      <c r="C104" s="12" t="s">
        <v>864</v>
      </c>
      <c r="G104" s="12" t="s">
        <v>820</v>
      </c>
      <c r="H104" s="12">
        <v>1</v>
      </c>
      <c r="I104" s="43">
        <v>2.3E-3</v>
      </c>
      <c r="J104" s="15">
        <v>9.7000000000000003E-3</v>
      </c>
      <c r="K104" s="12">
        <v>2.8000000000000001E-2</v>
      </c>
      <c r="L104" s="12">
        <v>2E-3</v>
      </c>
      <c r="M104" s="12">
        <f t="shared" si="167"/>
        <v>2.4E-2</v>
      </c>
      <c r="N104" s="12">
        <v>0.20499999999999999</v>
      </c>
      <c r="O104" s="12">
        <v>0.05</v>
      </c>
      <c r="P104" s="12">
        <f t="shared" si="168"/>
        <v>0.10499999999999998</v>
      </c>
      <c r="Q104" s="12">
        <f t="shared" si="169"/>
        <v>8.0999999999999989E-2</v>
      </c>
      <c r="R104" s="12">
        <f t="shared" si="170"/>
        <v>8.1134020618556697</v>
      </c>
      <c r="S104" s="12">
        <f t="shared" si="171"/>
        <v>0.81134020618556701</v>
      </c>
    </row>
    <row r="105" spans="1:19">
      <c r="A105" s="39" t="s">
        <v>806</v>
      </c>
      <c r="C105" s="12" t="s">
        <v>865</v>
      </c>
      <c r="G105" s="12" t="s">
        <v>822</v>
      </c>
      <c r="H105" s="12">
        <v>2</v>
      </c>
      <c r="I105" s="43">
        <v>2.3E-3</v>
      </c>
      <c r="J105" s="15">
        <v>9.7000000000000003E-3</v>
      </c>
      <c r="K105" s="12">
        <v>2.8000000000000001E-2</v>
      </c>
      <c r="L105" s="12">
        <v>2E-3</v>
      </c>
      <c r="M105" s="12">
        <f t="shared" si="167"/>
        <v>2.4E-2</v>
      </c>
      <c r="N105" s="12">
        <v>0.13200000000000001</v>
      </c>
      <c r="O105" s="12">
        <v>3.7999999999999999E-2</v>
      </c>
      <c r="P105" s="12">
        <f t="shared" si="168"/>
        <v>5.6000000000000008E-2</v>
      </c>
      <c r="Q105" s="12">
        <f t="shared" si="169"/>
        <v>3.2000000000000008E-2</v>
      </c>
      <c r="R105" s="12">
        <f t="shared" si="170"/>
        <v>3.0618556701030935</v>
      </c>
      <c r="S105" s="12">
        <f t="shared" si="171"/>
        <v>0.61237113402061871</v>
      </c>
    </row>
    <row r="106" spans="1:19">
      <c r="A106" s="39" t="s">
        <v>806</v>
      </c>
      <c r="C106" s="12" t="s">
        <v>866</v>
      </c>
      <c r="G106" s="12" t="s">
        <v>824</v>
      </c>
      <c r="H106" s="12">
        <v>2</v>
      </c>
      <c r="I106" s="43">
        <v>2.3E-3</v>
      </c>
      <c r="J106" s="15">
        <v>9.7000000000000003E-3</v>
      </c>
      <c r="K106" s="12">
        <v>2.8000000000000001E-2</v>
      </c>
      <c r="L106" s="12">
        <v>2E-3</v>
      </c>
      <c r="M106" s="12">
        <f t="shared" si="167"/>
        <v>2.4E-2</v>
      </c>
      <c r="N106" s="12">
        <v>0.17399999999999999</v>
      </c>
      <c r="O106" s="12">
        <v>5.7000000000000002E-2</v>
      </c>
      <c r="P106" s="12">
        <f t="shared" si="168"/>
        <v>5.9999999999999984E-2</v>
      </c>
      <c r="Q106" s="12">
        <f t="shared" si="169"/>
        <v>3.5999999999999983E-2</v>
      </c>
      <c r="R106" s="12">
        <f t="shared" si="170"/>
        <v>3.4742268041237092</v>
      </c>
      <c r="S106" s="12">
        <f t="shared" si="171"/>
        <v>0.6948453608247418</v>
      </c>
    </row>
    <row r="107" spans="1:19">
      <c r="A107" s="39" t="s">
        <v>806</v>
      </c>
      <c r="C107" s="12" t="s">
        <v>867</v>
      </c>
      <c r="G107" s="12" t="s">
        <v>826</v>
      </c>
      <c r="H107" s="12">
        <v>5</v>
      </c>
      <c r="I107" s="43">
        <v>2.3E-3</v>
      </c>
      <c r="J107" s="15">
        <v>9.7000000000000003E-3</v>
      </c>
      <c r="K107" s="12">
        <v>2.8000000000000001E-2</v>
      </c>
      <c r="L107" s="12">
        <v>2E-3</v>
      </c>
      <c r="M107" s="12">
        <f t="shared" si="167"/>
        <v>2.4E-2</v>
      </c>
      <c r="N107" s="12">
        <v>0.16900000000000001</v>
      </c>
      <c r="O107" s="12">
        <v>6.4000000000000001E-2</v>
      </c>
      <c r="P107" s="12">
        <f t="shared" si="168"/>
        <v>4.1000000000000009E-2</v>
      </c>
      <c r="Q107" s="12">
        <f t="shared" si="169"/>
        <v>1.7000000000000008E-2</v>
      </c>
      <c r="R107" s="12">
        <f t="shared" si="170"/>
        <v>1.515463917525774</v>
      </c>
      <c r="S107" s="12">
        <f t="shared" si="171"/>
        <v>0.75773195876288701</v>
      </c>
    </row>
    <row r="108" spans="1:19">
      <c r="A108" s="39" t="s">
        <v>806</v>
      </c>
      <c r="C108" s="12" t="s">
        <v>868</v>
      </c>
      <c r="G108" s="12" t="s">
        <v>828</v>
      </c>
      <c r="H108" s="12">
        <v>2</v>
      </c>
      <c r="I108" s="43">
        <v>2.3E-3</v>
      </c>
      <c r="J108" s="15">
        <v>9.7000000000000003E-3</v>
      </c>
      <c r="K108" s="12">
        <v>2.8000000000000001E-2</v>
      </c>
      <c r="L108" s="12">
        <v>2E-3</v>
      </c>
      <c r="M108" s="12">
        <f t="shared" si="167"/>
        <v>2.4E-2</v>
      </c>
      <c r="N108" s="12">
        <v>0.155</v>
      </c>
      <c r="O108" s="12">
        <v>4.5999999999999999E-2</v>
      </c>
      <c r="P108" s="12">
        <f t="shared" si="168"/>
        <v>6.3E-2</v>
      </c>
      <c r="Q108" s="12">
        <f t="shared" si="169"/>
        <v>3.9E-2</v>
      </c>
      <c r="R108" s="12">
        <f t="shared" si="170"/>
        <v>3.7835051546391747</v>
      </c>
      <c r="S108" s="12">
        <f t="shared" si="171"/>
        <v>0.75670103092783492</v>
      </c>
    </row>
    <row r="109" spans="1:19">
      <c r="A109" s="39" t="s">
        <v>806</v>
      </c>
      <c r="C109" s="12" t="s">
        <v>869</v>
      </c>
      <c r="G109" s="12" t="s">
        <v>830</v>
      </c>
      <c r="H109" s="12">
        <v>1</v>
      </c>
      <c r="I109" s="43">
        <v>2.3E-3</v>
      </c>
      <c r="J109" s="15">
        <v>9.7000000000000003E-3</v>
      </c>
      <c r="K109" s="12">
        <v>2.8000000000000001E-2</v>
      </c>
      <c r="L109" s="12">
        <v>2E-3</v>
      </c>
      <c r="M109" s="12">
        <f t="shared" si="167"/>
        <v>2.4E-2</v>
      </c>
      <c r="N109" s="12">
        <v>0.152</v>
      </c>
      <c r="O109" s="12">
        <v>3.5999999999999997E-2</v>
      </c>
      <c r="P109" s="12">
        <f t="shared" si="168"/>
        <v>0.08</v>
      </c>
      <c r="Q109" s="12">
        <f t="shared" si="169"/>
        <v>5.6000000000000001E-2</v>
      </c>
      <c r="R109" s="12">
        <f t="shared" si="170"/>
        <v>5.536082474226804</v>
      </c>
      <c r="S109" s="12">
        <f t="shared" si="171"/>
        <v>0.55360824742268044</v>
      </c>
    </row>
    <row r="110" spans="1:19">
      <c r="A110" s="39" t="s">
        <v>806</v>
      </c>
      <c r="C110" s="12" t="s">
        <v>870</v>
      </c>
      <c r="G110" s="12" t="s">
        <v>832</v>
      </c>
      <c r="H110" s="12">
        <v>1</v>
      </c>
      <c r="I110" s="43">
        <v>2.3E-3</v>
      </c>
      <c r="J110" s="15">
        <v>9.7000000000000003E-3</v>
      </c>
      <c r="K110" s="12">
        <v>2.8000000000000001E-2</v>
      </c>
      <c r="L110" s="12">
        <v>2E-3</v>
      </c>
      <c r="M110" s="12">
        <f t="shared" si="167"/>
        <v>2.4E-2</v>
      </c>
      <c r="N110" s="12">
        <v>0.126</v>
      </c>
      <c r="O110" s="12">
        <v>2.5000000000000001E-2</v>
      </c>
      <c r="P110" s="12">
        <f t="shared" si="168"/>
        <v>7.5999999999999998E-2</v>
      </c>
      <c r="Q110" s="12">
        <f t="shared" si="169"/>
        <v>5.1999999999999998E-2</v>
      </c>
      <c r="R110" s="12">
        <f t="shared" si="170"/>
        <v>5.1237113402061851</v>
      </c>
      <c r="S110" s="12">
        <f t="shared" si="171"/>
        <v>0.51237113402061851</v>
      </c>
    </row>
    <row r="111" spans="1:19">
      <c r="A111" s="39" t="s">
        <v>841</v>
      </c>
      <c r="C111" s="12" t="s">
        <v>877</v>
      </c>
      <c r="D111" s="12" t="s">
        <v>608</v>
      </c>
      <c r="H111" s="63">
        <v>1</v>
      </c>
      <c r="I111" s="43">
        <v>2.3E-3</v>
      </c>
      <c r="J111" s="15">
        <v>9.7000000000000003E-3</v>
      </c>
      <c r="K111" s="12">
        <v>2.8000000000000001E-2</v>
      </c>
      <c r="L111" s="12">
        <v>2E-3</v>
      </c>
      <c r="M111" s="12">
        <f t="shared" ref="M111" si="172">K111-L111*2</f>
        <v>2.4E-2</v>
      </c>
      <c r="N111" s="77">
        <v>0.22800000000000001</v>
      </c>
      <c r="O111" s="77">
        <v>6.0000000000000001E-3</v>
      </c>
      <c r="P111" s="12">
        <f t="shared" ref="P111" si="173">N111-O111*2</f>
        <v>0.216</v>
      </c>
      <c r="Q111" s="12">
        <f t="shared" ref="Q111" si="174">P111-M111</f>
        <v>0.192</v>
      </c>
      <c r="R111" s="12">
        <f t="shared" ref="R111" si="175">(Q111-I111)/J111</f>
        <v>19.556701030927837</v>
      </c>
      <c r="S111" s="12">
        <f t="shared" ref="S111" si="176">R111*H111/10</f>
        <v>1.9556701030927837</v>
      </c>
    </row>
    <row r="112" spans="1:19">
      <c r="A112" s="39" t="s">
        <v>841</v>
      </c>
      <c r="C112" s="12" t="s">
        <v>878</v>
      </c>
      <c r="D112" s="12" t="s">
        <v>879</v>
      </c>
      <c r="H112" s="63">
        <v>5</v>
      </c>
      <c r="I112" s="43">
        <v>2.3E-3</v>
      </c>
      <c r="J112" s="15">
        <v>9.7000000000000003E-3</v>
      </c>
      <c r="K112" s="12">
        <v>2.8000000000000001E-2</v>
      </c>
      <c r="L112" s="12">
        <v>2E-3</v>
      </c>
      <c r="M112" s="12">
        <f t="shared" ref="M112" si="177">K112-L112*2</f>
        <v>2.4E-2</v>
      </c>
      <c r="N112" s="77">
        <v>0.31900000000000001</v>
      </c>
      <c r="O112" s="77">
        <v>5.0000000000000001E-3</v>
      </c>
      <c r="P112" s="12">
        <f t="shared" ref="P112" si="178">N112-O112*2</f>
        <v>0.309</v>
      </c>
      <c r="Q112" s="12">
        <f t="shared" ref="Q112" si="179">P112-M112</f>
        <v>0.28499999999999998</v>
      </c>
      <c r="R112" s="12">
        <f t="shared" ref="R112" si="180">(Q112-I112)/J112</f>
        <v>29.144329896907209</v>
      </c>
      <c r="S112" s="12">
        <f t="shared" ref="S112" si="181">R112*H112/10</f>
        <v>14.572164948453604</v>
      </c>
    </row>
    <row r="113" spans="1:22">
      <c r="A113" s="39" t="s">
        <v>841</v>
      </c>
      <c r="B113" s="13">
        <v>43969</v>
      </c>
      <c r="C113" s="12" t="s">
        <v>880</v>
      </c>
      <c r="D113" s="12" t="s">
        <v>881</v>
      </c>
      <c r="H113" s="12">
        <v>1</v>
      </c>
      <c r="I113" s="43">
        <v>2.3E-3</v>
      </c>
      <c r="J113" s="15">
        <v>9.7000000000000003E-3</v>
      </c>
      <c r="K113" s="12">
        <v>2.5000000000000001E-2</v>
      </c>
      <c r="L113" s="12">
        <v>1E-3</v>
      </c>
      <c r="M113" s="12">
        <f t="shared" ref="M113" si="182">K113-L113*2</f>
        <v>2.3E-2</v>
      </c>
      <c r="N113" s="12">
        <v>0.249</v>
      </c>
      <c r="O113" s="12">
        <v>5.0000000000000001E-3</v>
      </c>
      <c r="P113" s="12">
        <f t="shared" ref="P113" si="183">N113-O113*2</f>
        <v>0.23899999999999999</v>
      </c>
      <c r="Q113" s="12">
        <f t="shared" ref="Q113" si="184">P113-M113</f>
        <v>0.216</v>
      </c>
      <c r="R113" s="12">
        <f t="shared" ref="R113" si="185">(Q113-I113)/J113</f>
        <v>22.030927835051546</v>
      </c>
      <c r="S113" s="12">
        <f t="shared" ref="S113" si="186">R113*H113/10</f>
        <v>2.2030927835051548</v>
      </c>
    </row>
    <row r="114" spans="1:22">
      <c r="A114" s="99"/>
      <c r="B114" s="12" t="s">
        <v>883</v>
      </c>
      <c r="U114" s="12">
        <v>0.9</v>
      </c>
      <c r="V114" s="12">
        <v>1.1000000000000001</v>
      </c>
    </row>
    <row r="115" spans="1:22">
      <c r="A115" s="39" t="s">
        <v>841</v>
      </c>
      <c r="B115" s="13">
        <v>43970</v>
      </c>
      <c r="C115" s="12" t="s">
        <v>890</v>
      </c>
      <c r="D115" s="12" t="s">
        <v>891</v>
      </c>
      <c r="F115" s="12" t="s">
        <v>892</v>
      </c>
      <c r="H115" s="12">
        <v>5</v>
      </c>
      <c r="I115" s="43">
        <v>2.3E-3</v>
      </c>
      <c r="J115" s="15">
        <v>9.7000000000000003E-3</v>
      </c>
      <c r="K115" s="12">
        <v>2.3E-2</v>
      </c>
      <c r="L115" s="12">
        <v>1E-3</v>
      </c>
      <c r="M115" s="12">
        <f t="shared" ref="M115" si="187">K115-L115*2</f>
        <v>2.0999999999999998E-2</v>
      </c>
      <c r="N115" s="12">
        <v>0.121</v>
      </c>
      <c r="O115" s="12">
        <v>6.0000000000000001E-3</v>
      </c>
      <c r="P115" s="12">
        <f t="shared" ref="P115" si="188">N115-O115*2</f>
        <v>0.109</v>
      </c>
      <c r="Q115" s="12">
        <f t="shared" ref="Q115" si="189">P115-M115</f>
        <v>8.7999999999999995E-2</v>
      </c>
      <c r="R115" s="12">
        <f t="shared" ref="R115" si="190">(Q115-I115)/J115</f>
        <v>8.8350515463917514</v>
      </c>
      <c r="S115" s="12">
        <f t="shared" ref="S115" si="191">R115*H115/10</f>
        <v>4.4175257731958757</v>
      </c>
      <c r="T115" s="12">
        <v>4.1340000000000003</v>
      </c>
      <c r="U115" s="12">
        <f>T115*0.9</f>
        <v>3.7206000000000006</v>
      </c>
      <c r="V115" s="12">
        <f>T115*1.1</f>
        <v>4.5474000000000006</v>
      </c>
    </row>
    <row r="116" spans="1:22">
      <c r="A116" s="39" t="s">
        <v>841</v>
      </c>
      <c r="B116" s="12" t="s">
        <v>900</v>
      </c>
      <c r="C116" s="12" t="s">
        <v>893</v>
      </c>
      <c r="H116" s="12">
        <v>5</v>
      </c>
      <c r="I116" s="43">
        <v>2.3E-3</v>
      </c>
      <c r="J116" s="15">
        <v>9.7000000000000003E-3</v>
      </c>
      <c r="K116" s="12">
        <v>2.3E-2</v>
      </c>
      <c r="L116" s="12">
        <v>1E-3</v>
      </c>
      <c r="M116" s="12">
        <f t="shared" ref="M116:M121" si="192">K116-L116*2</f>
        <v>2.0999999999999998E-2</v>
      </c>
      <c r="N116" s="12">
        <v>0.10199999999999999</v>
      </c>
      <c r="O116" s="12">
        <v>4.0000000000000001E-3</v>
      </c>
      <c r="P116" s="12">
        <f t="shared" ref="P116:P117" si="193">N116-O116*2</f>
        <v>9.4E-2</v>
      </c>
      <c r="Q116" s="12">
        <f t="shared" ref="Q116:Q117" si="194">P116-M116</f>
        <v>7.3000000000000009E-2</v>
      </c>
      <c r="R116" s="12">
        <f t="shared" ref="R116:R117" si="195">(Q116-I116)/J116</f>
        <v>7.2886597938144337</v>
      </c>
      <c r="S116" s="12">
        <f t="shared" ref="S116:S117" si="196">R116*H116/10</f>
        <v>3.6443298969072169</v>
      </c>
      <c r="T116" s="12">
        <v>3.589</v>
      </c>
      <c r="U116" s="12">
        <f t="shared" ref="U116:U121" si="197">T116*0.9</f>
        <v>3.2301000000000002</v>
      </c>
      <c r="V116" s="12">
        <f t="shared" ref="V116:V121" si="198">T116*1.1</f>
        <v>3.9479000000000002</v>
      </c>
    </row>
    <row r="117" spans="1:22">
      <c r="A117" s="39" t="s">
        <v>841</v>
      </c>
      <c r="C117" s="12" t="s">
        <v>894</v>
      </c>
      <c r="H117" s="12">
        <v>5</v>
      </c>
      <c r="I117" s="43">
        <v>2.3E-3</v>
      </c>
      <c r="J117" s="15">
        <v>9.7000000000000003E-3</v>
      </c>
      <c r="K117" s="12">
        <v>2.3E-2</v>
      </c>
      <c r="L117" s="12">
        <v>1E-3</v>
      </c>
      <c r="M117" s="12">
        <f t="shared" si="192"/>
        <v>2.0999999999999998E-2</v>
      </c>
      <c r="N117" s="12">
        <v>0.1</v>
      </c>
      <c r="O117" s="12">
        <v>5.0000000000000001E-3</v>
      </c>
      <c r="P117" s="12">
        <f t="shared" si="193"/>
        <v>9.0000000000000011E-2</v>
      </c>
      <c r="Q117" s="12">
        <f t="shared" si="194"/>
        <v>6.9000000000000006E-2</v>
      </c>
      <c r="R117" s="12">
        <f t="shared" si="195"/>
        <v>6.8762886597938149</v>
      </c>
      <c r="S117" s="12">
        <f t="shared" si="196"/>
        <v>3.4381443298969074</v>
      </c>
      <c r="T117" s="12">
        <v>3.3079999999999998</v>
      </c>
      <c r="U117" s="12">
        <f t="shared" si="197"/>
        <v>2.9771999999999998</v>
      </c>
      <c r="V117" s="12">
        <f t="shared" si="198"/>
        <v>3.6388000000000003</v>
      </c>
    </row>
    <row r="118" spans="1:22" ht="15" customHeight="1">
      <c r="A118" s="39" t="s">
        <v>841</v>
      </c>
      <c r="B118" s="13">
        <v>43971</v>
      </c>
      <c r="C118" s="12" t="s">
        <v>898</v>
      </c>
      <c r="D118" s="12" t="s">
        <v>891</v>
      </c>
      <c r="F118" s="12" t="s">
        <v>895</v>
      </c>
      <c r="H118" s="12">
        <v>5</v>
      </c>
      <c r="I118" s="43">
        <v>2.3E-3</v>
      </c>
      <c r="J118" s="15">
        <v>9.7000000000000003E-3</v>
      </c>
      <c r="K118" s="12">
        <v>3.2000000000000001E-2</v>
      </c>
      <c r="L118" s="12">
        <v>3.0000000000000001E-3</v>
      </c>
      <c r="M118" s="12">
        <f t="shared" si="192"/>
        <v>2.6000000000000002E-2</v>
      </c>
      <c r="N118" s="12">
        <v>0.16700000000000001</v>
      </c>
      <c r="O118" s="12">
        <v>5.0000000000000001E-3</v>
      </c>
      <c r="P118" s="12">
        <f t="shared" ref="P118:P121" si="199">N118-O118*2</f>
        <v>0.157</v>
      </c>
      <c r="Q118" s="12">
        <f t="shared" ref="Q118:Q121" si="200">P118-M118</f>
        <v>0.13100000000000001</v>
      </c>
      <c r="R118" s="12">
        <f t="shared" ref="R118:R121" si="201">(Q118-I118)/J118</f>
        <v>13.268041237113403</v>
      </c>
      <c r="S118" s="12">
        <f t="shared" ref="S118:S122" si="202">R118*H118/10</f>
        <v>6.6340206185567014</v>
      </c>
      <c r="T118" s="12">
        <v>6.5030000000000001</v>
      </c>
      <c r="U118" s="12">
        <f t="shared" si="197"/>
        <v>5.8527000000000005</v>
      </c>
      <c r="V118" s="12">
        <f t="shared" si="198"/>
        <v>7.1533000000000007</v>
      </c>
    </row>
    <row r="119" spans="1:22" ht="15" customHeight="1">
      <c r="A119" s="39" t="s">
        <v>841</v>
      </c>
      <c r="B119" s="12" t="s">
        <v>889</v>
      </c>
      <c r="C119" s="12" t="s">
        <v>899</v>
      </c>
      <c r="H119" s="12">
        <v>5</v>
      </c>
      <c r="I119" s="43">
        <v>2.3E-3</v>
      </c>
      <c r="J119" s="15">
        <v>9.7000000000000003E-3</v>
      </c>
      <c r="K119" s="12">
        <v>3.2000000000000001E-2</v>
      </c>
      <c r="L119" s="12">
        <v>3.0000000000000001E-3</v>
      </c>
      <c r="M119" s="12">
        <f t="shared" ref="M119" si="203">K119-L119*2</f>
        <v>2.6000000000000002E-2</v>
      </c>
      <c r="N119" s="12">
        <v>0.16600000000000001</v>
      </c>
      <c r="O119" s="12">
        <v>5.0000000000000001E-3</v>
      </c>
      <c r="P119" s="12">
        <f t="shared" ref="P119" si="204">N119-O119*2</f>
        <v>0.156</v>
      </c>
      <c r="Q119" s="12">
        <f t="shared" ref="Q119" si="205">P119-M119</f>
        <v>0.13</v>
      </c>
      <c r="R119" s="12">
        <f t="shared" ref="R119" si="206">(Q119-I119)/J119</f>
        <v>13.164948453608249</v>
      </c>
      <c r="S119" s="12">
        <f t="shared" ref="S119" si="207">R119*H119/10</f>
        <v>6.5824742268041252</v>
      </c>
    </row>
    <row r="120" spans="1:22">
      <c r="A120" s="39" t="s">
        <v>841</v>
      </c>
      <c r="C120" s="12" t="s">
        <v>896</v>
      </c>
      <c r="H120" s="12">
        <v>5</v>
      </c>
      <c r="I120" s="43">
        <v>2.3E-3</v>
      </c>
      <c r="J120" s="15">
        <v>9.7000000000000003E-3</v>
      </c>
      <c r="K120" s="12">
        <v>3.2000000000000001E-2</v>
      </c>
      <c r="L120" s="12">
        <v>3.0000000000000001E-3</v>
      </c>
      <c r="M120" s="12">
        <f t="shared" si="192"/>
        <v>2.6000000000000002E-2</v>
      </c>
      <c r="N120" s="12">
        <v>0.158</v>
      </c>
      <c r="O120" s="12">
        <v>4.0000000000000001E-3</v>
      </c>
      <c r="P120" s="12">
        <f t="shared" si="199"/>
        <v>0.15</v>
      </c>
      <c r="Q120" s="12">
        <f t="shared" si="200"/>
        <v>0.124</v>
      </c>
      <c r="R120" s="12">
        <f t="shared" si="201"/>
        <v>12.546391752577319</v>
      </c>
      <c r="S120" s="12">
        <f t="shared" si="202"/>
        <v>6.2731958762886597</v>
      </c>
      <c r="T120" s="12">
        <v>5.9249999999999998</v>
      </c>
      <c r="U120" s="12">
        <f t="shared" si="197"/>
        <v>5.3324999999999996</v>
      </c>
      <c r="V120" s="12">
        <f t="shared" si="198"/>
        <v>6.5175000000000001</v>
      </c>
    </row>
    <row r="121" spans="1:22">
      <c r="A121" s="39" t="s">
        <v>841</v>
      </c>
      <c r="C121" s="12" t="s">
        <v>897</v>
      </c>
      <c r="H121" s="12">
        <v>5</v>
      </c>
      <c r="I121" s="43">
        <v>2.3E-3</v>
      </c>
      <c r="J121" s="15">
        <v>9.7000000000000003E-3</v>
      </c>
      <c r="K121" s="12">
        <v>3.2000000000000001E-2</v>
      </c>
      <c r="L121" s="12">
        <v>3.0000000000000001E-3</v>
      </c>
      <c r="M121" s="12">
        <f t="shared" si="192"/>
        <v>2.6000000000000002E-2</v>
      </c>
      <c r="N121" s="12">
        <v>0.155</v>
      </c>
      <c r="O121" s="12">
        <v>4.0000000000000001E-3</v>
      </c>
      <c r="P121" s="12">
        <f t="shared" si="199"/>
        <v>0.14699999999999999</v>
      </c>
      <c r="Q121" s="12">
        <f t="shared" si="200"/>
        <v>0.121</v>
      </c>
      <c r="R121" s="12">
        <f t="shared" si="201"/>
        <v>12.237113402061855</v>
      </c>
      <c r="S121" s="12">
        <f t="shared" si="202"/>
        <v>6.1185567010309274</v>
      </c>
      <c r="T121" s="12">
        <v>5.9249999999999998</v>
      </c>
      <c r="U121" s="12">
        <f t="shared" si="197"/>
        <v>5.3324999999999996</v>
      </c>
      <c r="V121" s="12">
        <f t="shared" si="198"/>
        <v>6.5175000000000001</v>
      </c>
    </row>
    <row r="122" spans="1:22">
      <c r="A122" s="39"/>
      <c r="C122" s="86" t="s">
        <v>800</v>
      </c>
      <c r="D122" s="50"/>
      <c r="E122" s="50"/>
      <c r="F122" s="50"/>
      <c r="G122" s="50"/>
      <c r="H122" s="59">
        <v>1</v>
      </c>
      <c r="I122" s="23">
        <v>2.3E-3</v>
      </c>
      <c r="J122" s="21">
        <v>9.7000000000000003E-3</v>
      </c>
      <c r="K122" s="21">
        <v>3.2000000000000001E-2</v>
      </c>
      <c r="L122" s="24">
        <v>2E-3</v>
      </c>
      <c r="M122" s="24">
        <f t="shared" ref="M122:M123" si="208">K122-2*L122</f>
        <v>2.8000000000000001E-2</v>
      </c>
      <c r="N122" s="25">
        <v>0.11799999999999999</v>
      </c>
      <c r="O122" s="81">
        <v>3.0000000000000001E-3</v>
      </c>
      <c r="P122" s="24">
        <f t="shared" ref="P122:P123" si="209">N122-2*O122</f>
        <v>0.11199999999999999</v>
      </c>
      <c r="Q122" s="24">
        <f>P122-M122</f>
        <v>8.3999999999999991E-2</v>
      </c>
      <c r="R122" s="26">
        <f>(Q122-I122)/J122</f>
        <v>8.4226804123711325</v>
      </c>
      <c r="S122" s="27">
        <f t="shared" si="202"/>
        <v>0.8422680412371133</v>
      </c>
      <c r="T122" s="12" t="s">
        <v>802</v>
      </c>
      <c r="V122" s="75" t="s">
        <v>798</v>
      </c>
    </row>
    <row r="123" spans="1:22">
      <c r="A123" s="39"/>
      <c r="C123" s="86" t="s">
        <v>801</v>
      </c>
      <c r="D123" s="50"/>
      <c r="E123" s="50"/>
      <c r="F123" s="50"/>
      <c r="G123" s="50"/>
      <c r="H123" s="59">
        <v>1</v>
      </c>
      <c r="I123" s="23">
        <v>2.3E-3</v>
      </c>
      <c r="J123" s="21">
        <v>9.7000000000000003E-3</v>
      </c>
      <c r="K123" s="21">
        <v>3.2000000000000001E-2</v>
      </c>
      <c r="L123" s="24">
        <v>2E-3</v>
      </c>
      <c r="M123" s="24">
        <f t="shared" si="208"/>
        <v>2.8000000000000001E-2</v>
      </c>
      <c r="N123" s="25">
        <v>0.11700000000000001</v>
      </c>
      <c r="O123" s="81">
        <v>3.0000000000000001E-3</v>
      </c>
      <c r="P123" s="24">
        <f t="shared" si="209"/>
        <v>0.111</v>
      </c>
      <c r="Q123" s="24">
        <f>P123-M123</f>
        <v>8.3000000000000004E-2</v>
      </c>
      <c r="R123" s="26">
        <f>(Q123-I123)/J123</f>
        <v>8.31958762886598</v>
      </c>
      <c r="S123" s="27">
        <f>R123*H123/10</f>
        <v>0.83195876288659798</v>
      </c>
      <c r="V123" s="75" t="s">
        <v>799</v>
      </c>
    </row>
    <row r="124" spans="1:22">
      <c r="A124" s="39"/>
      <c r="B124" s="13"/>
      <c r="C124" s="72">
        <v>20200520008</v>
      </c>
      <c r="D124" s="12" t="s">
        <v>734</v>
      </c>
      <c r="H124" s="63">
        <v>5</v>
      </c>
      <c r="I124" s="43">
        <v>2.3E-3</v>
      </c>
      <c r="J124" s="15">
        <v>9.7000000000000003E-3</v>
      </c>
      <c r="K124" s="12">
        <v>3.2000000000000001E-2</v>
      </c>
      <c r="L124" s="12">
        <v>3.0000000000000001E-3</v>
      </c>
      <c r="M124" s="12">
        <f t="shared" ref="M124:M126" si="210">K124-L124*2</f>
        <v>2.6000000000000002E-2</v>
      </c>
      <c r="N124" s="77">
        <v>0.27900000000000003</v>
      </c>
      <c r="O124" s="77">
        <v>5.0000000000000001E-3</v>
      </c>
      <c r="P124" s="12">
        <f>N124-O124*2</f>
        <v>0.26900000000000002</v>
      </c>
      <c r="Q124" s="12">
        <f>P124-M124</f>
        <v>0.24300000000000002</v>
      </c>
      <c r="R124" s="12">
        <f>(Q124-I124)/J124</f>
        <v>24.814432989690722</v>
      </c>
      <c r="S124" s="16">
        <f>R124*H124/10</f>
        <v>12.407216494845361</v>
      </c>
    </row>
    <row r="125" spans="1:22">
      <c r="A125" s="39"/>
      <c r="C125" s="72">
        <v>20200520009</v>
      </c>
      <c r="D125" s="12" t="s">
        <v>728</v>
      </c>
      <c r="H125" s="63">
        <v>5</v>
      </c>
      <c r="I125" s="43">
        <v>2.3E-3</v>
      </c>
      <c r="J125" s="15">
        <v>9.7000000000000003E-3</v>
      </c>
      <c r="K125" s="12">
        <v>3.2000000000000001E-2</v>
      </c>
      <c r="L125" s="12">
        <v>3.0000000000000001E-3</v>
      </c>
      <c r="M125" s="12">
        <f t="shared" si="210"/>
        <v>2.6000000000000002E-2</v>
      </c>
      <c r="N125" s="77">
        <v>0.23100000000000001</v>
      </c>
      <c r="O125" s="77">
        <v>6.0000000000000001E-3</v>
      </c>
      <c r="P125" s="12">
        <f t="shared" ref="P125" si="211">N125-O125*2</f>
        <v>0.219</v>
      </c>
      <c r="Q125" s="12">
        <f t="shared" ref="Q125" si="212">P125-M125</f>
        <v>0.193</v>
      </c>
      <c r="R125" s="12">
        <f t="shared" ref="R125" si="213">(Q125-I125)/J125</f>
        <v>19.659793814432991</v>
      </c>
      <c r="S125" s="12">
        <f t="shared" ref="S125" si="214">R125*H125/10</f>
        <v>9.8298969072164954</v>
      </c>
    </row>
    <row r="126" spans="1:22">
      <c r="A126" s="39"/>
      <c r="C126" s="72">
        <v>20200520010</v>
      </c>
      <c r="D126" s="12" t="s">
        <v>736</v>
      </c>
      <c r="H126" s="63">
        <v>5</v>
      </c>
      <c r="I126" s="43">
        <v>2.3E-3</v>
      </c>
      <c r="J126" s="15">
        <v>9.7000000000000003E-3</v>
      </c>
      <c r="K126" s="12">
        <v>3.2000000000000001E-2</v>
      </c>
      <c r="L126" s="12">
        <v>3.0000000000000001E-3</v>
      </c>
      <c r="M126" s="12">
        <f t="shared" si="210"/>
        <v>2.6000000000000002E-2</v>
      </c>
      <c r="N126" s="77">
        <v>0.17699999999999999</v>
      </c>
      <c r="O126" s="77">
        <v>5.0000000000000001E-3</v>
      </c>
      <c r="P126" s="12">
        <f>N126-O126*2</f>
        <v>0.16699999999999998</v>
      </c>
      <c r="Q126" s="12">
        <f>P126-M126</f>
        <v>0.14099999999999999</v>
      </c>
      <c r="R126" s="12">
        <f>(Q126-I126)/J126</f>
        <v>14.298969072164947</v>
      </c>
      <c r="S126" s="12">
        <f>R126*H126/10</f>
        <v>7.1494845360824737</v>
      </c>
    </row>
    <row r="127" spans="1:22">
      <c r="A127" s="39"/>
      <c r="C127" s="72">
        <v>20200520011</v>
      </c>
      <c r="D127" s="12" t="s">
        <v>730</v>
      </c>
      <c r="H127" s="63">
        <v>10</v>
      </c>
      <c r="I127" s="43">
        <v>2.3E-3</v>
      </c>
      <c r="J127" s="15">
        <v>9.7000000000000003E-3</v>
      </c>
      <c r="K127" s="12">
        <v>3.2000000000000001E-2</v>
      </c>
      <c r="L127" s="12">
        <v>3.0000000000000001E-3</v>
      </c>
      <c r="M127" s="12">
        <f t="shared" ref="M127" si="215">K127-L127*2</f>
        <v>2.6000000000000002E-2</v>
      </c>
      <c r="N127" s="77">
        <v>0.125</v>
      </c>
      <c r="O127" s="77">
        <v>8.0000000000000002E-3</v>
      </c>
      <c r="P127" s="12">
        <f t="shared" ref="P127" si="216">N127-O127*2</f>
        <v>0.109</v>
      </c>
      <c r="Q127" s="12">
        <f t="shared" ref="Q127" si="217">P127-M127</f>
        <v>8.299999999999999E-2</v>
      </c>
      <c r="R127" s="12">
        <f t="shared" ref="R127" si="218">(Q127-I127)/J127</f>
        <v>8.3195876288659782</v>
      </c>
      <c r="S127" s="12">
        <f t="shared" ref="S127" si="219">R127*H127/10</f>
        <v>8.3195876288659782</v>
      </c>
    </row>
    <row r="128" spans="1:22">
      <c r="A128" s="39"/>
      <c r="C128" s="72">
        <v>20200520012</v>
      </c>
      <c r="D128" s="12" t="s">
        <v>732</v>
      </c>
      <c r="H128" s="63">
        <v>10</v>
      </c>
      <c r="I128" s="43">
        <v>2.3E-3</v>
      </c>
      <c r="J128" s="15">
        <v>9.7000000000000003E-3</v>
      </c>
      <c r="K128" s="12">
        <v>3.2000000000000001E-2</v>
      </c>
      <c r="L128" s="12">
        <v>3.0000000000000001E-3</v>
      </c>
      <c r="M128" s="12">
        <f t="shared" ref="M128:M129" si="220">K128-L128*2</f>
        <v>2.6000000000000002E-2</v>
      </c>
      <c r="N128" s="77">
        <v>0.191</v>
      </c>
      <c r="O128" s="77">
        <v>4.0000000000000001E-3</v>
      </c>
      <c r="P128" s="12">
        <f t="shared" ref="P128" si="221">N128-O128*2</f>
        <v>0.183</v>
      </c>
      <c r="Q128" s="12">
        <f t="shared" ref="Q128" si="222">P128-M128</f>
        <v>0.157</v>
      </c>
      <c r="R128" s="12">
        <f t="shared" ref="R128" si="223">(Q128-I128)/J128</f>
        <v>15.948453608247423</v>
      </c>
      <c r="S128" s="12">
        <f t="shared" ref="S128" si="224">R128*H128/10</f>
        <v>15.948453608247423</v>
      </c>
    </row>
    <row r="129" spans="1:25">
      <c r="A129" s="39"/>
      <c r="C129" s="72">
        <v>20200520013</v>
      </c>
      <c r="D129" s="12" t="s">
        <v>660</v>
      </c>
      <c r="H129" s="63">
        <v>5</v>
      </c>
      <c r="I129" s="43">
        <v>2.3E-3</v>
      </c>
      <c r="J129" s="15">
        <v>9.7000000000000003E-3</v>
      </c>
      <c r="K129" s="12">
        <v>3.2000000000000001E-2</v>
      </c>
      <c r="L129" s="12">
        <v>3.0000000000000001E-3</v>
      </c>
      <c r="M129" s="12">
        <f t="shared" si="220"/>
        <v>2.6000000000000002E-2</v>
      </c>
      <c r="N129" s="77">
        <v>0.159</v>
      </c>
      <c r="O129" s="77">
        <v>5.0000000000000001E-3</v>
      </c>
      <c r="P129" s="12">
        <f>N129-O129*2</f>
        <v>0.14899999999999999</v>
      </c>
      <c r="Q129" s="12">
        <f>P129-M129</f>
        <v>0.123</v>
      </c>
      <c r="R129" s="12">
        <f>(Q129-I129)/J129</f>
        <v>12.443298969072165</v>
      </c>
      <c r="S129" s="12">
        <f>R129*H129/10</f>
        <v>6.2216494845360826</v>
      </c>
    </row>
    <row r="130" spans="1:25">
      <c r="A130" s="64" t="s">
        <v>884</v>
      </c>
      <c r="D130" s="12" t="s">
        <v>885</v>
      </c>
      <c r="H130" s="63">
        <v>10</v>
      </c>
      <c r="I130" s="43">
        <v>2.3E-3</v>
      </c>
      <c r="J130" s="15">
        <v>9.7000000000000003E-3</v>
      </c>
      <c r="K130" s="12">
        <v>4.2000000000000003E-2</v>
      </c>
      <c r="L130" s="12">
        <v>3.0000000000000001E-3</v>
      </c>
      <c r="M130" s="12">
        <f t="shared" ref="M130" si="225">K130-L130*2</f>
        <v>3.6000000000000004E-2</v>
      </c>
      <c r="N130" s="77">
        <v>0.96199999999999997</v>
      </c>
      <c r="O130" s="77">
        <v>8.0000000000000002E-3</v>
      </c>
      <c r="P130" s="12">
        <f t="shared" ref="P130" si="226">N130-O130*2</f>
        <v>0.94599999999999995</v>
      </c>
      <c r="Q130" s="12">
        <f t="shared" ref="Q130" si="227">P130-M130</f>
        <v>0.90999999999999992</v>
      </c>
      <c r="R130" s="12">
        <f t="shared" ref="R130" si="228">(Q130-I130)/J130</f>
        <v>93.577319587628864</v>
      </c>
      <c r="S130" s="12">
        <f t="shared" ref="S130" si="229">R130*H130/10</f>
        <v>93.577319587628864</v>
      </c>
    </row>
    <row r="131" spans="1:25" s="28" customFormat="1">
      <c r="A131" s="39" t="s">
        <v>888</v>
      </c>
      <c r="B131" s="94">
        <v>43972</v>
      </c>
      <c r="C131" s="93" t="s">
        <v>886</v>
      </c>
      <c r="D131" s="93" t="s">
        <v>887</v>
      </c>
      <c r="H131" s="63">
        <v>25</v>
      </c>
      <c r="I131" s="43">
        <v>2.3E-3</v>
      </c>
      <c r="J131" s="15">
        <v>9.7000000000000003E-3</v>
      </c>
      <c r="K131" s="12">
        <v>2.1000000000000001E-2</v>
      </c>
      <c r="L131" s="12">
        <v>1E-3</v>
      </c>
      <c r="M131" s="12">
        <f t="shared" ref="M131" si="230">K131-L131*2</f>
        <v>1.9000000000000003E-2</v>
      </c>
      <c r="N131" s="77">
        <v>0.14699999999999999</v>
      </c>
      <c r="O131" s="77">
        <v>6.0000000000000001E-3</v>
      </c>
      <c r="P131" s="12">
        <f t="shared" ref="P131" si="231">N131-O131*2</f>
        <v>0.13499999999999998</v>
      </c>
      <c r="Q131" s="12">
        <f t="shared" ref="Q131" si="232">P131-M131</f>
        <v>0.11599999999999998</v>
      </c>
      <c r="R131" s="12">
        <f t="shared" ref="R131" si="233">(Q131-I131)/J131</f>
        <v>11.72164948453608</v>
      </c>
      <c r="S131" s="12">
        <f t="shared" ref="S131" si="234">R131*H131/10</f>
        <v>29.304123711340203</v>
      </c>
    </row>
    <row r="132" spans="1:25">
      <c r="A132" s="99"/>
      <c r="B132" s="12" t="s">
        <v>901</v>
      </c>
      <c r="C132" s="72"/>
      <c r="D132" s="72"/>
      <c r="E132" s="72"/>
      <c r="F132" s="72"/>
      <c r="X132" s="28"/>
      <c r="Y132" s="28"/>
    </row>
    <row r="133" spans="1:25">
      <c r="A133" s="95" t="s">
        <v>910</v>
      </c>
      <c r="B133" s="13">
        <v>43973</v>
      </c>
      <c r="C133" s="72" t="s">
        <v>902</v>
      </c>
      <c r="D133" s="72" t="s">
        <v>903</v>
      </c>
      <c r="E133" s="72">
        <v>10</v>
      </c>
      <c r="F133" s="72">
        <v>0.308</v>
      </c>
      <c r="H133" s="63">
        <v>10</v>
      </c>
      <c r="I133" s="43">
        <v>2.3E-3</v>
      </c>
      <c r="J133" s="15">
        <v>9.7000000000000003E-3</v>
      </c>
      <c r="K133" s="12">
        <v>2.5000000000000001E-2</v>
      </c>
      <c r="L133" s="12">
        <v>2E-3</v>
      </c>
      <c r="M133" s="12">
        <f t="shared" ref="M133" si="235">K133-L133*2</f>
        <v>2.1000000000000001E-2</v>
      </c>
      <c r="N133" s="77">
        <v>0.318</v>
      </c>
      <c r="O133" s="77">
        <v>5.0000000000000001E-3</v>
      </c>
      <c r="P133" s="12">
        <f t="shared" ref="P133" si="236">N133-O133*2</f>
        <v>0.308</v>
      </c>
      <c r="Q133" s="12">
        <f t="shared" ref="Q133" si="237">P133-M133</f>
        <v>0.28699999999999998</v>
      </c>
      <c r="R133" s="12">
        <f t="shared" ref="R133" si="238">(Q133-I133)/J133</f>
        <v>29.350515463917521</v>
      </c>
      <c r="S133" s="12">
        <f t="shared" ref="S133" si="239">R133*H133/10</f>
        <v>29.350515463917521</v>
      </c>
    </row>
    <row r="134" spans="1:25">
      <c r="A134" s="96"/>
      <c r="B134" s="12" t="s">
        <v>908</v>
      </c>
      <c r="C134" s="72" t="s">
        <v>904</v>
      </c>
      <c r="D134" s="72" t="s">
        <v>20</v>
      </c>
      <c r="E134" s="72">
        <v>5</v>
      </c>
      <c r="F134" s="72">
        <v>0.11899999999999999</v>
      </c>
      <c r="H134" s="63">
        <v>5</v>
      </c>
      <c r="I134" s="43">
        <v>2.3E-3</v>
      </c>
      <c r="J134" s="15">
        <v>9.7000000000000003E-3</v>
      </c>
      <c r="K134" s="12">
        <v>2.5000000000000001E-2</v>
      </c>
      <c r="L134" s="12">
        <v>2E-3</v>
      </c>
      <c r="M134" s="12">
        <f t="shared" ref="M134" si="240">K134-L134*2</f>
        <v>2.1000000000000001E-2</v>
      </c>
      <c r="N134" s="77">
        <v>0.127</v>
      </c>
      <c r="O134" s="77">
        <v>6.0000000000000001E-3</v>
      </c>
      <c r="P134" s="12">
        <f t="shared" ref="P134" si="241">N134-O134*2</f>
        <v>0.115</v>
      </c>
      <c r="Q134" s="12">
        <f t="shared" ref="Q134" si="242">P134-M134</f>
        <v>9.4E-2</v>
      </c>
      <c r="R134" s="12">
        <f t="shared" ref="R134" si="243">(Q134-I134)/J134</f>
        <v>9.4536082474226806</v>
      </c>
      <c r="S134" s="12">
        <f t="shared" ref="S134" si="244">R134*H134/10</f>
        <v>4.7268041237113403</v>
      </c>
      <c r="V134" s="12">
        <v>0.10100000000000001</v>
      </c>
      <c r="W134" s="12">
        <v>4.1000000000000002E-2</v>
      </c>
      <c r="X134" s="12">
        <f>V134-0.063</f>
        <v>3.8000000000000006E-2</v>
      </c>
      <c r="Y134" s="12">
        <f>W134-0.038</f>
        <v>3.0000000000000027E-3</v>
      </c>
    </row>
    <row r="135" spans="1:25">
      <c r="A135" s="39" t="s">
        <v>906</v>
      </c>
      <c r="B135" s="13">
        <v>43976</v>
      </c>
      <c r="C135" s="72" t="s">
        <v>907</v>
      </c>
      <c r="D135" s="72" t="s">
        <v>542</v>
      </c>
      <c r="E135" s="72"/>
      <c r="F135" s="72"/>
      <c r="G135" s="72"/>
      <c r="H135" s="63">
        <v>5</v>
      </c>
      <c r="I135" s="43">
        <v>2.3E-3</v>
      </c>
      <c r="J135" s="15">
        <v>9.7000000000000003E-3</v>
      </c>
      <c r="K135" s="12">
        <v>2.8000000000000001E-2</v>
      </c>
      <c r="L135" s="12">
        <v>3.0000000000000001E-3</v>
      </c>
      <c r="M135" s="12">
        <f t="shared" ref="M135" si="245">K135-L135*2</f>
        <v>2.1999999999999999E-2</v>
      </c>
      <c r="N135" s="77">
        <v>0.29499999999999998</v>
      </c>
      <c r="O135" s="77">
        <v>5.0000000000000001E-3</v>
      </c>
      <c r="P135" s="12">
        <f t="shared" ref="P135" si="246">N135-O135*2</f>
        <v>0.28499999999999998</v>
      </c>
      <c r="Q135" s="12">
        <f t="shared" ref="Q135" si="247">P135-M135</f>
        <v>0.26299999999999996</v>
      </c>
      <c r="R135" s="12">
        <f t="shared" ref="R135" si="248">(Q135-I135)/J135</f>
        <v>26.876288659793808</v>
      </c>
      <c r="S135" s="12">
        <f t="shared" ref="S135" si="249">R135*H135/10</f>
        <v>13.438144329896904</v>
      </c>
      <c r="V135" s="12">
        <v>0.36799999999999999</v>
      </c>
      <c r="W135" s="12">
        <v>4.2999999999999997E-2</v>
      </c>
      <c r="X135" s="12">
        <f>V135-0.063</f>
        <v>0.30499999999999999</v>
      </c>
      <c r="Y135" s="12">
        <f>W135-0.038</f>
        <v>4.9999999999999975E-3</v>
      </c>
    </row>
    <row r="136" spans="1:25">
      <c r="A136" s="96" t="s">
        <v>401</v>
      </c>
      <c r="B136" s="12" t="s">
        <v>909</v>
      </c>
      <c r="C136" s="72" t="s">
        <v>905</v>
      </c>
      <c r="D136" s="72" t="s">
        <v>101</v>
      </c>
      <c r="E136" s="72">
        <v>1</v>
      </c>
      <c r="F136" s="72">
        <v>0.247</v>
      </c>
      <c r="H136" s="63">
        <v>1</v>
      </c>
      <c r="I136" s="43">
        <v>2.3E-3</v>
      </c>
      <c r="J136" s="15">
        <v>9.7000000000000003E-3</v>
      </c>
      <c r="K136" s="12">
        <v>2.8000000000000001E-2</v>
      </c>
      <c r="L136" s="12">
        <v>3.0000000000000001E-3</v>
      </c>
      <c r="M136" s="12">
        <f t="shared" ref="M136:M141" si="250">K136-L136*2</f>
        <v>2.1999999999999999E-2</v>
      </c>
      <c r="N136" s="77">
        <v>0.23300000000000001</v>
      </c>
      <c r="O136" s="77">
        <v>6.0000000000000001E-3</v>
      </c>
      <c r="P136" s="12">
        <f t="shared" ref="P136:P141" si="251">N136-O136*2</f>
        <v>0.221</v>
      </c>
      <c r="Q136" s="12">
        <f t="shared" ref="Q136:Q141" si="252">P136-M136</f>
        <v>0.19900000000000001</v>
      </c>
      <c r="R136" s="12">
        <f t="shared" ref="R136:R141" si="253">(Q136-I136)/J136</f>
        <v>20.27835051546392</v>
      </c>
      <c r="S136" s="12">
        <f t="shared" ref="S136:S141" si="254">R136*H136/10</f>
        <v>2.0278350515463921</v>
      </c>
    </row>
    <row r="137" spans="1:25">
      <c r="A137" s="39"/>
      <c r="B137" s="13">
        <v>43978</v>
      </c>
      <c r="C137" s="72" t="s">
        <v>913</v>
      </c>
      <c r="D137" s="72" t="s">
        <v>30</v>
      </c>
      <c r="E137" s="72"/>
      <c r="H137" s="63">
        <v>5</v>
      </c>
      <c r="I137" s="43">
        <v>2.3E-3</v>
      </c>
      <c r="J137" s="15">
        <v>9.7000000000000003E-3</v>
      </c>
      <c r="K137" s="12">
        <v>2.5000000000000001E-2</v>
      </c>
      <c r="L137" s="12">
        <v>3.0000000000000001E-3</v>
      </c>
      <c r="M137" s="12">
        <f t="shared" si="250"/>
        <v>1.9000000000000003E-2</v>
      </c>
      <c r="N137" s="97">
        <v>0.22500000000000001</v>
      </c>
      <c r="O137" s="98">
        <v>4.0000000000000001E-3</v>
      </c>
      <c r="P137" s="48">
        <f t="shared" si="251"/>
        <v>0.217</v>
      </c>
      <c r="Q137" s="12">
        <f t="shared" si="252"/>
        <v>0.19800000000000001</v>
      </c>
      <c r="R137" s="12">
        <f t="shared" si="253"/>
        <v>20.175257731958762</v>
      </c>
      <c r="S137" s="12">
        <f t="shared" si="254"/>
        <v>10.087628865979381</v>
      </c>
    </row>
    <row r="138" spans="1:25">
      <c r="A138" s="39"/>
      <c r="B138" s="12" t="s">
        <v>918</v>
      </c>
      <c r="C138" s="72" t="s">
        <v>914</v>
      </c>
      <c r="D138" s="72" t="s">
        <v>32</v>
      </c>
      <c r="E138" s="72"/>
      <c r="H138" s="63">
        <v>10</v>
      </c>
      <c r="I138" s="43">
        <v>2.3E-3</v>
      </c>
      <c r="J138" s="15">
        <v>9.7000000000000003E-3</v>
      </c>
      <c r="K138" s="12">
        <v>2.5000000000000001E-2</v>
      </c>
      <c r="L138" s="12">
        <v>3.0000000000000001E-3</v>
      </c>
      <c r="M138" s="12">
        <f t="shared" si="250"/>
        <v>1.9000000000000003E-2</v>
      </c>
      <c r="N138" s="97">
        <v>0.17899999999999999</v>
      </c>
      <c r="O138" s="98">
        <v>5.0000000000000001E-3</v>
      </c>
      <c r="P138" s="48">
        <f t="shared" si="251"/>
        <v>0.16899999999999998</v>
      </c>
      <c r="Q138" s="12">
        <f t="shared" si="252"/>
        <v>0.14999999999999997</v>
      </c>
      <c r="R138" s="12">
        <f t="shared" si="253"/>
        <v>15.226804123711336</v>
      </c>
      <c r="S138" s="12">
        <f t="shared" si="254"/>
        <v>15.226804123711336</v>
      </c>
    </row>
    <row r="139" spans="1:25">
      <c r="A139" s="39"/>
      <c r="C139" s="72" t="s">
        <v>915</v>
      </c>
      <c r="D139" s="72" t="s">
        <v>34</v>
      </c>
      <c r="E139" s="72"/>
      <c r="H139" s="63">
        <v>10</v>
      </c>
      <c r="I139" s="43">
        <v>2.3E-3</v>
      </c>
      <c r="J139" s="15">
        <v>9.7000000000000003E-3</v>
      </c>
      <c r="K139" s="12">
        <v>2.5000000000000001E-2</v>
      </c>
      <c r="L139" s="12">
        <v>3.0000000000000001E-3</v>
      </c>
      <c r="M139" s="12">
        <f t="shared" si="250"/>
        <v>1.9000000000000003E-2</v>
      </c>
      <c r="N139" s="97">
        <v>0.221</v>
      </c>
      <c r="O139" s="98">
        <v>5.0000000000000001E-3</v>
      </c>
      <c r="P139" s="48">
        <f t="shared" si="251"/>
        <v>0.21099999999999999</v>
      </c>
      <c r="Q139" s="12">
        <f t="shared" si="252"/>
        <v>0.192</v>
      </c>
      <c r="R139" s="12">
        <f t="shared" si="253"/>
        <v>19.556701030927837</v>
      </c>
      <c r="S139" s="12">
        <f t="shared" si="254"/>
        <v>19.556701030927837</v>
      </c>
    </row>
    <row r="140" spans="1:25">
      <c r="A140" s="39"/>
      <c r="C140" s="72" t="s">
        <v>916</v>
      </c>
      <c r="D140" s="72" t="s">
        <v>492</v>
      </c>
      <c r="E140" s="72"/>
      <c r="H140" s="63">
        <v>5</v>
      </c>
      <c r="I140" s="43">
        <v>2.3E-3</v>
      </c>
      <c r="J140" s="15">
        <v>9.7000000000000003E-3</v>
      </c>
      <c r="K140" s="12">
        <v>2.5000000000000001E-2</v>
      </c>
      <c r="L140" s="12">
        <v>3.0000000000000001E-3</v>
      </c>
      <c r="M140" s="12">
        <f t="shared" si="250"/>
        <v>1.9000000000000003E-2</v>
      </c>
      <c r="N140" s="97">
        <v>0.128</v>
      </c>
      <c r="O140" s="98">
        <v>5.0000000000000001E-3</v>
      </c>
      <c r="P140" s="48">
        <f t="shared" si="251"/>
        <v>0.11800000000000001</v>
      </c>
      <c r="Q140" s="12">
        <f t="shared" si="252"/>
        <v>9.9000000000000005E-2</v>
      </c>
      <c r="R140" s="12">
        <f t="shared" si="253"/>
        <v>9.9690721649484537</v>
      </c>
      <c r="S140" s="12">
        <f t="shared" si="254"/>
        <v>4.9845360824742269</v>
      </c>
    </row>
    <row r="141" spans="1:25">
      <c r="A141" s="39"/>
      <c r="C141" s="72" t="s">
        <v>917</v>
      </c>
      <c r="D141" s="72" t="s">
        <v>494</v>
      </c>
      <c r="E141" s="72"/>
      <c r="H141" s="63">
        <v>5</v>
      </c>
      <c r="I141" s="43">
        <v>2.3E-3</v>
      </c>
      <c r="J141" s="15">
        <v>9.7000000000000003E-3</v>
      </c>
      <c r="K141" s="12">
        <v>2.5000000000000001E-2</v>
      </c>
      <c r="L141" s="12">
        <v>3.0000000000000001E-3</v>
      </c>
      <c r="M141" s="12">
        <f t="shared" si="250"/>
        <v>1.9000000000000003E-2</v>
      </c>
      <c r="N141" s="97">
        <v>0.311</v>
      </c>
      <c r="O141" s="98">
        <v>4.0000000000000001E-3</v>
      </c>
      <c r="P141" s="48">
        <f t="shared" si="251"/>
        <v>0.30299999999999999</v>
      </c>
      <c r="Q141" s="12">
        <f t="shared" si="252"/>
        <v>0.28399999999999997</v>
      </c>
      <c r="R141" s="12">
        <f t="shared" si="253"/>
        <v>29.041237113402055</v>
      </c>
      <c r="S141" s="12">
        <f t="shared" si="254"/>
        <v>14.520618556701027</v>
      </c>
    </row>
    <row r="142" spans="1:25">
      <c r="A142" s="39" t="s">
        <v>911</v>
      </c>
      <c r="C142" s="72" t="s">
        <v>912</v>
      </c>
      <c r="D142" s="72" t="s">
        <v>36</v>
      </c>
      <c r="E142" s="72"/>
      <c r="H142" s="63">
        <v>5</v>
      </c>
      <c r="I142" s="43">
        <v>2.3E-3</v>
      </c>
      <c r="J142" s="15">
        <v>9.7000000000000003E-3</v>
      </c>
      <c r="K142" s="12">
        <v>2.5000000000000001E-2</v>
      </c>
      <c r="L142" s="12">
        <v>3.0000000000000001E-3</v>
      </c>
      <c r="M142" s="12">
        <f t="shared" ref="M142" si="255">K142-L142*2</f>
        <v>1.9000000000000003E-2</v>
      </c>
      <c r="N142" s="77">
        <v>0.16900000000000001</v>
      </c>
      <c r="O142" s="77">
        <v>4.0000000000000001E-3</v>
      </c>
      <c r="P142" s="12">
        <f t="shared" ref="P142" si="256">N142-O142*2</f>
        <v>0.161</v>
      </c>
      <c r="Q142" s="12">
        <f t="shared" ref="Q142" si="257">P142-M142</f>
        <v>0.14200000000000002</v>
      </c>
      <c r="R142" s="12">
        <f t="shared" ref="R142" si="258">(Q142-I142)/J142</f>
        <v>14.402061855670105</v>
      </c>
      <c r="S142" s="12">
        <f t="shared" ref="S142" si="259">R142*H142/10</f>
        <v>7.2010309278350517</v>
      </c>
    </row>
    <row r="143" spans="1:25">
      <c r="A143" s="39" t="s">
        <v>919</v>
      </c>
      <c r="B143" s="13">
        <v>43980</v>
      </c>
      <c r="C143" s="72" t="s">
        <v>920</v>
      </c>
      <c r="D143" s="12" t="s">
        <v>116</v>
      </c>
      <c r="H143" s="63">
        <v>5</v>
      </c>
      <c r="I143" s="43">
        <v>2.3E-3</v>
      </c>
      <c r="J143" s="15">
        <v>9.7000000000000003E-3</v>
      </c>
      <c r="K143" s="12">
        <v>2.5999999999999999E-2</v>
      </c>
      <c r="L143" s="12">
        <v>3.0000000000000001E-3</v>
      </c>
      <c r="M143" s="12">
        <f t="shared" ref="M143" si="260">K143-L143*2</f>
        <v>1.9999999999999997E-2</v>
      </c>
      <c r="N143" s="77">
        <v>0.17599999999999999</v>
      </c>
      <c r="O143" s="77">
        <v>8.9999999999999993E-3</v>
      </c>
      <c r="P143" s="12">
        <f t="shared" ref="P143" si="261">N143-O143*2</f>
        <v>0.158</v>
      </c>
      <c r="Q143" s="12">
        <f t="shared" ref="Q143" si="262">P143-M143</f>
        <v>0.13800000000000001</v>
      </c>
      <c r="R143" s="12">
        <f t="shared" ref="R143" si="263">(Q143-I143)/J143</f>
        <v>13.989690721649486</v>
      </c>
      <c r="S143" s="12">
        <f t="shared" ref="S143" si="264">R143*H143/10</f>
        <v>6.9948453608247432</v>
      </c>
    </row>
    <row r="144" spans="1:25">
      <c r="A144" s="99"/>
      <c r="B144" s="12" t="s">
        <v>921</v>
      </c>
    </row>
    <row r="145" spans="1:15">
      <c r="A145" s="107" t="s">
        <v>401</v>
      </c>
      <c r="C145" s="12" t="s">
        <v>1018</v>
      </c>
      <c r="D145" s="12" t="s">
        <v>1026</v>
      </c>
      <c r="F145" s="12">
        <v>-1</v>
      </c>
      <c r="G145" s="12">
        <v>-1</v>
      </c>
      <c r="N145" s="77"/>
      <c r="O145" s="77"/>
    </row>
    <row r="146" spans="1:15">
      <c r="A146" s="107" t="s">
        <v>401</v>
      </c>
      <c r="C146" s="12" t="s">
        <v>1019</v>
      </c>
      <c r="D146" s="12" t="s">
        <v>1020</v>
      </c>
      <c r="F146" s="12">
        <v>-1</v>
      </c>
      <c r="G146" s="12">
        <v>-1</v>
      </c>
      <c r="N146" s="77"/>
      <c r="O146" s="77"/>
    </row>
    <row r="147" spans="1:15">
      <c r="A147" s="107" t="s">
        <v>401</v>
      </c>
      <c r="C147" s="12" t="s">
        <v>1021</v>
      </c>
      <c r="D147" s="12" t="s">
        <v>1022</v>
      </c>
      <c r="F147" s="12">
        <v>-1</v>
      </c>
      <c r="G147" s="12">
        <v>-1</v>
      </c>
      <c r="N147" s="77"/>
      <c r="O147" s="77"/>
    </row>
    <row r="148" spans="1:15">
      <c r="A148" s="107" t="s">
        <v>1025</v>
      </c>
      <c r="C148" s="12" t="s">
        <v>1023</v>
      </c>
      <c r="D148" s="12" t="s">
        <v>1024</v>
      </c>
      <c r="F148" s="12">
        <v>-1</v>
      </c>
      <c r="G148" s="12">
        <v>-1</v>
      </c>
      <c r="N148" s="77"/>
      <c r="O148" s="77"/>
    </row>
    <row r="149" spans="1:15">
      <c r="N149" s="77"/>
      <c r="O149" s="77"/>
    </row>
    <row r="150" spans="1:15">
      <c r="N150" s="77"/>
      <c r="O150" s="7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Y90"/>
  <sheetViews>
    <sheetView workbookViewId="0">
      <pane ySplit="1" topLeftCell="A60" activePane="bottomLeft" state="frozen"/>
      <selection pane="bottomLeft" activeCell="E86" sqref="E86"/>
    </sheetView>
  </sheetViews>
  <sheetFormatPr defaultRowHeight="13.5"/>
  <cols>
    <col min="1" max="1" width="9" style="45"/>
    <col min="2" max="2" width="9" style="12"/>
    <col min="3" max="3" width="16.75" style="12" customWidth="1"/>
    <col min="4" max="4" width="19.25" style="12" customWidth="1"/>
    <col min="5" max="5" width="3.75" style="12" customWidth="1"/>
    <col min="6" max="7" width="9" style="12"/>
    <col min="8" max="8" width="9" style="15"/>
    <col min="9" max="9" width="9.5" style="12" bestFit="1" customWidth="1"/>
    <col min="10" max="16384" width="9" style="12"/>
  </cols>
  <sheetData>
    <row r="1" spans="1:25" s="11" customFormat="1" ht="34.5" customHeight="1">
      <c r="A1" s="1" t="s">
        <v>319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58" t="s">
        <v>7</v>
      </c>
      <c r="I1" s="14" t="s">
        <v>8</v>
      </c>
      <c r="J1" s="14" t="s">
        <v>9</v>
      </c>
      <c r="K1" s="5" t="s">
        <v>10</v>
      </c>
      <c r="L1" s="5" t="s">
        <v>10</v>
      </c>
      <c r="M1" s="5" t="s">
        <v>10</v>
      </c>
      <c r="N1" s="6" t="s">
        <v>10</v>
      </c>
      <c r="O1" s="76" t="s">
        <v>10</v>
      </c>
      <c r="P1" s="7" t="s">
        <v>10</v>
      </c>
      <c r="Q1" s="8" t="s">
        <v>10</v>
      </c>
      <c r="R1" s="9" t="s">
        <v>11</v>
      </c>
      <c r="S1" s="9" t="s">
        <v>12</v>
      </c>
      <c r="T1" s="10" t="s">
        <v>13</v>
      </c>
      <c r="U1" s="10" t="s">
        <v>14</v>
      </c>
      <c r="V1" s="11" t="s">
        <v>15</v>
      </c>
    </row>
    <row r="2" spans="1:25">
      <c r="A2" s="39" t="s">
        <v>841</v>
      </c>
      <c r="B2" s="13">
        <v>43983</v>
      </c>
      <c r="C2" s="72" t="s">
        <v>1008</v>
      </c>
      <c r="D2" s="12" t="s">
        <v>1009</v>
      </c>
      <c r="H2" s="15">
        <v>10</v>
      </c>
      <c r="I2" s="43">
        <v>2.3E-3</v>
      </c>
      <c r="J2" s="15">
        <v>9.7000000000000003E-3</v>
      </c>
      <c r="K2" s="12">
        <v>2.9000000000000001E-2</v>
      </c>
      <c r="L2" s="12">
        <v>4.0000000000000001E-3</v>
      </c>
      <c r="M2" s="12">
        <f t="shared" ref="M2" si="0">K2-2*L2</f>
        <v>2.1000000000000001E-2</v>
      </c>
      <c r="N2" s="12">
        <v>0.249</v>
      </c>
      <c r="O2" s="12">
        <v>8.0000000000000002E-3</v>
      </c>
      <c r="P2" s="12">
        <f t="shared" ref="P2" si="1">N2-O2*2</f>
        <v>0.23299999999999998</v>
      </c>
      <c r="Q2" s="12">
        <f t="shared" ref="Q2" si="2">P2-M2</f>
        <v>0.21199999999999999</v>
      </c>
      <c r="R2" s="12">
        <f t="shared" ref="R2" si="3">(Q2-I2)/J2</f>
        <v>21.618556701030926</v>
      </c>
      <c r="S2" s="12">
        <f t="shared" ref="S2" si="4">R2*H2/10</f>
        <v>21.618556701030926</v>
      </c>
    </row>
    <row r="3" spans="1:25" ht="15.75" customHeight="1">
      <c r="A3" s="39" t="s">
        <v>841</v>
      </c>
      <c r="B3" s="12" t="s">
        <v>92</v>
      </c>
      <c r="C3" s="72" t="s">
        <v>985</v>
      </c>
      <c r="D3" s="72" t="s">
        <v>109</v>
      </c>
      <c r="H3" s="15">
        <v>5</v>
      </c>
      <c r="I3" s="43">
        <v>2.3E-3</v>
      </c>
      <c r="J3" s="15">
        <v>9.7000000000000003E-3</v>
      </c>
      <c r="K3" s="12">
        <v>2.9000000000000001E-2</v>
      </c>
      <c r="L3" s="12">
        <v>4.0000000000000001E-3</v>
      </c>
      <c r="M3" s="12">
        <f t="shared" ref="M3" si="5">K3-2*L3</f>
        <v>2.1000000000000001E-2</v>
      </c>
      <c r="N3" s="12">
        <v>0.377</v>
      </c>
      <c r="O3" s="12">
        <v>5.0000000000000001E-3</v>
      </c>
      <c r="P3" s="12">
        <f t="shared" ref="P3" si="6">N3-O3*2</f>
        <v>0.36699999999999999</v>
      </c>
      <c r="Q3" s="12">
        <f t="shared" ref="Q3" si="7">P3-M3</f>
        <v>0.34599999999999997</v>
      </c>
      <c r="R3" s="12">
        <f t="shared" ref="R3" si="8">(Q3-I3)/J3</f>
        <v>35.432989690721641</v>
      </c>
      <c r="S3" s="12">
        <f t="shared" ref="S3" si="9">R3*H3/10</f>
        <v>17.71649484536082</v>
      </c>
    </row>
    <row r="4" spans="1:25">
      <c r="A4" s="39" t="s">
        <v>936</v>
      </c>
      <c r="C4" s="12" t="s">
        <v>922</v>
      </c>
      <c r="D4" s="12" t="s">
        <v>542</v>
      </c>
      <c r="H4" s="44">
        <v>5</v>
      </c>
      <c r="I4" s="43">
        <v>2.3E-3</v>
      </c>
      <c r="J4" s="15">
        <v>9.7000000000000003E-3</v>
      </c>
      <c r="K4" s="12">
        <v>2.9000000000000001E-2</v>
      </c>
      <c r="L4" s="12">
        <v>4.0000000000000001E-3</v>
      </c>
      <c r="M4" s="12">
        <f>K4-2*L4</f>
        <v>2.1000000000000001E-2</v>
      </c>
      <c r="N4" s="77">
        <v>0.17599999999999999</v>
      </c>
      <c r="O4" s="77">
        <v>8.9999999999999993E-3</v>
      </c>
      <c r="P4" s="12">
        <f t="shared" ref="P4" si="10">N4-O4*2</f>
        <v>0.158</v>
      </c>
      <c r="Q4" s="12">
        <f t="shared" ref="Q4" si="11">P4-M4</f>
        <v>0.13700000000000001</v>
      </c>
      <c r="R4" s="12">
        <f t="shared" ref="R4" si="12">(Q4-I4)/J4</f>
        <v>13.88659793814433</v>
      </c>
      <c r="S4" s="12">
        <f t="shared" ref="S4" si="13">R4*H4/10</f>
        <v>6.9432989690721651</v>
      </c>
      <c r="V4" s="12">
        <v>0.13500000000000001</v>
      </c>
      <c r="W4" s="12">
        <v>4.2000000000000003E-2</v>
      </c>
      <c r="X4" s="12">
        <f>V4-0.106</f>
        <v>2.9000000000000012E-2</v>
      </c>
      <c r="Y4" s="12">
        <f>W4-0.038</f>
        <v>4.0000000000000036E-3</v>
      </c>
    </row>
    <row r="5" spans="1:25">
      <c r="A5" s="39" t="s">
        <v>401</v>
      </c>
      <c r="C5" s="12" t="s">
        <v>923</v>
      </c>
      <c r="D5" s="12" t="s">
        <v>17</v>
      </c>
      <c r="H5" s="15">
        <v>5</v>
      </c>
      <c r="I5" s="43">
        <v>2.3E-3</v>
      </c>
      <c r="J5" s="15">
        <v>9.7000000000000003E-3</v>
      </c>
      <c r="K5" s="12">
        <v>2.9000000000000001E-2</v>
      </c>
      <c r="L5" s="12">
        <v>4.0000000000000001E-3</v>
      </c>
      <c r="M5" s="12">
        <f t="shared" ref="M5:M18" si="14">K5-2*L5</f>
        <v>2.1000000000000001E-2</v>
      </c>
      <c r="N5" s="12">
        <v>0.121</v>
      </c>
      <c r="O5" s="12">
        <v>8.0000000000000002E-3</v>
      </c>
      <c r="P5" s="12">
        <f t="shared" ref="P5:P17" si="15">N5-O5*2</f>
        <v>0.105</v>
      </c>
      <c r="Q5" s="12">
        <f t="shared" ref="Q5:Q17" si="16">P5-M5</f>
        <v>8.3999999999999991E-2</v>
      </c>
      <c r="R5" s="12">
        <f t="shared" ref="R5:R17" si="17">(Q5-I5)/J5</f>
        <v>8.4226804123711325</v>
      </c>
      <c r="S5" s="12">
        <f t="shared" ref="S5:S17" si="18">R5*H5/10</f>
        <v>4.2113402061855663</v>
      </c>
      <c r="V5" s="12">
        <v>0.33400000000000002</v>
      </c>
      <c r="W5" s="12">
        <v>4.4999999999999998E-2</v>
      </c>
      <c r="X5" s="12">
        <f t="shared" ref="X5:X9" si="19">V5-0.106</f>
        <v>0.22800000000000004</v>
      </c>
      <c r="Y5" s="12">
        <f t="shared" ref="Y5:Y9" si="20">W5-0.038</f>
        <v>6.9999999999999993E-3</v>
      </c>
    </row>
    <row r="6" spans="1:25">
      <c r="A6" s="39" t="s">
        <v>401</v>
      </c>
      <c r="C6" s="12" t="s">
        <v>924</v>
      </c>
      <c r="D6" s="12" t="s">
        <v>132</v>
      </c>
      <c r="H6" s="15">
        <v>5</v>
      </c>
      <c r="I6" s="43">
        <v>2.3E-3</v>
      </c>
      <c r="J6" s="15">
        <v>9.7000000000000003E-3</v>
      </c>
      <c r="K6" s="12">
        <v>2.9000000000000001E-2</v>
      </c>
      <c r="L6" s="12">
        <v>4.0000000000000001E-3</v>
      </c>
      <c r="M6" s="12">
        <f t="shared" si="14"/>
        <v>2.1000000000000001E-2</v>
      </c>
      <c r="N6" s="12">
        <v>0.13900000000000001</v>
      </c>
      <c r="O6" s="12">
        <v>6.0000000000000001E-3</v>
      </c>
      <c r="P6" s="12">
        <f t="shared" si="15"/>
        <v>0.127</v>
      </c>
      <c r="Q6" s="12">
        <f t="shared" si="16"/>
        <v>0.106</v>
      </c>
      <c r="R6" s="12">
        <f t="shared" si="17"/>
        <v>10.690721649484535</v>
      </c>
      <c r="S6" s="12">
        <f t="shared" si="18"/>
        <v>5.3453608247422677</v>
      </c>
      <c r="V6" s="12">
        <v>0.20499999999999999</v>
      </c>
      <c r="W6" s="12">
        <v>4.3999999999999997E-2</v>
      </c>
      <c r="X6" s="12">
        <f t="shared" si="19"/>
        <v>9.8999999999999991E-2</v>
      </c>
      <c r="Y6" s="12">
        <f t="shared" si="20"/>
        <v>5.9999999999999984E-3</v>
      </c>
    </row>
    <row r="7" spans="1:25">
      <c r="A7" s="39" t="s">
        <v>401</v>
      </c>
      <c r="C7" s="12" t="s">
        <v>925</v>
      </c>
      <c r="D7" s="12" t="s">
        <v>508</v>
      </c>
      <c r="E7" s="101"/>
      <c r="H7" s="15">
        <v>5</v>
      </c>
      <c r="I7" s="43">
        <v>2.3E-3</v>
      </c>
      <c r="J7" s="15">
        <v>9.7000000000000003E-3</v>
      </c>
      <c r="K7" s="12">
        <v>2.9000000000000001E-2</v>
      </c>
      <c r="L7" s="12">
        <v>4.0000000000000001E-3</v>
      </c>
      <c r="M7" s="12">
        <f t="shared" si="14"/>
        <v>2.1000000000000001E-2</v>
      </c>
      <c r="N7" s="12">
        <v>0.21099999999999999</v>
      </c>
      <c r="O7" s="12">
        <v>7.0000000000000001E-3</v>
      </c>
      <c r="P7" s="12">
        <f t="shared" si="15"/>
        <v>0.19699999999999998</v>
      </c>
      <c r="Q7" s="12">
        <f t="shared" si="16"/>
        <v>0.17599999999999999</v>
      </c>
      <c r="R7" s="12">
        <f t="shared" si="17"/>
        <v>17.907216494845361</v>
      </c>
      <c r="S7" s="12">
        <f t="shared" si="18"/>
        <v>8.9536082474226806</v>
      </c>
      <c r="V7" s="12">
        <v>0.28999999999999998</v>
      </c>
      <c r="W7" s="12">
        <v>4.5999999999999999E-2</v>
      </c>
      <c r="X7" s="12">
        <f t="shared" si="19"/>
        <v>0.184</v>
      </c>
      <c r="Y7" s="12">
        <f t="shared" si="20"/>
        <v>8.0000000000000002E-3</v>
      </c>
    </row>
    <row r="8" spans="1:25">
      <c r="A8" s="39" t="s">
        <v>401</v>
      </c>
      <c r="C8" s="12" t="s">
        <v>926</v>
      </c>
      <c r="D8" s="12" t="s">
        <v>20</v>
      </c>
      <c r="H8" s="15">
        <v>5</v>
      </c>
      <c r="I8" s="43">
        <v>2.3E-3</v>
      </c>
      <c r="J8" s="15">
        <v>9.7000000000000003E-3</v>
      </c>
      <c r="K8" s="12">
        <v>2.9000000000000001E-2</v>
      </c>
      <c r="L8" s="12">
        <v>4.0000000000000001E-3</v>
      </c>
      <c r="M8" s="12">
        <f t="shared" si="14"/>
        <v>2.1000000000000001E-2</v>
      </c>
      <c r="N8" s="12">
        <v>0.11799999999999999</v>
      </c>
      <c r="O8" s="12">
        <v>7.0000000000000001E-3</v>
      </c>
      <c r="P8" s="12">
        <f t="shared" si="15"/>
        <v>0.104</v>
      </c>
      <c r="Q8" s="12">
        <f t="shared" si="16"/>
        <v>8.299999999999999E-2</v>
      </c>
      <c r="R8" s="12">
        <f t="shared" si="17"/>
        <v>8.3195876288659782</v>
      </c>
      <c r="S8" s="12">
        <f t="shared" si="18"/>
        <v>4.1597938144329891</v>
      </c>
      <c r="V8" s="12">
        <v>0.53400000000000003</v>
      </c>
      <c r="W8" s="12">
        <v>4.4999999999999998E-2</v>
      </c>
      <c r="X8" s="12">
        <f t="shared" si="19"/>
        <v>0.42800000000000005</v>
      </c>
      <c r="Y8" s="12">
        <f t="shared" si="20"/>
        <v>6.9999999999999993E-3</v>
      </c>
    </row>
    <row r="9" spans="1:25">
      <c r="A9" s="39" t="s">
        <v>401</v>
      </c>
      <c r="C9" s="12" t="s">
        <v>927</v>
      </c>
      <c r="D9" s="12" t="s">
        <v>22</v>
      </c>
      <c r="E9" s="101"/>
      <c r="H9" s="15">
        <v>5</v>
      </c>
      <c r="I9" s="43">
        <v>2.3E-3</v>
      </c>
      <c r="J9" s="15">
        <v>9.7000000000000003E-3</v>
      </c>
      <c r="K9" s="12">
        <v>2.9000000000000001E-2</v>
      </c>
      <c r="L9" s="12">
        <v>4.0000000000000001E-3</v>
      </c>
      <c r="M9" s="12">
        <f t="shared" si="14"/>
        <v>2.1000000000000001E-2</v>
      </c>
      <c r="N9" s="12">
        <v>9.9000000000000005E-2</v>
      </c>
      <c r="O9" s="12">
        <v>6.0000000000000001E-3</v>
      </c>
      <c r="P9" s="12">
        <f t="shared" si="15"/>
        <v>8.7000000000000008E-2</v>
      </c>
      <c r="Q9" s="12">
        <f t="shared" si="16"/>
        <v>6.6000000000000003E-2</v>
      </c>
      <c r="R9" s="12">
        <f t="shared" si="17"/>
        <v>6.5670103092783512</v>
      </c>
      <c r="S9" s="12">
        <f t="shared" si="18"/>
        <v>3.2835051546391751</v>
      </c>
      <c r="V9" s="12">
        <v>0.221</v>
      </c>
      <c r="W9" s="12">
        <v>4.4999999999999998E-2</v>
      </c>
      <c r="X9" s="12">
        <f t="shared" si="19"/>
        <v>0.115</v>
      </c>
      <c r="Y9" s="12">
        <f t="shared" si="20"/>
        <v>6.9999999999999993E-3</v>
      </c>
    </row>
    <row r="10" spans="1:25">
      <c r="A10" s="39" t="s">
        <v>401</v>
      </c>
      <c r="C10" s="12" t="s">
        <v>928</v>
      </c>
      <c r="D10" s="12" t="s">
        <v>24</v>
      </c>
      <c r="E10" s="101"/>
      <c r="H10" s="15">
        <v>5</v>
      </c>
      <c r="I10" s="43">
        <v>2.3E-3</v>
      </c>
      <c r="J10" s="15">
        <v>9.7000000000000003E-3</v>
      </c>
      <c r="K10" s="12">
        <v>2.9000000000000001E-2</v>
      </c>
      <c r="L10" s="12">
        <v>4.0000000000000001E-3</v>
      </c>
      <c r="M10" s="12">
        <f t="shared" si="14"/>
        <v>2.1000000000000001E-2</v>
      </c>
      <c r="N10" s="12">
        <v>0.184</v>
      </c>
      <c r="O10" s="12">
        <v>8.0000000000000002E-3</v>
      </c>
      <c r="P10" s="12">
        <f t="shared" si="15"/>
        <v>0.16799999999999998</v>
      </c>
      <c r="Q10" s="12">
        <f t="shared" si="16"/>
        <v>0.14699999999999999</v>
      </c>
      <c r="R10" s="12">
        <f t="shared" si="17"/>
        <v>14.917525773195875</v>
      </c>
      <c r="S10" s="12">
        <f t="shared" si="18"/>
        <v>7.4587628865979365</v>
      </c>
    </row>
    <row r="11" spans="1:25">
      <c r="A11" s="39" t="s">
        <v>401</v>
      </c>
      <c r="C11" s="12" t="s">
        <v>929</v>
      </c>
      <c r="D11" s="12" t="s">
        <v>26</v>
      </c>
      <c r="H11" s="15">
        <v>1</v>
      </c>
      <c r="I11" s="43">
        <v>2.3E-3</v>
      </c>
      <c r="J11" s="15">
        <v>9.7000000000000003E-3</v>
      </c>
      <c r="K11" s="12">
        <v>2.9000000000000001E-2</v>
      </c>
      <c r="L11" s="12">
        <v>4.0000000000000001E-3</v>
      </c>
      <c r="M11" s="12">
        <f t="shared" si="14"/>
        <v>2.1000000000000001E-2</v>
      </c>
      <c r="N11" s="12">
        <v>0.218</v>
      </c>
      <c r="O11" s="12">
        <v>6.0000000000000001E-3</v>
      </c>
      <c r="P11" s="12">
        <f t="shared" si="15"/>
        <v>0.20599999999999999</v>
      </c>
      <c r="Q11" s="12">
        <f t="shared" si="16"/>
        <v>0.185</v>
      </c>
      <c r="R11" s="12">
        <f t="shared" si="17"/>
        <v>18.835051546391753</v>
      </c>
      <c r="S11" s="12">
        <f t="shared" si="18"/>
        <v>1.8835051546391752</v>
      </c>
    </row>
    <row r="12" spans="1:25">
      <c r="A12" s="39" t="s">
        <v>401</v>
      </c>
      <c r="C12" s="12" t="s">
        <v>930</v>
      </c>
      <c r="D12" s="12" t="s">
        <v>28</v>
      </c>
      <c r="H12" s="15">
        <v>5</v>
      </c>
      <c r="I12" s="43">
        <v>2.3E-3</v>
      </c>
      <c r="J12" s="15">
        <v>9.7000000000000003E-3</v>
      </c>
      <c r="K12" s="12">
        <v>2.9000000000000001E-2</v>
      </c>
      <c r="L12" s="12">
        <v>4.0000000000000001E-3</v>
      </c>
      <c r="M12" s="12">
        <f t="shared" si="14"/>
        <v>2.1000000000000001E-2</v>
      </c>
      <c r="N12" s="12">
        <v>0.19400000000000001</v>
      </c>
      <c r="O12" s="12">
        <v>5.0000000000000001E-3</v>
      </c>
      <c r="P12" s="12">
        <f t="shared" si="15"/>
        <v>0.184</v>
      </c>
      <c r="Q12" s="12">
        <f t="shared" si="16"/>
        <v>0.16300000000000001</v>
      </c>
      <c r="R12" s="12">
        <f t="shared" si="17"/>
        <v>16.567010309278352</v>
      </c>
      <c r="S12" s="12">
        <f t="shared" si="18"/>
        <v>8.283505154639176</v>
      </c>
    </row>
    <row r="13" spans="1:25">
      <c r="A13" s="39" t="s">
        <v>401</v>
      </c>
      <c r="C13" s="12" t="s">
        <v>931</v>
      </c>
      <c r="D13" s="12" t="s">
        <v>30</v>
      </c>
      <c r="H13" s="15">
        <v>5</v>
      </c>
      <c r="I13" s="43">
        <v>2.3E-3</v>
      </c>
      <c r="J13" s="15">
        <v>9.7000000000000003E-3</v>
      </c>
      <c r="K13" s="12">
        <v>2.9000000000000001E-2</v>
      </c>
      <c r="L13" s="12">
        <v>4.0000000000000001E-3</v>
      </c>
      <c r="M13" s="12">
        <f t="shared" si="14"/>
        <v>2.1000000000000001E-2</v>
      </c>
      <c r="N13" s="12">
        <v>0.27700000000000002</v>
      </c>
      <c r="O13" s="12">
        <v>6.0000000000000001E-3</v>
      </c>
      <c r="P13" s="12">
        <f t="shared" si="15"/>
        <v>0.26500000000000001</v>
      </c>
      <c r="Q13" s="12">
        <f t="shared" si="16"/>
        <v>0.24400000000000002</v>
      </c>
      <c r="R13" s="12">
        <f t="shared" si="17"/>
        <v>24.917525773195877</v>
      </c>
      <c r="S13" s="12">
        <f t="shared" si="18"/>
        <v>12.458762886597938</v>
      </c>
    </row>
    <row r="14" spans="1:25">
      <c r="A14" s="39" t="s">
        <v>401</v>
      </c>
      <c r="C14" s="12" t="s">
        <v>932</v>
      </c>
      <c r="D14" s="12" t="s">
        <v>32</v>
      </c>
      <c r="H14" s="15">
        <v>10</v>
      </c>
      <c r="I14" s="43">
        <v>2.3E-3</v>
      </c>
      <c r="J14" s="15">
        <v>9.7000000000000003E-3</v>
      </c>
      <c r="K14" s="12">
        <v>2.9000000000000001E-2</v>
      </c>
      <c r="L14" s="12">
        <v>4.0000000000000001E-3</v>
      </c>
      <c r="M14" s="12">
        <f t="shared" si="14"/>
        <v>2.1000000000000001E-2</v>
      </c>
      <c r="N14" s="12">
        <v>0.23499999999999999</v>
      </c>
      <c r="O14" s="12">
        <v>7.0000000000000001E-3</v>
      </c>
      <c r="P14" s="12">
        <f t="shared" si="15"/>
        <v>0.22099999999999997</v>
      </c>
      <c r="Q14" s="12">
        <f t="shared" si="16"/>
        <v>0.19999999999999998</v>
      </c>
      <c r="R14" s="12">
        <f t="shared" si="17"/>
        <v>20.381443298969071</v>
      </c>
      <c r="S14" s="12">
        <f t="shared" si="18"/>
        <v>20.381443298969071</v>
      </c>
    </row>
    <row r="15" spans="1:25">
      <c r="A15" s="39" t="s">
        <v>401</v>
      </c>
      <c r="C15" s="12" t="s">
        <v>933</v>
      </c>
      <c r="D15" s="12" t="s">
        <v>34</v>
      </c>
      <c r="H15" s="15">
        <v>10</v>
      </c>
      <c r="I15" s="43">
        <v>2.3E-3</v>
      </c>
      <c r="J15" s="15">
        <v>9.7000000000000003E-3</v>
      </c>
      <c r="K15" s="12">
        <v>2.9000000000000001E-2</v>
      </c>
      <c r="L15" s="12">
        <v>4.0000000000000001E-3</v>
      </c>
      <c r="M15" s="12">
        <f t="shared" si="14"/>
        <v>2.1000000000000001E-2</v>
      </c>
      <c r="N15" s="12">
        <v>0.221</v>
      </c>
      <c r="O15" s="12">
        <v>8.0000000000000002E-3</v>
      </c>
      <c r="P15" s="12">
        <f t="shared" si="15"/>
        <v>0.20500000000000002</v>
      </c>
      <c r="Q15" s="12">
        <f t="shared" si="16"/>
        <v>0.18400000000000002</v>
      </c>
      <c r="R15" s="12">
        <f t="shared" si="17"/>
        <v>18.731958762886599</v>
      </c>
      <c r="S15" s="12">
        <f t="shared" si="18"/>
        <v>18.731958762886599</v>
      </c>
    </row>
    <row r="16" spans="1:25">
      <c r="A16" s="39" t="s">
        <v>401</v>
      </c>
      <c r="C16" s="12" t="s">
        <v>934</v>
      </c>
      <c r="D16" s="12" t="s">
        <v>492</v>
      </c>
      <c r="E16" s="101"/>
      <c r="H16" s="15">
        <v>5</v>
      </c>
      <c r="I16" s="43">
        <v>2.3E-3</v>
      </c>
      <c r="J16" s="15">
        <v>9.7000000000000003E-3</v>
      </c>
      <c r="K16" s="12">
        <v>2.9000000000000001E-2</v>
      </c>
      <c r="L16" s="12">
        <v>4.0000000000000001E-3</v>
      </c>
      <c r="M16" s="12">
        <f t="shared" si="14"/>
        <v>2.1000000000000001E-2</v>
      </c>
      <c r="N16" s="12">
        <v>0.122</v>
      </c>
      <c r="O16" s="12">
        <v>7.0000000000000001E-3</v>
      </c>
      <c r="P16" s="12">
        <f t="shared" si="15"/>
        <v>0.108</v>
      </c>
      <c r="Q16" s="12">
        <f t="shared" si="16"/>
        <v>8.6999999999999994E-2</v>
      </c>
      <c r="R16" s="12">
        <f t="shared" si="17"/>
        <v>8.7319587628865971</v>
      </c>
      <c r="S16" s="16">
        <f t="shared" si="18"/>
        <v>4.3659793814432986</v>
      </c>
    </row>
    <row r="17" spans="1:25">
      <c r="A17" s="39" t="s">
        <v>401</v>
      </c>
      <c r="C17" s="12" t="s">
        <v>935</v>
      </c>
      <c r="D17" s="12" t="s">
        <v>494</v>
      </c>
      <c r="H17" s="15">
        <v>5</v>
      </c>
      <c r="I17" s="43">
        <v>2.3E-3</v>
      </c>
      <c r="J17" s="15">
        <v>9.7000000000000003E-3</v>
      </c>
      <c r="K17" s="12">
        <v>2.9000000000000001E-2</v>
      </c>
      <c r="L17" s="12">
        <v>4.0000000000000001E-3</v>
      </c>
      <c r="M17" s="12">
        <f t="shared" si="14"/>
        <v>2.1000000000000001E-2</v>
      </c>
      <c r="N17" s="12">
        <v>0.16600000000000001</v>
      </c>
      <c r="O17" s="12">
        <v>8.9999999999999993E-3</v>
      </c>
      <c r="P17" s="12">
        <f t="shared" si="15"/>
        <v>0.14800000000000002</v>
      </c>
      <c r="Q17" s="12">
        <f t="shared" si="16"/>
        <v>0.12700000000000003</v>
      </c>
      <c r="R17" s="12">
        <f t="shared" si="17"/>
        <v>12.855670103092786</v>
      </c>
      <c r="S17" s="12">
        <f t="shared" si="18"/>
        <v>6.4278350515463929</v>
      </c>
    </row>
    <row r="18" spans="1:25">
      <c r="A18" s="39" t="s">
        <v>409</v>
      </c>
      <c r="B18" s="13">
        <v>43984</v>
      </c>
      <c r="C18" s="72" t="s">
        <v>938</v>
      </c>
      <c r="D18" s="72" t="s">
        <v>454</v>
      </c>
      <c r="E18" s="72"/>
      <c r="H18" s="15">
        <v>5</v>
      </c>
      <c r="I18" s="43">
        <v>2.3E-3</v>
      </c>
      <c r="J18" s="15">
        <v>9.7000000000000003E-3</v>
      </c>
      <c r="K18" s="12">
        <v>3.2000000000000001E-2</v>
      </c>
      <c r="L18" s="12">
        <v>4.0000000000000001E-3</v>
      </c>
      <c r="M18" s="12">
        <f t="shared" si="14"/>
        <v>2.4E-2</v>
      </c>
      <c r="N18" s="12">
        <v>0.11799999999999999</v>
      </c>
      <c r="O18" s="12">
        <v>7.0000000000000001E-3</v>
      </c>
      <c r="P18" s="12">
        <f t="shared" ref="P18" si="21">N18-O18*2</f>
        <v>0.104</v>
      </c>
      <c r="Q18" s="12">
        <f t="shared" ref="Q18" si="22">P18-M18</f>
        <v>7.9999999999999988E-2</v>
      </c>
      <c r="R18" s="12">
        <f t="shared" ref="R18" si="23">(Q18-I18)/J18</f>
        <v>8.0103092783505137</v>
      </c>
      <c r="S18" s="12">
        <f t="shared" ref="S18" si="24">R18*H18/10</f>
        <v>4.0051546391752568</v>
      </c>
    </row>
    <row r="19" spans="1:25">
      <c r="B19" s="12" t="s">
        <v>937</v>
      </c>
    </row>
    <row r="20" spans="1:25">
      <c r="A20" s="39" t="s">
        <v>160</v>
      </c>
      <c r="B20" s="13">
        <v>43985</v>
      </c>
      <c r="C20" s="72" t="s">
        <v>939</v>
      </c>
      <c r="D20" s="72" t="s">
        <v>67</v>
      </c>
      <c r="E20" s="65"/>
      <c r="F20" s="65"/>
      <c r="H20" s="15">
        <v>5</v>
      </c>
      <c r="I20" s="43">
        <v>2.3E-3</v>
      </c>
      <c r="J20" s="15">
        <v>9.7000000000000003E-3</v>
      </c>
      <c r="K20" s="12">
        <v>3.1E-2</v>
      </c>
      <c r="L20" s="12">
        <v>4.0000000000000001E-3</v>
      </c>
      <c r="M20" s="12">
        <f t="shared" ref="M20" si="25">K20-2*L20</f>
        <v>2.3E-2</v>
      </c>
      <c r="N20" s="12">
        <v>0.13100000000000001</v>
      </c>
      <c r="O20" s="12">
        <v>8.0000000000000002E-3</v>
      </c>
      <c r="P20" s="12">
        <f t="shared" ref="P20:P30" si="26">N20-O20*2</f>
        <v>0.115</v>
      </c>
      <c r="Q20" s="12">
        <f t="shared" ref="Q20" si="27">P20-M20</f>
        <v>9.1999999999999998E-2</v>
      </c>
      <c r="R20" s="12">
        <f t="shared" ref="R20" si="28">(Q20-I20)/J20</f>
        <v>9.2474226804123703</v>
      </c>
      <c r="S20" s="12">
        <f t="shared" ref="S20" si="29">R20*H20/10</f>
        <v>4.6237113402061851</v>
      </c>
    </row>
    <row r="21" spans="1:25" ht="18" customHeight="1">
      <c r="A21" s="39" t="s">
        <v>160</v>
      </c>
      <c r="B21" s="12" t="s">
        <v>954</v>
      </c>
      <c r="C21" s="72" t="s">
        <v>940</v>
      </c>
      <c r="D21" s="72" t="s">
        <v>65</v>
      </c>
      <c r="E21" s="101"/>
      <c r="F21" s="65"/>
      <c r="H21" s="15">
        <v>1</v>
      </c>
      <c r="I21" s="43">
        <v>2.3E-3</v>
      </c>
      <c r="J21" s="15">
        <v>9.7000000000000003E-3</v>
      </c>
      <c r="K21" s="12">
        <v>3.1E-2</v>
      </c>
      <c r="L21" s="12">
        <v>4.0000000000000001E-3</v>
      </c>
      <c r="M21" s="12">
        <f t="shared" ref="M21:M30" si="30">K21-2*L21</f>
        <v>2.3E-2</v>
      </c>
      <c r="N21" s="12">
        <v>0.35699999999999998</v>
      </c>
      <c r="O21" s="100">
        <v>5.0000000000000001E-3</v>
      </c>
      <c r="P21" s="12">
        <f t="shared" si="26"/>
        <v>0.34699999999999998</v>
      </c>
      <c r="Q21" s="12">
        <f t="shared" ref="Q21:Q30" si="31">P21-M21</f>
        <v>0.32399999999999995</v>
      </c>
      <c r="R21" s="12">
        <f t="shared" ref="R21:R30" si="32">(Q21-I21)/J21</f>
        <v>33.16494845360824</v>
      </c>
      <c r="S21" s="12">
        <f t="shared" ref="S21:S30" si="33">R21*H21/10</f>
        <v>3.3164948453608241</v>
      </c>
      <c r="V21" s="12">
        <v>0.10100000000000001</v>
      </c>
      <c r="W21" s="12">
        <v>4.7E-2</v>
      </c>
      <c r="X21" s="12">
        <f>V21-0.07</f>
        <v>3.1E-2</v>
      </c>
      <c r="Y21" s="12">
        <f>W21-0.043</f>
        <v>4.0000000000000036E-3</v>
      </c>
    </row>
    <row r="22" spans="1:25">
      <c r="A22" s="39" t="s">
        <v>160</v>
      </c>
      <c r="C22" s="72" t="s">
        <v>941</v>
      </c>
      <c r="D22" s="72"/>
      <c r="E22" s="65"/>
      <c r="F22" s="65"/>
      <c r="G22" s="12" t="s">
        <v>942</v>
      </c>
      <c r="H22" s="15">
        <v>5</v>
      </c>
      <c r="I22" s="43">
        <v>2.3E-3</v>
      </c>
      <c r="J22" s="15">
        <v>9.7000000000000003E-3</v>
      </c>
      <c r="K22" s="12">
        <v>3.1E-2</v>
      </c>
      <c r="L22" s="12">
        <v>4.0000000000000001E-3</v>
      </c>
      <c r="M22" s="12">
        <f t="shared" si="30"/>
        <v>2.3E-2</v>
      </c>
      <c r="N22" s="12">
        <v>0.35399999999999998</v>
      </c>
      <c r="O22" s="100">
        <v>5.0000000000000001E-3</v>
      </c>
      <c r="P22" s="12">
        <f t="shared" si="26"/>
        <v>0.34399999999999997</v>
      </c>
      <c r="Q22" s="12">
        <f t="shared" si="31"/>
        <v>0.32099999999999995</v>
      </c>
      <c r="R22" s="12">
        <f t="shared" si="32"/>
        <v>32.855670103092777</v>
      </c>
      <c r="S22" s="12">
        <f t="shared" si="33"/>
        <v>16.427835051546388</v>
      </c>
      <c r="V22" s="12">
        <v>0.42699999999999999</v>
      </c>
      <c r="W22" s="12">
        <v>4.8000000000000001E-2</v>
      </c>
      <c r="X22" s="12">
        <f t="shared" ref="X22:X25" si="34">V22-0.07</f>
        <v>0.35699999999999998</v>
      </c>
      <c r="Y22" s="12">
        <f t="shared" ref="Y22:Y25" si="35">W22-0.043</f>
        <v>5.0000000000000044E-3</v>
      </c>
    </row>
    <row r="23" spans="1:25">
      <c r="A23" s="39" t="s">
        <v>160</v>
      </c>
      <c r="C23" s="72" t="s">
        <v>943</v>
      </c>
      <c r="D23" s="72" t="s">
        <v>944</v>
      </c>
      <c r="E23" s="101"/>
      <c r="F23" s="65"/>
      <c r="G23" s="12" t="s">
        <v>942</v>
      </c>
      <c r="H23" s="15">
        <v>10</v>
      </c>
      <c r="I23" s="43">
        <v>2.3E-3</v>
      </c>
      <c r="J23" s="15">
        <v>9.7000000000000003E-3</v>
      </c>
      <c r="K23" s="12">
        <v>3.1E-2</v>
      </c>
      <c r="L23" s="12">
        <v>4.0000000000000001E-3</v>
      </c>
      <c r="M23" s="12">
        <f t="shared" si="30"/>
        <v>2.3E-2</v>
      </c>
      <c r="N23" s="12">
        <v>0.252</v>
      </c>
      <c r="O23" s="100">
        <v>8.0000000000000002E-3</v>
      </c>
      <c r="P23" s="12">
        <f t="shared" si="26"/>
        <v>0.23599999999999999</v>
      </c>
      <c r="Q23" s="12">
        <f t="shared" si="31"/>
        <v>0.21299999999999999</v>
      </c>
      <c r="R23" s="12">
        <f t="shared" si="32"/>
        <v>21.72164948453608</v>
      </c>
      <c r="S23" s="12">
        <f t="shared" si="33"/>
        <v>21.72164948453608</v>
      </c>
      <c r="V23" s="12">
        <v>0.32200000000000001</v>
      </c>
      <c r="W23" s="12">
        <v>5.0999999999999997E-2</v>
      </c>
      <c r="X23" s="12">
        <f t="shared" si="34"/>
        <v>0.252</v>
      </c>
      <c r="Y23" s="12">
        <f t="shared" si="35"/>
        <v>8.0000000000000002E-3</v>
      </c>
    </row>
    <row r="24" spans="1:25">
      <c r="A24" s="39" t="s">
        <v>160</v>
      </c>
      <c r="C24" s="72" t="s">
        <v>945</v>
      </c>
      <c r="D24" s="72" t="s">
        <v>39</v>
      </c>
      <c r="E24" s="65"/>
      <c r="F24" s="65"/>
      <c r="H24" s="15">
        <v>5</v>
      </c>
      <c r="I24" s="43">
        <v>2.3E-3</v>
      </c>
      <c r="J24" s="15">
        <v>9.7000000000000003E-3</v>
      </c>
      <c r="K24" s="12">
        <v>3.1E-2</v>
      </c>
      <c r="L24" s="12">
        <v>4.0000000000000001E-3</v>
      </c>
      <c r="M24" s="12">
        <f t="shared" si="30"/>
        <v>2.3E-2</v>
      </c>
      <c r="N24" s="12">
        <v>0.13300000000000001</v>
      </c>
      <c r="O24" s="100">
        <v>5.0000000000000001E-3</v>
      </c>
      <c r="P24" s="12">
        <f t="shared" si="26"/>
        <v>0.12300000000000001</v>
      </c>
      <c r="Q24" s="12">
        <f t="shared" si="31"/>
        <v>0.1</v>
      </c>
      <c r="R24" s="12">
        <f t="shared" si="32"/>
        <v>10.07216494845361</v>
      </c>
      <c r="S24" s="12">
        <f t="shared" si="33"/>
        <v>5.0360824742268049</v>
      </c>
      <c r="V24" s="12">
        <v>0.81799999999999995</v>
      </c>
      <c r="W24" s="12">
        <v>0.05</v>
      </c>
      <c r="X24" s="12">
        <f t="shared" si="34"/>
        <v>0.748</v>
      </c>
      <c r="Y24" s="12">
        <f t="shared" si="35"/>
        <v>7.0000000000000062E-3</v>
      </c>
    </row>
    <row r="25" spans="1:25">
      <c r="A25" s="39"/>
      <c r="C25" s="72" t="s">
        <v>946</v>
      </c>
      <c r="D25" s="72" t="s">
        <v>36</v>
      </c>
      <c r="E25" s="65"/>
      <c r="F25" s="65"/>
      <c r="H25" s="15">
        <v>5</v>
      </c>
      <c r="I25" s="43">
        <v>2.3E-3</v>
      </c>
      <c r="J25" s="15">
        <v>9.7000000000000003E-3</v>
      </c>
      <c r="K25" s="12">
        <v>3.1E-2</v>
      </c>
      <c r="L25" s="12">
        <v>4.0000000000000001E-3</v>
      </c>
      <c r="M25" s="12">
        <f t="shared" si="30"/>
        <v>2.3E-2</v>
      </c>
      <c r="N25" s="12">
        <v>0.158</v>
      </c>
      <c r="O25" s="100">
        <v>6.0000000000000001E-3</v>
      </c>
      <c r="P25" s="12">
        <f t="shared" si="26"/>
        <v>0.14599999999999999</v>
      </c>
      <c r="Q25" s="12">
        <f t="shared" si="31"/>
        <v>0.123</v>
      </c>
      <c r="R25" s="12">
        <f t="shared" si="32"/>
        <v>12.443298969072165</v>
      </c>
      <c r="S25" s="12">
        <f t="shared" si="33"/>
        <v>6.2216494845360826</v>
      </c>
      <c r="V25" s="12">
        <v>0.46600000000000003</v>
      </c>
      <c r="W25" s="12">
        <v>0.05</v>
      </c>
      <c r="X25" s="12">
        <f t="shared" si="34"/>
        <v>0.39600000000000002</v>
      </c>
      <c r="Y25" s="12">
        <f t="shared" si="35"/>
        <v>7.0000000000000062E-3</v>
      </c>
    </row>
    <row r="26" spans="1:25" ht="13.5" customHeight="1">
      <c r="A26" s="39" t="s">
        <v>160</v>
      </c>
      <c r="C26" s="72" t="s">
        <v>990</v>
      </c>
      <c r="D26" s="72" t="s">
        <v>130</v>
      </c>
      <c r="E26" s="104"/>
      <c r="F26" s="56"/>
      <c r="H26" s="15">
        <v>5</v>
      </c>
      <c r="I26" s="43">
        <v>2.3E-3</v>
      </c>
      <c r="J26" s="15">
        <v>9.7000000000000003E-3</v>
      </c>
      <c r="K26" s="12">
        <v>3.1E-2</v>
      </c>
      <c r="L26" s="12">
        <v>4.0000000000000001E-3</v>
      </c>
      <c r="M26" s="12">
        <f t="shared" ref="M26" si="36">K26-2*L26</f>
        <v>2.3E-2</v>
      </c>
      <c r="N26" s="12">
        <v>0.28699999999999998</v>
      </c>
      <c r="O26" s="100">
        <v>8.0000000000000002E-3</v>
      </c>
      <c r="P26" s="12">
        <f t="shared" ref="P26" si="37">N26-O26*2</f>
        <v>0.27099999999999996</v>
      </c>
      <c r="Q26" s="12">
        <f t="shared" ref="Q26" si="38">P26-M26</f>
        <v>0.24799999999999997</v>
      </c>
      <c r="R26" s="12">
        <f t="shared" ref="R26" si="39">(Q26-I26)/J26</f>
        <v>25.32989690721649</v>
      </c>
      <c r="S26" s="12">
        <f t="shared" ref="S26" si="40">R26*H26/10</f>
        <v>12.664948453608245</v>
      </c>
      <c r="T26" s="56"/>
    </row>
    <row r="27" spans="1:25">
      <c r="A27" s="39"/>
      <c r="C27" s="72" t="s">
        <v>953</v>
      </c>
      <c r="D27" s="72" t="s">
        <v>54</v>
      </c>
      <c r="E27" s="65"/>
      <c r="F27" s="65"/>
      <c r="H27" s="15">
        <v>1</v>
      </c>
      <c r="I27" s="43">
        <v>2.3E-3</v>
      </c>
      <c r="J27" s="15">
        <v>9.7000000000000003E-3</v>
      </c>
      <c r="K27" s="12">
        <v>3.1E-2</v>
      </c>
      <c r="L27" s="12">
        <v>4.0000000000000001E-3</v>
      </c>
      <c r="M27" s="12">
        <f t="shared" si="30"/>
        <v>2.3E-2</v>
      </c>
      <c r="N27" s="12">
        <v>0.251</v>
      </c>
      <c r="O27" s="12">
        <v>5.0000000000000001E-3</v>
      </c>
      <c r="P27" s="12">
        <f t="shared" si="26"/>
        <v>0.24099999999999999</v>
      </c>
      <c r="Q27" s="12">
        <f t="shared" si="31"/>
        <v>0.218</v>
      </c>
      <c r="R27" s="12">
        <f t="shared" si="32"/>
        <v>22.237113402061855</v>
      </c>
      <c r="S27" s="12">
        <f t="shared" si="33"/>
        <v>2.2237113402061857</v>
      </c>
    </row>
    <row r="28" spans="1:25">
      <c r="A28" s="39" t="s">
        <v>160</v>
      </c>
      <c r="C28" s="72" t="s">
        <v>947</v>
      </c>
      <c r="D28" s="72" t="s">
        <v>387</v>
      </c>
      <c r="E28" s="101"/>
      <c r="F28" s="65"/>
      <c r="G28" s="12" t="s">
        <v>948</v>
      </c>
      <c r="H28" s="15">
        <v>1</v>
      </c>
      <c r="I28" s="43">
        <v>2.3E-3</v>
      </c>
      <c r="J28" s="15">
        <v>9.7000000000000003E-3</v>
      </c>
      <c r="K28" s="12">
        <v>3.1E-2</v>
      </c>
      <c r="L28" s="12">
        <v>4.0000000000000001E-3</v>
      </c>
      <c r="M28" s="12">
        <f t="shared" si="30"/>
        <v>2.3E-2</v>
      </c>
      <c r="N28" s="12">
        <v>0.748</v>
      </c>
      <c r="O28" s="100">
        <v>7.0000000000000001E-3</v>
      </c>
      <c r="P28" s="12">
        <f t="shared" si="26"/>
        <v>0.73399999999999999</v>
      </c>
      <c r="Q28" s="12">
        <f t="shared" si="31"/>
        <v>0.71099999999999997</v>
      </c>
      <c r="R28" s="12">
        <f t="shared" si="32"/>
        <v>73.061855670103085</v>
      </c>
      <c r="S28" s="12">
        <f t="shared" si="33"/>
        <v>7.3061855670103082</v>
      </c>
    </row>
    <row r="29" spans="1:25" ht="14.25" customHeight="1">
      <c r="A29" s="39" t="s">
        <v>160</v>
      </c>
      <c r="C29" s="72" t="s">
        <v>949</v>
      </c>
      <c r="D29" s="72" t="s">
        <v>118</v>
      </c>
      <c r="E29" s="65"/>
      <c r="F29" s="65"/>
      <c r="G29" s="12" t="s">
        <v>950</v>
      </c>
      <c r="H29" s="15">
        <v>100</v>
      </c>
      <c r="I29" s="43">
        <v>2.3E-3</v>
      </c>
      <c r="J29" s="15">
        <v>9.7000000000000003E-3</v>
      </c>
      <c r="K29" s="12">
        <v>3.1E-2</v>
      </c>
      <c r="L29" s="12">
        <v>4.0000000000000001E-3</v>
      </c>
      <c r="M29" s="12">
        <f t="shared" si="30"/>
        <v>2.3E-2</v>
      </c>
      <c r="N29" s="12">
        <v>0.122</v>
      </c>
      <c r="O29" s="100">
        <v>5.0000000000000001E-3</v>
      </c>
      <c r="P29" s="12">
        <f t="shared" si="26"/>
        <v>0.112</v>
      </c>
      <c r="Q29" s="12">
        <f t="shared" si="31"/>
        <v>8.8999999999999996E-2</v>
      </c>
      <c r="R29" s="12">
        <f t="shared" si="32"/>
        <v>8.9381443298969074</v>
      </c>
      <c r="S29" s="12">
        <f t="shared" si="33"/>
        <v>89.381443298969074</v>
      </c>
      <c r="V29" s="12">
        <v>0.13</v>
      </c>
      <c r="W29" s="12">
        <v>4.3999999999999997E-2</v>
      </c>
      <c r="X29" s="12">
        <f>V29-0.076</f>
        <v>5.4000000000000006E-2</v>
      </c>
      <c r="Y29" s="12">
        <f>W29-0.044</f>
        <v>0</v>
      </c>
    </row>
    <row r="30" spans="1:25">
      <c r="A30" s="39" t="s">
        <v>160</v>
      </c>
      <c r="C30" s="72" t="s">
        <v>951</v>
      </c>
      <c r="D30" s="72" t="s">
        <v>118</v>
      </c>
      <c r="E30" s="101"/>
      <c r="F30" s="65"/>
      <c r="G30" s="12" t="s">
        <v>952</v>
      </c>
      <c r="H30" s="15">
        <v>5</v>
      </c>
      <c r="I30" s="43">
        <v>2.3E-3</v>
      </c>
      <c r="J30" s="15">
        <v>9.7000000000000003E-3</v>
      </c>
      <c r="K30" s="12">
        <v>3.1E-2</v>
      </c>
      <c r="L30" s="12">
        <v>4.0000000000000001E-3</v>
      </c>
      <c r="M30" s="12">
        <f t="shared" si="30"/>
        <v>2.3E-2</v>
      </c>
      <c r="N30" s="12">
        <v>0.39600000000000002</v>
      </c>
      <c r="O30" s="100">
        <v>7.0000000000000001E-3</v>
      </c>
      <c r="P30" s="12">
        <f t="shared" si="26"/>
        <v>0.38200000000000001</v>
      </c>
      <c r="Q30" s="12">
        <f t="shared" si="31"/>
        <v>0.35899999999999999</v>
      </c>
      <c r="R30" s="12">
        <f t="shared" si="32"/>
        <v>36.773195876288653</v>
      </c>
      <c r="S30" s="12">
        <f t="shared" si="33"/>
        <v>18.386597938144327</v>
      </c>
      <c r="V30" s="12">
        <v>0.28699999999999998</v>
      </c>
      <c r="W30" s="12">
        <v>4.3999999999999997E-2</v>
      </c>
      <c r="X30" s="12">
        <f t="shared" ref="X30:X31" si="41">V30-0.076</f>
        <v>0.21099999999999997</v>
      </c>
      <c r="Y30" s="12">
        <f t="shared" ref="Y30:Y31" si="42">W30-0.044</f>
        <v>0</v>
      </c>
    </row>
    <row r="31" spans="1:25">
      <c r="A31" s="39" t="s">
        <v>160</v>
      </c>
      <c r="B31" s="13">
        <v>43987</v>
      </c>
      <c r="C31" s="72" t="s">
        <v>957</v>
      </c>
      <c r="D31" s="72" t="s">
        <v>538</v>
      </c>
      <c r="E31" s="72"/>
      <c r="H31" s="15">
        <v>5</v>
      </c>
      <c r="I31" s="43">
        <v>2.3E-3</v>
      </c>
      <c r="J31" s="15">
        <v>9.7000000000000003E-3</v>
      </c>
      <c r="K31" s="12">
        <v>2.5000000000000001E-2</v>
      </c>
      <c r="L31" s="12">
        <v>1E-3</v>
      </c>
      <c r="M31" s="12">
        <f t="shared" ref="M31" si="43">K31-2*L31</f>
        <v>2.3E-2</v>
      </c>
      <c r="N31" s="12">
        <v>0.113</v>
      </c>
      <c r="O31" s="100">
        <v>7.0000000000000001E-3</v>
      </c>
      <c r="P31" s="12">
        <f t="shared" ref="P31" si="44">N31-O31*2</f>
        <v>9.9000000000000005E-2</v>
      </c>
      <c r="Q31" s="12">
        <f t="shared" ref="Q31" si="45">P31-M31</f>
        <v>7.6000000000000012E-2</v>
      </c>
      <c r="R31" s="12">
        <f t="shared" ref="R31" si="46">(Q31-I31)/J31</f>
        <v>7.5979381443298983</v>
      </c>
      <c r="S31" s="12">
        <f t="shared" ref="S31" si="47">R31*H31/10</f>
        <v>3.7989690721649496</v>
      </c>
      <c r="V31" s="12">
        <v>0.28899999999999998</v>
      </c>
      <c r="W31" s="12">
        <v>4.7E-2</v>
      </c>
      <c r="X31" s="12">
        <f t="shared" si="41"/>
        <v>0.21299999999999997</v>
      </c>
      <c r="Y31" s="12">
        <f t="shared" si="42"/>
        <v>3.0000000000000027E-3</v>
      </c>
    </row>
    <row r="32" spans="1:25">
      <c r="A32" s="39" t="s">
        <v>160</v>
      </c>
      <c r="B32" s="12" t="s">
        <v>959</v>
      </c>
      <c r="C32" s="72" t="s">
        <v>958</v>
      </c>
      <c r="D32" s="72" t="s">
        <v>398</v>
      </c>
      <c r="E32" s="72"/>
      <c r="H32" s="15">
        <v>1</v>
      </c>
      <c r="I32" s="43">
        <v>2.3E-3</v>
      </c>
      <c r="J32" s="15">
        <v>9.7000000000000003E-3</v>
      </c>
      <c r="K32" s="12">
        <v>2.5000000000000001E-2</v>
      </c>
      <c r="L32" s="12">
        <v>1E-3</v>
      </c>
      <c r="M32" s="12">
        <f t="shared" ref="M32:M34" si="48">K32-2*L32</f>
        <v>2.3E-2</v>
      </c>
      <c r="N32" s="12">
        <v>0.20100000000000001</v>
      </c>
      <c r="O32" s="100">
        <v>7.0000000000000001E-3</v>
      </c>
      <c r="P32" s="12">
        <f t="shared" ref="P32:P34" si="49">N32-O32*2</f>
        <v>0.187</v>
      </c>
      <c r="Q32" s="12">
        <f t="shared" ref="Q32:Q34" si="50">P32-M32</f>
        <v>0.16400000000000001</v>
      </c>
      <c r="R32" s="12">
        <f t="shared" ref="R32:R34" si="51">(Q32-I32)/J32</f>
        <v>16.670103092783506</v>
      </c>
      <c r="S32" s="12">
        <f t="shared" ref="S32:S34" si="52">R32*H32/10</f>
        <v>1.6670103092783506</v>
      </c>
    </row>
    <row r="33" spans="1:25">
      <c r="A33" s="39" t="s">
        <v>401</v>
      </c>
      <c r="C33" s="72" t="s">
        <v>963</v>
      </c>
      <c r="D33" s="72" t="s">
        <v>566</v>
      </c>
      <c r="E33" s="72"/>
      <c r="F33" s="72"/>
      <c r="H33" s="15">
        <v>50</v>
      </c>
      <c r="I33" s="43">
        <v>2.3E-3</v>
      </c>
      <c r="J33" s="15">
        <v>9.7000000000000003E-3</v>
      </c>
      <c r="K33" s="12">
        <v>2.5000000000000001E-2</v>
      </c>
      <c r="L33" s="12">
        <v>1E-3</v>
      </c>
      <c r="M33" s="12">
        <f t="shared" ref="M33" si="53">K33-2*L33</f>
        <v>2.3E-2</v>
      </c>
      <c r="N33" s="12">
        <v>0.14099999999999999</v>
      </c>
      <c r="O33" s="12">
        <v>5.0000000000000001E-3</v>
      </c>
      <c r="P33" s="12">
        <f t="shared" si="49"/>
        <v>0.13099999999999998</v>
      </c>
      <c r="Q33" s="12">
        <f t="shared" si="50"/>
        <v>0.10799999999999998</v>
      </c>
      <c r="R33" s="12">
        <f t="shared" si="51"/>
        <v>10.896907216494844</v>
      </c>
      <c r="S33" s="12">
        <f t="shared" si="52"/>
        <v>54.484536082474222</v>
      </c>
      <c r="V33" s="12">
        <v>0.13</v>
      </c>
      <c r="W33" s="12">
        <v>4.5999999999999999E-2</v>
      </c>
      <c r="X33" s="12">
        <f>V33-0.095</f>
        <v>3.5000000000000003E-2</v>
      </c>
      <c r="Y33" s="12">
        <f>W33-0.043</f>
        <v>3.0000000000000027E-3</v>
      </c>
    </row>
    <row r="34" spans="1:25">
      <c r="A34" s="39" t="s">
        <v>401</v>
      </c>
      <c r="B34" s="13">
        <v>43990</v>
      </c>
      <c r="C34" s="72" t="s">
        <v>961</v>
      </c>
      <c r="D34" s="72" t="s">
        <v>116</v>
      </c>
      <c r="E34" s="72"/>
      <c r="F34" s="72"/>
      <c r="H34" s="15">
        <v>5</v>
      </c>
      <c r="I34" s="43">
        <v>2.3E-3</v>
      </c>
      <c r="J34" s="15">
        <v>9.7000000000000003E-3</v>
      </c>
      <c r="K34" s="12">
        <v>3.5000000000000003E-2</v>
      </c>
      <c r="L34" s="12">
        <v>3.0000000000000001E-3</v>
      </c>
      <c r="M34" s="12">
        <f t="shared" si="48"/>
        <v>2.9000000000000005E-2</v>
      </c>
      <c r="N34" s="12">
        <v>0.16700000000000001</v>
      </c>
      <c r="O34" s="12">
        <v>4.0000000000000001E-3</v>
      </c>
      <c r="P34" s="12">
        <f t="shared" si="49"/>
        <v>0.159</v>
      </c>
      <c r="Q34" s="12">
        <f t="shared" si="50"/>
        <v>0.13</v>
      </c>
      <c r="R34" s="12">
        <f t="shared" si="51"/>
        <v>13.164948453608249</v>
      </c>
      <c r="S34" s="12">
        <f t="shared" si="52"/>
        <v>6.5824742268041252</v>
      </c>
      <c r="V34" s="12">
        <v>0.16800000000000001</v>
      </c>
      <c r="W34" s="12">
        <v>4.7E-2</v>
      </c>
      <c r="X34" s="12">
        <f t="shared" ref="X34:X37" si="54">V34-0.095</f>
        <v>7.3000000000000009E-2</v>
      </c>
      <c r="Y34" s="12">
        <f t="shared" ref="Y34:Y37" si="55">W34-0.043</f>
        <v>4.0000000000000036E-3</v>
      </c>
    </row>
    <row r="35" spans="1:25">
      <c r="A35" s="39" t="s">
        <v>401</v>
      </c>
      <c r="B35" s="12" t="s">
        <v>973</v>
      </c>
      <c r="C35" s="72" t="s">
        <v>962</v>
      </c>
      <c r="D35" s="72" t="s">
        <v>114</v>
      </c>
      <c r="E35" s="103"/>
      <c r="F35" s="72"/>
      <c r="H35" s="15">
        <v>5</v>
      </c>
      <c r="I35" s="43">
        <v>2.3E-3</v>
      </c>
      <c r="J35" s="15">
        <v>9.7000000000000003E-3</v>
      </c>
      <c r="K35" s="12">
        <v>3.5000000000000003E-2</v>
      </c>
      <c r="L35" s="12">
        <v>3.0000000000000001E-3</v>
      </c>
      <c r="M35" s="12">
        <f t="shared" ref="M35:M46" si="56">K35-2*L35</f>
        <v>2.9000000000000005E-2</v>
      </c>
      <c r="N35" s="12">
        <v>0.107</v>
      </c>
      <c r="O35" s="12">
        <v>4.0000000000000001E-3</v>
      </c>
      <c r="P35" s="12">
        <f t="shared" ref="P35" si="57">N35-O35*2</f>
        <v>9.9000000000000005E-2</v>
      </c>
      <c r="Q35" s="12">
        <f t="shared" ref="Q35" si="58">P35-M35</f>
        <v>7.0000000000000007E-2</v>
      </c>
      <c r="R35" s="12">
        <f t="shared" ref="R35" si="59">(Q35-I35)/J35</f>
        <v>6.97938144329897</v>
      </c>
      <c r="S35" s="12">
        <f t="shared" ref="S35" si="60">R35*H35/10</f>
        <v>3.4896907216494855</v>
      </c>
      <c r="V35" s="12">
        <v>0.41299999999999998</v>
      </c>
      <c r="W35" s="12">
        <v>4.7E-2</v>
      </c>
      <c r="X35" s="12">
        <f t="shared" si="54"/>
        <v>0.31799999999999995</v>
      </c>
      <c r="Y35" s="12">
        <f t="shared" si="55"/>
        <v>4.0000000000000036E-3</v>
      </c>
    </row>
    <row r="36" spans="1:25">
      <c r="A36" s="39" t="s">
        <v>401</v>
      </c>
      <c r="C36" s="72" t="s">
        <v>964</v>
      </c>
      <c r="D36" s="72" t="s">
        <v>73</v>
      </c>
      <c r="E36" s="103"/>
      <c r="F36" s="72"/>
      <c r="H36" s="15">
        <v>5</v>
      </c>
      <c r="I36" s="43">
        <v>2.3E-3</v>
      </c>
      <c r="J36" s="15">
        <v>9.7000000000000003E-3</v>
      </c>
      <c r="K36" s="12">
        <v>3.5000000000000003E-2</v>
      </c>
      <c r="L36" s="12">
        <v>3.0000000000000001E-3</v>
      </c>
      <c r="M36" s="12">
        <f t="shared" si="56"/>
        <v>2.9000000000000005E-2</v>
      </c>
      <c r="N36" s="12">
        <v>0.318</v>
      </c>
      <c r="O36" s="12">
        <v>4.0000000000000001E-3</v>
      </c>
      <c r="P36" s="12">
        <f t="shared" ref="P36:P41" si="61">N36-O36*2</f>
        <v>0.31</v>
      </c>
      <c r="Q36" s="12">
        <f t="shared" ref="Q36:Q41" si="62">P36-M36</f>
        <v>0.28099999999999997</v>
      </c>
      <c r="R36" s="12">
        <f t="shared" ref="R36:R41" si="63">(Q36-I36)/J36</f>
        <v>28.731958762886592</v>
      </c>
      <c r="S36" s="12">
        <f t="shared" ref="S36:S41" si="64">R36*H36/10</f>
        <v>14.365979381443296</v>
      </c>
      <c r="V36" s="12">
        <v>0.55900000000000005</v>
      </c>
      <c r="W36" s="12">
        <v>5.6000000000000001E-2</v>
      </c>
      <c r="X36" s="12">
        <f t="shared" si="54"/>
        <v>0.46400000000000008</v>
      </c>
      <c r="Y36" s="12">
        <f t="shared" si="55"/>
        <v>1.3000000000000005E-2</v>
      </c>
    </row>
    <row r="37" spans="1:25">
      <c r="A37" s="39" t="s">
        <v>401</v>
      </c>
      <c r="C37" s="72" t="s">
        <v>965</v>
      </c>
      <c r="D37" s="72" t="s">
        <v>75</v>
      </c>
      <c r="E37" s="72"/>
      <c r="F37" s="72"/>
      <c r="H37" s="15">
        <v>2</v>
      </c>
      <c r="I37" s="43">
        <v>2.3E-3</v>
      </c>
      <c r="J37" s="15">
        <v>9.7000000000000003E-3</v>
      </c>
      <c r="K37" s="12">
        <v>3.5000000000000003E-2</v>
      </c>
      <c r="L37" s="12">
        <v>3.0000000000000001E-3</v>
      </c>
      <c r="M37" s="12">
        <f t="shared" si="56"/>
        <v>2.9000000000000005E-2</v>
      </c>
      <c r="N37" s="12">
        <v>0.14099999999999999</v>
      </c>
      <c r="O37" s="12">
        <v>5.0000000000000001E-3</v>
      </c>
      <c r="P37" s="12">
        <f t="shared" si="61"/>
        <v>0.13099999999999998</v>
      </c>
      <c r="Q37" s="12">
        <f t="shared" si="62"/>
        <v>0.10199999999999998</v>
      </c>
      <c r="R37" s="12">
        <f t="shared" si="63"/>
        <v>10.278350515463915</v>
      </c>
      <c r="S37" s="12">
        <f t="shared" si="64"/>
        <v>2.0556701030927829</v>
      </c>
      <c r="V37" s="12">
        <v>0.189</v>
      </c>
      <c r="W37" s="12">
        <v>4.8000000000000001E-2</v>
      </c>
      <c r="X37" s="12">
        <f t="shared" si="54"/>
        <v>9.4E-2</v>
      </c>
      <c r="Y37" s="12">
        <f t="shared" si="55"/>
        <v>5.0000000000000044E-3</v>
      </c>
    </row>
    <row r="38" spans="1:25">
      <c r="A38" s="39" t="s">
        <v>401</v>
      </c>
      <c r="C38" s="72" t="s">
        <v>966</v>
      </c>
      <c r="D38" s="72" t="s">
        <v>542</v>
      </c>
      <c r="E38" s="72"/>
      <c r="F38" s="72"/>
      <c r="H38" s="15">
        <v>5</v>
      </c>
      <c r="I38" s="43">
        <v>2.3E-3</v>
      </c>
      <c r="J38" s="15">
        <v>9.7000000000000003E-3</v>
      </c>
      <c r="K38" s="12">
        <v>3.5000000000000003E-2</v>
      </c>
      <c r="L38" s="12">
        <v>3.0000000000000001E-3</v>
      </c>
      <c r="M38" s="12">
        <f t="shared" si="56"/>
        <v>2.9000000000000005E-2</v>
      </c>
      <c r="N38" s="12">
        <v>0.13300000000000001</v>
      </c>
      <c r="O38" s="12">
        <v>6.0000000000000001E-3</v>
      </c>
      <c r="P38" s="12">
        <f t="shared" si="61"/>
        <v>0.12100000000000001</v>
      </c>
      <c r="Q38" s="12">
        <f t="shared" si="62"/>
        <v>9.1999999999999998E-2</v>
      </c>
      <c r="R38" s="12">
        <f t="shared" si="63"/>
        <v>9.2474226804123703</v>
      </c>
      <c r="S38" s="12">
        <f t="shared" si="64"/>
        <v>4.6237113402061851</v>
      </c>
    </row>
    <row r="39" spans="1:25">
      <c r="A39" s="39" t="s">
        <v>401</v>
      </c>
      <c r="C39" s="72" t="s">
        <v>967</v>
      </c>
      <c r="D39" s="72" t="s">
        <v>79</v>
      </c>
      <c r="E39" s="72"/>
      <c r="F39" s="72"/>
      <c r="H39" s="15">
        <v>5</v>
      </c>
      <c r="I39" s="43">
        <v>2.3E-3</v>
      </c>
      <c r="J39" s="15">
        <v>9.7000000000000003E-3</v>
      </c>
      <c r="K39" s="12">
        <v>3.5000000000000003E-2</v>
      </c>
      <c r="L39" s="12">
        <v>3.0000000000000001E-3</v>
      </c>
      <c r="M39" s="12">
        <f t="shared" si="56"/>
        <v>2.9000000000000005E-2</v>
      </c>
      <c r="N39" s="12">
        <v>0.54200000000000004</v>
      </c>
      <c r="O39" s="12">
        <v>4.0000000000000001E-3</v>
      </c>
      <c r="P39" s="12">
        <f t="shared" si="61"/>
        <v>0.53400000000000003</v>
      </c>
      <c r="Q39" s="12">
        <f t="shared" si="62"/>
        <v>0.505</v>
      </c>
      <c r="R39" s="12">
        <f t="shared" si="63"/>
        <v>51.824742268041241</v>
      </c>
      <c r="S39" s="12">
        <f t="shared" si="64"/>
        <v>25.912371134020624</v>
      </c>
    </row>
    <row r="40" spans="1:25">
      <c r="A40" s="39" t="s">
        <v>401</v>
      </c>
      <c r="C40" s="72" t="s">
        <v>968</v>
      </c>
      <c r="D40" s="72" t="s">
        <v>81</v>
      </c>
      <c r="E40" s="72"/>
      <c r="F40" s="72"/>
      <c r="H40" s="15">
        <v>5</v>
      </c>
      <c r="I40" s="43">
        <v>2.3E-3</v>
      </c>
      <c r="J40" s="15">
        <v>9.7000000000000003E-3</v>
      </c>
      <c r="K40" s="12">
        <v>3.5000000000000003E-2</v>
      </c>
      <c r="L40" s="12">
        <v>3.0000000000000001E-3</v>
      </c>
      <c r="M40" s="12">
        <f t="shared" si="56"/>
        <v>2.9000000000000005E-2</v>
      </c>
      <c r="N40" s="12">
        <v>0.32800000000000001</v>
      </c>
      <c r="O40" s="12">
        <v>4.0000000000000001E-3</v>
      </c>
      <c r="P40" s="12">
        <f t="shared" si="61"/>
        <v>0.32</v>
      </c>
      <c r="Q40" s="12">
        <f t="shared" si="62"/>
        <v>0.29099999999999998</v>
      </c>
      <c r="R40" s="12">
        <f t="shared" si="63"/>
        <v>29.762886597938138</v>
      </c>
      <c r="S40" s="12">
        <f t="shared" si="64"/>
        <v>14.881443298969069</v>
      </c>
    </row>
    <row r="41" spans="1:25">
      <c r="A41" s="39" t="s">
        <v>401</v>
      </c>
      <c r="C41" s="72" t="s">
        <v>969</v>
      </c>
      <c r="D41" s="72" t="s">
        <v>83</v>
      </c>
      <c r="E41" s="72"/>
      <c r="F41" s="72"/>
      <c r="H41" s="15">
        <v>5</v>
      </c>
      <c r="I41" s="43">
        <v>2.3E-3</v>
      </c>
      <c r="J41" s="15">
        <v>9.7000000000000003E-3</v>
      </c>
      <c r="K41" s="12">
        <v>3.5000000000000003E-2</v>
      </c>
      <c r="L41" s="12">
        <v>3.0000000000000001E-3</v>
      </c>
      <c r="M41" s="12">
        <f t="shared" si="56"/>
        <v>2.9000000000000005E-2</v>
      </c>
      <c r="N41" s="12">
        <v>0.16400000000000001</v>
      </c>
      <c r="O41" s="12">
        <v>5.0000000000000001E-3</v>
      </c>
      <c r="P41" s="12">
        <f t="shared" si="61"/>
        <v>0.154</v>
      </c>
      <c r="Q41" s="12">
        <f t="shared" si="62"/>
        <v>0.125</v>
      </c>
      <c r="R41" s="12">
        <f t="shared" si="63"/>
        <v>12.649484536082474</v>
      </c>
      <c r="S41" s="12">
        <f t="shared" si="64"/>
        <v>6.3247422680412368</v>
      </c>
    </row>
    <row r="42" spans="1:25">
      <c r="A42" s="39" t="s">
        <v>401</v>
      </c>
      <c r="C42" s="72" t="s">
        <v>970</v>
      </c>
      <c r="D42" s="72" t="s">
        <v>85</v>
      </c>
      <c r="E42" s="103"/>
      <c r="F42" s="72"/>
      <c r="H42" s="15">
        <v>5</v>
      </c>
      <c r="I42" s="43">
        <v>2.3E-3</v>
      </c>
      <c r="J42" s="15">
        <v>9.7000000000000003E-3</v>
      </c>
      <c r="K42" s="12">
        <v>3.5000000000000003E-2</v>
      </c>
      <c r="L42" s="12">
        <v>3.0000000000000001E-3</v>
      </c>
      <c r="M42" s="12">
        <f t="shared" si="56"/>
        <v>2.9000000000000005E-2</v>
      </c>
      <c r="N42" s="12">
        <v>0.46400000000000002</v>
      </c>
      <c r="O42" s="12">
        <v>1.2999999999999999E-2</v>
      </c>
      <c r="P42" s="12">
        <f t="shared" ref="P42:P46" si="65">N42-O42*2</f>
        <v>0.438</v>
      </c>
      <c r="Q42" s="12">
        <f t="shared" ref="Q42:Q46" si="66">P42-M42</f>
        <v>0.40899999999999997</v>
      </c>
      <c r="R42" s="12">
        <f t="shared" ref="R42:R44" si="67">(Q42-I42)/J42</f>
        <v>41.927835051546388</v>
      </c>
      <c r="S42" s="12">
        <f t="shared" ref="S42:S44" si="68">R42*H42/10</f>
        <v>20.963917525773194</v>
      </c>
    </row>
    <row r="43" spans="1:25">
      <c r="A43" s="39" t="s">
        <v>401</v>
      </c>
      <c r="C43" s="72" t="s">
        <v>971</v>
      </c>
      <c r="D43" s="72" t="s">
        <v>101</v>
      </c>
      <c r="E43" s="72"/>
      <c r="F43" s="72"/>
      <c r="H43" s="15">
        <v>1</v>
      </c>
      <c r="I43" s="43">
        <v>2.3E-3</v>
      </c>
      <c r="J43" s="15">
        <v>9.7000000000000003E-3</v>
      </c>
      <c r="K43" s="12">
        <v>3.5000000000000003E-2</v>
      </c>
      <c r="L43" s="12">
        <v>3.0000000000000001E-3</v>
      </c>
      <c r="M43" s="12">
        <f t="shared" si="56"/>
        <v>2.9000000000000005E-2</v>
      </c>
      <c r="N43" s="12">
        <v>0.248</v>
      </c>
      <c r="O43" s="12">
        <v>5.0000000000000001E-3</v>
      </c>
      <c r="P43" s="12">
        <f t="shared" si="65"/>
        <v>0.23799999999999999</v>
      </c>
      <c r="Q43" s="12">
        <f t="shared" si="66"/>
        <v>0.20899999999999999</v>
      </c>
      <c r="R43" s="12">
        <f t="shared" si="67"/>
        <v>21.309278350515463</v>
      </c>
      <c r="S43" s="12">
        <f t="shared" si="68"/>
        <v>2.1309278350515464</v>
      </c>
    </row>
    <row r="44" spans="1:25">
      <c r="A44" s="39" t="s">
        <v>401</v>
      </c>
      <c r="C44" s="72" t="s">
        <v>972</v>
      </c>
      <c r="D44" s="72" t="s">
        <v>105</v>
      </c>
      <c r="E44" s="72"/>
      <c r="F44" s="72"/>
      <c r="H44" s="15">
        <v>1</v>
      </c>
      <c r="I44" s="43">
        <v>2.3E-3</v>
      </c>
      <c r="J44" s="15">
        <v>9.7000000000000003E-3</v>
      </c>
      <c r="K44" s="12">
        <v>3.5000000000000003E-2</v>
      </c>
      <c r="L44" s="12">
        <v>3.0000000000000001E-3</v>
      </c>
      <c r="M44" s="12">
        <f t="shared" si="56"/>
        <v>2.9000000000000005E-2</v>
      </c>
      <c r="N44" s="12">
        <v>0.29899999999999999</v>
      </c>
      <c r="O44" s="12">
        <v>4.0000000000000001E-3</v>
      </c>
      <c r="P44" s="12">
        <f t="shared" si="65"/>
        <v>0.29099999999999998</v>
      </c>
      <c r="Q44" s="12">
        <f t="shared" si="66"/>
        <v>0.26199999999999996</v>
      </c>
      <c r="R44" s="12">
        <f t="shared" si="67"/>
        <v>26.773195876288653</v>
      </c>
      <c r="S44" s="12">
        <f t="shared" si="68"/>
        <v>2.6773195876288653</v>
      </c>
    </row>
    <row r="45" spans="1:25">
      <c r="A45" s="39" t="s">
        <v>160</v>
      </c>
      <c r="B45" s="13">
        <v>43992</v>
      </c>
      <c r="C45" s="72" t="s">
        <v>974</v>
      </c>
      <c r="D45" s="72" t="s">
        <v>69</v>
      </c>
      <c r="E45" s="101"/>
      <c r="H45" s="15">
        <v>5</v>
      </c>
      <c r="I45" s="43">
        <v>2.3E-3</v>
      </c>
      <c r="J45" s="15">
        <v>9.7000000000000003E-3</v>
      </c>
      <c r="K45" s="12">
        <v>1.9E-2</v>
      </c>
      <c r="L45" s="12">
        <v>0</v>
      </c>
      <c r="M45" s="12">
        <f t="shared" si="56"/>
        <v>1.9E-2</v>
      </c>
      <c r="N45" s="12">
        <v>0.22600000000000001</v>
      </c>
      <c r="O45" s="100">
        <v>0</v>
      </c>
      <c r="P45" s="12">
        <f t="shared" si="65"/>
        <v>0.22600000000000001</v>
      </c>
      <c r="Q45" s="12">
        <f t="shared" si="66"/>
        <v>0.20700000000000002</v>
      </c>
      <c r="R45" s="12">
        <f t="shared" ref="R45:R46" si="69">(Q45-I45)/J45</f>
        <v>21.103092783505158</v>
      </c>
      <c r="S45" s="16">
        <f t="shared" ref="S45:S46" si="70">R45*H45/10</f>
        <v>10.551546391752579</v>
      </c>
      <c r="V45" s="12">
        <v>9.6000000000000002E-2</v>
      </c>
      <c r="W45" s="12">
        <v>4.5999999999999999E-2</v>
      </c>
      <c r="X45" s="12">
        <f>V45-0.077</f>
        <v>1.9000000000000003E-2</v>
      </c>
      <c r="Y45" s="12">
        <f>W45-0.046</f>
        <v>0</v>
      </c>
    </row>
    <row r="46" spans="1:25">
      <c r="A46" s="39" t="s">
        <v>160</v>
      </c>
      <c r="B46" s="12" t="s">
        <v>975</v>
      </c>
      <c r="C46" s="72" t="s">
        <v>984</v>
      </c>
      <c r="D46" s="72" t="s">
        <v>54</v>
      </c>
      <c r="E46" s="72"/>
      <c r="F46" s="72"/>
      <c r="H46" s="15">
        <v>1</v>
      </c>
      <c r="I46" s="43">
        <v>2.3E-3</v>
      </c>
      <c r="J46" s="15">
        <v>9.7000000000000003E-3</v>
      </c>
      <c r="K46" s="12">
        <v>1.9E-2</v>
      </c>
      <c r="L46" s="12">
        <v>0</v>
      </c>
      <c r="M46" s="12">
        <f t="shared" si="56"/>
        <v>1.9E-2</v>
      </c>
      <c r="N46" s="12">
        <v>0.26600000000000001</v>
      </c>
      <c r="O46" s="12">
        <v>4.0000000000000001E-3</v>
      </c>
      <c r="P46" s="12">
        <f t="shared" si="65"/>
        <v>0.25800000000000001</v>
      </c>
      <c r="Q46" s="12">
        <f t="shared" si="66"/>
        <v>0.23900000000000002</v>
      </c>
      <c r="R46" s="12">
        <f t="shared" si="69"/>
        <v>24.402061855670105</v>
      </c>
      <c r="S46" s="12">
        <f t="shared" si="70"/>
        <v>2.4402061855670105</v>
      </c>
      <c r="V46" s="12">
        <v>0.30299999999999999</v>
      </c>
      <c r="W46" s="12">
        <v>4.5999999999999999E-2</v>
      </c>
      <c r="X46" s="12">
        <f t="shared" ref="X46:X47" si="71">V46-0.077</f>
        <v>0.22599999999999998</v>
      </c>
      <c r="Y46" s="12">
        <f t="shared" ref="Y46:Y47" si="72">W46-0.046</f>
        <v>0</v>
      </c>
    </row>
    <row r="47" spans="1:25">
      <c r="A47" s="39"/>
      <c r="C47" s="72" t="s">
        <v>976</v>
      </c>
      <c r="D47" s="72" t="s">
        <v>492</v>
      </c>
      <c r="E47" s="15"/>
      <c r="H47" s="15">
        <v>5</v>
      </c>
      <c r="I47" s="43">
        <v>2.3E-3</v>
      </c>
      <c r="J47" s="15">
        <v>9.7000000000000003E-3</v>
      </c>
      <c r="K47" s="12">
        <v>1.9E-2</v>
      </c>
      <c r="L47" s="12">
        <v>0</v>
      </c>
      <c r="M47" s="12">
        <f t="shared" ref="M47:M54" si="73">K47-2*L47</f>
        <v>1.9E-2</v>
      </c>
      <c r="N47" s="12">
        <v>0.13700000000000001</v>
      </c>
      <c r="O47" s="12">
        <v>6.0000000000000001E-3</v>
      </c>
      <c r="P47" s="12">
        <f t="shared" ref="P47" si="74">N47-O47*2</f>
        <v>0.125</v>
      </c>
      <c r="Q47" s="12">
        <f t="shared" ref="Q47" si="75">P47-M47</f>
        <v>0.106</v>
      </c>
      <c r="R47" s="12">
        <f t="shared" ref="R47" si="76">(Q47-I47)/J47</f>
        <v>10.690721649484535</v>
      </c>
      <c r="S47" s="16">
        <f t="shared" ref="S47" si="77">R47*H47/10</f>
        <v>5.3453608247422677</v>
      </c>
      <c r="V47" s="12">
        <v>0.59699999999999998</v>
      </c>
      <c r="W47" s="12">
        <v>7.8E-2</v>
      </c>
      <c r="X47" s="12">
        <f t="shared" si="71"/>
        <v>0.52</v>
      </c>
      <c r="Y47" s="12">
        <f t="shared" si="72"/>
        <v>3.2000000000000001E-2</v>
      </c>
    </row>
    <row r="48" spans="1:25">
      <c r="A48" s="39"/>
      <c r="C48" s="72" t="s">
        <v>977</v>
      </c>
      <c r="D48" s="72" t="s">
        <v>494</v>
      </c>
      <c r="E48" s="15"/>
      <c r="H48" s="15">
        <v>5</v>
      </c>
      <c r="I48" s="43">
        <v>2.3E-3</v>
      </c>
      <c r="J48" s="15">
        <v>9.7000000000000003E-3</v>
      </c>
      <c r="K48" s="12">
        <v>1.9E-2</v>
      </c>
      <c r="L48" s="12">
        <v>0</v>
      </c>
      <c r="M48" s="12">
        <f t="shared" si="73"/>
        <v>1.9E-2</v>
      </c>
      <c r="N48" s="12">
        <v>0.17199999999999999</v>
      </c>
      <c r="O48" s="12">
        <v>7.0000000000000001E-3</v>
      </c>
      <c r="P48" s="12">
        <f t="shared" ref="P48:P52" si="78">N48-O48*2</f>
        <v>0.15799999999999997</v>
      </c>
      <c r="Q48" s="12">
        <f t="shared" ref="Q48:Q52" si="79">P48-M48</f>
        <v>0.13899999999999998</v>
      </c>
      <c r="R48" s="12">
        <f t="shared" ref="R48:R52" si="80">(Q48-I48)/J48</f>
        <v>14.092783505154637</v>
      </c>
      <c r="S48" s="16">
        <f t="shared" ref="S48:S52" si="81">R48*H48/10</f>
        <v>7.0463917525773185</v>
      </c>
    </row>
    <row r="49" spans="1:25">
      <c r="A49" s="39"/>
      <c r="C49" s="72" t="s">
        <v>978</v>
      </c>
      <c r="D49" s="72" t="s">
        <v>30</v>
      </c>
      <c r="E49" s="15"/>
      <c r="H49" s="15">
        <v>5</v>
      </c>
      <c r="I49" s="43">
        <v>2.3E-3</v>
      </c>
      <c r="J49" s="15">
        <v>9.7000000000000003E-3</v>
      </c>
      <c r="K49" s="12">
        <v>1.9E-2</v>
      </c>
      <c r="L49" s="12">
        <v>0</v>
      </c>
      <c r="M49" s="12">
        <f t="shared" si="73"/>
        <v>1.9E-2</v>
      </c>
      <c r="N49" s="12">
        <v>0.26100000000000001</v>
      </c>
      <c r="O49" s="12">
        <v>6.0000000000000001E-3</v>
      </c>
      <c r="P49" s="12">
        <f t="shared" si="78"/>
        <v>0.249</v>
      </c>
      <c r="Q49" s="12">
        <f t="shared" si="79"/>
        <v>0.23</v>
      </c>
      <c r="R49" s="12">
        <f t="shared" si="80"/>
        <v>23.474226804123713</v>
      </c>
      <c r="S49" s="16">
        <f t="shared" si="81"/>
        <v>11.737113402061857</v>
      </c>
    </row>
    <row r="50" spans="1:25">
      <c r="A50" s="39"/>
      <c r="C50" s="72" t="s">
        <v>979</v>
      </c>
      <c r="D50" s="72" t="s">
        <v>32</v>
      </c>
      <c r="E50" s="15"/>
      <c r="H50" s="15">
        <v>10</v>
      </c>
      <c r="I50" s="43">
        <v>2.3E-3</v>
      </c>
      <c r="J50" s="15">
        <v>9.7000000000000003E-3</v>
      </c>
      <c r="K50" s="12">
        <v>1.9E-2</v>
      </c>
      <c r="L50" s="12">
        <v>0</v>
      </c>
      <c r="M50" s="12">
        <f t="shared" si="73"/>
        <v>1.9E-2</v>
      </c>
      <c r="N50" s="12">
        <v>0.247</v>
      </c>
      <c r="O50" s="12">
        <v>7.0000000000000001E-3</v>
      </c>
      <c r="P50" s="12">
        <f t="shared" si="78"/>
        <v>0.23299999999999998</v>
      </c>
      <c r="Q50" s="12">
        <f t="shared" si="79"/>
        <v>0.214</v>
      </c>
      <c r="R50" s="12">
        <f t="shared" si="80"/>
        <v>21.824742268041238</v>
      </c>
      <c r="S50" s="16">
        <f t="shared" si="81"/>
        <v>21.824742268041238</v>
      </c>
      <c r="V50" s="12">
        <v>0.14199999999999999</v>
      </c>
      <c r="W50" s="12">
        <v>5.1999999999999998E-2</v>
      </c>
      <c r="X50" s="12">
        <f>V50-0.12</f>
        <v>2.1999999999999992E-2</v>
      </c>
      <c r="Y50" s="12">
        <f>W50-0.051</f>
        <v>1.0000000000000009E-3</v>
      </c>
    </row>
    <row r="51" spans="1:25">
      <c r="A51" s="39"/>
      <c r="C51" s="72" t="s">
        <v>980</v>
      </c>
      <c r="D51" s="72" t="s">
        <v>34</v>
      </c>
      <c r="E51" s="15"/>
      <c r="H51" s="15">
        <v>10</v>
      </c>
      <c r="I51" s="43">
        <v>2.3E-3</v>
      </c>
      <c r="J51" s="15">
        <v>9.7000000000000003E-3</v>
      </c>
      <c r="K51" s="12">
        <v>1.9E-2</v>
      </c>
      <c r="L51" s="12">
        <v>0</v>
      </c>
      <c r="M51" s="12">
        <f t="shared" si="73"/>
        <v>1.9E-2</v>
      </c>
      <c r="N51" s="12">
        <v>0.23300000000000001</v>
      </c>
      <c r="O51" s="12">
        <v>8.0000000000000002E-3</v>
      </c>
      <c r="P51" s="12">
        <f t="shared" si="78"/>
        <v>0.21700000000000003</v>
      </c>
      <c r="Q51" s="12">
        <f t="shared" si="79"/>
        <v>0.19800000000000004</v>
      </c>
      <c r="R51" s="12">
        <f t="shared" si="80"/>
        <v>20.175257731958766</v>
      </c>
      <c r="S51" s="16">
        <f t="shared" si="81"/>
        <v>20.175257731958766</v>
      </c>
      <c r="V51" s="12">
        <v>0.84299999999999997</v>
      </c>
      <c r="W51" s="12">
        <v>5.5E-2</v>
      </c>
      <c r="X51" s="12">
        <f t="shared" ref="X51:X52" si="82">V51-0.12</f>
        <v>0.72299999999999998</v>
      </c>
      <c r="Y51" s="12">
        <f t="shared" ref="Y51:Y52" si="83">W51-0.051</f>
        <v>4.0000000000000036E-3</v>
      </c>
    </row>
    <row r="52" spans="1:25">
      <c r="A52" s="39"/>
      <c r="C52" s="72" t="s">
        <v>981</v>
      </c>
      <c r="D52" s="72" t="s">
        <v>36</v>
      </c>
      <c r="E52" s="15"/>
      <c r="H52" s="15">
        <v>5</v>
      </c>
      <c r="I52" s="43">
        <v>2.3E-3</v>
      </c>
      <c r="J52" s="15">
        <v>9.7000000000000003E-3</v>
      </c>
      <c r="K52" s="12">
        <v>1.9E-2</v>
      </c>
      <c r="L52" s="12">
        <v>0</v>
      </c>
      <c r="M52" s="12">
        <f t="shared" si="73"/>
        <v>1.9E-2</v>
      </c>
      <c r="N52" s="12">
        <v>0.185</v>
      </c>
      <c r="O52" s="100">
        <v>5.0000000000000001E-3</v>
      </c>
      <c r="P52" s="12">
        <f t="shared" si="78"/>
        <v>0.17499999999999999</v>
      </c>
      <c r="Q52" s="12">
        <f t="shared" si="79"/>
        <v>0.156</v>
      </c>
      <c r="R52" s="12">
        <f t="shared" si="80"/>
        <v>15.845360824742269</v>
      </c>
      <c r="S52" s="16">
        <f t="shared" si="81"/>
        <v>7.9226804123711343</v>
      </c>
      <c r="V52" s="12">
        <v>0.192</v>
      </c>
      <c r="W52" s="12">
        <v>5.3999999999999999E-2</v>
      </c>
      <c r="X52" s="12">
        <f t="shared" si="82"/>
        <v>7.2000000000000008E-2</v>
      </c>
      <c r="Y52" s="12">
        <f t="shared" si="83"/>
        <v>3.0000000000000027E-3</v>
      </c>
    </row>
    <row r="53" spans="1:25">
      <c r="A53" s="39" t="s">
        <v>409</v>
      </c>
      <c r="C53" s="72" t="s">
        <v>982</v>
      </c>
      <c r="D53" s="72" t="s">
        <v>85</v>
      </c>
      <c r="E53" s="101"/>
      <c r="H53" s="15">
        <v>5</v>
      </c>
      <c r="I53" s="43">
        <v>2.3E-3</v>
      </c>
      <c r="J53" s="15">
        <v>9.7000000000000003E-3</v>
      </c>
      <c r="K53" s="12">
        <v>1.9E-2</v>
      </c>
      <c r="L53" s="12">
        <v>0</v>
      </c>
      <c r="M53" s="12">
        <f t="shared" si="73"/>
        <v>1.9E-2</v>
      </c>
      <c r="N53" s="12">
        <v>0.52</v>
      </c>
      <c r="O53" s="100">
        <v>3.2000000000000001E-2</v>
      </c>
      <c r="P53" s="12">
        <f t="shared" ref="P53:P54" si="84">N53-O53*2</f>
        <v>0.45600000000000002</v>
      </c>
      <c r="Q53" s="12">
        <f t="shared" ref="Q53:Q54" si="85">P53-M53</f>
        <v>0.437</v>
      </c>
      <c r="R53" s="12">
        <f t="shared" ref="R53:R54" si="86">(Q53-I53)/J53</f>
        <v>44.814432989690715</v>
      </c>
      <c r="S53" s="12">
        <f t="shared" ref="S53:S54" si="87">R53*H53/10</f>
        <v>22.407216494845358</v>
      </c>
    </row>
    <row r="54" spans="1:25">
      <c r="A54" s="39" t="s">
        <v>160</v>
      </c>
      <c r="C54" s="72" t="s">
        <v>983</v>
      </c>
      <c r="D54" s="72" t="s">
        <v>109</v>
      </c>
      <c r="E54" s="15"/>
      <c r="H54" s="15">
        <v>5</v>
      </c>
      <c r="I54" s="43">
        <v>2.3E-3</v>
      </c>
      <c r="J54" s="15">
        <v>9.7000000000000003E-3</v>
      </c>
      <c r="K54" s="12">
        <v>1.9E-2</v>
      </c>
      <c r="L54" s="12">
        <v>0</v>
      </c>
      <c r="M54" s="12">
        <f t="shared" si="73"/>
        <v>1.9E-2</v>
      </c>
      <c r="N54" s="12">
        <v>0.35499999999999998</v>
      </c>
      <c r="O54" s="100">
        <v>6.0000000000000001E-3</v>
      </c>
      <c r="P54" s="12">
        <f t="shared" si="84"/>
        <v>0.34299999999999997</v>
      </c>
      <c r="Q54" s="12">
        <f t="shared" si="85"/>
        <v>0.32399999999999995</v>
      </c>
      <c r="R54" s="12">
        <f t="shared" si="86"/>
        <v>33.16494845360824</v>
      </c>
      <c r="S54" s="12">
        <f t="shared" si="87"/>
        <v>16.58247422680412</v>
      </c>
    </row>
    <row r="55" spans="1:25">
      <c r="A55" s="39" t="s">
        <v>160</v>
      </c>
      <c r="B55" s="13">
        <v>43993</v>
      </c>
      <c r="C55" s="12" t="s">
        <v>986</v>
      </c>
      <c r="D55" s="12" t="s">
        <v>114</v>
      </c>
      <c r="E55" s="101"/>
      <c r="H55" s="15">
        <v>10</v>
      </c>
      <c r="I55" s="43">
        <v>2.3E-3</v>
      </c>
      <c r="J55" s="15">
        <v>9.7000000000000003E-3</v>
      </c>
      <c r="K55" s="12">
        <v>2.1999999999999999E-2</v>
      </c>
      <c r="L55" s="12">
        <v>1E-3</v>
      </c>
      <c r="M55" s="12">
        <f t="shared" ref="M55:M56" si="88">K55-2*L55</f>
        <v>1.9999999999999997E-2</v>
      </c>
      <c r="N55" s="12">
        <v>0.72299999999999998</v>
      </c>
      <c r="O55" s="100">
        <v>4.0000000000000001E-3</v>
      </c>
      <c r="P55" s="12">
        <f t="shared" ref="P55:P56" si="89">N55-O55*2</f>
        <v>0.71499999999999997</v>
      </c>
      <c r="Q55" s="12">
        <f t="shared" ref="Q55:Q56" si="90">P55-M55</f>
        <v>0.69499999999999995</v>
      </c>
      <c r="R55" s="12">
        <f t="shared" ref="R55:R56" si="91">(Q55-I55)/J55</f>
        <v>71.412371134020617</v>
      </c>
      <c r="S55" s="12">
        <f t="shared" ref="S55:S56" si="92">R55*H55/10</f>
        <v>71.412371134020617</v>
      </c>
    </row>
    <row r="56" spans="1:25">
      <c r="A56" s="39" t="s">
        <v>160</v>
      </c>
      <c r="B56" s="12" t="s">
        <v>988</v>
      </c>
      <c r="C56" s="12" t="s">
        <v>987</v>
      </c>
      <c r="D56" s="12" t="s">
        <v>127</v>
      </c>
      <c r="E56" s="101"/>
      <c r="H56" s="15">
        <v>20</v>
      </c>
      <c r="I56" s="43">
        <v>2.3E-3</v>
      </c>
      <c r="J56" s="15">
        <v>9.7000000000000003E-3</v>
      </c>
      <c r="K56" s="12">
        <v>2.1999999999999999E-2</v>
      </c>
      <c r="L56" s="12">
        <v>1E-3</v>
      </c>
      <c r="M56" s="12">
        <f t="shared" si="88"/>
        <v>1.9999999999999997E-2</v>
      </c>
      <c r="N56" s="12">
        <v>0.11600000000000001</v>
      </c>
      <c r="O56" s="100">
        <v>3.0000000000000001E-3</v>
      </c>
      <c r="P56" s="12">
        <f t="shared" si="89"/>
        <v>0.11</v>
      </c>
      <c r="Q56" s="12">
        <f t="shared" si="90"/>
        <v>0.09</v>
      </c>
      <c r="R56" s="12">
        <f t="shared" si="91"/>
        <v>9.0412371134020617</v>
      </c>
      <c r="S56" s="16">
        <f t="shared" si="92"/>
        <v>18.082474226804123</v>
      </c>
      <c r="T56" s="12">
        <v>45.2</v>
      </c>
    </row>
    <row r="57" spans="1:25">
      <c r="A57" s="39" t="s">
        <v>160</v>
      </c>
      <c r="C57" s="72" t="s">
        <v>989</v>
      </c>
      <c r="D57" s="72" t="s">
        <v>103</v>
      </c>
      <c r="E57" s="15"/>
      <c r="H57" s="15">
        <v>5</v>
      </c>
      <c r="I57" s="43">
        <v>2.3E-3</v>
      </c>
      <c r="J57" s="15">
        <v>9.7000000000000003E-3</v>
      </c>
      <c r="K57" s="12">
        <v>2.1999999999999999E-2</v>
      </c>
      <c r="L57" s="12">
        <v>1E-3</v>
      </c>
      <c r="M57" s="12">
        <f t="shared" ref="M57" si="93">K57-2*L57</f>
        <v>1.9999999999999997E-2</v>
      </c>
      <c r="N57" s="12">
        <v>0.17199999999999999</v>
      </c>
      <c r="O57" s="100">
        <v>8.0000000000000002E-3</v>
      </c>
      <c r="P57" s="12">
        <f t="shared" ref="P57:P59" si="94">N57-O57*2</f>
        <v>0.15599999999999997</v>
      </c>
      <c r="Q57" s="12">
        <f t="shared" ref="Q57:Q59" si="95">P57-M57</f>
        <v>0.13599999999999998</v>
      </c>
      <c r="R57" s="12">
        <f t="shared" ref="R57:R59" si="96">(Q57-I57)/J57</f>
        <v>13.783505154639172</v>
      </c>
      <c r="S57" s="16">
        <f t="shared" ref="S57:S59" si="97">R57*H57/10</f>
        <v>6.8917525773195862</v>
      </c>
    </row>
    <row r="58" spans="1:25">
      <c r="A58" s="39" t="s">
        <v>160</v>
      </c>
      <c r="B58" s="13">
        <v>43997</v>
      </c>
      <c r="C58" s="72" t="s">
        <v>991</v>
      </c>
      <c r="D58" s="72" t="s">
        <v>542</v>
      </c>
      <c r="E58" s="15"/>
      <c r="H58" s="63">
        <v>5</v>
      </c>
      <c r="I58" s="43">
        <v>-2.5000000000000001E-3</v>
      </c>
      <c r="J58" s="15">
        <v>9.7999999999999997E-3</v>
      </c>
      <c r="K58" s="12">
        <v>2.8000000000000001E-2</v>
      </c>
      <c r="L58" s="12">
        <v>1E-3</v>
      </c>
      <c r="M58" s="12">
        <f t="shared" ref="M58:M59" si="98">K58-L58*2</f>
        <v>2.6000000000000002E-2</v>
      </c>
      <c r="N58" s="77">
        <v>0.27700000000000002</v>
      </c>
      <c r="O58" s="77">
        <v>5.0000000000000001E-3</v>
      </c>
      <c r="P58" s="12">
        <f t="shared" si="94"/>
        <v>0.26700000000000002</v>
      </c>
      <c r="Q58" s="12">
        <f t="shared" si="95"/>
        <v>0.24100000000000002</v>
      </c>
      <c r="R58" s="12">
        <f t="shared" si="96"/>
        <v>24.846938775510207</v>
      </c>
      <c r="S58" s="12">
        <f t="shared" si="97"/>
        <v>12.423469387755103</v>
      </c>
    </row>
    <row r="59" spans="1:25">
      <c r="A59" s="39" t="s">
        <v>160</v>
      </c>
      <c r="B59" s="12" t="s">
        <v>994</v>
      </c>
      <c r="C59" s="72" t="s">
        <v>992</v>
      </c>
      <c r="D59" s="72" t="s">
        <v>101</v>
      </c>
      <c r="E59" s="15"/>
      <c r="H59" s="63">
        <v>1</v>
      </c>
      <c r="I59" s="43">
        <v>-2.5000000000000001E-3</v>
      </c>
      <c r="J59" s="15">
        <v>9.7999999999999997E-3</v>
      </c>
      <c r="K59" s="12">
        <v>2.8000000000000001E-2</v>
      </c>
      <c r="L59" s="12">
        <v>1E-3</v>
      </c>
      <c r="M59" s="12">
        <f t="shared" si="98"/>
        <v>2.6000000000000002E-2</v>
      </c>
      <c r="N59" s="77">
        <v>0.21199999999999999</v>
      </c>
      <c r="O59" s="77">
        <v>6.0000000000000001E-3</v>
      </c>
      <c r="P59" s="12">
        <f t="shared" si="94"/>
        <v>0.19999999999999998</v>
      </c>
      <c r="Q59" s="12">
        <f t="shared" si="95"/>
        <v>0.17399999999999999</v>
      </c>
      <c r="R59" s="12">
        <f t="shared" si="96"/>
        <v>18.010204081632654</v>
      </c>
      <c r="S59" s="12">
        <f t="shared" si="97"/>
        <v>1.8010204081632655</v>
      </c>
    </row>
    <row r="60" spans="1:25">
      <c r="A60" s="39" t="s">
        <v>160</v>
      </c>
      <c r="C60" s="72" t="s">
        <v>993</v>
      </c>
      <c r="D60" s="72"/>
      <c r="E60" s="15"/>
      <c r="H60" s="63">
        <f>H59</f>
        <v>1</v>
      </c>
      <c r="I60" s="43">
        <v>-2.5000000000000001E-3</v>
      </c>
      <c r="J60" s="15">
        <v>9.7999999999999997E-3</v>
      </c>
      <c r="K60" s="12">
        <v>2.8000000000000001E-2</v>
      </c>
      <c r="L60" s="12">
        <v>1E-3</v>
      </c>
      <c r="M60" s="12">
        <f>M59</f>
        <v>2.6000000000000002E-2</v>
      </c>
      <c r="N60" s="77">
        <f>N59-0.001</f>
        <v>0.21099999999999999</v>
      </c>
      <c r="O60" s="77">
        <v>6.0000000000000001E-3</v>
      </c>
      <c r="P60" s="12">
        <f t="shared" ref="P60" si="99">N60-O60*2</f>
        <v>0.19899999999999998</v>
      </c>
      <c r="Q60" s="12">
        <f t="shared" ref="Q60" si="100">P60-M60</f>
        <v>0.17299999999999999</v>
      </c>
      <c r="R60" s="12">
        <f t="shared" ref="R60" si="101">(Q60-I60)/J60</f>
        <v>17.908163265306122</v>
      </c>
      <c r="S60" s="12">
        <f t="shared" ref="S60" si="102">R60*H60/10</f>
        <v>1.7908163265306123</v>
      </c>
      <c r="V60" s="56"/>
    </row>
    <row r="61" spans="1:25">
      <c r="A61" s="39"/>
      <c r="C61" s="86" t="s">
        <v>800</v>
      </c>
      <c r="D61" s="50"/>
      <c r="E61" s="50"/>
      <c r="F61" s="50"/>
      <c r="G61" s="50"/>
      <c r="H61" s="59">
        <v>1</v>
      </c>
      <c r="I61" s="23">
        <v>-2.5000000000000001E-3</v>
      </c>
      <c r="J61" s="21">
        <v>9.7999999999999997E-3</v>
      </c>
      <c r="K61" s="21">
        <v>2.8000000000000001E-2</v>
      </c>
      <c r="L61" s="24">
        <v>1E-3</v>
      </c>
      <c r="M61" s="24">
        <f t="shared" ref="M61:M69" si="103">K61-2*L61</f>
        <v>2.6000000000000002E-2</v>
      </c>
      <c r="N61" s="25">
        <v>0.16200000000000001</v>
      </c>
      <c r="O61" s="81">
        <v>1E-3</v>
      </c>
      <c r="P61" s="24">
        <f t="shared" ref="P61:P62" si="104">N61-2*O61</f>
        <v>0.16</v>
      </c>
      <c r="Q61" s="24">
        <f>P61-M61</f>
        <v>0.13400000000000001</v>
      </c>
      <c r="R61" s="26">
        <f>(Q61-I61)/J61</f>
        <v>13.928571428571431</v>
      </c>
      <c r="S61" s="27">
        <f t="shared" ref="S61" si="105">R61*H61/10</f>
        <v>1.392857142857143</v>
      </c>
      <c r="T61" s="12" t="s">
        <v>960</v>
      </c>
      <c r="V61" s="102" t="s">
        <v>955</v>
      </c>
    </row>
    <row r="62" spans="1:25">
      <c r="A62" s="39"/>
      <c r="C62" s="86" t="s">
        <v>801</v>
      </c>
      <c r="D62" s="50"/>
      <c r="E62" s="50"/>
      <c r="F62" s="50"/>
      <c r="G62" s="50"/>
      <c r="H62" s="59">
        <v>1</v>
      </c>
      <c r="I62" s="23">
        <v>-2.5000000000000001E-3</v>
      </c>
      <c r="J62" s="21">
        <v>9.7999999999999997E-3</v>
      </c>
      <c r="K62" s="21">
        <v>2.8000000000000001E-2</v>
      </c>
      <c r="L62" s="24">
        <v>1E-3</v>
      </c>
      <c r="M62" s="24">
        <f t="shared" si="103"/>
        <v>2.6000000000000002E-2</v>
      </c>
      <c r="N62" s="25">
        <v>0.16300000000000001</v>
      </c>
      <c r="O62" s="81">
        <v>1E-3</v>
      </c>
      <c r="P62" s="24">
        <f t="shared" si="104"/>
        <v>0.161</v>
      </c>
      <c r="Q62" s="24">
        <f>P62-M62</f>
        <v>0.13500000000000001</v>
      </c>
      <c r="R62" s="26">
        <f>(Q62-I62)/J62</f>
        <v>14.030612244897961</v>
      </c>
      <c r="S62" s="27">
        <f>R62*H62/10</f>
        <v>1.4030612244897962</v>
      </c>
      <c r="V62" s="102" t="s">
        <v>956</v>
      </c>
    </row>
    <row r="63" spans="1:25">
      <c r="A63" s="39" t="s">
        <v>160</v>
      </c>
      <c r="B63" s="13">
        <v>43999</v>
      </c>
      <c r="C63" s="72" t="s">
        <v>995</v>
      </c>
      <c r="D63" s="72" t="s">
        <v>251</v>
      </c>
      <c r="E63" s="72"/>
      <c r="H63" s="15">
        <v>10</v>
      </c>
      <c r="I63" s="43">
        <v>-2.5000000000000001E-3</v>
      </c>
      <c r="J63" s="15">
        <v>9.7999999999999997E-3</v>
      </c>
      <c r="K63" s="12">
        <v>2.5000000000000001E-2</v>
      </c>
      <c r="L63" s="12">
        <v>2E-3</v>
      </c>
      <c r="M63" s="12">
        <f t="shared" si="103"/>
        <v>2.1000000000000001E-2</v>
      </c>
      <c r="N63" s="12">
        <v>0.26600000000000001</v>
      </c>
      <c r="O63" s="100">
        <v>6.0000000000000001E-3</v>
      </c>
      <c r="P63" s="12">
        <f t="shared" ref="P63:P69" si="106">N63-O63*2</f>
        <v>0.254</v>
      </c>
      <c r="Q63" s="12">
        <f t="shared" ref="Q63:Q69" si="107">P63-M63</f>
        <v>0.23300000000000001</v>
      </c>
      <c r="R63" s="12">
        <f t="shared" ref="R63:R69" si="108">(Q63-I63)/J63</f>
        <v>24.030612244897963</v>
      </c>
      <c r="S63" s="12">
        <f t="shared" ref="S63:S69" si="109">R63*H63/10</f>
        <v>24.030612244897963</v>
      </c>
    </row>
    <row r="64" spans="1:25">
      <c r="A64" s="39"/>
      <c r="B64" s="12" t="s">
        <v>1004</v>
      </c>
      <c r="C64" s="72" t="s">
        <v>996</v>
      </c>
      <c r="D64" s="72" t="s">
        <v>997</v>
      </c>
      <c r="E64" s="72"/>
      <c r="H64" s="15">
        <v>5</v>
      </c>
      <c r="I64" s="43">
        <v>-2.5000000000000001E-3</v>
      </c>
      <c r="J64" s="15">
        <v>9.7999999999999997E-3</v>
      </c>
      <c r="K64" s="12">
        <v>2.5000000000000001E-2</v>
      </c>
      <c r="L64" s="12">
        <v>2E-3</v>
      </c>
      <c r="M64" s="12">
        <f t="shared" si="103"/>
        <v>2.1000000000000001E-2</v>
      </c>
      <c r="N64" s="12">
        <v>0.14299999999999999</v>
      </c>
      <c r="O64" s="12">
        <v>5.0000000000000001E-3</v>
      </c>
      <c r="P64" s="12">
        <f t="shared" si="106"/>
        <v>0.13299999999999998</v>
      </c>
      <c r="Q64" s="12">
        <f t="shared" si="107"/>
        <v>0.11199999999999997</v>
      </c>
      <c r="R64" s="12">
        <f t="shared" si="108"/>
        <v>11.683673469387752</v>
      </c>
      <c r="S64" s="16">
        <f t="shared" si="109"/>
        <v>5.8418367346938762</v>
      </c>
    </row>
    <row r="65" spans="1:25">
      <c r="A65" s="39"/>
      <c r="C65" s="72" t="s">
        <v>998</v>
      </c>
      <c r="D65" s="72" t="s">
        <v>999</v>
      </c>
      <c r="E65" s="72"/>
      <c r="H65" s="15">
        <v>5</v>
      </c>
      <c r="I65" s="43">
        <v>-2.5000000000000001E-3</v>
      </c>
      <c r="J65" s="15">
        <v>9.7999999999999997E-3</v>
      </c>
      <c r="K65" s="12">
        <v>2.5000000000000001E-2</v>
      </c>
      <c r="L65" s="12">
        <v>2E-3</v>
      </c>
      <c r="M65" s="12">
        <f t="shared" si="103"/>
        <v>2.1000000000000001E-2</v>
      </c>
      <c r="N65" s="12">
        <v>0.189</v>
      </c>
      <c r="O65" s="12">
        <v>6.0000000000000001E-3</v>
      </c>
      <c r="P65" s="12">
        <f t="shared" si="106"/>
        <v>0.17699999999999999</v>
      </c>
      <c r="Q65" s="12">
        <f t="shared" si="107"/>
        <v>0.156</v>
      </c>
      <c r="R65" s="12">
        <f t="shared" si="108"/>
        <v>16.173469387755102</v>
      </c>
      <c r="S65" s="16">
        <f t="shared" si="109"/>
        <v>8.0867346938775508</v>
      </c>
    </row>
    <row r="66" spans="1:25">
      <c r="A66" s="39"/>
      <c r="C66" s="72" t="s">
        <v>1000</v>
      </c>
      <c r="D66" s="72" t="s">
        <v>142</v>
      </c>
      <c r="E66" s="72"/>
      <c r="H66" s="15">
        <v>5</v>
      </c>
      <c r="I66" s="43">
        <v>-2.5000000000000001E-3</v>
      </c>
      <c r="J66" s="15">
        <v>9.7999999999999997E-3</v>
      </c>
      <c r="K66" s="12">
        <v>2.5000000000000001E-2</v>
      </c>
      <c r="L66" s="12">
        <v>2E-3</v>
      </c>
      <c r="M66" s="12">
        <f t="shared" si="103"/>
        <v>2.1000000000000001E-2</v>
      </c>
      <c r="N66" s="12">
        <v>0.27400000000000002</v>
      </c>
      <c r="O66" s="12">
        <v>4.0000000000000001E-3</v>
      </c>
      <c r="P66" s="12">
        <f t="shared" si="106"/>
        <v>0.26600000000000001</v>
      </c>
      <c r="Q66" s="12">
        <f t="shared" si="107"/>
        <v>0.24500000000000002</v>
      </c>
      <c r="R66" s="12">
        <f t="shared" si="108"/>
        <v>25.255102040816329</v>
      </c>
      <c r="S66" s="16">
        <f t="shared" si="109"/>
        <v>12.627551020408164</v>
      </c>
    </row>
    <row r="67" spans="1:25">
      <c r="A67" s="39"/>
      <c r="C67" s="72" t="s">
        <v>1001</v>
      </c>
      <c r="D67" s="72" t="s">
        <v>144</v>
      </c>
      <c r="E67" s="72"/>
      <c r="H67" s="15">
        <v>10</v>
      </c>
      <c r="I67" s="43">
        <v>-2.5000000000000001E-3</v>
      </c>
      <c r="J67" s="15">
        <v>9.7999999999999997E-3</v>
      </c>
      <c r="K67" s="12">
        <v>2.5000000000000001E-2</v>
      </c>
      <c r="L67" s="12">
        <v>2E-3</v>
      </c>
      <c r="M67" s="12">
        <f t="shared" si="103"/>
        <v>2.1000000000000001E-2</v>
      </c>
      <c r="N67" s="12">
        <v>0.23300000000000001</v>
      </c>
      <c r="O67" s="12">
        <v>5.0000000000000001E-3</v>
      </c>
      <c r="P67" s="12">
        <f t="shared" si="106"/>
        <v>0.223</v>
      </c>
      <c r="Q67" s="12">
        <f t="shared" si="107"/>
        <v>0.20200000000000001</v>
      </c>
      <c r="R67" s="12">
        <f t="shared" si="108"/>
        <v>20.867346938775512</v>
      </c>
      <c r="S67" s="16">
        <f t="shared" si="109"/>
        <v>20.867346938775512</v>
      </c>
    </row>
    <row r="68" spans="1:25">
      <c r="A68" s="39"/>
      <c r="C68" s="72" t="s">
        <v>1002</v>
      </c>
      <c r="D68" s="72" t="s">
        <v>146</v>
      </c>
      <c r="E68" s="72"/>
      <c r="H68" s="15">
        <v>10</v>
      </c>
      <c r="I68" s="43">
        <v>-2.5000000000000001E-3</v>
      </c>
      <c r="J68" s="15">
        <v>9.7999999999999997E-3</v>
      </c>
      <c r="K68" s="12">
        <v>2.5000000000000001E-2</v>
      </c>
      <c r="L68" s="12">
        <v>2E-3</v>
      </c>
      <c r="M68" s="12">
        <f t="shared" si="103"/>
        <v>2.1000000000000001E-2</v>
      </c>
      <c r="N68" s="12">
        <v>0.22900000000000001</v>
      </c>
      <c r="O68" s="12">
        <v>5.0000000000000001E-3</v>
      </c>
      <c r="P68" s="12">
        <f t="shared" si="106"/>
        <v>0.219</v>
      </c>
      <c r="Q68" s="12">
        <f t="shared" si="107"/>
        <v>0.19800000000000001</v>
      </c>
      <c r="R68" s="12">
        <f t="shared" si="108"/>
        <v>20.45918367346939</v>
      </c>
      <c r="S68" s="16">
        <f t="shared" si="109"/>
        <v>20.45918367346939</v>
      </c>
    </row>
    <row r="69" spans="1:25">
      <c r="A69" s="39"/>
      <c r="C69" s="72" t="s">
        <v>1003</v>
      </c>
      <c r="D69" s="72" t="s">
        <v>220</v>
      </c>
      <c r="E69" s="72"/>
      <c r="H69" s="15">
        <v>5</v>
      </c>
      <c r="I69" s="43">
        <v>-2.5000000000000001E-3</v>
      </c>
      <c r="J69" s="15">
        <v>9.7999999999999997E-3</v>
      </c>
      <c r="K69" s="12">
        <v>2.5000000000000001E-2</v>
      </c>
      <c r="L69" s="12">
        <v>2E-3</v>
      </c>
      <c r="M69" s="12">
        <f t="shared" si="103"/>
        <v>2.1000000000000001E-2</v>
      </c>
      <c r="N69" s="12">
        <v>0.16900000000000001</v>
      </c>
      <c r="O69" s="100">
        <v>6.0000000000000001E-3</v>
      </c>
      <c r="P69" s="12">
        <f t="shared" si="106"/>
        <v>0.157</v>
      </c>
      <c r="Q69" s="12">
        <f t="shared" si="107"/>
        <v>0.13600000000000001</v>
      </c>
      <c r="R69" s="12">
        <f t="shared" si="108"/>
        <v>14.132653061224492</v>
      </c>
      <c r="S69" s="16">
        <f t="shared" si="109"/>
        <v>7.0663265306122458</v>
      </c>
      <c r="V69" s="12">
        <v>0.13700000000000001</v>
      </c>
      <c r="W69" s="12">
        <v>4.4999999999999998E-2</v>
      </c>
      <c r="X69" s="12">
        <f>V69-0.108</f>
        <v>2.9000000000000012E-2</v>
      </c>
      <c r="Y69" s="12">
        <f>W69-0.044</f>
        <v>1.0000000000000009E-3</v>
      </c>
    </row>
    <row r="70" spans="1:25">
      <c r="A70" s="39" t="s">
        <v>409</v>
      </c>
      <c r="B70" s="13">
        <v>44000</v>
      </c>
      <c r="C70" s="72" t="s">
        <v>1005</v>
      </c>
      <c r="D70" s="72" t="s">
        <v>303</v>
      </c>
      <c r="E70" s="72"/>
      <c r="F70" s="72"/>
      <c r="H70" s="15">
        <v>5</v>
      </c>
      <c r="I70" s="43">
        <v>-2.5000000000000001E-3</v>
      </c>
      <c r="J70" s="15">
        <v>9.7999999999999997E-3</v>
      </c>
      <c r="K70" s="12">
        <v>2.9000000000000001E-2</v>
      </c>
      <c r="L70" s="12">
        <v>1E-3</v>
      </c>
      <c r="M70" s="12">
        <f t="shared" ref="M70" si="110">K70-2*L70</f>
        <v>2.7000000000000003E-2</v>
      </c>
      <c r="N70" s="12">
        <v>0.313</v>
      </c>
      <c r="O70" s="100">
        <v>8.0000000000000002E-3</v>
      </c>
      <c r="P70" s="12">
        <f t="shared" ref="P70" si="111">N70-O70*2</f>
        <v>0.29699999999999999</v>
      </c>
      <c r="Q70" s="12">
        <f t="shared" ref="Q70" si="112">P70-M70</f>
        <v>0.26999999999999996</v>
      </c>
      <c r="R70" s="12">
        <f t="shared" ref="R70" si="113">(Q70-I70)/J70</f>
        <v>27.80612244897959</v>
      </c>
      <c r="S70" s="16">
        <f t="shared" ref="S70" si="114">R70*H70/10</f>
        <v>13.903061224489795</v>
      </c>
      <c r="V70" s="12">
        <v>0.42099999999999999</v>
      </c>
      <c r="W70" s="12">
        <v>5.1999999999999998E-2</v>
      </c>
      <c r="X70" s="12">
        <f>V70-0.108</f>
        <v>0.313</v>
      </c>
      <c r="Y70" s="12">
        <f>W70-0.044</f>
        <v>8.0000000000000002E-3</v>
      </c>
    </row>
    <row r="71" spans="1:25">
      <c r="A71" s="39"/>
      <c r="B71" s="12" t="s">
        <v>1006</v>
      </c>
      <c r="C71" s="72"/>
      <c r="D71" s="72"/>
      <c r="E71" s="72"/>
      <c r="F71" s="72"/>
    </row>
    <row r="72" spans="1:25">
      <c r="A72" s="39" t="s">
        <v>160</v>
      </c>
      <c r="C72" s="72" t="s">
        <v>1007</v>
      </c>
      <c r="D72" s="72" t="s">
        <v>252</v>
      </c>
      <c r="E72" s="72"/>
      <c r="F72" s="72"/>
      <c r="H72" s="15">
        <v>1</v>
      </c>
      <c r="I72" s="43">
        <v>-2.5000000000000001E-3</v>
      </c>
      <c r="J72" s="15">
        <v>9.7999999999999997E-3</v>
      </c>
      <c r="K72" s="12">
        <v>2.9000000000000001E-2</v>
      </c>
      <c r="L72" s="12">
        <v>1E-3</v>
      </c>
      <c r="M72" s="12">
        <f t="shared" ref="M72:M73" si="115">K72-2*L72</f>
        <v>2.7000000000000003E-2</v>
      </c>
      <c r="N72" s="12">
        <v>0.19900000000000001</v>
      </c>
      <c r="O72" s="100">
        <v>5.0000000000000001E-3</v>
      </c>
      <c r="P72" s="12">
        <f t="shared" ref="P72:P73" si="116">N72-O72*2</f>
        <v>0.189</v>
      </c>
      <c r="Q72" s="12">
        <f t="shared" ref="Q72:Q73" si="117">P72-M72</f>
        <v>0.16200000000000001</v>
      </c>
      <c r="R72" s="12">
        <f t="shared" ref="R72:R73" si="118">(Q72-I72)/J72</f>
        <v>16.785714285714288</v>
      </c>
      <c r="S72" s="16">
        <f t="shared" ref="S72:S73" si="119">R72*H72/10</f>
        <v>1.6785714285714288</v>
      </c>
    </row>
    <row r="73" spans="1:25">
      <c r="A73" s="39" t="s">
        <v>160</v>
      </c>
      <c r="B73" s="13">
        <v>44001</v>
      </c>
      <c r="C73" s="72" t="s">
        <v>1011</v>
      </c>
      <c r="D73" s="72" t="s">
        <v>167</v>
      </c>
      <c r="E73" s="72"/>
      <c r="F73" s="72"/>
      <c r="H73" s="15">
        <v>1</v>
      </c>
      <c r="I73" s="43">
        <v>-2.5000000000000001E-3</v>
      </c>
      <c r="J73" s="15">
        <v>9.7999999999999997E-3</v>
      </c>
      <c r="K73" s="12">
        <v>2.5999999999999999E-2</v>
      </c>
      <c r="L73" s="12">
        <v>1E-3</v>
      </c>
      <c r="M73" s="12">
        <f t="shared" si="115"/>
        <v>2.4E-2</v>
      </c>
      <c r="N73" s="12">
        <v>0.24299999999999999</v>
      </c>
      <c r="O73" s="12">
        <v>6.0000000000000001E-3</v>
      </c>
      <c r="P73" s="12">
        <f t="shared" si="116"/>
        <v>0.23099999999999998</v>
      </c>
      <c r="Q73" s="12">
        <f t="shared" si="117"/>
        <v>0.20699999999999999</v>
      </c>
      <c r="R73" s="12">
        <f t="shared" si="118"/>
        <v>21.377551020408163</v>
      </c>
      <c r="S73" s="12">
        <f t="shared" si="119"/>
        <v>2.1377551020408161</v>
      </c>
    </row>
    <row r="74" spans="1:25">
      <c r="A74" s="39" t="s">
        <v>160</v>
      </c>
      <c r="B74" s="12" t="s">
        <v>1010</v>
      </c>
      <c r="C74" s="72" t="s">
        <v>1012</v>
      </c>
      <c r="D74" s="72"/>
      <c r="E74" s="72"/>
      <c r="F74" s="72"/>
      <c r="H74" s="15">
        <f>H73</f>
        <v>1</v>
      </c>
      <c r="I74" s="43">
        <v>-2.5000000000000001E-3</v>
      </c>
      <c r="J74" s="15">
        <v>9.7999999999999997E-3</v>
      </c>
      <c r="K74" s="12">
        <v>2.5999999999999999E-2</v>
      </c>
      <c r="L74" s="12">
        <v>1E-3</v>
      </c>
      <c r="M74" s="12">
        <f>M73</f>
        <v>2.4E-2</v>
      </c>
      <c r="N74" s="12">
        <f>N73-0.001</f>
        <v>0.24199999999999999</v>
      </c>
      <c r="O74" s="12">
        <v>6.0000000000000001E-3</v>
      </c>
      <c r="P74" s="12">
        <f t="shared" ref="P74" si="120">N74-O74*2</f>
        <v>0.22999999999999998</v>
      </c>
      <c r="Q74" s="12">
        <f t="shared" ref="Q74" si="121">P74-M74</f>
        <v>0.20599999999999999</v>
      </c>
      <c r="R74" s="12">
        <f t="shared" ref="R74" si="122">(Q74-I74)/J74</f>
        <v>21.275510204081634</v>
      </c>
      <c r="S74" s="12">
        <f t="shared" ref="S74" si="123">R74*H74/10</f>
        <v>2.1275510204081636</v>
      </c>
    </row>
    <row r="75" spans="1:25">
      <c r="A75" s="46" t="s">
        <v>1014</v>
      </c>
      <c r="C75" s="72" t="s">
        <v>1013</v>
      </c>
      <c r="D75" s="72" t="s">
        <v>176</v>
      </c>
      <c r="E75" s="72"/>
      <c r="F75" s="72"/>
    </row>
    <row r="76" spans="1:25">
      <c r="A76" s="105" t="s">
        <v>1015</v>
      </c>
      <c r="C76" s="72" t="s">
        <v>1016</v>
      </c>
      <c r="D76" s="72" t="s">
        <v>1017</v>
      </c>
      <c r="E76" s="72"/>
      <c r="I76" s="44"/>
      <c r="J76" s="15"/>
      <c r="O76" s="100"/>
    </row>
    <row r="77" spans="1:25">
      <c r="C77" s="72">
        <v>1</v>
      </c>
      <c r="D77" s="72"/>
      <c r="E77" s="72"/>
      <c r="F77" s="72"/>
    </row>
    <row r="78" spans="1:25">
      <c r="C78" s="72">
        <v>2</v>
      </c>
      <c r="D78" s="72"/>
      <c r="E78" s="72"/>
      <c r="F78" s="72"/>
    </row>
    <row r="79" spans="1:25">
      <c r="C79" s="72">
        <v>3</v>
      </c>
      <c r="D79" s="72"/>
      <c r="E79" s="72"/>
      <c r="F79" s="72"/>
    </row>
    <row r="80" spans="1:25">
      <c r="C80" s="12" t="s">
        <v>961</v>
      </c>
      <c r="D80" s="12" t="s">
        <v>116</v>
      </c>
    </row>
    <row r="81" spans="3:4">
      <c r="C81" s="12" t="s">
        <v>962</v>
      </c>
      <c r="D81" s="12" t="s">
        <v>114</v>
      </c>
    </row>
    <row r="82" spans="3:4">
      <c r="C82" s="12" t="s">
        <v>964</v>
      </c>
      <c r="D82" s="12" t="s">
        <v>73</v>
      </c>
    </row>
    <row r="83" spans="3:4">
      <c r="C83" s="12" t="s">
        <v>965</v>
      </c>
      <c r="D83" s="12" t="s">
        <v>75</v>
      </c>
    </row>
    <row r="84" spans="3:4">
      <c r="C84" s="12" t="s">
        <v>966</v>
      </c>
      <c r="D84" s="12" t="s">
        <v>542</v>
      </c>
    </row>
    <row r="85" spans="3:4">
      <c r="C85" s="12" t="s">
        <v>967</v>
      </c>
      <c r="D85" s="12" t="s">
        <v>79</v>
      </c>
    </row>
    <row r="86" spans="3:4">
      <c r="C86" s="12" t="s">
        <v>968</v>
      </c>
      <c r="D86" s="12" t="s">
        <v>81</v>
      </c>
    </row>
    <row r="87" spans="3:4">
      <c r="C87" s="12" t="s">
        <v>969</v>
      </c>
      <c r="D87" s="12" t="s">
        <v>83</v>
      </c>
    </row>
    <row r="88" spans="3:4">
      <c r="C88" s="12" t="s">
        <v>970</v>
      </c>
      <c r="D88" s="12" t="s">
        <v>85</v>
      </c>
    </row>
    <row r="89" spans="3:4">
      <c r="C89" s="12" t="s">
        <v>971</v>
      </c>
      <c r="D89" s="12" t="s">
        <v>101</v>
      </c>
    </row>
    <row r="90" spans="3:4">
      <c r="C90" s="12" t="s">
        <v>972</v>
      </c>
      <c r="D90" s="12" t="s">
        <v>105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H63"/>
  <sheetViews>
    <sheetView topLeftCell="K31" workbookViewId="0">
      <selection activeCell="AB36" sqref="AB36:AD38"/>
    </sheetView>
  </sheetViews>
  <sheetFormatPr defaultRowHeight="13.5"/>
  <sheetData>
    <row r="1" spans="1:34">
      <c r="A1" s="109">
        <v>43836</v>
      </c>
      <c r="B1" s="110"/>
      <c r="C1" s="110"/>
      <c r="J1" s="109">
        <v>43875</v>
      </c>
      <c r="K1" s="110"/>
      <c r="L1" s="110"/>
      <c r="S1" s="109" t="s">
        <v>563</v>
      </c>
      <c r="T1" s="110"/>
      <c r="U1" s="110"/>
      <c r="AA1" s="109">
        <v>43930</v>
      </c>
      <c r="AB1" s="110"/>
      <c r="AC1" s="110"/>
    </row>
    <row r="2" spans="1:34">
      <c r="A2" s="110"/>
      <c r="B2" s="110"/>
      <c r="C2" s="110"/>
      <c r="J2" s="110"/>
      <c r="K2" s="110"/>
      <c r="L2" s="110"/>
      <c r="S2" s="110"/>
      <c r="T2" s="110"/>
      <c r="U2" s="110"/>
      <c r="AA2" s="110"/>
      <c r="AB2" s="110"/>
      <c r="AC2" s="110"/>
      <c r="AD2" t="s">
        <v>577</v>
      </c>
    </row>
    <row r="3" spans="1:34">
      <c r="A3" s="110"/>
      <c r="B3" s="110"/>
      <c r="C3" s="110"/>
      <c r="J3" s="110"/>
      <c r="K3" s="110"/>
      <c r="L3" s="110"/>
      <c r="S3" s="110"/>
      <c r="T3" s="110"/>
      <c r="U3" s="110"/>
      <c r="AA3" s="110"/>
      <c r="AB3" s="110"/>
      <c r="AC3" s="110"/>
    </row>
    <row r="5" spans="1:34">
      <c r="A5">
        <v>0</v>
      </c>
      <c r="B5">
        <v>0.14399999999999999</v>
      </c>
      <c r="C5" s="17">
        <v>5.8999999999999997E-2</v>
      </c>
      <c r="D5">
        <f>B5-0.126</f>
        <v>1.7999999999999988E-2</v>
      </c>
      <c r="E5">
        <f>C5-0.057</f>
        <v>1.9999999999999948E-3</v>
      </c>
      <c r="F5">
        <f>D5-2*E5</f>
        <v>1.3999999999999999E-2</v>
      </c>
      <c r="G5" s="18">
        <f>F5-0.014</f>
        <v>0</v>
      </c>
      <c r="J5">
        <v>0</v>
      </c>
      <c r="K5">
        <v>0.17100000000000001</v>
      </c>
      <c r="L5" s="17">
        <v>6.6000000000000003E-2</v>
      </c>
      <c r="M5">
        <f>K5-0.133</f>
        <v>3.8000000000000006E-2</v>
      </c>
      <c r="N5">
        <f>L5-0.066</f>
        <v>0</v>
      </c>
      <c r="O5">
        <f>M5-2*N5</f>
        <v>3.8000000000000006E-2</v>
      </c>
      <c r="P5" s="18">
        <f>O5-0.038</f>
        <v>0</v>
      </c>
      <c r="Q5">
        <f>O5-0.01</f>
        <v>2.8000000000000004E-2</v>
      </c>
      <c r="S5">
        <v>0</v>
      </c>
      <c r="T5">
        <v>0.11799999999999999</v>
      </c>
      <c r="U5" s="17">
        <v>6.0999999999999999E-2</v>
      </c>
      <c r="V5">
        <f>T5-0.101</f>
        <v>1.6999999999999987E-2</v>
      </c>
      <c r="W5">
        <f>U5-0.058</f>
        <v>2.9999999999999957E-3</v>
      </c>
      <c r="X5">
        <f>V5-2*W5</f>
        <v>1.0999999999999996E-2</v>
      </c>
      <c r="Y5">
        <f>X5-$X$5</f>
        <v>0</v>
      </c>
      <c r="AA5">
        <v>0</v>
      </c>
      <c r="AB5">
        <v>0.123</v>
      </c>
      <c r="AC5" s="17">
        <v>7.0000000000000007E-2</v>
      </c>
      <c r="AD5">
        <f>AB5-0.112</f>
        <v>1.0999999999999996E-2</v>
      </c>
      <c r="AE5">
        <f>AC5-0.067</f>
        <v>3.0000000000000027E-3</v>
      </c>
      <c r="AF5">
        <f>AD5-2*AE5</f>
        <v>4.9999999999999906E-3</v>
      </c>
      <c r="AG5">
        <f>AF5-$AF$5</f>
        <v>0</v>
      </c>
      <c r="AH5">
        <f>AF5+0.02</f>
        <v>2.4999999999999991E-2</v>
      </c>
    </row>
    <row r="6" spans="1:34">
      <c r="A6">
        <v>2</v>
      </c>
      <c r="B6">
        <v>0.16700000000000001</v>
      </c>
      <c r="C6">
        <v>5.8999999999999997E-2</v>
      </c>
      <c r="D6">
        <f t="shared" ref="D6:D12" si="0">B6-0.126</f>
        <v>4.1000000000000009E-2</v>
      </c>
      <c r="E6">
        <f t="shared" ref="E6:E12" si="1">C6-0.057</f>
        <v>1.9999999999999948E-3</v>
      </c>
      <c r="F6">
        <f t="shared" ref="F6:F12" si="2">D6-2*E6</f>
        <v>3.7000000000000019E-2</v>
      </c>
      <c r="G6" s="18">
        <f t="shared" ref="G6:G12" si="3">F6-0.014</f>
        <v>2.300000000000002E-2</v>
      </c>
      <c r="J6">
        <v>2</v>
      </c>
      <c r="K6">
        <v>0.192</v>
      </c>
      <c r="L6">
        <v>6.6000000000000003E-2</v>
      </c>
      <c r="M6">
        <f t="shared" ref="M6:M15" si="4">K6-0.133</f>
        <v>5.8999999999999997E-2</v>
      </c>
      <c r="N6">
        <f t="shared" ref="N6:N15" si="5">L6-0.066</f>
        <v>0</v>
      </c>
      <c r="O6">
        <f t="shared" ref="O6:O10" si="6">M6-2*N6</f>
        <v>5.8999999999999997E-2</v>
      </c>
      <c r="P6" s="18">
        <f t="shared" ref="P6:P10" si="7">O6-0.038</f>
        <v>2.0999999999999998E-2</v>
      </c>
      <c r="Q6">
        <f t="shared" ref="Q6:Q10" si="8">O6-0.01</f>
        <v>4.8999999999999995E-2</v>
      </c>
      <c r="S6">
        <v>2</v>
      </c>
      <c r="T6">
        <v>0.13700000000000001</v>
      </c>
      <c r="U6">
        <v>5.8000000000000003E-2</v>
      </c>
      <c r="V6">
        <f t="shared" ref="V6:V12" si="9">T6-0.101</f>
        <v>3.6000000000000004E-2</v>
      </c>
      <c r="W6">
        <f t="shared" ref="W6:W12" si="10">U6-0.058</f>
        <v>0</v>
      </c>
      <c r="X6">
        <f t="shared" ref="X6:X12" si="11">V6-2*W6</f>
        <v>3.6000000000000004E-2</v>
      </c>
      <c r="Y6">
        <f t="shared" ref="Y6:Y12" si="12">X6-$X$5</f>
        <v>2.5000000000000008E-2</v>
      </c>
      <c r="AA6">
        <v>2</v>
      </c>
      <c r="AB6">
        <v>0.13700000000000001</v>
      </c>
      <c r="AC6">
        <v>6.7000000000000004E-2</v>
      </c>
      <c r="AD6">
        <f t="shared" ref="AD6:AD10" si="13">AB6-0.112</f>
        <v>2.5000000000000008E-2</v>
      </c>
      <c r="AE6">
        <f t="shared" ref="AE6:AE10" si="14">AC6-0.067</f>
        <v>0</v>
      </c>
      <c r="AF6">
        <f t="shared" ref="AF6:AF10" si="15">AD6-2*AE6</f>
        <v>2.5000000000000008E-2</v>
      </c>
      <c r="AG6">
        <f t="shared" ref="AG6:AG10" si="16">AF6-$AF$5</f>
        <v>2.0000000000000018E-2</v>
      </c>
      <c r="AH6">
        <f t="shared" ref="AH6:AH10" si="17">AF6+0.02</f>
        <v>4.5000000000000012E-2</v>
      </c>
    </row>
    <row r="7" spans="1:34">
      <c r="A7">
        <v>5</v>
      </c>
      <c r="B7">
        <v>0.2</v>
      </c>
      <c r="C7">
        <v>0.06</v>
      </c>
      <c r="D7">
        <f t="shared" si="0"/>
        <v>7.400000000000001E-2</v>
      </c>
      <c r="E7">
        <f t="shared" si="1"/>
        <v>2.9999999999999957E-3</v>
      </c>
      <c r="F7">
        <f t="shared" si="2"/>
        <v>6.8000000000000019E-2</v>
      </c>
      <c r="G7" s="18">
        <f t="shared" si="3"/>
        <v>5.400000000000002E-2</v>
      </c>
      <c r="J7">
        <v>5</v>
      </c>
      <c r="K7">
        <v>0.22800000000000001</v>
      </c>
      <c r="L7">
        <v>6.8000000000000005E-2</v>
      </c>
      <c r="M7">
        <f t="shared" si="4"/>
        <v>9.5000000000000001E-2</v>
      </c>
      <c r="N7">
        <f t="shared" si="5"/>
        <v>2.0000000000000018E-3</v>
      </c>
      <c r="O7">
        <f t="shared" si="6"/>
        <v>9.0999999999999998E-2</v>
      </c>
      <c r="P7" s="18">
        <f t="shared" si="7"/>
        <v>5.2999999999999999E-2</v>
      </c>
      <c r="Q7">
        <f t="shared" si="8"/>
        <v>8.1000000000000003E-2</v>
      </c>
      <c r="S7">
        <v>5</v>
      </c>
      <c r="T7">
        <v>0.17699999999999999</v>
      </c>
      <c r="U7">
        <v>6.0999999999999999E-2</v>
      </c>
      <c r="V7">
        <f t="shared" si="9"/>
        <v>7.5999999999999984E-2</v>
      </c>
      <c r="W7">
        <f t="shared" si="10"/>
        <v>2.9999999999999957E-3</v>
      </c>
      <c r="X7">
        <f t="shared" si="11"/>
        <v>6.9999999999999993E-2</v>
      </c>
      <c r="Y7">
        <f t="shared" si="12"/>
        <v>5.8999999999999997E-2</v>
      </c>
      <c r="AA7">
        <v>5</v>
      </c>
      <c r="AB7">
        <v>0.16800000000000001</v>
      </c>
      <c r="AC7">
        <v>6.8000000000000005E-2</v>
      </c>
      <c r="AD7">
        <f t="shared" si="13"/>
        <v>5.6000000000000008E-2</v>
      </c>
      <c r="AE7">
        <f t="shared" si="14"/>
        <v>1.0000000000000009E-3</v>
      </c>
      <c r="AF7">
        <f t="shared" si="15"/>
        <v>5.4000000000000006E-2</v>
      </c>
      <c r="AG7">
        <f t="shared" si="16"/>
        <v>4.9000000000000016E-2</v>
      </c>
      <c r="AH7">
        <f t="shared" si="17"/>
        <v>7.400000000000001E-2</v>
      </c>
    </row>
    <row r="8" spans="1:34">
      <c r="A8">
        <v>10</v>
      </c>
      <c r="B8">
        <v>0.24</v>
      </c>
      <c r="C8">
        <v>6.0999999999999999E-2</v>
      </c>
      <c r="D8">
        <f t="shared" si="0"/>
        <v>0.11399999999999999</v>
      </c>
      <c r="E8">
        <f t="shared" si="1"/>
        <v>3.9999999999999966E-3</v>
      </c>
      <c r="F8">
        <f t="shared" si="2"/>
        <v>0.106</v>
      </c>
      <c r="G8" s="18">
        <f t="shared" si="3"/>
        <v>9.1999999999999998E-2</v>
      </c>
      <c r="J8">
        <v>10</v>
      </c>
      <c r="K8">
        <v>0.26900000000000002</v>
      </c>
      <c r="L8">
        <v>6.7000000000000004E-2</v>
      </c>
      <c r="M8">
        <f t="shared" si="4"/>
        <v>0.13600000000000001</v>
      </c>
      <c r="N8">
        <f t="shared" si="5"/>
        <v>1.0000000000000009E-3</v>
      </c>
      <c r="O8">
        <f t="shared" si="6"/>
        <v>0.13400000000000001</v>
      </c>
      <c r="P8" s="18">
        <f t="shared" si="7"/>
        <v>9.6000000000000002E-2</v>
      </c>
      <c r="Q8">
        <f t="shared" si="8"/>
        <v>0.12400000000000001</v>
      </c>
      <c r="S8">
        <v>10</v>
      </c>
      <c r="T8">
        <v>0.22900000000000001</v>
      </c>
      <c r="U8">
        <v>5.8999999999999997E-2</v>
      </c>
      <c r="V8">
        <f t="shared" si="9"/>
        <v>0.128</v>
      </c>
      <c r="W8">
        <f t="shared" si="10"/>
        <v>9.9999999999999395E-4</v>
      </c>
      <c r="X8">
        <f t="shared" si="11"/>
        <v>0.126</v>
      </c>
      <c r="Y8">
        <f t="shared" si="12"/>
        <v>0.115</v>
      </c>
      <c r="AA8">
        <v>10</v>
      </c>
      <c r="AB8">
        <v>0.21299999999999999</v>
      </c>
      <c r="AC8">
        <v>6.7000000000000004E-2</v>
      </c>
      <c r="AD8">
        <f t="shared" si="13"/>
        <v>0.10099999999999999</v>
      </c>
      <c r="AE8">
        <f t="shared" si="14"/>
        <v>0</v>
      </c>
      <c r="AF8">
        <f t="shared" si="15"/>
        <v>0.10099999999999999</v>
      </c>
      <c r="AG8">
        <f t="shared" si="16"/>
        <v>9.6000000000000002E-2</v>
      </c>
      <c r="AH8">
        <f t="shared" si="17"/>
        <v>0.121</v>
      </c>
    </row>
    <row r="9" spans="1:34">
      <c r="A9">
        <v>30</v>
      </c>
      <c r="B9">
        <v>0.443</v>
      </c>
      <c r="C9">
        <v>6.2E-2</v>
      </c>
      <c r="D9">
        <f t="shared" si="0"/>
        <v>0.317</v>
      </c>
      <c r="E9">
        <f t="shared" si="1"/>
        <v>4.9999999999999975E-3</v>
      </c>
      <c r="F9">
        <f t="shared" si="2"/>
        <v>0.307</v>
      </c>
      <c r="G9" s="18">
        <f t="shared" si="3"/>
        <v>0.29299999999999998</v>
      </c>
      <c r="J9">
        <v>30</v>
      </c>
      <c r="K9">
        <v>0.47899999999999998</v>
      </c>
      <c r="L9">
        <v>7.0000000000000007E-2</v>
      </c>
      <c r="M9">
        <f t="shared" si="4"/>
        <v>0.34599999999999997</v>
      </c>
      <c r="N9">
        <f t="shared" si="5"/>
        <v>4.0000000000000036E-3</v>
      </c>
      <c r="O9">
        <f t="shared" si="6"/>
        <v>0.33799999999999997</v>
      </c>
      <c r="P9" s="18">
        <f t="shared" si="7"/>
        <v>0.3</v>
      </c>
      <c r="Q9">
        <f t="shared" si="8"/>
        <v>0.32799999999999996</v>
      </c>
      <c r="S9">
        <v>30</v>
      </c>
      <c r="T9">
        <v>0.42299999999999999</v>
      </c>
      <c r="U9">
        <v>6.2E-2</v>
      </c>
      <c r="V9">
        <f t="shared" si="9"/>
        <v>0.32199999999999995</v>
      </c>
      <c r="W9">
        <f t="shared" si="10"/>
        <v>3.9999999999999966E-3</v>
      </c>
      <c r="X9">
        <f t="shared" si="11"/>
        <v>0.31399999999999995</v>
      </c>
      <c r="Y9">
        <f t="shared" si="12"/>
        <v>0.30299999999999994</v>
      </c>
      <c r="AA9">
        <v>30</v>
      </c>
      <c r="AB9">
        <v>0.41799999999999998</v>
      </c>
      <c r="AC9">
        <v>6.8000000000000005E-2</v>
      </c>
      <c r="AD9">
        <f t="shared" si="13"/>
        <v>0.30599999999999999</v>
      </c>
      <c r="AE9">
        <f t="shared" si="14"/>
        <v>1.0000000000000009E-3</v>
      </c>
      <c r="AF9">
        <f t="shared" si="15"/>
        <v>0.30399999999999999</v>
      </c>
      <c r="AG9">
        <f t="shared" si="16"/>
        <v>0.29899999999999999</v>
      </c>
      <c r="AH9">
        <f t="shared" si="17"/>
        <v>0.32400000000000001</v>
      </c>
    </row>
    <row r="10" spans="1:34">
      <c r="A10">
        <v>70</v>
      </c>
      <c r="B10">
        <v>0.79</v>
      </c>
      <c r="C10">
        <v>6.3E-2</v>
      </c>
      <c r="D10">
        <f t="shared" si="0"/>
        <v>0.66400000000000003</v>
      </c>
      <c r="E10">
        <f t="shared" si="1"/>
        <v>5.9999999999999984E-3</v>
      </c>
      <c r="F10">
        <f t="shared" si="2"/>
        <v>0.65200000000000002</v>
      </c>
      <c r="G10" s="18">
        <f t="shared" si="3"/>
        <v>0.63800000000000001</v>
      </c>
      <c r="J10">
        <v>70</v>
      </c>
      <c r="K10">
        <v>0.85099999999999998</v>
      </c>
      <c r="L10">
        <v>7.2999999999999995E-2</v>
      </c>
      <c r="M10">
        <f t="shared" si="4"/>
        <v>0.71799999999999997</v>
      </c>
      <c r="N10">
        <f t="shared" si="5"/>
        <v>6.9999999999999923E-3</v>
      </c>
      <c r="O10">
        <f t="shared" si="6"/>
        <v>0.70399999999999996</v>
      </c>
      <c r="P10" s="18">
        <f t="shared" si="7"/>
        <v>0.66599999999999993</v>
      </c>
      <c r="Q10">
        <f t="shared" si="8"/>
        <v>0.69399999999999995</v>
      </c>
      <c r="S10">
        <v>70</v>
      </c>
      <c r="T10">
        <v>0.80200000000000005</v>
      </c>
      <c r="U10">
        <v>6.3E-2</v>
      </c>
      <c r="V10">
        <f t="shared" si="9"/>
        <v>0.70100000000000007</v>
      </c>
      <c r="W10">
        <f t="shared" si="10"/>
        <v>4.9999999999999975E-3</v>
      </c>
      <c r="X10">
        <f t="shared" si="11"/>
        <v>0.69100000000000006</v>
      </c>
      <c r="Y10">
        <f t="shared" si="12"/>
        <v>0.68</v>
      </c>
      <c r="AA10">
        <v>70</v>
      </c>
      <c r="AB10">
        <v>0.82899999999999996</v>
      </c>
      <c r="AC10">
        <v>7.0000000000000007E-2</v>
      </c>
      <c r="AD10">
        <f t="shared" si="13"/>
        <v>0.71699999999999997</v>
      </c>
      <c r="AE10">
        <f t="shared" si="14"/>
        <v>3.0000000000000027E-3</v>
      </c>
      <c r="AF10">
        <f t="shared" si="15"/>
        <v>0.71099999999999997</v>
      </c>
      <c r="AG10">
        <f t="shared" si="16"/>
        <v>0.70599999999999996</v>
      </c>
      <c r="AH10">
        <f t="shared" si="17"/>
        <v>0.73099999999999998</v>
      </c>
    </row>
    <row r="11" spans="1:34">
      <c r="B11">
        <v>0.27600000000000002</v>
      </c>
      <c r="C11">
        <v>0.06</v>
      </c>
      <c r="D11">
        <f t="shared" si="0"/>
        <v>0.15000000000000002</v>
      </c>
      <c r="E11">
        <f t="shared" si="1"/>
        <v>2.9999999999999957E-3</v>
      </c>
      <c r="F11">
        <f t="shared" si="2"/>
        <v>0.14400000000000002</v>
      </c>
      <c r="G11" s="18">
        <f t="shared" si="3"/>
        <v>0.13</v>
      </c>
      <c r="K11">
        <v>0.26800000000000002</v>
      </c>
      <c r="L11">
        <v>7.2999999999999995E-2</v>
      </c>
      <c r="M11">
        <f t="shared" si="4"/>
        <v>0.13500000000000001</v>
      </c>
      <c r="N11">
        <f t="shared" si="5"/>
        <v>6.9999999999999923E-3</v>
      </c>
      <c r="P11" s="18"/>
      <c r="S11" t="s">
        <v>564</v>
      </c>
      <c r="T11">
        <v>0.191</v>
      </c>
      <c r="U11">
        <v>0.06</v>
      </c>
      <c r="V11">
        <f t="shared" si="9"/>
        <v>0.09</v>
      </c>
      <c r="W11">
        <f t="shared" si="10"/>
        <v>1.9999999999999948E-3</v>
      </c>
      <c r="X11">
        <f t="shared" si="11"/>
        <v>8.6000000000000007E-2</v>
      </c>
      <c r="Y11">
        <f t="shared" si="12"/>
        <v>7.5000000000000011E-2</v>
      </c>
    </row>
    <row r="12" spans="1:34">
      <c r="B12">
        <v>0.183</v>
      </c>
      <c r="C12">
        <v>0.06</v>
      </c>
      <c r="D12">
        <f t="shared" si="0"/>
        <v>5.6999999999999995E-2</v>
      </c>
      <c r="E12">
        <f t="shared" si="1"/>
        <v>2.9999999999999957E-3</v>
      </c>
      <c r="F12">
        <f t="shared" si="2"/>
        <v>5.1000000000000004E-2</v>
      </c>
      <c r="G12" s="18">
        <f t="shared" si="3"/>
        <v>3.7000000000000005E-2</v>
      </c>
      <c r="K12">
        <v>0.42</v>
      </c>
      <c r="L12">
        <v>7.3999999999999996E-2</v>
      </c>
      <c r="M12">
        <f t="shared" si="4"/>
        <v>0.28699999999999998</v>
      </c>
      <c r="N12">
        <f t="shared" si="5"/>
        <v>7.9999999999999932E-3</v>
      </c>
      <c r="P12" s="18"/>
      <c r="T12">
        <v>0.13700000000000001</v>
      </c>
      <c r="U12">
        <v>5.8999999999999997E-2</v>
      </c>
      <c r="V12">
        <f t="shared" si="9"/>
        <v>3.6000000000000004E-2</v>
      </c>
      <c r="W12">
        <f t="shared" si="10"/>
        <v>9.9999999999999395E-4</v>
      </c>
      <c r="X12">
        <f t="shared" si="11"/>
        <v>3.4000000000000016E-2</v>
      </c>
      <c r="Y12">
        <f t="shared" si="12"/>
        <v>2.300000000000002E-2</v>
      </c>
    </row>
    <row r="13" spans="1:34">
      <c r="K13">
        <v>0.28299999999999997</v>
      </c>
      <c r="L13">
        <v>7.5999999999999998E-2</v>
      </c>
      <c r="M13">
        <f t="shared" si="4"/>
        <v>0.14999999999999997</v>
      </c>
      <c r="N13">
        <f t="shared" si="5"/>
        <v>9.999999999999995E-3</v>
      </c>
    </row>
    <row r="14" spans="1:34">
      <c r="K14">
        <v>0.44</v>
      </c>
      <c r="L14">
        <v>0.08</v>
      </c>
      <c r="M14">
        <f t="shared" si="4"/>
        <v>0.307</v>
      </c>
      <c r="N14">
        <f t="shared" si="5"/>
        <v>1.3999999999999999E-2</v>
      </c>
    </row>
    <row r="15" spans="1:34">
      <c r="K15">
        <v>0.45700000000000002</v>
      </c>
      <c r="L15">
        <v>7.8E-2</v>
      </c>
      <c r="M15">
        <f t="shared" si="4"/>
        <v>0.32400000000000001</v>
      </c>
      <c r="N15">
        <f t="shared" si="5"/>
        <v>1.1999999999999997E-2</v>
      </c>
    </row>
    <row r="34" spans="1:34">
      <c r="W34" s="50"/>
      <c r="X34" s="50"/>
      <c r="Y34" s="50"/>
      <c r="Z34" s="50"/>
      <c r="AA34" s="24"/>
      <c r="AB34" s="26"/>
      <c r="AC34" s="27"/>
    </row>
    <row r="36" spans="1:34">
      <c r="A36" s="111">
        <v>43935</v>
      </c>
      <c r="B36" s="112"/>
      <c r="C36" s="112"/>
      <c r="D36" s="83"/>
      <c r="E36" s="83"/>
      <c r="F36" s="83"/>
      <c r="G36" s="83"/>
      <c r="H36" s="83"/>
      <c r="I36" s="111">
        <v>43935</v>
      </c>
      <c r="J36" s="112"/>
      <c r="K36" s="112"/>
      <c r="L36" s="83"/>
      <c r="M36" s="83"/>
      <c r="N36" s="83"/>
      <c r="O36" s="83"/>
      <c r="P36" s="83"/>
      <c r="S36" s="109">
        <v>43964</v>
      </c>
      <c r="T36" s="110"/>
      <c r="U36" s="110"/>
      <c r="AA36" s="24"/>
      <c r="AB36" s="109">
        <v>43997</v>
      </c>
      <c r="AC36" s="110"/>
      <c r="AD36" s="110"/>
    </row>
    <row r="37" spans="1:34">
      <c r="A37" s="112"/>
      <c r="B37" s="112"/>
      <c r="C37" s="112"/>
      <c r="D37" s="83" t="s">
        <v>577</v>
      </c>
      <c r="E37" s="83"/>
      <c r="F37" s="83"/>
      <c r="G37" s="83"/>
      <c r="H37" s="83"/>
      <c r="I37" s="112"/>
      <c r="J37" s="112"/>
      <c r="K37" s="112"/>
      <c r="L37" s="83" t="s">
        <v>592</v>
      </c>
      <c r="M37" s="83"/>
      <c r="N37" s="83"/>
      <c r="O37" s="83"/>
      <c r="P37" s="83"/>
      <c r="S37" s="110"/>
      <c r="T37" s="110"/>
      <c r="U37" s="110"/>
      <c r="V37" t="s">
        <v>577</v>
      </c>
      <c r="AB37" s="110"/>
      <c r="AC37" s="110"/>
      <c r="AD37" s="110"/>
      <c r="AE37" t="s">
        <v>577</v>
      </c>
    </row>
    <row r="38" spans="1:34">
      <c r="A38" s="112"/>
      <c r="B38" s="112"/>
      <c r="C38" s="112"/>
      <c r="D38" s="83"/>
      <c r="E38" s="83"/>
      <c r="F38" s="83"/>
      <c r="G38" s="83"/>
      <c r="H38" s="83"/>
      <c r="I38" s="112"/>
      <c r="J38" s="112"/>
      <c r="K38" s="112"/>
      <c r="L38" s="83"/>
      <c r="M38" s="83"/>
      <c r="N38" s="83"/>
      <c r="O38" s="83"/>
      <c r="P38" s="83"/>
      <c r="S38" s="110"/>
      <c r="T38" s="110"/>
      <c r="U38" s="110"/>
      <c r="AA38" s="24"/>
      <c r="AB38" s="110"/>
      <c r="AC38" s="110"/>
      <c r="AD38" s="110"/>
    </row>
    <row r="39" spans="1:34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AA39" s="24"/>
    </row>
    <row r="40" spans="1:34">
      <c r="A40" s="83">
        <v>0</v>
      </c>
      <c r="B40" s="83">
        <v>1.6E-2</v>
      </c>
      <c r="C40" s="84">
        <v>7.0000000000000001E-3</v>
      </c>
      <c r="D40" s="83">
        <f>B40-0.015</f>
        <v>1.0000000000000009E-3</v>
      </c>
      <c r="E40" s="83">
        <f>C40-0.007</f>
        <v>0</v>
      </c>
      <c r="F40" s="83">
        <f>D40-2*E40</f>
        <v>1.0000000000000009E-3</v>
      </c>
      <c r="G40" s="83">
        <f>F40-$F$40</f>
        <v>0</v>
      </c>
      <c r="H40" s="83"/>
      <c r="I40" s="83">
        <v>0</v>
      </c>
      <c r="J40" s="83">
        <v>1.2E-2</v>
      </c>
      <c r="K40" s="84">
        <v>2E-3</v>
      </c>
      <c r="L40" s="83">
        <f>J40-0.007</f>
        <v>5.0000000000000001E-3</v>
      </c>
      <c r="M40" s="83">
        <f>K40-0.001</f>
        <v>1E-3</v>
      </c>
      <c r="N40" s="83">
        <f>L40-2*M40</f>
        <v>3.0000000000000001E-3</v>
      </c>
      <c r="O40" s="83">
        <f>N40-$N$40</f>
        <v>0</v>
      </c>
      <c r="P40" s="83"/>
      <c r="S40">
        <v>0</v>
      </c>
      <c r="T40">
        <v>4.4999999999999998E-2</v>
      </c>
      <c r="U40" s="17">
        <v>2.5000000000000001E-2</v>
      </c>
      <c r="V40">
        <f>T40-0.043</f>
        <v>2.0000000000000018E-3</v>
      </c>
      <c r="W40">
        <f>U40-0.024</f>
        <v>1.0000000000000009E-3</v>
      </c>
      <c r="X40">
        <f>V40-2*W40</f>
        <v>0</v>
      </c>
      <c r="Y40">
        <f>X40-$AF$5</f>
        <v>-4.9999999999999906E-3</v>
      </c>
      <c r="Z40">
        <f>X40+0.02</f>
        <v>0.02</v>
      </c>
      <c r="AB40">
        <v>0</v>
      </c>
      <c r="AC40">
        <v>7.6999999999999999E-2</v>
      </c>
      <c r="AD40" s="17">
        <v>4.4999999999999998E-2</v>
      </c>
      <c r="AE40">
        <f>AC40-0.075</f>
        <v>2.0000000000000018E-3</v>
      </c>
      <c r="AF40">
        <f>AD40-0.045</f>
        <v>0</v>
      </c>
      <c r="AG40">
        <f>AE40-2*AF40</f>
        <v>2.0000000000000018E-3</v>
      </c>
      <c r="AH40">
        <f>AG40-0.002</f>
        <v>0</v>
      </c>
    </row>
    <row r="41" spans="1:34">
      <c r="A41" s="83">
        <v>2</v>
      </c>
      <c r="B41" s="83">
        <v>4.2000000000000003E-2</v>
      </c>
      <c r="C41" s="83">
        <v>0.01</v>
      </c>
      <c r="D41" s="83">
        <f t="shared" ref="D41:D45" si="18">B41-0.015</f>
        <v>2.7000000000000003E-2</v>
      </c>
      <c r="E41" s="83">
        <f t="shared" ref="E41:E45" si="19">C41-0.007</f>
        <v>3.0000000000000001E-3</v>
      </c>
      <c r="F41" s="83">
        <f t="shared" ref="F41:F45" si="20">D41-2*E41</f>
        <v>2.1000000000000005E-2</v>
      </c>
      <c r="G41" s="83">
        <f t="shared" ref="G41:G45" si="21">F41-$F$40</f>
        <v>2.0000000000000004E-2</v>
      </c>
      <c r="H41" s="83"/>
      <c r="I41" s="83">
        <v>2</v>
      </c>
      <c r="J41" s="83">
        <v>2.5000000000000001E-2</v>
      </c>
      <c r="K41" s="83">
        <v>1E-3</v>
      </c>
      <c r="L41" s="83">
        <f t="shared" ref="L41:L45" si="22">J41-0.007</f>
        <v>1.8000000000000002E-2</v>
      </c>
      <c r="M41" s="83">
        <f t="shared" ref="M41:M45" si="23">K41-0.001</f>
        <v>0</v>
      </c>
      <c r="N41" s="83">
        <f t="shared" ref="N41:N45" si="24">L41-2*M41</f>
        <v>1.8000000000000002E-2</v>
      </c>
      <c r="O41" s="83">
        <f t="shared" ref="O41:O45" si="25">N41-$N$40</f>
        <v>1.5000000000000003E-2</v>
      </c>
      <c r="P41" s="83"/>
      <c r="S41">
        <v>2</v>
      </c>
      <c r="T41">
        <v>6.6000000000000003E-2</v>
      </c>
      <c r="U41">
        <v>2.3E-2</v>
      </c>
      <c r="V41">
        <f t="shared" ref="V41:V45" si="26">T41-0.043</f>
        <v>2.3000000000000007E-2</v>
      </c>
      <c r="W41">
        <f t="shared" ref="W41:W45" si="27">U41-0.024</f>
        <v>-1.0000000000000009E-3</v>
      </c>
      <c r="X41">
        <f t="shared" ref="X41:X45" si="28">V41-2*W41</f>
        <v>2.5000000000000008E-2</v>
      </c>
      <c r="Y41">
        <f t="shared" ref="Y41:Y45" si="29">X41-$AF$5</f>
        <v>2.0000000000000018E-2</v>
      </c>
      <c r="Z41">
        <f t="shared" ref="Z41:Z45" si="30">X41+0.02</f>
        <v>4.5000000000000012E-2</v>
      </c>
      <c r="AB41">
        <v>2</v>
      </c>
      <c r="AC41">
        <v>9.5000000000000001E-2</v>
      </c>
      <c r="AD41">
        <v>4.5999999999999999E-2</v>
      </c>
      <c r="AE41">
        <f t="shared" ref="AE41:AE45" si="31">AC41-0.075</f>
        <v>2.0000000000000004E-2</v>
      </c>
      <c r="AF41">
        <f t="shared" ref="AF41:AF45" si="32">AD41-0.045</f>
        <v>1.0000000000000009E-3</v>
      </c>
      <c r="AG41">
        <f t="shared" ref="AG41:AG45" si="33">AE41-2*AF41</f>
        <v>1.8000000000000002E-2</v>
      </c>
      <c r="AH41">
        <f t="shared" ref="AH41:AH45" si="34">AG41-0.002</f>
        <v>1.6E-2</v>
      </c>
    </row>
    <row r="42" spans="1:34">
      <c r="A42" s="83">
        <v>5</v>
      </c>
      <c r="B42" s="83">
        <v>7.0000000000000007E-2</v>
      </c>
      <c r="C42" s="83">
        <v>8.0000000000000002E-3</v>
      </c>
      <c r="D42" s="83">
        <f t="shared" si="18"/>
        <v>5.5000000000000007E-2</v>
      </c>
      <c r="E42" s="83">
        <f t="shared" si="19"/>
        <v>1E-3</v>
      </c>
      <c r="F42" s="83">
        <f t="shared" si="20"/>
        <v>5.3000000000000005E-2</v>
      </c>
      <c r="G42" s="83">
        <f t="shared" si="21"/>
        <v>5.2000000000000005E-2</v>
      </c>
      <c r="H42" s="83"/>
      <c r="I42" s="83">
        <v>5</v>
      </c>
      <c r="J42" s="83">
        <v>6.0999999999999999E-2</v>
      </c>
      <c r="K42" s="83">
        <v>2E-3</v>
      </c>
      <c r="L42" s="83">
        <f t="shared" si="22"/>
        <v>5.3999999999999999E-2</v>
      </c>
      <c r="M42" s="83">
        <f t="shared" si="23"/>
        <v>1E-3</v>
      </c>
      <c r="N42" s="83">
        <f t="shared" si="24"/>
        <v>5.1999999999999998E-2</v>
      </c>
      <c r="O42" s="83">
        <f t="shared" si="25"/>
        <v>4.8999999999999995E-2</v>
      </c>
      <c r="P42" s="83"/>
      <c r="S42">
        <v>5</v>
      </c>
      <c r="T42">
        <v>9.7000000000000003E-2</v>
      </c>
      <c r="U42">
        <v>2.5000000000000001E-2</v>
      </c>
      <c r="V42">
        <f t="shared" si="26"/>
        <v>5.4000000000000006E-2</v>
      </c>
      <c r="W42">
        <f t="shared" si="27"/>
        <v>1.0000000000000009E-3</v>
      </c>
      <c r="X42">
        <f t="shared" si="28"/>
        <v>5.2000000000000005E-2</v>
      </c>
      <c r="Y42">
        <f t="shared" si="29"/>
        <v>4.7000000000000014E-2</v>
      </c>
      <c r="Z42">
        <f t="shared" si="30"/>
        <v>7.2000000000000008E-2</v>
      </c>
      <c r="AB42">
        <v>5</v>
      </c>
      <c r="AC42">
        <v>0.126</v>
      </c>
      <c r="AD42">
        <v>4.8000000000000001E-2</v>
      </c>
      <c r="AE42">
        <f t="shared" si="31"/>
        <v>5.1000000000000004E-2</v>
      </c>
      <c r="AF42">
        <f t="shared" si="32"/>
        <v>3.0000000000000027E-3</v>
      </c>
      <c r="AG42">
        <f t="shared" si="33"/>
        <v>4.4999999999999998E-2</v>
      </c>
      <c r="AH42">
        <f t="shared" si="34"/>
        <v>4.2999999999999997E-2</v>
      </c>
    </row>
    <row r="43" spans="1:34">
      <c r="A43" s="83">
        <v>10</v>
      </c>
      <c r="B43" s="83">
        <v>0.11799999999999999</v>
      </c>
      <c r="C43" s="83">
        <v>7.0000000000000001E-3</v>
      </c>
      <c r="D43" s="83">
        <f t="shared" si="18"/>
        <v>0.10299999999999999</v>
      </c>
      <c r="E43" s="83">
        <f t="shared" si="19"/>
        <v>0</v>
      </c>
      <c r="F43" s="83">
        <f t="shared" si="20"/>
        <v>0.10299999999999999</v>
      </c>
      <c r="G43" s="83">
        <f t="shared" si="21"/>
        <v>0.10199999999999999</v>
      </c>
      <c r="H43" s="83"/>
      <c r="I43" s="83">
        <v>10</v>
      </c>
      <c r="J43" s="83">
        <v>0.106</v>
      </c>
      <c r="K43" s="83">
        <v>1E-3</v>
      </c>
      <c r="L43" s="83">
        <f t="shared" si="22"/>
        <v>9.8999999999999991E-2</v>
      </c>
      <c r="M43" s="83">
        <f t="shared" si="23"/>
        <v>0</v>
      </c>
      <c r="N43" s="83">
        <f t="shared" si="24"/>
        <v>9.8999999999999991E-2</v>
      </c>
      <c r="O43" s="83">
        <f t="shared" si="25"/>
        <v>9.5999999999999988E-2</v>
      </c>
      <c r="P43" s="83"/>
      <c r="S43">
        <v>10</v>
      </c>
      <c r="T43">
        <v>0.13900000000000001</v>
      </c>
      <c r="U43">
        <v>2.5000000000000001E-2</v>
      </c>
      <c r="V43">
        <f t="shared" si="26"/>
        <v>9.6000000000000016E-2</v>
      </c>
      <c r="W43">
        <f t="shared" si="27"/>
        <v>1.0000000000000009E-3</v>
      </c>
      <c r="X43">
        <f t="shared" si="28"/>
        <v>9.4000000000000014E-2</v>
      </c>
      <c r="Y43">
        <f t="shared" si="29"/>
        <v>8.9000000000000024E-2</v>
      </c>
      <c r="Z43">
        <f t="shared" si="30"/>
        <v>0.11400000000000002</v>
      </c>
      <c r="AB43">
        <v>10</v>
      </c>
      <c r="AC43">
        <v>0.17499999999999999</v>
      </c>
      <c r="AD43">
        <v>4.5999999999999999E-2</v>
      </c>
      <c r="AE43">
        <f t="shared" si="31"/>
        <v>9.9999999999999992E-2</v>
      </c>
      <c r="AF43">
        <f t="shared" si="32"/>
        <v>1.0000000000000009E-3</v>
      </c>
      <c r="AG43">
        <f t="shared" si="33"/>
        <v>9.799999999999999E-2</v>
      </c>
      <c r="AH43">
        <f t="shared" si="34"/>
        <v>9.5999999999999988E-2</v>
      </c>
    </row>
    <row r="44" spans="1:34">
      <c r="A44" s="83">
        <v>30</v>
      </c>
      <c r="B44" s="83">
        <v>0.312</v>
      </c>
      <c r="C44" s="83">
        <v>7.0000000000000001E-3</v>
      </c>
      <c r="D44" s="83">
        <f t="shared" si="18"/>
        <v>0.29699999999999999</v>
      </c>
      <c r="E44" s="83">
        <f t="shared" si="19"/>
        <v>0</v>
      </c>
      <c r="F44" s="83">
        <f t="shared" si="20"/>
        <v>0.29699999999999999</v>
      </c>
      <c r="G44" s="83">
        <f t="shared" si="21"/>
        <v>0.29599999999999999</v>
      </c>
      <c r="H44" s="83"/>
      <c r="I44" s="83">
        <v>30</v>
      </c>
      <c r="J44" s="83">
        <v>0.307</v>
      </c>
      <c r="K44" s="83">
        <v>3.0000000000000001E-3</v>
      </c>
      <c r="L44" s="83">
        <f t="shared" si="22"/>
        <v>0.3</v>
      </c>
      <c r="M44" s="83">
        <f t="shared" si="23"/>
        <v>2E-3</v>
      </c>
      <c r="N44" s="83">
        <f t="shared" si="24"/>
        <v>0.29599999999999999</v>
      </c>
      <c r="O44" s="83">
        <f t="shared" si="25"/>
        <v>0.29299999999999998</v>
      </c>
      <c r="P44" s="83"/>
      <c r="S44">
        <v>30</v>
      </c>
      <c r="T44">
        <v>0.34699999999999998</v>
      </c>
      <c r="U44">
        <v>2.7E-2</v>
      </c>
      <c r="V44">
        <f t="shared" si="26"/>
        <v>0.30399999999999999</v>
      </c>
      <c r="W44">
        <f t="shared" si="27"/>
        <v>2.9999999999999992E-3</v>
      </c>
      <c r="X44">
        <f t="shared" si="28"/>
        <v>0.29799999999999999</v>
      </c>
      <c r="Y44">
        <f t="shared" si="29"/>
        <v>0.29299999999999998</v>
      </c>
      <c r="Z44">
        <f t="shared" si="30"/>
        <v>0.318</v>
      </c>
      <c r="AB44">
        <v>30</v>
      </c>
      <c r="AC44">
        <v>0.376</v>
      </c>
      <c r="AD44">
        <v>4.7E-2</v>
      </c>
      <c r="AE44">
        <f t="shared" si="31"/>
        <v>0.30099999999999999</v>
      </c>
      <c r="AF44">
        <f t="shared" si="32"/>
        <v>2.0000000000000018E-3</v>
      </c>
      <c r="AG44">
        <f t="shared" si="33"/>
        <v>0.29699999999999999</v>
      </c>
      <c r="AH44">
        <f t="shared" si="34"/>
        <v>0.29499999999999998</v>
      </c>
    </row>
    <row r="45" spans="1:34">
      <c r="A45" s="83">
        <v>70</v>
      </c>
      <c r="B45" s="83">
        <v>0.68700000000000006</v>
      </c>
      <c r="C45" s="83">
        <v>8.9999999999999993E-3</v>
      </c>
      <c r="D45" s="83">
        <f t="shared" si="18"/>
        <v>0.67200000000000004</v>
      </c>
      <c r="E45" s="83">
        <f t="shared" si="19"/>
        <v>1.9999999999999992E-3</v>
      </c>
      <c r="F45" s="83">
        <f t="shared" si="20"/>
        <v>0.66800000000000004</v>
      </c>
      <c r="G45" s="83">
        <f t="shared" si="21"/>
        <v>0.66700000000000004</v>
      </c>
      <c r="H45" s="83"/>
      <c r="I45" s="83">
        <v>70</v>
      </c>
      <c r="J45" s="83">
        <v>0.68500000000000005</v>
      </c>
      <c r="K45" s="83">
        <v>1E-3</v>
      </c>
      <c r="L45" s="83">
        <f t="shared" si="22"/>
        <v>0.67800000000000005</v>
      </c>
      <c r="M45" s="83">
        <f t="shared" si="23"/>
        <v>0</v>
      </c>
      <c r="N45" s="83">
        <f t="shared" si="24"/>
        <v>0.67800000000000005</v>
      </c>
      <c r="O45" s="83">
        <f t="shared" si="25"/>
        <v>0.67500000000000004</v>
      </c>
      <c r="P45" s="83"/>
      <c r="S45">
        <v>70</v>
      </c>
      <c r="T45">
        <v>0.72299999999999998</v>
      </c>
      <c r="U45">
        <v>2.4E-2</v>
      </c>
      <c r="V45">
        <f t="shared" si="26"/>
        <v>0.67999999999999994</v>
      </c>
      <c r="W45">
        <f t="shared" si="27"/>
        <v>0</v>
      </c>
      <c r="X45">
        <f t="shared" si="28"/>
        <v>0.67999999999999994</v>
      </c>
      <c r="Y45">
        <f t="shared" si="29"/>
        <v>0.67499999999999993</v>
      </c>
      <c r="Z45">
        <f t="shared" si="30"/>
        <v>0.7</v>
      </c>
      <c r="AB45">
        <v>70</v>
      </c>
      <c r="AC45">
        <v>0.76700000000000002</v>
      </c>
      <c r="AD45">
        <v>4.8000000000000001E-2</v>
      </c>
      <c r="AE45">
        <f t="shared" si="31"/>
        <v>0.69200000000000006</v>
      </c>
      <c r="AF45">
        <f t="shared" si="32"/>
        <v>3.0000000000000027E-3</v>
      </c>
      <c r="AG45">
        <f t="shared" si="33"/>
        <v>0.68600000000000005</v>
      </c>
      <c r="AH45">
        <f t="shared" si="34"/>
        <v>0.68400000000000005</v>
      </c>
    </row>
    <row r="46" spans="1:34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</row>
    <row r="47" spans="1:34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</row>
    <row r="48" spans="1:34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</row>
    <row r="49" spans="1:16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</row>
    <row r="50" spans="1:16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</row>
    <row r="51" spans="1:16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</row>
    <row r="52" spans="1:16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</row>
    <row r="53" spans="1:16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</row>
    <row r="54" spans="1:16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</row>
    <row r="55" spans="1:16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</row>
    <row r="56" spans="1:16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</row>
    <row r="57" spans="1:16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</row>
    <row r="58" spans="1:16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</row>
    <row r="59" spans="1:16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</row>
    <row r="60" spans="1:16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</row>
    <row r="61" spans="1:16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</row>
    <row r="62" spans="1:16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</row>
    <row r="63" spans="1:16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</row>
  </sheetData>
  <mergeCells count="8">
    <mergeCell ref="AA1:AC3"/>
    <mergeCell ref="A36:C38"/>
    <mergeCell ref="I36:K38"/>
    <mergeCell ref="A1:C3"/>
    <mergeCell ref="J1:L3"/>
    <mergeCell ref="S1:U3"/>
    <mergeCell ref="S36:U38"/>
    <mergeCell ref="AB36:AD38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1月</vt:lpstr>
      <vt:lpstr>2月</vt:lpstr>
      <vt:lpstr>3月</vt:lpstr>
      <vt:lpstr>4月</vt:lpstr>
      <vt:lpstr>5月</vt:lpstr>
      <vt:lpstr>6月</vt:lpstr>
      <vt:lpstr>标线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个人用户</cp:lastModifiedBy>
  <dcterms:created xsi:type="dcterms:W3CDTF">2006-09-13T11:21:51Z</dcterms:created>
  <dcterms:modified xsi:type="dcterms:W3CDTF">2020-06-23T07:29:12Z</dcterms:modified>
</cp:coreProperties>
</file>