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ila\Desktop\Instrumentação\Github\ufrgs-instrumentacao-projeto\Resources\Excel\"/>
    </mc:Choice>
  </mc:AlternateContent>
  <bookViews>
    <workbookView xWindow="1200" yWindow="840" windowWidth="25605" windowHeight="14415" tabRatio="500" firstSheet="3" activeTab="7"/>
  </bookViews>
  <sheets>
    <sheet name="Sensor de Nível (Capacitância)" sheetId="1" r:id="rId1"/>
    <sheet name="Pt100 (Resistência)" sheetId="3" r:id="rId2"/>
    <sheet name="Pt100 (Condicionado&quot;)" sheetId="2" r:id="rId3"/>
    <sheet name="Circuito Simulado" sheetId="4" r:id="rId4"/>
    <sheet name="Plan1" sheetId="5" r:id="rId5"/>
    <sheet name="Plan4" sheetId="8" r:id="rId6"/>
    <sheet name="Plan3" sheetId="7" r:id="rId7"/>
    <sheet name="Plan2" sheetId="6" r:id="rId8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6" l="1"/>
  <c r="U5" i="6"/>
  <c r="U6" i="6"/>
  <c r="U7" i="6"/>
  <c r="U8" i="6"/>
  <c r="U3" i="6"/>
  <c r="T9" i="6" l="1"/>
  <c r="T4" i="6"/>
  <c r="T5" i="6"/>
  <c r="T6" i="6"/>
  <c r="T7" i="6"/>
  <c r="T8" i="6"/>
  <c r="P4" i="6"/>
  <c r="P5" i="6"/>
  <c r="P6" i="6"/>
  <c r="P7" i="6"/>
  <c r="P8" i="6"/>
  <c r="T3" i="6"/>
  <c r="P3" i="6"/>
  <c r="S4" i="6"/>
  <c r="S5" i="6"/>
  <c r="S6" i="6"/>
  <c r="S7" i="6"/>
  <c r="S8" i="6"/>
  <c r="R4" i="6"/>
  <c r="R5" i="6"/>
  <c r="R6" i="6"/>
  <c r="R7" i="6"/>
  <c r="R8" i="6"/>
  <c r="S3" i="6"/>
  <c r="R3" i="6"/>
  <c r="Q4" i="6"/>
  <c r="Q5" i="6"/>
  <c r="Q6" i="6"/>
  <c r="Q7" i="6"/>
  <c r="Q8" i="6"/>
  <c r="Q3" i="6"/>
  <c r="I3" i="6"/>
  <c r="I4" i="6"/>
  <c r="I5" i="6"/>
  <c r="I6" i="6"/>
  <c r="I7" i="6"/>
  <c r="I2" i="6"/>
  <c r="H3" i="6"/>
  <c r="H4" i="6"/>
  <c r="H5" i="6"/>
  <c r="H6" i="6"/>
  <c r="H7" i="6"/>
  <c r="H2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3" i="5"/>
  <c r="N1" i="5"/>
  <c r="M26" i="5"/>
  <c r="L26" i="5"/>
  <c r="O3" i="5"/>
  <c r="O4" i="5"/>
  <c r="O5" i="5"/>
  <c r="O6" i="5"/>
  <c r="O7" i="5"/>
  <c r="O8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" i="8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3" i="5"/>
  <c r="L4" i="5"/>
  <c r="L5" i="5"/>
  <c r="L6" i="5"/>
  <c r="L7" i="5"/>
  <c r="L8" i="5"/>
  <c r="L9" i="5"/>
  <c r="O9" i="5" s="1"/>
  <c r="L10" i="5"/>
  <c r="O10" i="5" s="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3" i="5"/>
  <c r="G6" i="7"/>
  <c r="H6" i="7" s="1"/>
  <c r="G10" i="7"/>
  <c r="G14" i="7"/>
  <c r="H14" i="7" s="1"/>
  <c r="G18" i="7"/>
  <c r="H18" i="7" s="1"/>
  <c r="H10" i="7"/>
  <c r="D4" i="7"/>
  <c r="G4" i="7" s="1"/>
  <c r="H4" i="7" s="1"/>
  <c r="D5" i="7"/>
  <c r="G5" i="7" s="1"/>
  <c r="H5" i="7" s="1"/>
  <c r="D6" i="7"/>
  <c r="D7" i="7"/>
  <c r="G7" i="7" s="1"/>
  <c r="H7" i="7" s="1"/>
  <c r="D8" i="7"/>
  <c r="G8" i="7" s="1"/>
  <c r="H8" i="7" s="1"/>
  <c r="D9" i="7"/>
  <c r="G9" i="7" s="1"/>
  <c r="H9" i="7" s="1"/>
  <c r="D10" i="7"/>
  <c r="D11" i="7"/>
  <c r="G11" i="7" s="1"/>
  <c r="H11" i="7" s="1"/>
  <c r="D12" i="7"/>
  <c r="G12" i="7" s="1"/>
  <c r="H12" i="7" s="1"/>
  <c r="D13" i="7"/>
  <c r="G13" i="7" s="1"/>
  <c r="H13" i="7" s="1"/>
  <c r="D14" i="7"/>
  <c r="D15" i="7"/>
  <c r="G15" i="7" s="1"/>
  <c r="H15" i="7" s="1"/>
  <c r="D16" i="7"/>
  <c r="G16" i="7" s="1"/>
  <c r="H16" i="7" s="1"/>
  <c r="D17" i="7"/>
  <c r="G17" i="7" s="1"/>
  <c r="H17" i="7" s="1"/>
  <c r="D18" i="7"/>
  <c r="D19" i="7"/>
  <c r="G19" i="7" s="1"/>
  <c r="H19" i="7" s="1"/>
  <c r="D20" i="7"/>
  <c r="G20" i="7" s="1"/>
  <c r="H20" i="7" s="1"/>
  <c r="D3" i="7"/>
  <c r="G3" i="7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3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3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" i="3"/>
  <c r="H3" i="7" l="1"/>
  <c r="H21" i="7" s="1"/>
  <c r="G3" i="6"/>
  <c r="G4" i="6"/>
  <c r="G5" i="6"/>
  <c r="G6" i="6"/>
  <c r="G7" i="6"/>
  <c r="G2" i="6"/>
  <c r="F3" i="6"/>
  <c r="F4" i="6"/>
  <c r="F5" i="6"/>
  <c r="F6" i="6"/>
  <c r="F7" i="6"/>
  <c r="F2" i="6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3" i="5"/>
  <c r="F3" i="5" s="1"/>
  <c r="G3" i="5" s="1"/>
  <c r="B17" i="4" l="1"/>
  <c r="B15" i="4"/>
  <c r="B3" i="4"/>
  <c r="B4" i="4"/>
  <c r="B5" i="4"/>
  <c r="B6" i="4"/>
  <c r="B7" i="4"/>
  <c r="B8" i="4"/>
  <c r="B9" i="4"/>
  <c r="B10" i="4"/>
  <c r="B11" i="4"/>
  <c r="B12" i="4"/>
  <c r="B13" i="4"/>
  <c r="B14" i="4"/>
  <c r="B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" i="2"/>
  <c r="E2" i="2"/>
  <c r="F2" i="2"/>
  <c r="D2" i="3"/>
  <c r="D3" i="3"/>
  <c r="F3" i="3"/>
  <c r="D4" i="3"/>
  <c r="D5" i="3"/>
  <c r="D6" i="3"/>
  <c r="D7" i="3"/>
  <c r="F7" i="3"/>
  <c r="D8" i="3"/>
  <c r="D9" i="3"/>
  <c r="D10" i="3"/>
  <c r="D11" i="3"/>
  <c r="F11" i="3"/>
  <c r="D12" i="3"/>
  <c r="D13" i="3"/>
  <c r="D14" i="3"/>
  <c r="D15" i="3"/>
  <c r="F15" i="3"/>
  <c r="D16" i="3"/>
  <c r="D17" i="3"/>
  <c r="D18" i="3"/>
  <c r="D19" i="3"/>
  <c r="F19" i="3"/>
  <c r="F2" i="3" l="1"/>
  <c r="F16" i="3"/>
  <c r="F12" i="3"/>
  <c r="F8" i="3"/>
  <c r="F4" i="3"/>
  <c r="F17" i="3"/>
  <c r="F13" i="3"/>
  <c r="F9" i="3"/>
  <c r="F5" i="3"/>
  <c r="F18" i="3"/>
  <c r="F14" i="3"/>
  <c r="F10" i="3"/>
  <c r="F6" i="3"/>
  <c r="F20" i="3" l="1"/>
</calcChain>
</file>

<file path=xl/sharedStrings.xml><?xml version="1.0" encoding="utf-8"?>
<sst xmlns="http://schemas.openxmlformats.org/spreadsheetml/2006/main" count="95" uniqueCount="68">
  <si>
    <t>200nF</t>
  </si>
  <si>
    <t>19.9 C</t>
  </si>
  <si>
    <t>T(ºC)</t>
  </si>
  <si>
    <t>R_ft (Ohms)</t>
  </si>
  <si>
    <t>R_med(Ohms)</t>
  </si>
  <si>
    <t>R_teorico (Ohms)</t>
  </si>
  <si>
    <t>Erro de Linearidade</t>
  </si>
  <si>
    <t>R</t>
  </si>
  <si>
    <t>V_medido</t>
  </si>
  <si>
    <t>V_ft</t>
  </si>
  <si>
    <t>V_teorico</t>
  </si>
  <si>
    <t>V_ft(s/ offset)</t>
  </si>
  <si>
    <t>T (ºC)</t>
  </si>
  <si>
    <t>R(T)</t>
  </si>
  <si>
    <t>V_out (V)</t>
  </si>
  <si>
    <t>Circuito de condicionamento completo</t>
  </si>
  <si>
    <t>17.2ºC</t>
  </si>
  <si>
    <t>Tensão Saída (V)</t>
  </si>
  <si>
    <t>T(ºC) - FIT</t>
  </si>
  <si>
    <t>Dif (ºC)</t>
  </si>
  <si>
    <t>pot</t>
  </si>
  <si>
    <t>dist</t>
  </si>
  <si>
    <t>max</t>
  </si>
  <si>
    <t>med</t>
  </si>
  <si>
    <t>vel (comercial)</t>
  </si>
  <si>
    <t>tempo</t>
  </si>
  <si>
    <t>Pt100</t>
  </si>
  <si>
    <t>Elinear</t>
  </si>
  <si>
    <t>Usando Década</t>
  </si>
  <si>
    <t>Usando Pt100</t>
  </si>
  <si>
    <t>Tensão (V)</t>
  </si>
  <si>
    <t>T(ºC) med</t>
  </si>
  <si>
    <t>T(ºC) DAQ</t>
  </si>
  <si>
    <t>y=19.8807*x+20.3101</t>
  </si>
  <si>
    <t>y=20.1613*x+20.248</t>
  </si>
  <si>
    <t>(pelo Pt100)</t>
  </si>
  <si>
    <t>(pela década) &lt;== melhor</t>
  </si>
  <si>
    <t>Incerteza (Ohms)</t>
  </si>
  <si>
    <t>y=0.0546*x-1.1869</t>
  </si>
  <si>
    <t>x=18.315*y+21.7381</t>
  </si>
  <si>
    <t>V(T)</t>
  </si>
  <si>
    <t>T(V)</t>
  </si>
  <si>
    <t>R_Decada(Ohms)</t>
  </si>
  <si>
    <t>y=0.0503*x-1.0216</t>
  </si>
  <si>
    <t>x=19.8807*y+20.3101</t>
  </si>
  <si>
    <t>V Saída simulado</t>
  </si>
  <si>
    <t>Tensão FT</t>
  </si>
  <si>
    <t>Tensão_ponte</t>
  </si>
  <si>
    <t>FT Ponte</t>
  </si>
  <si>
    <t>FT Saida</t>
  </si>
  <si>
    <t>Tensão Teorica</t>
  </si>
  <si>
    <t>Erro lin</t>
  </si>
  <si>
    <t>FT offset</t>
  </si>
  <si>
    <t>Erro lin offset</t>
  </si>
  <si>
    <t>Potência</t>
  </si>
  <si>
    <t>Distância (cm)</t>
  </si>
  <si>
    <t>Vel_comercial (m/s)</t>
  </si>
  <si>
    <t>Período observado (s)</t>
  </si>
  <si>
    <t>y1=14.6997-16.5017*x</t>
  </si>
  <si>
    <t>y2=15.0118-16.8067*x</t>
  </si>
  <si>
    <t>y1</t>
  </si>
  <si>
    <t>y2</t>
  </si>
  <si>
    <t>freq</t>
  </si>
  <si>
    <t>RPM</t>
  </si>
  <si>
    <t>Vel_ft</t>
  </si>
  <si>
    <t>V_tan</t>
  </si>
  <si>
    <t>Rel (V_ft/V_tan)</t>
  </si>
  <si>
    <t>erro 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</si>
</sst>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06767914320699"/>
          <c:y val="2.5066335682991617E-2"/>
          <c:w val="0.86414028900052497"/>
          <c:h val="0.709019119677901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'Sensor de Nível (Capacitância)'!$A$1:$A$100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'Sensor de Nível (Capacitância)'!$B$1:$B$100</c:f>
              <c:numCache>
                <c:formatCode>General</c:formatCode>
                <c:ptCount val="100"/>
                <c:pt idx="0">
                  <c:v>0.92</c:v>
                </c:pt>
                <c:pt idx="1">
                  <c:v>1.95</c:v>
                </c:pt>
                <c:pt idx="2">
                  <c:v>2.9</c:v>
                </c:pt>
                <c:pt idx="3">
                  <c:v>3.5</c:v>
                </c:pt>
                <c:pt idx="4">
                  <c:v>4.0199999999999996</c:v>
                </c:pt>
                <c:pt idx="5">
                  <c:v>4.8</c:v>
                </c:pt>
                <c:pt idx="6">
                  <c:v>5.5</c:v>
                </c:pt>
                <c:pt idx="7">
                  <c:v>6.16</c:v>
                </c:pt>
                <c:pt idx="8">
                  <c:v>6.84</c:v>
                </c:pt>
                <c:pt idx="9">
                  <c:v>7.41</c:v>
                </c:pt>
                <c:pt idx="10">
                  <c:v>8.01</c:v>
                </c:pt>
                <c:pt idx="11">
                  <c:v>8.82</c:v>
                </c:pt>
                <c:pt idx="12">
                  <c:v>9.4</c:v>
                </c:pt>
                <c:pt idx="13">
                  <c:v>10.18</c:v>
                </c:pt>
                <c:pt idx="14">
                  <c:v>10.9</c:v>
                </c:pt>
                <c:pt idx="15">
                  <c:v>11.4</c:v>
                </c:pt>
                <c:pt idx="16">
                  <c:v>13.71</c:v>
                </c:pt>
                <c:pt idx="17">
                  <c:v>14.39</c:v>
                </c:pt>
                <c:pt idx="18">
                  <c:v>15.02</c:v>
                </c:pt>
                <c:pt idx="19">
                  <c:v>15.84</c:v>
                </c:pt>
                <c:pt idx="20">
                  <c:v>16.420000000000002</c:v>
                </c:pt>
                <c:pt idx="21">
                  <c:v>17.28</c:v>
                </c:pt>
                <c:pt idx="22">
                  <c:v>17.79</c:v>
                </c:pt>
                <c:pt idx="23">
                  <c:v>18.61</c:v>
                </c:pt>
                <c:pt idx="24">
                  <c:v>19.28</c:v>
                </c:pt>
                <c:pt idx="25">
                  <c:v>20.100000000000001</c:v>
                </c:pt>
                <c:pt idx="26">
                  <c:v>20.8</c:v>
                </c:pt>
                <c:pt idx="27">
                  <c:v>21.3</c:v>
                </c:pt>
                <c:pt idx="28">
                  <c:v>22.1</c:v>
                </c:pt>
                <c:pt idx="29">
                  <c:v>22.9</c:v>
                </c:pt>
                <c:pt idx="30">
                  <c:v>23.7</c:v>
                </c:pt>
                <c:pt idx="31">
                  <c:v>24.6</c:v>
                </c:pt>
                <c:pt idx="32">
                  <c:v>25.4</c:v>
                </c:pt>
                <c:pt idx="33">
                  <c:v>26.6</c:v>
                </c:pt>
                <c:pt idx="34">
                  <c:v>27.5</c:v>
                </c:pt>
                <c:pt idx="35">
                  <c:v>28.4</c:v>
                </c:pt>
                <c:pt idx="36">
                  <c:v>29.1</c:v>
                </c:pt>
                <c:pt idx="37">
                  <c:v>30.4</c:v>
                </c:pt>
                <c:pt idx="38">
                  <c:v>31.3</c:v>
                </c:pt>
                <c:pt idx="39">
                  <c:v>32.4</c:v>
                </c:pt>
                <c:pt idx="40">
                  <c:v>33.299999999999997</c:v>
                </c:pt>
                <c:pt idx="41">
                  <c:v>33.799999999999997</c:v>
                </c:pt>
                <c:pt idx="42">
                  <c:v>33.5</c:v>
                </c:pt>
                <c:pt idx="43">
                  <c:v>35.299999999999997</c:v>
                </c:pt>
                <c:pt idx="44">
                  <c:v>36</c:v>
                </c:pt>
                <c:pt idx="45">
                  <c:v>36.9</c:v>
                </c:pt>
                <c:pt idx="46">
                  <c:v>37.799999999999997</c:v>
                </c:pt>
                <c:pt idx="47">
                  <c:v>38.4</c:v>
                </c:pt>
                <c:pt idx="48">
                  <c:v>39.1</c:v>
                </c:pt>
                <c:pt idx="49">
                  <c:v>39.799999999999997</c:v>
                </c:pt>
                <c:pt idx="50">
                  <c:v>40.299999999999997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42.1</c:v>
                </c:pt>
                <c:pt idx="54">
                  <c:v>42.6</c:v>
                </c:pt>
                <c:pt idx="55">
                  <c:v>43.2</c:v>
                </c:pt>
                <c:pt idx="56">
                  <c:v>43.7</c:v>
                </c:pt>
                <c:pt idx="57">
                  <c:v>44.4</c:v>
                </c:pt>
                <c:pt idx="58">
                  <c:v>44.9</c:v>
                </c:pt>
                <c:pt idx="59">
                  <c:v>45.7</c:v>
                </c:pt>
                <c:pt idx="60">
                  <c:v>46.1</c:v>
                </c:pt>
                <c:pt idx="61">
                  <c:v>47</c:v>
                </c:pt>
                <c:pt idx="62">
                  <c:v>47.5</c:v>
                </c:pt>
                <c:pt idx="63">
                  <c:v>48.4</c:v>
                </c:pt>
                <c:pt idx="64">
                  <c:v>48.8</c:v>
                </c:pt>
                <c:pt idx="65">
                  <c:v>49.6</c:v>
                </c:pt>
                <c:pt idx="66">
                  <c:v>50.4</c:v>
                </c:pt>
                <c:pt idx="67">
                  <c:v>51.2</c:v>
                </c:pt>
                <c:pt idx="68">
                  <c:v>51.9</c:v>
                </c:pt>
                <c:pt idx="69">
                  <c:v>52.9</c:v>
                </c:pt>
                <c:pt idx="70">
                  <c:v>53.5</c:v>
                </c:pt>
                <c:pt idx="71">
                  <c:v>54.6</c:v>
                </c:pt>
                <c:pt idx="72">
                  <c:v>55.1</c:v>
                </c:pt>
                <c:pt idx="73">
                  <c:v>56.2</c:v>
                </c:pt>
                <c:pt idx="74">
                  <c:v>57.1</c:v>
                </c:pt>
                <c:pt idx="75">
                  <c:v>57.9</c:v>
                </c:pt>
                <c:pt idx="76">
                  <c:v>58.5</c:v>
                </c:pt>
                <c:pt idx="77">
                  <c:v>59.5</c:v>
                </c:pt>
                <c:pt idx="78">
                  <c:v>60.1</c:v>
                </c:pt>
                <c:pt idx="79">
                  <c:v>61.1</c:v>
                </c:pt>
                <c:pt idx="80">
                  <c:v>61.8</c:v>
                </c:pt>
                <c:pt idx="81">
                  <c:v>63</c:v>
                </c:pt>
                <c:pt idx="82">
                  <c:v>63.7</c:v>
                </c:pt>
                <c:pt idx="83">
                  <c:v>65</c:v>
                </c:pt>
                <c:pt idx="84">
                  <c:v>66</c:v>
                </c:pt>
                <c:pt idx="85">
                  <c:v>67.5</c:v>
                </c:pt>
                <c:pt idx="86">
                  <c:v>68.5</c:v>
                </c:pt>
                <c:pt idx="87">
                  <c:v>70</c:v>
                </c:pt>
                <c:pt idx="88">
                  <c:v>71.3</c:v>
                </c:pt>
                <c:pt idx="89">
                  <c:v>73.3</c:v>
                </c:pt>
                <c:pt idx="90">
                  <c:v>75.400000000000006</c:v>
                </c:pt>
                <c:pt idx="91">
                  <c:v>79.2</c:v>
                </c:pt>
                <c:pt idx="92">
                  <c:v>79.3</c:v>
                </c:pt>
                <c:pt idx="93">
                  <c:v>81.2</c:v>
                </c:pt>
                <c:pt idx="94">
                  <c:v>86</c:v>
                </c:pt>
                <c:pt idx="95">
                  <c:v>87</c:v>
                </c:pt>
                <c:pt idx="96">
                  <c:v>86</c:v>
                </c:pt>
                <c:pt idx="97">
                  <c:v>89.5</c:v>
                </c:pt>
                <c:pt idx="98">
                  <c:v>99.1</c:v>
                </c:pt>
                <c:pt idx="99">
                  <c:v>96.3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'Sensor de Nível (Capacitância)'!$D$5:$D$16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'Sensor de Nível (Capacitância)'!$E$5:$E$16</c:f>
              <c:numCache>
                <c:formatCode>General</c:formatCode>
                <c:ptCount val="12"/>
                <c:pt idx="0">
                  <c:v>3.79</c:v>
                </c:pt>
                <c:pt idx="1">
                  <c:v>6.45</c:v>
                </c:pt>
                <c:pt idx="2">
                  <c:v>11.2</c:v>
                </c:pt>
                <c:pt idx="3">
                  <c:v>16</c:v>
                </c:pt>
                <c:pt idx="4">
                  <c:v>20.7</c:v>
                </c:pt>
                <c:pt idx="5">
                  <c:v>24.7</c:v>
                </c:pt>
                <c:pt idx="6">
                  <c:v>29.1</c:v>
                </c:pt>
                <c:pt idx="7">
                  <c:v>34.1</c:v>
                </c:pt>
                <c:pt idx="8">
                  <c:v>38.4</c:v>
                </c:pt>
                <c:pt idx="9">
                  <c:v>43.9</c:v>
                </c:pt>
                <c:pt idx="10">
                  <c:v>48.4</c:v>
                </c:pt>
                <c:pt idx="11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56760"/>
        <c:axId val="371565384"/>
      </c:scatterChart>
      <c:valAx>
        <c:axId val="3715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65384"/>
        <c:crosses val="autoZero"/>
        <c:crossBetween val="midCat"/>
      </c:valAx>
      <c:valAx>
        <c:axId val="3715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Plan4!$A$2:$A$24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50</c:v>
                </c:pt>
                <c:pt idx="22">
                  <c:v>50.3</c:v>
                </c:pt>
              </c:numCache>
            </c:numRef>
          </c:xVal>
          <c:yVal>
            <c:numRef>
              <c:f>Plan4!$B$2:$B$24</c:f>
              <c:numCache>
                <c:formatCode>0.0</c:formatCode>
                <c:ptCount val="23"/>
                <c:pt idx="0">
                  <c:v>-0.90310559006211177</c:v>
                </c:pt>
                <c:pt idx="1">
                  <c:v>-0.8720496894409937</c:v>
                </c:pt>
                <c:pt idx="2">
                  <c:v>-0.83229813664596275</c:v>
                </c:pt>
                <c:pt idx="3">
                  <c:v>-0.50683229813664599</c:v>
                </c:pt>
                <c:pt idx="4">
                  <c:v>-0.41118012422360251</c:v>
                </c:pt>
                <c:pt idx="5">
                  <c:v>-0.20496894409937891</c:v>
                </c:pt>
                <c:pt idx="6">
                  <c:v>-6.4596273291925452E-2</c:v>
                </c:pt>
                <c:pt idx="7">
                  <c:v>7.3291925465838501E-2</c:v>
                </c:pt>
                <c:pt idx="8">
                  <c:v>0.20124223602484473</c:v>
                </c:pt>
                <c:pt idx="9">
                  <c:v>0.32173913043478264</c:v>
                </c:pt>
                <c:pt idx="10">
                  <c:v>0.41614906832298137</c:v>
                </c:pt>
                <c:pt idx="11">
                  <c:v>0.52422360248447197</c:v>
                </c:pt>
                <c:pt idx="12">
                  <c:v>0.67329192546583849</c:v>
                </c:pt>
                <c:pt idx="13">
                  <c:v>0.78012422360248446</c:v>
                </c:pt>
                <c:pt idx="14">
                  <c:v>0.88074534161490681</c:v>
                </c:pt>
                <c:pt idx="15">
                  <c:v>0.9503105590062112</c:v>
                </c:pt>
                <c:pt idx="16">
                  <c:v>1.1031055900621118</c:v>
                </c:pt>
                <c:pt idx="17">
                  <c:v>1.2149068322981367</c:v>
                </c:pt>
                <c:pt idx="18">
                  <c:v>1.3577639751552795</c:v>
                </c:pt>
                <c:pt idx="19">
                  <c:v>1.493167701863354</c:v>
                </c:pt>
                <c:pt idx="20">
                  <c:v>1.5987577639751551</c:v>
                </c:pt>
                <c:pt idx="21">
                  <c:v>1.7142857142857142</c:v>
                </c:pt>
                <c:pt idx="22">
                  <c:v>1.8708074534161492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86288"/>
        <c:axId val="421890992"/>
      </c:scatterChart>
      <c:valAx>
        <c:axId val="4218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0992"/>
        <c:crosses val="autoZero"/>
        <c:crossBetween val="midCat"/>
      </c:valAx>
      <c:valAx>
        <c:axId val="421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Plan4!$A$2:$A$24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50</c:v>
                </c:pt>
                <c:pt idx="22">
                  <c:v>50.3</c:v>
                </c:pt>
              </c:numCache>
            </c:numRef>
          </c:xVal>
          <c:yVal>
            <c:numRef>
              <c:f>Plan4!$C$2:$C$24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85112"/>
        <c:axId val="421892952"/>
      </c:scatterChart>
      <c:valAx>
        <c:axId val="42188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2952"/>
        <c:crosses val="autoZero"/>
        <c:crossBetween val="midCat"/>
      </c:valAx>
      <c:valAx>
        <c:axId val="4218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812992125984259E-2"/>
                  <c:y val="-0.18055482648002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Plan3!$A$3:$A$20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Plan3!$C$3:$C$20</c:f>
              <c:numCache>
                <c:formatCode>0.000</c:formatCode>
                <c:ptCount val="18"/>
                <c:pt idx="0">
                  <c:v>-0.501</c:v>
                </c:pt>
                <c:pt idx="1">
                  <c:v>-0.372</c:v>
                </c:pt>
                <c:pt idx="2">
                  <c:v>-0.246</c:v>
                </c:pt>
                <c:pt idx="3">
                  <c:v>-8.7999999999999995E-2</c:v>
                </c:pt>
                <c:pt idx="4">
                  <c:v>3.9E-2</c:v>
                </c:pt>
                <c:pt idx="5">
                  <c:v>0.17699999999999999</c:v>
                </c:pt>
                <c:pt idx="6">
                  <c:v>0.29499999999999998</c:v>
                </c:pt>
                <c:pt idx="7">
                  <c:v>0.39700000000000002</c:v>
                </c:pt>
                <c:pt idx="8">
                  <c:v>0.496</c:v>
                </c:pt>
                <c:pt idx="9">
                  <c:v>0.58099999999999996</c:v>
                </c:pt>
                <c:pt idx="10">
                  <c:v>0.71299999999999997</c:v>
                </c:pt>
                <c:pt idx="11">
                  <c:v>0.79400000000000004</c:v>
                </c:pt>
                <c:pt idx="12">
                  <c:v>0.94399999999999995</c:v>
                </c:pt>
                <c:pt idx="13">
                  <c:v>1.054</c:v>
                </c:pt>
                <c:pt idx="14">
                  <c:v>1.1200000000000001</c:v>
                </c:pt>
                <c:pt idx="15">
                  <c:v>1.2170000000000001</c:v>
                </c:pt>
                <c:pt idx="16">
                  <c:v>1.43</c:v>
                </c:pt>
                <c:pt idx="17">
                  <c:v>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3736"/>
        <c:axId val="421894520"/>
      </c:scatterChart>
      <c:valAx>
        <c:axId val="42189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4520"/>
        <c:crosses val="autoZero"/>
        <c:crossBetween val="midCat"/>
      </c:valAx>
      <c:valAx>
        <c:axId val="42189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088363954505681E-2"/>
                  <c:y val="-0.5185097696121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Plan2!$C$2:$C$7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4.5</c:v>
                </c:pt>
                <c:pt idx="2">
                  <c:v>5.7</c:v>
                </c:pt>
                <c:pt idx="3">
                  <c:v>6.9</c:v>
                </c:pt>
                <c:pt idx="4">
                  <c:v>7.3</c:v>
                </c:pt>
                <c:pt idx="5">
                  <c:v>10.1</c:v>
                </c:pt>
              </c:numCache>
            </c:numRef>
          </c:xVal>
          <c:yVal>
            <c:numRef>
              <c:f>Plan2!$D$2:$D$7</c:f>
              <c:numCache>
                <c:formatCode>General</c:formatCode>
                <c:ptCount val="6"/>
                <c:pt idx="0">
                  <c:v>0.72</c:v>
                </c:pt>
                <c:pt idx="1">
                  <c:v>0.59099999999999997</c:v>
                </c:pt>
                <c:pt idx="2">
                  <c:v>0.53500000000000003</c:v>
                </c:pt>
                <c:pt idx="3">
                  <c:v>0.47599999999999998</c:v>
                </c:pt>
                <c:pt idx="4">
                  <c:v>0.41199999999999998</c:v>
                </c:pt>
                <c:pt idx="5" formatCode="0.000">
                  <c:v>0.32700000000000001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86680"/>
        <c:axId val="421888248"/>
      </c:scatterChart>
      <c:valAx>
        <c:axId val="42188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8248"/>
        <c:crosses val="autoZero"/>
        <c:crossBetween val="midCat"/>
      </c:valAx>
      <c:valAx>
        <c:axId val="4218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(Resistência)'!$A$2:$A$27</c:f>
              <c:numCache>
                <c:formatCode>General</c:formatCode>
                <c:ptCount val="26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'Pt100 (Resistência)'!$B$2:$B$27</c:f>
              <c:numCache>
                <c:formatCode>0.0</c:formatCode>
                <c:ptCount val="26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57152"/>
        <c:axId val="371559504"/>
      </c:scatterChart>
      <c:valAx>
        <c:axId val="3715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59504"/>
        <c:crosses val="autoZero"/>
        <c:crossBetween val="midCat"/>
      </c:valAx>
      <c:valAx>
        <c:axId val="371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5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74365704286999E-2"/>
                  <c:y val="-0.21638670166229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'Pt100 (Condicionado")'!$A$2:$A$22</c:f>
              <c:numCache>
                <c:formatCode>General</c:formatCode>
                <c:ptCount val="2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</c:numCache>
            </c:numRef>
          </c:xVal>
          <c:yVal>
            <c:numRef>
              <c:f>'Pt100 (Condicionado")'!$B$2:$B$22</c:f>
              <c:numCache>
                <c:formatCode>General</c:formatCode>
                <c:ptCount val="21"/>
                <c:pt idx="0">
                  <c:v>0.41699999999999998</c:v>
                </c:pt>
                <c:pt idx="1">
                  <c:v>0.499</c:v>
                </c:pt>
                <c:pt idx="2">
                  <c:v>0.58099999999999996</c:v>
                </c:pt>
                <c:pt idx="3">
                  <c:v>0.66300000000000003</c:v>
                </c:pt>
                <c:pt idx="4">
                  <c:v>0.74099999999999999</c:v>
                </c:pt>
                <c:pt idx="5">
                  <c:v>0.82</c:v>
                </c:pt>
                <c:pt idx="6">
                  <c:v>0.9</c:v>
                </c:pt>
                <c:pt idx="7">
                  <c:v>0.98099999999999998</c:v>
                </c:pt>
                <c:pt idx="8">
                  <c:v>1.0589999999999999</c:v>
                </c:pt>
                <c:pt idx="9">
                  <c:v>1.141</c:v>
                </c:pt>
                <c:pt idx="10">
                  <c:v>1.2030000000000001</c:v>
                </c:pt>
                <c:pt idx="11">
                  <c:v>1.288</c:v>
                </c:pt>
                <c:pt idx="12">
                  <c:v>1.373</c:v>
                </c:pt>
                <c:pt idx="13">
                  <c:v>1.456</c:v>
                </c:pt>
                <c:pt idx="14">
                  <c:v>1.5389999999999999</c:v>
                </c:pt>
                <c:pt idx="15">
                  <c:v>1.619</c:v>
                </c:pt>
                <c:pt idx="16">
                  <c:v>1.7010000000000001</c:v>
                </c:pt>
                <c:pt idx="17">
                  <c:v>1.7849999999999999</c:v>
                </c:pt>
                <c:pt idx="18">
                  <c:v>1.8680000000000001</c:v>
                </c:pt>
                <c:pt idx="19">
                  <c:v>1.964</c:v>
                </c:pt>
                <c:pt idx="20">
                  <c:v>2.0499999999999998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60680"/>
        <c:axId val="371566560"/>
      </c:scatterChart>
      <c:valAx>
        <c:axId val="37156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66560"/>
        <c:crosses val="autoZero"/>
        <c:crossBetween val="midCat"/>
      </c:valAx>
      <c:valAx>
        <c:axId val="3715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6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10916447944007"/>
                  <c:y val="-9.8306357538641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9805336832896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'Circuito Simulado'!$A$2:$A$14</c:f>
              <c:numCache>
                <c:formatCode>General</c:formatCode>
                <c:ptCount val="13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</c:numCache>
            </c:numRef>
          </c:xVal>
          <c:yVal>
            <c:numRef>
              <c:f>'Circuito Simulado'!$C$2:$C$14</c:f>
              <c:numCache>
                <c:formatCode>0.000</c:formatCode>
                <c:ptCount val="13"/>
                <c:pt idx="0">
                  <c:v>-1.8149999999999999</c:v>
                </c:pt>
                <c:pt idx="1">
                  <c:v>-1.498</c:v>
                </c:pt>
                <c:pt idx="2">
                  <c:v>-1.1930000000000001</c:v>
                </c:pt>
                <c:pt idx="3">
                  <c:v>-0.89300000000000002</c:v>
                </c:pt>
                <c:pt idx="4">
                  <c:v>-0.60399999999999998</c:v>
                </c:pt>
                <c:pt idx="5">
                  <c:v>-0.32069999999999999</c:v>
                </c:pt>
                <c:pt idx="6">
                  <c:v>-4.6280000000000002E-2</c:v>
                </c:pt>
                <c:pt idx="7">
                  <c:v>0.2225</c:v>
                </c:pt>
                <c:pt idx="8">
                  <c:v>0.48299999999999998</c:v>
                </c:pt>
                <c:pt idx="9">
                  <c:v>0.73829999999999996</c:v>
                </c:pt>
                <c:pt idx="10">
                  <c:v>0.98599999999999999</c:v>
                </c:pt>
                <c:pt idx="11">
                  <c:v>1.2290000000000001</c:v>
                </c:pt>
                <c:pt idx="12">
                  <c:v>1.4650000000000001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66952"/>
        <c:axId val="371559896"/>
      </c:scatterChart>
      <c:valAx>
        <c:axId val="371566952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59896"/>
        <c:crosses val="autoZero"/>
        <c:crossBetween val="midCat"/>
      </c:valAx>
      <c:valAx>
        <c:axId val="3715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66952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04709561877984"/>
                  <c:y val="-8.5339384660250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Plan1!$D$3:$D$20</c:f>
              <c:numCache>
                <c:formatCode>General</c:formatCode>
                <c:ptCount val="18"/>
                <c:pt idx="0">
                  <c:v>-0.501</c:v>
                </c:pt>
                <c:pt idx="1">
                  <c:v>-0.372</c:v>
                </c:pt>
                <c:pt idx="2">
                  <c:v>-0.246</c:v>
                </c:pt>
                <c:pt idx="3">
                  <c:v>-8.7999999999999995E-2</c:v>
                </c:pt>
                <c:pt idx="4">
                  <c:v>3.9E-2</c:v>
                </c:pt>
                <c:pt idx="5">
                  <c:v>0.17699999999999999</c:v>
                </c:pt>
                <c:pt idx="6">
                  <c:v>0.29499999999999998</c:v>
                </c:pt>
                <c:pt idx="7">
                  <c:v>0.39700000000000002</c:v>
                </c:pt>
                <c:pt idx="8">
                  <c:v>0.496</c:v>
                </c:pt>
                <c:pt idx="9">
                  <c:v>0.58099999999999996</c:v>
                </c:pt>
                <c:pt idx="10">
                  <c:v>0.71299999999999997</c:v>
                </c:pt>
                <c:pt idx="11">
                  <c:v>0.79400000000000004</c:v>
                </c:pt>
                <c:pt idx="12">
                  <c:v>0.94399999999999995</c:v>
                </c:pt>
                <c:pt idx="13">
                  <c:v>1.054</c:v>
                </c:pt>
                <c:pt idx="14">
                  <c:v>1.1200000000000001</c:v>
                </c:pt>
                <c:pt idx="15">
                  <c:v>1.2170000000000001</c:v>
                </c:pt>
                <c:pt idx="16">
                  <c:v>1.43</c:v>
                </c:pt>
                <c:pt idx="17">
                  <c:v>1.49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61464"/>
        <c:axId val="371567736"/>
      </c:scatterChart>
      <c:valAx>
        <c:axId val="37156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67736"/>
        <c:crosses val="autoZero"/>
        <c:crossBetween val="midCat"/>
      </c:valAx>
      <c:valAx>
        <c:axId val="3715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56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96031887948092"/>
                  <c:y val="0.11574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Plan1!$K$3:$K$25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89424"/>
        <c:axId val="421889816"/>
      </c:scatterChart>
      <c:valAx>
        <c:axId val="42188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9816"/>
        <c:crosses val="autoZero"/>
        <c:crossBetween val="midCat"/>
      </c:valAx>
      <c:valAx>
        <c:axId val="42188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R_med(Ohms)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619860017497812E-2"/>
                  <c:y val="-0.1409189997083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Plan1!$A$3:$A$20</c:f>
              <c:numCache>
                <c:formatCode>General</c:formatCode>
                <c:ptCount val="18"/>
                <c:pt idx="0">
                  <c:v>11.3</c:v>
                </c:pt>
                <c:pt idx="1">
                  <c:v>13.3</c:v>
                </c:pt>
                <c:pt idx="2">
                  <c:v>15.8</c:v>
                </c:pt>
                <c:pt idx="3">
                  <c:v>18.5</c:v>
                </c:pt>
                <c:pt idx="4">
                  <c:v>20.9</c:v>
                </c:pt>
                <c:pt idx="5">
                  <c:v>23.4</c:v>
                </c:pt>
                <c:pt idx="6">
                  <c:v>25.9</c:v>
                </c:pt>
                <c:pt idx="7">
                  <c:v>27.7</c:v>
                </c:pt>
                <c:pt idx="8">
                  <c:v>29.7</c:v>
                </c:pt>
                <c:pt idx="9">
                  <c:v>31.6</c:v>
                </c:pt>
                <c:pt idx="10">
                  <c:v>33.799999999999997</c:v>
                </c:pt>
                <c:pt idx="11">
                  <c:v>35.6</c:v>
                </c:pt>
                <c:pt idx="12">
                  <c:v>38.700000000000003</c:v>
                </c:pt>
                <c:pt idx="13">
                  <c:v>41.1</c:v>
                </c:pt>
                <c:pt idx="14">
                  <c:v>42.7</c:v>
                </c:pt>
                <c:pt idx="15">
                  <c:v>45.2</c:v>
                </c:pt>
                <c:pt idx="16">
                  <c:v>49.3</c:v>
                </c:pt>
                <c:pt idx="17">
                  <c:v>50.3</c:v>
                </c:pt>
              </c:numCache>
            </c:numRef>
          </c:xVal>
          <c:yVal>
            <c:numRef>
              <c:f>Plan1!$B$3:$B$20</c:f>
              <c:numCache>
                <c:formatCode>0.0</c:formatCode>
                <c:ptCount val="18"/>
                <c:pt idx="0">
                  <c:v>104.4</c:v>
                </c:pt>
                <c:pt idx="1">
                  <c:v>105.3</c:v>
                </c:pt>
                <c:pt idx="2">
                  <c:v>106.2</c:v>
                </c:pt>
                <c:pt idx="3">
                  <c:v>107.3</c:v>
                </c:pt>
                <c:pt idx="4">
                  <c:v>108.2</c:v>
                </c:pt>
                <c:pt idx="5">
                  <c:v>109.2</c:v>
                </c:pt>
                <c:pt idx="6">
                  <c:v>110.1</c:v>
                </c:pt>
                <c:pt idx="7">
                  <c:v>110.8</c:v>
                </c:pt>
                <c:pt idx="8">
                  <c:v>111.5</c:v>
                </c:pt>
                <c:pt idx="9">
                  <c:v>112.2</c:v>
                </c:pt>
                <c:pt idx="10">
                  <c:v>113.2</c:v>
                </c:pt>
                <c:pt idx="11">
                  <c:v>113.8</c:v>
                </c:pt>
                <c:pt idx="12">
                  <c:v>115</c:v>
                </c:pt>
                <c:pt idx="13">
                  <c:v>115.8</c:v>
                </c:pt>
                <c:pt idx="14">
                  <c:v>116.4</c:v>
                </c:pt>
                <c:pt idx="15">
                  <c:v>117.2</c:v>
                </c:pt>
                <c:pt idx="16">
                  <c:v>118.9</c:v>
                </c:pt>
                <c:pt idx="17">
                  <c:v>119.4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0600"/>
        <c:axId val="421892168"/>
      </c:scatterChart>
      <c:valAx>
        <c:axId val="42189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2168"/>
        <c:crosses val="autoZero"/>
        <c:crossBetween val="midCat"/>
      </c:valAx>
      <c:valAx>
        <c:axId val="4218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3229002624671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464129483814528E-2"/>
                  <c:y val="-0.20840441819772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Plan1!$K$3:$K$25</c:f>
              <c:numCache>
                <c:formatCode>General</c:formatCode>
                <c:ptCount val="23"/>
                <c:pt idx="0">
                  <c:v>-0.72699999999999998</c:v>
                </c:pt>
                <c:pt idx="1">
                  <c:v>-0.70199999999999996</c:v>
                </c:pt>
                <c:pt idx="2">
                  <c:v>-0.67</c:v>
                </c:pt>
                <c:pt idx="3">
                  <c:v>-0.40799999999999997</c:v>
                </c:pt>
                <c:pt idx="4">
                  <c:v>-0.33100000000000002</c:v>
                </c:pt>
                <c:pt idx="5">
                  <c:v>-0.16500000000000001</c:v>
                </c:pt>
                <c:pt idx="6">
                  <c:v>-5.1999999999999998E-2</c:v>
                </c:pt>
                <c:pt idx="7">
                  <c:v>5.8999999999999997E-2</c:v>
                </c:pt>
                <c:pt idx="8">
                  <c:v>0.16200000000000001</c:v>
                </c:pt>
                <c:pt idx="9">
                  <c:v>0.25900000000000001</c:v>
                </c:pt>
                <c:pt idx="10">
                  <c:v>0.33500000000000002</c:v>
                </c:pt>
                <c:pt idx="11">
                  <c:v>0.42199999999999999</c:v>
                </c:pt>
                <c:pt idx="12">
                  <c:v>0.54200000000000004</c:v>
                </c:pt>
                <c:pt idx="13">
                  <c:v>0.628</c:v>
                </c:pt>
                <c:pt idx="14">
                  <c:v>0.70899999999999996</c:v>
                </c:pt>
                <c:pt idx="15">
                  <c:v>0.76500000000000001</c:v>
                </c:pt>
                <c:pt idx="16">
                  <c:v>0.88800000000000001</c:v>
                </c:pt>
                <c:pt idx="17">
                  <c:v>0.97799999999999998</c:v>
                </c:pt>
                <c:pt idx="18">
                  <c:v>1.093</c:v>
                </c:pt>
                <c:pt idx="19">
                  <c:v>1.202</c:v>
                </c:pt>
                <c:pt idx="20">
                  <c:v>1.2869999999999999</c:v>
                </c:pt>
                <c:pt idx="21">
                  <c:v>1.38</c:v>
                </c:pt>
                <c:pt idx="22">
                  <c:v>1.506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4128"/>
        <c:axId val="421894912"/>
      </c:scatterChart>
      <c:valAx>
        <c:axId val="42189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4912"/>
        <c:crosses val="autoZero"/>
        <c:crossBetween val="midCat"/>
      </c:valAx>
      <c:valAx>
        <c:axId val="4218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Plan1!$I$3:$I$25</c:f>
              <c:numCache>
                <c:formatCode>General</c:formatCode>
                <c:ptCount val="23"/>
                <c:pt idx="0">
                  <c:v>5.6</c:v>
                </c:pt>
                <c:pt idx="1">
                  <c:v>5.8</c:v>
                </c:pt>
                <c:pt idx="2">
                  <c:v>6.9</c:v>
                </c:pt>
                <c:pt idx="3">
                  <c:v>12.5</c:v>
                </c:pt>
                <c:pt idx="4">
                  <c:v>14</c:v>
                </c:pt>
                <c:pt idx="5">
                  <c:v>17.2</c:v>
                </c:pt>
                <c:pt idx="6">
                  <c:v>19.3</c:v>
                </c:pt>
                <c:pt idx="7">
                  <c:v>21.5</c:v>
                </c:pt>
                <c:pt idx="8">
                  <c:v>23.5</c:v>
                </c:pt>
                <c:pt idx="9">
                  <c:v>25.2</c:v>
                </c:pt>
                <c:pt idx="10">
                  <c:v>26.7</c:v>
                </c:pt>
                <c:pt idx="11">
                  <c:v>28.3</c:v>
                </c:pt>
                <c:pt idx="12">
                  <c:v>30.8</c:v>
                </c:pt>
                <c:pt idx="13">
                  <c:v>32.6</c:v>
                </c:pt>
                <c:pt idx="14">
                  <c:v>34.200000000000003</c:v>
                </c:pt>
                <c:pt idx="15">
                  <c:v>35.4</c:v>
                </c:pt>
                <c:pt idx="16">
                  <c:v>38</c:v>
                </c:pt>
                <c:pt idx="17">
                  <c:v>39.799999999999997</c:v>
                </c:pt>
                <c:pt idx="18">
                  <c:v>42.1</c:v>
                </c:pt>
                <c:pt idx="19">
                  <c:v>44.2</c:v>
                </c:pt>
                <c:pt idx="20">
                  <c:v>47.1</c:v>
                </c:pt>
                <c:pt idx="21">
                  <c:v>48.9</c:v>
                </c:pt>
                <c:pt idx="22">
                  <c:v>50.3</c:v>
                </c:pt>
              </c:numCache>
            </c:numRef>
          </c:xVal>
          <c:yVal>
            <c:numRef>
              <c:f>Plan1!$Q$3:$Q$25</c:f>
              <c:numCache>
                <c:formatCode>0.0</c:formatCode>
                <c:ptCount val="23"/>
                <c:pt idx="0">
                  <c:v>-0.90310559006211177</c:v>
                </c:pt>
                <c:pt idx="1">
                  <c:v>-0.8720496894409937</c:v>
                </c:pt>
                <c:pt idx="2">
                  <c:v>-0.83229813664596275</c:v>
                </c:pt>
                <c:pt idx="3">
                  <c:v>-0.50683229813664599</c:v>
                </c:pt>
                <c:pt idx="4">
                  <c:v>-0.41118012422360251</c:v>
                </c:pt>
                <c:pt idx="5">
                  <c:v>-0.20496894409937891</c:v>
                </c:pt>
                <c:pt idx="6">
                  <c:v>-6.4596273291925452E-2</c:v>
                </c:pt>
                <c:pt idx="7">
                  <c:v>7.3291925465838501E-2</c:v>
                </c:pt>
                <c:pt idx="8">
                  <c:v>0.20124223602484473</c:v>
                </c:pt>
                <c:pt idx="9">
                  <c:v>0.32173913043478264</c:v>
                </c:pt>
                <c:pt idx="10">
                  <c:v>0.41614906832298137</c:v>
                </c:pt>
                <c:pt idx="11">
                  <c:v>0.52422360248447197</c:v>
                </c:pt>
                <c:pt idx="12">
                  <c:v>0.67329192546583849</c:v>
                </c:pt>
                <c:pt idx="13">
                  <c:v>0.78012422360248446</c:v>
                </c:pt>
                <c:pt idx="14">
                  <c:v>0.88074534161490681</c:v>
                </c:pt>
                <c:pt idx="15">
                  <c:v>0.9503105590062112</c:v>
                </c:pt>
                <c:pt idx="16">
                  <c:v>1.1031055900621118</c:v>
                </c:pt>
                <c:pt idx="17">
                  <c:v>1.2149068322981367</c:v>
                </c:pt>
                <c:pt idx="18">
                  <c:v>1.3577639751552795</c:v>
                </c:pt>
                <c:pt idx="19">
                  <c:v>1.493167701863354</c:v>
                </c:pt>
                <c:pt idx="20">
                  <c:v>1.5987577639751551</c:v>
                </c:pt>
                <c:pt idx="21">
                  <c:v>1.7142857142857142</c:v>
                </c:pt>
                <c:pt idx="22">
                  <c:v>1.8708074534161492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88640"/>
        <c:axId val="421885896"/>
      </c:scatterChart>
      <c:valAx>
        <c:axId val="4218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5896"/>
        <c:crosses val="autoZero"/>
        <c:crossBetween val="midCat"/>
      </c:valAx>
      <c:valAx>
        <c:axId val="42188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88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644621</xdr:colOff>
      <xdr:row>5</xdr:row>
      <xdr:rowOff>81204</xdr:rowOff>
    </xdr:from>
    <xdr:to>
      <xdr:col>19</xdr:col>
      <xdr:colOff>149525</xdr:colOff>
      <xdr:row>30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3</xdr:row>
      <xdr:rowOff>104775</xdr:rowOff>
    </xdr:from>
    <xdr:to>
      <xdr:col>15</xdr:col>
      <xdr:colOff>777875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136525</xdr:rowOff>
    </xdr:from>
    <xdr:to>
      <xdr:col>12</xdr:col>
      <xdr:colOff>190500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4</xdr:row>
      <xdr:rowOff>33337</xdr:rowOff>
    </xdr:from>
    <xdr:to>
      <xdr:col>12</xdr:col>
      <xdr:colOff>428625</xdr:colOff>
      <xdr:row>17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13</xdr:row>
      <xdr:rowOff>171450</xdr:rowOff>
    </xdr:from>
    <xdr:to>
      <xdr:col>32</xdr:col>
      <xdr:colOff>171450</xdr:colOff>
      <xdr:row>32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8</xdr:row>
      <xdr:rowOff>61912</xdr:rowOff>
    </xdr:from>
    <xdr:to>
      <xdr:col>24</xdr:col>
      <xdr:colOff>47624</xdr:colOff>
      <xdr:row>22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561975</xdr:colOff>
      <xdr:row>1</xdr:row>
      <xdr:rowOff>138112</xdr:rowOff>
    </xdr:from>
    <xdr:to>
      <xdr:col>24</xdr:col>
      <xdr:colOff>333375</xdr:colOff>
      <xdr:row>15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4</xdr:row>
      <xdr:rowOff>157162</xdr:rowOff>
    </xdr:from>
    <xdr:to>
      <xdr:col>25</xdr:col>
      <xdr:colOff>28575</xdr:colOff>
      <xdr:row>18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</xdr:colOff>
      <xdr:row>2</xdr:row>
      <xdr:rowOff>109537</xdr:rowOff>
    </xdr:from>
    <xdr:to>
      <xdr:col>25</xdr:col>
      <xdr:colOff>476250</xdr:colOff>
      <xdr:row>16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7</xdr:row>
      <xdr:rowOff>80962</xdr:rowOff>
    </xdr:from>
    <xdr:to>
      <xdr:col>14</xdr:col>
      <xdr:colOff>414337</xdr:colOff>
      <xdr:row>21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</xdr:row>
      <xdr:rowOff>14287</xdr:rowOff>
    </xdr:from>
    <xdr:to>
      <xdr:col>14</xdr:col>
      <xdr:colOff>471487</xdr:colOff>
      <xdr:row>14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90487</xdr:rowOff>
    </xdr:from>
    <xdr:to>
      <xdr:col>15</xdr:col>
      <xdr:colOff>47625</xdr:colOff>
      <xdr:row>18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119062</xdr:rowOff>
    </xdr:from>
    <xdr:to>
      <xdr:col>6</xdr:col>
      <xdr:colOff>533400</xdr:colOff>
      <xdr:row>22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zoomScale="99" workbookViewId="0">
      <selection activeCell="D5" sqref="D5:E16"/>
    </sheetView>
  </sheetViews>
  <sheetFormatPr defaultColWidth="11" defaultRowHeight="15.75" x14ac:dyDescent="0.25"/>
  <sheetData>
    <row r="1" spans="1:5" x14ac:dyDescent="0.25">
      <c r="A1">
        <v>2</v>
      </c>
      <c r="B1">
        <v>0.92</v>
      </c>
      <c r="D1" t="s">
        <v>1</v>
      </c>
      <c r="E1" t="s">
        <v>16</v>
      </c>
    </row>
    <row r="2" spans="1:5" x14ac:dyDescent="0.25">
      <c r="A2">
        <v>4</v>
      </c>
      <c r="B2">
        <v>1.95</v>
      </c>
    </row>
    <row r="3" spans="1:5" x14ac:dyDescent="0.25">
      <c r="A3">
        <v>6</v>
      </c>
      <c r="B3">
        <v>2.9</v>
      </c>
    </row>
    <row r="4" spans="1:5" x14ac:dyDescent="0.25">
      <c r="A4">
        <v>8</v>
      </c>
      <c r="B4">
        <v>3.5</v>
      </c>
    </row>
    <row r="5" spans="1:5" x14ac:dyDescent="0.25">
      <c r="A5">
        <v>10</v>
      </c>
      <c r="B5">
        <v>4.0199999999999996</v>
      </c>
      <c r="D5">
        <v>10</v>
      </c>
      <c r="E5">
        <v>3.79</v>
      </c>
    </row>
    <row r="6" spans="1:5" x14ac:dyDescent="0.25">
      <c r="A6">
        <v>12</v>
      </c>
      <c r="B6">
        <v>4.8</v>
      </c>
      <c r="D6">
        <v>20</v>
      </c>
      <c r="E6">
        <v>6.45</v>
      </c>
    </row>
    <row r="7" spans="1:5" x14ac:dyDescent="0.25">
      <c r="A7">
        <v>14</v>
      </c>
      <c r="B7">
        <v>5.5</v>
      </c>
      <c r="D7">
        <v>30</v>
      </c>
      <c r="E7">
        <v>11.2</v>
      </c>
    </row>
    <row r="8" spans="1:5" x14ac:dyDescent="0.25">
      <c r="A8">
        <v>16</v>
      </c>
      <c r="B8">
        <v>6.16</v>
      </c>
      <c r="D8">
        <v>40</v>
      </c>
      <c r="E8">
        <v>16</v>
      </c>
    </row>
    <row r="9" spans="1:5" x14ac:dyDescent="0.25">
      <c r="A9">
        <v>18</v>
      </c>
      <c r="B9">
        <v>6.84</v>
      </c>
      <c r="D9">
        <v>50</v>
      </c>
      <c r="E9">
        <v>20.7</v>
      </c>
    </row>
    <row r="10" spans="1:5" x14ac:dyDescent="0.25">
      <c r="A10">
        <v>20</v>
      </c>
      <c r="B10">
        <v>7.41</v>
      </c>
      <c r="D10">
        <v>60</v>
      </c>
      <c r="E10">
        <v>24.7</v>
      </c>
    </row>
    <row r="11" spans="1:5" x14ac:dyDescent="0.25">
      <c r="A11">
        <v>22</v>
      </c>
      <c r="B11">
        <v>8.01</v>
      </c>
      <c r="D11">
        <v>70</v>
      </c>
      <c r="E11">
        <v>29.1</v>
      </c>
    </row>
    <row r="12" spans="1:5" x14ac:dyDescent="0.25">
      <c r="A12">
        <v>24</v>
      </c>
      <c r="B12">
        <v>8.82</v>
      </c>
      <c r="D12">
        <v>80</v>
      </c>
      <c r="E12">
        <v>34.1</v>
      </c>
    </row>
    <row r="13" spans="1:5" x14ac:dyDescent="0.25">
      <c r="A13">
        <v>26</v>
      </c>
      <c r="B13">
        <v>9.4</v>
      </c>
      <c r="D13">
        <v>90</v>
      </c>
      <c r="E13">
        <v>38.4</v>
      </c>
    </row>
    <row r="14" spans="1:5" x14ac:dyDescent="0.25">
      <c r="A14">
        <v>28</v>
      </c>
      <c r="B14">
        <v>10.18</v>
      </c>
      <c r="D14">
        <v>100</v>
      </c>
      <c r="E14">
        <v>43.9</v>
      </c>
    </row>
    <row r="15" spans="1:5" x14ac:dyDescent="0.25">
      <c r="A15">
        <v>30</v>
      </c>
      <c r="B15">
        <v>10.9</v>
      </c>
      <c r="D15">
        <v>110</v>
      </c>
      <c r="E15">
        <v>48.4</v>
      </c>
    </row>
    <row r="16" spans="1:5" x14ac:dyDescent="0.25">
      <c r="A16">
        <v>32</v>
      </c>
      <c r="B16">
        <v>11.4</v>
      </c>
      <c r="D16">
        <v>120</v>
      </c>
      <c r="E16">
        <v>55</v>
      </c>
    </row>
    <row r="17" spans="1:4" x14ac:dyDescent="0.25">
      <c r="A17">
        <v>34</v>
      </c>
      <c r="B17">
        <v>13.71</v>
      </c>
    </row>
    <row r="18" spans="1:4" x14ac:dyDescent="0.25">
      <c r="A18">
        <v>36</v>
      </c>
      <c r="B18">
        <v>14.39</v>
      </c>
    </row>
    <row r="19" spans="1:4" x14ac:dyDescent="0.25">
      <c r="A19">
        <v>38</v>
      </c>
      <c r="B19">
        <v>15.02</v>
      </c>
    </row>
    <row r="20" spans="1:4" x14ac:dyDescent="0.25">
      <c r="A20">
        <v>40</v>
      </c>
      <c r="B20">
        <v>15.84</v>
      </c>
    </row>
    <row r="21" spans="1:4" x14ac:dyDescent="0.25">
      <c r="A21">
        <v>42</v>
      </c>
      <c r="B21">
        <v>16.420000000000002</v>
      </c>
    </row>
    <row r="22" spans="1:4" x14ac:dyDescent="0.25">
      <c r="A22">
        <v>44</v>
      </c>
      <c r="B22">
        <v>17.28</v>
      </c>
    </row>
    <row r="23" spans="1:4" x14ac:dyDescent="0.25">
      <c r="A23">
        <v>46</v>
      </c>
      <c r="B23">
        <v>17.79</v>
      </c>
    </row>
    <row r="24" spans="1:4" x14ac:dyDescent="0.25">
      <c r="A24">
        <v>48</v>
      </c>
      <c r="B24">
        <v>18.61</v>
      </c>
    </row>
    <row r="25" spans="1:4" x14ac:dyDescent="0.25">
      <c r="A25">
        <v>50</v>
      </c>
      <c r="B25">
        <v>19.28</v>
      </c>
    </row>
    <row r="26" spans="1:4" x14ac:dyDescent="0.25">
      <c r="A26">
        <v>52</v>
      </c>
      <c r="B26">
        <v>20.100000000000001</v>
      </c>
      <c r="D26" t="s">
        <v>0</v>
      </c>
    </row>
    <row r="27" spans="1:4" x14ac:dyDescent="0.25">
      <c r="A27">
        <v>54</v>
      </c>
      <c r="B27">
        <v>20.8</v>
      </c>
    </row>
    <row r="28" spans="1:4" x14ac:dyDescent="0.25">
      <c r="A28">
        <v>56</v>
      </c>
      <c r="B28">
        <v>21.3</v>
      </c>
    </row>
    <row r="29" spans="1:4" x14ac:dyDescent="0.25">
      <c r="A29">
        <v>58</v>
      </c>
      <c r="B29">
        <v>22.1</v>
      </c>
    </row>
    <row r="30" spans="1:4" x14ac:dyDescent="0.25">
      <c r="A30">
        <v>60</v>
      </c>
      <c r="B30">
        <v>22.9</v>
      </c>
    </row>
    <row r="31" spans="1:4" x14ac:dyDescent="0.25">
      <c r="A31">
        <v>62</v>
      </c>
      <c r="B31">
        <v>23.7</v>
      </c>
    </row>
    <row r="32" spans="1:4" x14ac:dyDescent="0.25">
      <c r="A32">
        <v>64</v>
      </c>
      <c r="B32">
        <v>24.6</v>
      </c>
    </row>
    <row r="33" spans="1:2" x14ac:dyDescent="0.25">
      <c r="A33">
        <v>66</v>
      </c>
      <c r="B33">
        <v>25.4</v>
      </c>
    </row>
    <row r="34" spans="1:2" x14ac:dyDescent="0.25">
      <c r="A34">
        <v>68</v>
      </c>
      <c r="B34">
        <v>26.6</v>
      </c>
    </row>
    <row r="35" spans="1:2" x14ac:dyDescent="0.25">
      <c r="A35">
        <v>70</v>
      </c>
      <c r="B35">
        <v>27.5</v>
      </c>
    </row>
    <row r="36" spans="1:2" x14ac:dyDescent="0.25">
      <c r="A36">
        <v>72</v>
      </c>
      <c r="B36">
        <v>28.4</v>
      </c>
    </row>
    <row r="37" spans="1:2" x14ac:dyDescent="0.25">
      <c r="A37">
        <v>74</v>
      </c>
      <c r="B37">
        <v>29.1</v>
      </c>
    </row>
    <row r="38" spans="1:2" x14ac:dyDescent="0.25">
      <c r="A38">
        <v>76</v>
      </c>
      <c r="B38">
        <v>30.4</v>
      </c>
    </row>
    <row r="39" spans="1:2" x14ac:dyDescent="0.25">
      <c r="A39">
        <v>78</v>
      </c>
      <c r="B39">
        <v>31.3</v>
      </c>
    </row>
    <row r="40" spans="1:2" x14ac:dyDescent="0.25">
      <c r="A40">
        <v>80</v>
      </c>
      <c r="B40">
        <v>32.4</v>
      </c>
    </row>
    <row r="41" spans="1:2" x14ac:dyDescent="0.25">
      <c r="A41">
        <v>82</v>
      </c>
      <c r="B41">
        <v>33.299999999999997</v>
      </c>
    </row>
    <row r="42" spans="1:2" x14ac:dyDescent="0.25">
      <c r="A42">
        <v>84</v>
      </c>
      <c r="B42">
        <v>33.799999999999997</v>
      </c>
    </row>
    <row r="43" spans="1:2" x14ac:dyDescent="0.25">
      <c r="A43">
        <v>86</v>
      </c>
      <c r="B43">
        <v>33.5</v>
      </c>
    </row>
    <row r="44" spans="1:2" x14ac:dyDescent="0.25">
      <c r="A44">
        <v>88</v>
      </c>
      <c r="B44">
        <v>35.299999999999997</v>
      </c>
    </row>
    <row r="45" spans="1:2" x14ac:dyDescent="0.25">
      <c r="A45">
        <v>90</v>
      </c>
      <c r="B45">
        <v>36</v>
      </c>
    </row>
    <row r="46" spans="1:2" x14ac:dyDescent="0.25">
      <c r="A46">
        <v>92</v>
      </c>
      <c r="B46">
        <v>36.9</v>
      </c>
    </row>
    <row r="47" spans="1:2" x14ac:dyDescent="0.25">
      <c r="A47">
        <v>94</v>
      </c>
      <c r="B47">
        <v>37.799999999999997</v>
      </c>
    </row>
    <row r="48" spans="1:2" x14ac:dyDescent="0.25">
      <c r="A48">
        <v>96</v>
      </c>
      <c r="B48">
        <v>38.4</v>
      </c>
    </row>
    <row r="49" spans="1:2" x14ac:dyDescent="0.25">
      <c r="A49">
        <v>98</v>
      </c>
      <c r="B49">
        <v>39.1</v>
      </c>
    </row>
    <row r="50" spans="1:2" x14ac:dyDescent="0.25">
      <c r="A50">
        <v>100</v>
      </c>
      <c r="B50">
        <v>39.799999999999997</v>
      </c>
    </row>
    <row r="51" spans="1:2" x14ac:dyDescent="0.25">
      <c r="A51">
        <v>102</v>
      </c>
      <c r="B51">
        <v>40.299999999999997</v>
      </c>
    </row>
    <row r="52" spans="1:2" x14ac:dyDescent="0.25">
      <c r="A52">
        <v>104</v>
      </c>
      <c r="B52">
        <v>40.799999999999997</v>
      </c>
    </row>
    <row r="53" spans="1:2" x14ac:dyDescent="0.25">
      <c r="A53">
        <v>106</v>
      </c>
      <c r="B53">
        <v>41.6</v>
      </c>
    </row>
    <row r="54" spans="1:2" x14ac:dyDescent="0.25">
      <c r="A54">
        <v>108</v>
      </c>
      <c r="B54">
        <v>42.1</v>
      </c>
    </row>
    <row r="55" spans="1:2" x14ac:dyDescent="0.25">
      <c r="A55">
        <v>110</v>
      </c>
      <c r="B55">
        <v>42.6</v>
      </c>
    </row>
    <row r="56" spans="1:2" x14ac:dyDescent="0.25">
      <c r="A56">
        <v>112</v>
      </c>
      <c r="B56">
        <v>43.2</v>
      </c>
    </row>
    <row r="57" spans="1:2" x14ac:dyDescent="0.25">
      <c r="A57">
        <v>114</v>
      </c>
      <c r="B57">
        <v>43.7</v>
      </c>
    </row>
    <row r="58" spans="1:2" x14ac:dyDescent="0.25">
      <c r="A58">
        <v>116</v>
      </c>
      <c r="B58">
        <v>44.4</v>
      </c>
    </row>
    <row r="59" spans="1:2" x14ac:dyDescent="0.25">
      <c r="A59">
        <v>118</v>
      </c>
      <c r="B59">
        <v>44.9</v>
      </c>
    </row>
    <row r="60" spans="1:2" x14ac:dyDescent="0.25">
      <c r="A60">
        <v>120</v>
      </c>
      <c r="B60">
        <v>45.7</v>
      </c>
    </row>
    <row r="61" spans="1:2" x14ac:dyDescent="0.25">
      <c r="A61">
        <v>122</v>
      </c>
      <c r="B61">
        <v>46.1</v>
      </c>
    </row>
    <row r="62" spans="1:2" x14ac:dyDescent="0.25">
      <c r="A62">
        <v>124</v>
      </c>
      <c r="B62">
        <v>47</v>
      </c>
    </row>
    <row r="63" spans="1:2" x14ac:dyDescent="0.25">
      <c r="A63">
        <v>126</v>
      </c>
      <c r="B63">
        <v>47.5</v>
      </c>
    </row>
    <row r="64" spans="1:2" x14ac:dyDescent="0.25">
      <c r="A64">
        <v>128</v>
      </c>
      <c r="B64">
        <v>48.4</v>
      </c>
    </row>
    <row r="65" spans="1:2" x14ac:dyDescent="0.25">
      <c r="A65">
        <v>130</v>
      </c>
      <c r="B65">
        <v>48.8</v>
      </c>
    </row>
    <row r="66" spans="1:2" x14ac:dyDescent="0.25">
      <c r="A66">
        <v>132</v>
      </c>
      <c r="B66">
        <v>49.6</v>
      </c>
    </row>
    <row r="67" spans="1:2" x14ac:dyDescent="0.25">
      <c r="A67">
        <v>134</v>
      </c>
      <c r="B67">
        <v>50.4</v>
      </c>
    </row>
    <row r="68" spans="1:2" x14ac:dyDescent="0.25">
      <c r="A68">
        <v>136</v>
      </c>
      <c r="B68">
        <v>51.2</v>
      </c>
    </row>
    <row r="69" spans="1:2" x14ac:dyDescent="0.25">
      <c r="A69">
        <v>138</v>
      </c>
      <c r="B69">
        <v>51.9</v>
      </c>
    </row>
    <row r="70" spans="1:2" x14ac:dyDescent="0.25">
      <c r="A70">
        <v>140</v>
      </c>
      <c r="B70">
        <v>52.9</v>
      </c>
    </row>
    <row r="71" spans="1:2" x14ac:dyDescent="0.25">
      <c r="A71">
        <v>142</v>
      </c>
      <c r="B71">
        <v>53.5</v>
      </c>
    </row>
    <row r="72" spans="1:2" x14ac:dyDescent="0.25">
      <c r="A72">
        <v>144</v>
      </c>
      <c r="B72">
        <v>54.6</v>
      </c>
    </row>
    <row r="73" spans="1:2" x14ac:dyDescent="0.25">
      <c r="A73">
        <v>146</v>
      </c>
      <c r="B73">
        <v>55.1</v>
      </c>
    </row>
    <row r="74" spans="1:2" x14ac:dyDescent="0.25">
      <c r="A74">
        <v>148</v>
      </c>
      <c r="B74">
        <v>56.2</v>
      </c>
    </row>
    <row r="75" spans="1:2" x14ac:dyDescent="0.25">
      <c r="A75">
        <v>150</v>
      </c>
      <c r="B75">
        <v>57.1</v>
      </c>
    </row>
    <row r="76" spans="1:2" x14ac:dyDescent="0.25">
      <c r="A76">
        <v>152</v>
      </c>
      <c r="B76">
        <v>57.9</v>
      </c>
    </row>
    <row r="77" spans="1:2" x14ac:dyDescent="0.25">
      <c r="A77">
        <v>154</v>
      </c>
      <c r="B77">
        <v>58.5</v>
      </c>
    </row>
    <row r="78" spans="1:2" x14ac:dyDescent="0.25">
      <c r="A78">
        <v>156</v>
      </c>
      <c r="B78">
        <v>59.5</v>
      </c>
    </row>
    <row r="79" spans="1:2" x14ac:dyDescent="0.25">
      <c r="A79">
        <v>158</v>
      </c>
      <c r="B79">
        <v>60.1</v>
      </c>
    </row>
    <row r="80" spans="1:2" x14ac:dyDescent="0.25">
      <c r="A80">
        <v>160</v>
      </c>
      <c r="B80">
        <v>61.1</v>
      </c>
    </row>
    <row r="81" spans="1:2" x14ac:dyDescent="0.25">
      <c r="A81">
        <v>162</v>
      </c>
      <c r="B81">
        <v>61.8</v>
      </c>
    </row>
    <row r="82" spans="1:2" x14ac:dyDescent="0.25">
      <c r="A82">
        <v>164</v>
      </c>
      <c r="B82">
        <v>63</v>
      </c>
    </row>
    <row r="83" spans="1:2" x14ac:dyDescent="0.25">
      <c r="A83">
        <v>166</v>
      </c>
      <c r="B83">
        <v>63.7</v>
      </c>
    </row>
    <row r="84" spans="1:2" x14ac:dyDescent="0.25">
      <c r="A84">
        <v>168</v>
      </c>
      <c r="B84">
        <v>65</v>
      </c>
    </row>
    <row r="85" spans="1:2" x14ac:dyDescent="0.25">
      <c r="A85">
        <v>170</v>
      </c>
      <c r="B85">
        <v>66</v>
      </c>
    </row>
    <row r="86" spans="1:2" x14ac:dyDescent="0.25">
      <c r="A86">
        <v>172</v>
      </c>
      <c r="B86">
        <v>67.5</v>
      </c>
    </row>
    <row r="87" spans="1:2" x14ac:dyDescent="0.25">
      <c r="A87">
        <v>174</v>
      </c>
      <c r="B87">
        <v>68.5</v>
      </c>
    </row>
    <row r="88" spans="1:2" x14ac:dyDescent="0.25">
      <c r="A88">
        <v>176</v>
      </c>
      <c r="B88">
        <v>70</v>
      </c>
    </row>
    <row r="89" spans="1:2" x14ac:dyDescent="0.25">
      <c r="A89">
        <v>178</v>
      </c>
      <c r="B89">
        <v>71.3</v>
      </c>
    </row>
    <row r="90" spans="1:2" x14ac:dyDescent="0.25">
      <c r="A90">
        <v>180</v>
      </c>
      <c r="B90">
        <v>73.3</v>
      </c>
    </row>
    <row r="91" spans="1:2" x14ac:dyDescent="0.25">
      <c r="A91">
        <v>182</v>
      </c>
      <c r="B91">
        <v>75.400000000000006</v>
      </c>
    </row>
    <row r="92" spans="1:2" x14ac:dyDescent="0.25">
      <c r="A92">
        <v>184</v>
      </c>
      <c r="B92">
        <v>79.2</v>
      </c>
    </row>
    <row r="93" spans="1:2" x14ac:dyDescent="0.25">
      <c r="A93">
        <v>186</v>
      </c>
      <c r="B93">
        <v>79.3</v>
      </c>
    </row>
    <row r="94" spans="1:2" x14ac:dyDescent="0.25">
      <c r="A94">
        <v>188</v>
      </c>
      <c r="B94">
        <v>81.2</v>
      </c>
    </row>
    <row r="95" spans="1:2" x14ac:dyDescent="0.25">
      <c r="A95">
        <v>190</v>
      </c>
      <c r="B95">
        <v>86</v>
      </c>
    </row>
    <row r="96" spans="1:2" x14ac:dyDescent="0.25">
      <c r="A96">
        <v>192</v>
      </c>
      <c r="B96">
        <v>87</v>
      </c>
    </row>
    <row r="97" spans="1:2" x14ac:dyDescent="0.25">
      <c r="A97">
        <v>194</v>
      </c>
      <c r="B97">
        <v>86</v>
      </c>
    </row>
    <row r="98" spans="1:2" x14ac:dyDescent="0.25">
      <c r="A98">
        <v>196</v>
      </c>
      <c r="B98">
        <v>89.5</v>
      </c>
    </row>
    <row r="99" spans="1:2" x14ac:dyDescent="0.25">
      <c r="A99">
        <v>198</v>
      </c>
      <c r="B99">
        <v>99.1</v>
      </c>
    </row>
    <row r="100" spans="1:2" x14ac:dyDescent="0.25">
      <c r="A100">
        <v>200</v>
      </c>
      <c r="B100">
        <v>96.3</v>
      </c>
    </row>
    <row r="101" spans="1:2" x14ac:dyDescent="0.25">
      <c r="A101">
        <v>202</v>
      </c>
    </row>
    <row r="102" spans="1:2" x14ac:dyDescent="0.25">
      <c r="A102">
        <v>204</v>
      </c>
    </row>
    <row r="103" spans="1:2" x14ac:dyDescent="0.25">
      <c r="A103">
        <v>206</v>
      </c>
    </row>
    <row r="104" spans="1:2" x14ac:dyDescent="0.25">
      <c r="A104">
        <v>208</v>
      </c>
    </row>
    <row r="105" spans="1:2" x14ac:dyDescent="0.25">
      <c r="A105">
        <v>210</v>
      </c>
    </row>
    <row r="106" spans="1:2" x14ac:dyDescent="0.25">
      <c r="A106">
        <v>212</v>
      </c>
    </row>
    <row r="107" spans="1:2" x14ac:dyDescent="0.25">
      <c r="A107">
        <v>214</v>
      </c>
    </row>
    <row r="108" spans="1:2" x14ac:dyDescent="0.25">
      <c r="A108">
        <v>216</v>
      </c>
    </row>
    <row r="109" spans="1:2" x14ac:dyDescent="0.25">
      <c r="A109">
        <v>218</v>
      </c>
    </row>
    <row r="110" spans="1:2" x14ac:dyDescent="0.25">
      <c r="A110">
        <v>220</v>
      </c>
    </row>
    <row r="111" spans="1:2" x14ac:dyDescent="0.25">
      <c r="A111">
        <v>222</v>
      </c>
    </row>
    <row r="112" spans="1:2" x14ac:dyDescent="0.25">
      <c r="A112">
        <v>224</v>
      </c>
    </row>
    <row r="113" spans="1:1" x14ac:dyDescent="0.25">
      <c r="A113">
        <v>226</v>
      </c>
    </row>
    <row r="114" spans="1:1" x14ac:dyDescent="0.25">
      <c r="A114">
        <v>228</v>
      </c>
    </row>
    <row r="115" spans="1:1" x14ac:dyDescent="0.25">
      <c r="A115">
        <v>230</v>
      </c>
    </row>
    <row r="116" spans="1:1" x14ac:dyDescent="0.25">
      <c r="A116">
        <v>232</v>
      </c>
    </row>
    <row r="117" spans="1:1" x14ac:dyDescent="0.25">
      <c r="A117">
        <v>234</v>
      </c>
    </row>
    <row r="118" spans="1:1" x14ac:dyDescent="0.25">
      <c r="A118">
        <v>236</v>
      </c>
    </row>
    <row r="119" spans="1:1" x14ac:dyDescent="0.25">
      <c r="A119">
        <v>238</v>
      </c>
    </row>
    <row r="120" spans="1:1" x14ac:dyDescent="0.25">
      <c r="A120">
        <v>240</v>
      </c>
    </row>
    <row r="121" spans="1:1" x14ac:dyDescent="0.25">
      <c r="A121">
        <v>242</v>
      </c>
    </row>
    <row r="122" spans="1:1" x14ac:dyDescent="0.25">
      <c r="A122">
        <v>244</v>
      </c>
    </row>
    <row r="123" spans="1:1" x14ac:dyDescent="0.25">
      <c r="A123">
        <v>246</v>
      </c>
    </row>
    <row r="124" spans="1:1" x14ac:dyDescent="0.25">
      <c r="A124">
        <v>248</v>
      </c>
    </row>
    <row r="125" spans="1:1" x14ac:dyDescent="0.25">
      <c r="A125">
        <v>250</v>
      </c>
    </row>
    <row r="126" spans="1:1" x14ac:dyDescent="0.25">
      <c r="A126">
        <v>252</v>
      </c>
    </row>
    <row r="127" spans="1:1" x14ac:dyDescent="0.25">
      <c r="A127">
        <v>254</v>
      </c>
    </row>
    <row r="128" spans="1:1" x14ac:dyDescent="0.25">
      <c r="A128">
        <v>256</v>
      </c>
    </row>
    <row r="129" spans="1:1" x14ac:dyDescent="0.25">
      <c r="A129">
        <v>258</v>
      </c>
    </row>
    <row r="130" spans="1:1" x14ac:dyDescent="0.25">
      <c r="A130">
        <v>260</v>
      </c>
    </row>
    <row r="131" spans="1:1" x14ac:dyDescent="0.25">
      <c r="A131">
        <v>262</v>
      </c>
    </row>
    <row r="132" spans="1:1" x14ac:dyDescent="0.25">
      <c r="A132">
        <v>264</v>
      </c>
    </row>
    <row r="133" spans="1:1" x14ac:dyDescent="0.25">
      <c r="A133">
        <v>266</v>
      </c>
    </row>
    <row r="134" spans="1:1" x14ac:dyDescent="0.25">
      <c r="A134">
        <v>268</v>
      </c>
    </row>
    <row r="135" spans="1:1" x14ac:dyDescent="0.25">
      <c r="A135">
        <v>270</v>
      </c>
    </row>
    <row r="136" spans="1:1" x14ac:dyDescent="0.25">
      <c r="A136">
        <v>272</v>
      </c>
    </row>
    <row r="137" spans="1:1" x14ac:dyDescent="0.25">
      <c r="A137">
        <v>274</v>
      </c>
    </row>
    <row r="138" spans="1:1" x14ac:dyDescent="0.25">
      <c r="A138">
        <v>276</v>
      </c>
    </row>
    <row r="139" spans="1:1" x14ac:dyDescent="0.25">
      <c r="A139">
        <v>278</v>
      </c>
    </row>
    <row r="140" spans="1:1" x14ac:dyDescent="0.25">
      <c r="A140">
        <v>280</v>
      </c>
    </row>
    <row r="141" spans="1:1" x14ac:dyDescent="0.25">
      <c r="A141">
        <v>282</v>
      </c>
    </row>
    <row r="142" spans="1:1" x14ac:dyDescent="0.25">
      <c r="A142">
        <v>284</v>
      </c>
    </row>
    <row r="143" spans="1:1" x14ac:dyDescent="0.25">
      <c r="A143">
        <v>286</v>
      </c>
    </row>
    <row r="144" spans="1:1" x14ac:dyDescent="0.25">
      <c r="A144">
        <v>288</v>
      </c>
    </row>
    <row r="145" spans="1:1" x14ac:dyDescent="0.25">
      <c r="A145">
        <v>290</v>
      </c>
    </row>
    <row r="146" spans="1:1" x14ac:dyDescent="0.25">
      <c r="A146">
        <v>292</v>
      </c>
    </row>
    <row r="147" spans="1:1" x14ac:dyDescent="0.25">
      <c r="A147">
        <v>294</v>
      </c>
    </row>
    <row r="148" spans="1:1" x14ac:dyDescent="0.25">
      <c r="A148">
        <v>296</v>
      </c>
    </row>
    <row r="149" spans="1:1" x14ac:dyDescent="0.25">
      <c r="A149">
        <v>298</v>
      </c>
    </row>
    <row r="150" spans="1:1" x14ac:dyDescent="0.25">
      <c r="A150">
        <v>300</v>
      </c>
    </row>
    <row r="151" spans="1:1" x14ac:dyDescent="0.25">
      <c r="A151">
        <v>302</v>
      </c>
    </row>
    <row r="152" spans="1:1" x14ac:dyDescent="0.25">
      <c r="A152">
        <v>304</v>
      </c>
    </row>
    <row r="153" spans="1:1" x14ac:dyDescent="0.25">
      <c r="A153">
        <v>306</v>
      </c>
    </row>
    <row r="154" spans="1:1" x14ac:dyDescent="0.25">
      <c r="A154">
        <v>308</v>
      </c>
    </row>
    <row r="155" spans="1:1" x14ac:dyDescent="0.25">
      <c r="A155">
        <v>310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" sqref="E2"/>
    </sheetView>
  </sheetViews>
  <sheetFormatPr defaultColWidth="11" defaultRowHeight="15.75" x14ac:dyDescent="0.25"/>
  <cols>
    <col min="2" max="2" width="12.5" style="1" bestFit="1" customWidth="1"/>
    <col min="3" max="3" width="15.25" bestFit="1" customWidth="1"/>
  </cols>
  <sheetData>
    <row r="1" spans="1:10" x14ac:dyDescent="0.25">
      <c r="A1" t="s">
        <v>2</v>
      </c>
      <c r="B1" s="1" t="s">
        <v>4</v>
      </c>
      <c r="C1" t="s">
        <v>5</v>
      </c>
      <c r="D1" t="s">
        <v>3</v>
      </c>
      <c r="E1" t="s">
        <v>6</v>
      </c>
      <c r="H1" t="s">
        <v>2</v>
      </c>
      <c r="I1" s="1" t="s">
        <v>4</v>
      </c>
      <c r="J1" t="s">
        <v>37</v>
      </c>
    </row>
    <row r="2" spans="1:10" x14ac:dyDescent="0.25">
      <c r="A2">
        <v>11.3</v>
      </c>
      <c r="B2" s="1">
        <v>104.4</v>
      </c>
      <c r="C2" s="2">
        <f>(0.385*A2)+100</f>
        <v>104.3505</v>
      </c>
      <c r="D2" s="2">
        <f>(0.3792*A2)+100.25</f>
        <v>104.53496</v>
      </c>
      <c r="E2" s="2">
        <f>((C2-D2)/($C$19))*100</f>
        <v>-0.1545337639435192</v>
      </c>
      <c r="F2" s="2">
        <f>ABS(E2)</f>
        <v>0.1545337639435192</v>
      </c>
      <c r="H2">
        <v>11.3</v>
      </c>
      <c r="I2" s="1">
        <v>104.4</v>
      </c>
      <c r="J2" s="4">
        <f>0.008*I2</f>
        <v>0.83520000000000005</v>
      </c>
    </row>
    <row r="3" spans="1:10" x14ac:dyDescent="0.25">
      <c r="A3">
        <v>13.3</v>
      </c>
      <c r="B3" s="1">
        <v>105.3</v>
      </c>
      <c r="C3" s="2">
        <f t="shared" ref="C3:C19" si="0">(0.385*A3)+100</f>
        <v>105.12050000000001</v>
      </c>
      <c r="D3" s="2">
        <f t="shared" ref="D3:D19" si="1">(0.3792*A3)+100.25</f>
        <v>105.29336000000001</v>
      </c>
      <c r="E3" s="2">
        <f t="shared" ref="E3:E19" si="2">((C3-D3)/($C$19))*100</f>
        <v>-0.14481571308292598</v>
      </c>
      <c r="F3" s="2">
        <f t="shared" ref="F3:F19" si="3">ABS(E3)</f>
        <v>0.14481571308292598</v>
      </c>
      <c r="H3">
        <v>13.3</v>
      </c>
      <c r="I3" s="1">
        <v>105.3</v>
      </c>
      <c r="J3" s="4">
        <f t="shared" ref="J3:J19" si="4">0.008*I3</f>
        <v>0.84240000000000004</v>
      </c>
    </row>
    <row r="4" spans="1:10" x14ac:dyDescent="0.25">
      <c r="A4">
        <v>15.8</v>
      </c>
      <c r="B4" s="1">
        <v>106.2</v>
      </c>
      <c r="C4" s="2">
        <f t="shared" si="0"/>
        <v>106.083</v>
      </c>
      <c r="D4" s="2">
        <f t="shared" si="1"/>
        <v>106.24136</v>
      </c>
      <c r="E4" s="2">
        <f t="shared" si="2"/>
        <v>-0.13266814950718744</v>
      </c>
      <c r="F4" s="2">
        <f t="shared" si="3"/>
        <v>0.13266814950718744</v>
      </c>
      <c r="H4">
        <v>15.8</v>
      </c>
      <c r="I4" s="1">
        <v>106.2</v>
      </c>
      <c r="J4" s="4">
        <f t="shared" si="4"/>
        <v>0.84960000000000002</v>
      </c>
    </row>
    <row r="5" spans="1:10" x14ac:dyDescent="0.25">
      <c r="A5">
        <v>18.5</v>
      </c>
      <c r="B5" s="1">
        <v>107.3</v>
      </c>
      <c r="C5" s="2">
        <f t="shared" si="0"/>
        <v>107.1225</v>
      </c>
      <c r="D5" s="2">
        <f t="shared" si="1"/>
        <v>107.26519999999999</v>
      </c>
      <c r="E5" s="2">
        <f t="shared" si="2"/>
        <v>-0.11954878084537889</v>
      </c>
      <c r="F5" s="2">
        <f t="shared" si="3"/>
        <v>0.11954878084537889</v>
      </c>
      <c r="H5">
        <v>18.5</v>
      </c>
      <c r="I5" s="1">
        <v>107.3</v>
      </c>
      <c r="J5" s="4">
        <f t="shared" si="4"/>
        <v>0.85839999999999994</v>
      </c>
    </row>
    <row r="6" spans="1:10" x14ac:dyDescent="0.25">
      <c r="A6">
        <v>20.9</v>
      </c>
      <c r="B6" s="1">
        <v>108.2</v>
      </c>
      <c r="C6" s="2">
        <f t="shared" si="0"/>
        <v>108.04649999999999</v>
      </c>
      <c r="D6" s="2">
        <f t="shared" si="1"/>
        <v>108.17528</v>
      </c>
      <c r="E6" s="2">
        <f t="shared" si="2"/>
        <v>-0.1078871198126813</v>
      </c>
      <c r="F6" s="2">
        <f t="shared" si="3"/>
        <v>0.1078871198126813</v>
      </c>
      <c r="H6">
        <v>20.9</v>
      </c>
      <c r="I6" s="1">
        <v>108.2</v>
      </c>
      <c r="J6" s="4">
        <f t="shared" si="4"/>
        <v>0.86560000000000004</v>
      </c>
    </row>
    <row r="7" spans="1:10" x14ac:dyDescent="0.25">
      <c r="A7">
        <v>23.4</v>
      </c>
      <c r="B7" s="1">
        <v>109.2</v>
      </c>
      <c r="C7" s="2">
        <f t="shared" si="0"/>
        <v>109.009</v>
      </c>
      <c r="D7" s="2">
        <f t="shared" si="1"/>
        <v>109.12327999999999</v>
      </c>
      <c r="E7" s="2">
        <f t="shared" si="2"/>
        <v>-9.5739556236930881E-2</v>
      </c>
      <c r="F7" s="2">
        <f t="shared" si="3"/>
        <v>9.5739556236930881E-2</v>
      </c>
      <c r="H7">
        <v>23.4</v>
      </c>
      <c r="I7" s="1">
        <v>109.2</v>
      </c>
      <c r="J7" s="4">
        <f t="shared" si="4"/>
        <v>0.87360000000000004</v>
      </c>
    </row>
    <row r="8" spans="1:10" x14ac:dyDescent="0.25">
      <c r="A8">
        <v>25.9</v>
      </c>
      <c r="B8" s="1">
        <v>110.1</v>
      </c>
      <c r="C8" s="2">
        <f t="shared" si="0"/>
        <v>109.97149999999999</v>
      </c>
      <c r="D8" s="2">
        <f t="shared" si="1"/>
        <v>110.07128</v>
      </c>
      <c r="E8" s="2">
        <f t="shared" si="2"/>
        <v>-8.3591992661204248E-2</v>
      </c>
      <c r="F8" s="2">
        <f t="shared" si="3"/>
        <v>8.3591992661204248E-2</v>
      </c>
      <c r="H8">
        <v>25.9</v>
      </c>
      <c r="I8" s="1">
        <v>110.1</v>
      </c>
      <c r="J8" s="4">
        <f t="shared" si="4"/>
        <v>0.88080000000000003</v>
      </c>
    </row>
    <row r="9" spans="1:10" x14ac:dyDescent="0.25">
      <c r="A9">
        <v>27.7</v>
      </c>
      <c r="B9" s="1">
        <v>110.8</v>
      </c>
      <c r="C9" s="2">
        <f t="shared" si="0"/>
        <v>110.6645</v>
      </c>
      <c r="D9" s="2">
        <f t="shared" si="1"/>
        <v>110.75384</v>
      </c>
      <c r="E9" s="2">
        <f t="shared" si="2"/>
        <v>-7.4845746886657266E-2</v>
      </c>
      <c r="F9" s="2">
        <f t="shared" si="3"/>
        <v>7.4845746886657266E-2</v>
      </c>
      <c r="H9">
        <v>27.7</v>
      </c>
      <c r="I9" s="1">
        <v>110.8</v>
      </c>
      <c r="J9" s="4">
        <f t="shared" si="4"/>
        <v>0.88639999999999997</v>
      </c>
    </row>
    <row r="10" spans="1:10" x14ac:dyDescent="0.25">
      <c r="A10">
        <v>29.7</v>
      </c>
      <c r="B10" s="1">
        <v>111.5</v>
      </c>
      <c r="C10" s="2">
        <f t="shared" si="0"/>
        <v>111.4345</v>
      </c>
      <c r="D10" s="2">
        <f t="shared" si="1"/>
        <v>111.51223999999999</v>
      </c>
      <c r="E10" s="2">
        <f t="shared" si="2"/>
        <v>-6.5127696026064053E-2</v>
      </c>
      <c r="F10" s="2">
        <f t="shared" si="3"/>
        <v>6.5127696026064053E-2</v>
      </c>
      <c r="H10">
        <v>29.7</v>
      </c>
      <c r="I10" s="1">
        <v>111.5</v>
      </c>
      <c r="J10" s="4">
        <f t="shared" si="4"/>
        <v>0.89200000000000002</v>
      </c>
    </row>
    <row r="11" spans="1:10" x14ac:dyDescent="0.25">
      <c r="A11">
        <v>31.6</v>
      </c>
      <c r="B11" s="1">
        <v>112.2</v>
      </c>
      <c r="C11" s="2">
        <f t="shared" si="0"/>
        <v>112.166</v>
      </c>
      <c r="D11" s="2">
        <f t="shared" si="1"/>
        <v>112.23272</v>
      </c>
      <c r="E11" s="2">
        <f t="shared" si="2"/>
        <v>-5.5895547708511815E-2</v>
      </c>
      <c r="F11" s="2">
        <f t="shared" si="3"/>
        <v>5.5895547708511815E-2</v>
      </c>
      <c r="H11">
        <v>31.6</v>
      </c>
      <c r="I11" s="1">
        <v>112.2</v>
      </c>
      <c r="J11" s="4">
        <f t="shared" si="4"/>
        <v>0.89760000000000006</v>
      </c>
    </row>
    <row r="12" spans="1:10" x14ac:dyDescent="0.25">
      <c r="A12">
        <v>33.799999999999997</v>
      </c>
      <c r="B12" s="1">
        <v>113.2</v>
      </c>
      <c r="C12" s="2">
        <f t="shared" si="0"/>
        <v>113.01300000000001</v>
      </c>
      <c r="D12" s="2">
        <f t="shared" si="1"/>
        <v>113.06695999999999</v>
      </c>
      <c r="E12" s="2">
        <f t="shared" si="2"/>
        <v>-4.5205691761848563E-2</v>
      </c>
      <c r="F12" s="2">
        <f t="shared" si="3"/>
        <v>4.5205691761848563E-2</v>
      </c>
      <c r="H12">
        <v>33.799999999999997</v>
      </c>
      <c r="I12" s="1">
        <v>113.2</v>
      </c>
      <c r="J12" s="4">
        <f t="shared" si="4"/>
        <v>0.90560000000000007</v>
      </c>
    </row>
    <row r="13" spans="1:10" x14ac:dyDescent="0.25">
      <c r="A13">
        <v>35.6</v>
      </c>
      <c r="B13" s="1">
        <v>113.8</v>
      </c>
      <c r="C13" s="2">
        <f t="shared" si="0"/>
        <v>113.706</v>
      </c>
      <c r="D13" s="2">
        <f t="shared" si="1"/>
        <v>113.74952</v>
      </c>
      <c r="E13" s="2">
        <f t="shared" si="2"/>
        <v>-3.6459445987325395E-2</v>
      </c>
      <c r="F13" s="2">
        <f t="shared" si="3"/>
        <v>3.6459445987325395E-2</v>
      </c>
      <c r="H13">
        <v>35.6</v>
      </c>
      <c r="I13" s="1">
        <v>113.8</v>
      </c>
      <c r="J13" s="4">
        <f t="shared" si="4"/>
        <v>0.91039999999999999</v>
      </c>
    </row>
    <row r="14" spans="1:10" x14ac:dyDescent="0.25">
      <c r="A14">
        <v>38.700000000000003</v>
      </c>
      <c r="B14" s="1">
        <v>115</v>
      </c>
      <c r="C14" s="2">
        <f t="shared" si="0"/>
        <v>114.8995</v>
      </c>
      <c r="D14" s="2">
        <f t="shared" si="1"/>
        <v>114.92504</v>
      </c>
      <c r="E14" s="2">
        <f t="shared" si="2"/>
        <v>-2.1396467153400562E-2</v>
      </c>
      <c r="F14" s="2">
        <f t="shared" si="3"/>
        <v>2.1396467153400562E-2</v>
      </c>
      <c r="H14">
        <v>38.700000000000003</v>
      </c>
      <c r="I14" s="1">
        <v>115</v>
      </c>
      <c r="J14" s="4">
        <f t="shared" si="4"/>
        <v>0.92</v>
      </c>
    </row>
    <row r="15" spans="1:10" x14ac:dyDescent="0.25">
      <c r="A15">
        <v>41.1</v>
      </c>
      <c r="B15" s="1">
        <v>115.8</v>
      </c>
      <c r="C15" s="2">
        <f t="shared" si="0"/>
        <v>115.8235</v>
      </c>
      <c r="D15" s="2">
        <f t="shared" si="1"/>
        <v>115.83512</v>
      </c>
      <c r="E15" s="2">
        <f t="shared" si="2"/>
        <v>-9.7348061207029966E-3</v>
      </c>
      <c r="F15" s="2">
        <f t="shared" si="3"/>
        <v>9.7348061207029966E-3</v>
      </c>
      <c r="H15">
        <v>41.1</v>
      </c>
      <c r="I15" s="1">
        <v>115.8</v>
      </c>
      <c r="J15" s="4">
        <f t="shared" si="4"/>
        <v>0.9264</v>
      </c>
    </row>
    <row r="16" spans="1:10" x14ac:dyDescent="0.25">
      <c r="A16">
        <v>42.7</v>
      </c>
      <c r="B16" s="1">
        <v>116.4</v>
      </c>
      <c r="C16" s="2">
        <f t="shared" si="0"/>
        <v>116.43950000000001</v>
      </c>
      <c r="D16" s="2">
        <f t="shared" si="1"/>
        <v>116.44184</v>
      </c>
      <c r="E16" s="2">
        <f t="shared" si="2"/>
        <v>-1.9603654322141429E-3</v>
      </c>
      <c r="F16" s="2">
        <f t="shared" si="3"/>
        <v>1.9603654322141429E-3</v>
      </c>
      <c r="H16">
        <v>42.7</v>
      </c>
      <c r="I16" s="1">
        <v>116.4</v>
      </c>
      <c r="J16" s="4">
        <f t="shared" si="4"/>
        <v>0.93120000000000003</v>
      </c>
    </row>
    <row r="17" spans="1:10" x14ac:dyDescent="0.25">
      <c r="A17">
        <v>45.2</v>
      </c>
      <c r="B17" s="1">
        <v>117.2</v>
      </c>
      <c r="C17" s="2">
        <f t="shared" si="0"/>
        <v>117.402</v>
      </c>
      <c r="D17" s="2">
        <f t="shared" si="1"/>
        <v>117.38983999999999</v>
      </c>
      <c r="E17" s="2">
        <f t="shared" si="2"/>
        <v>1.0187198143524392E-2</v>
      </c>
      <c r="F17" s="2">
        <f t="shared" si="3"/>
        <v>1.0187198143524392E-2</v>
      </c>
      <c r="H17">
        <v>45.2</v>
      </c>
      <c r="I17" s="1">
        <v>117.2</v>
      </c>
      <c r="J17" s="4">
        <f t="shared" si="4"/>
        <v>0.93759999999999999</v>
      </c>
    </row>
    <row r="18" spans="1:10" x14ac:dyDescent="0.25">
      <c r="A18">
        <v>49.3</v>
      </c>
      <c r="B18" s="1">
        <v>118.9</v>
      </c>
      <c r="C18" s="2">
        <f t="shared" si="0"/>
        <v>118.98050000000001</v>
      </c>
      <c r="D18" s="2">
        <f t="shared" si="1"/>
        <v>118.94456</v>
      </c>
      <c r="E18" s="2">
        <f t="shared" si="2"/>
        <v>3.0109202407739875E-2</v>
      </c>
      <c r="F18" s="2">
        <f t="shared" si="3"/>
        <v>3.0109202407739875E-2</v>
      </c>
      <c r="H18">
        <v>49.3</v>
      </c>
      <c r="I18" s="1">
        <v>118.9</v>
      </c>
      <c r="J18" s="4">
        <f t="shared" si="4"/>
        <v>0.95120000000000005</v>
      </c>
    </row>
    <row r="19" spans="1:10" x14ac:dyDescent="0.25">
      <c r="A19">
        <v>50.3</v>
      </c>
      <c r="B19" s="1">
        <v>119.4</v>
      </c>
      <c r="C19" s="2">
        <f t="shared" si="0"/>
        <v>119.3655</v>
      </c>
      <c r="D19" s="2">
        <f t="shared" si="1"/>
        <v>119.32375999999999</v>
      </c>
      <c r="E19" s="2">
        <f t="shared" si="2"/>
        <v>3.4968227838030524E-2</v>
      </c>
      <c r="F19" s="2">
        <f t="shared" si="3"/>
        <v>3.4968227838030524E-2</v>
      </c>
      <c r="H19">
        <v>50.3</v>
      </c>
      <c r="I19" s="1">
        <v>119.4</v>
      </c>
      <c r="J19" s="4">
        <f t="shared" si="4"/>
        <v>0.95520000000000005</v>
      </c>
    </row>
    <row r="20" spans="1:10" x14ac:dyDescent="0.25">
      <c r="F20" s="2">
        <f>MAX(F2:F19)</f>
        <v>0.1545337639435192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" sqref="E2"/>
    </sheetView>
  </sheetViews>
  <sheetFormatPr defaultColWidth="11" defaultRowHeight="15.75" x14ac:dyDescent="0.25"/>
  <cols>
    <col min="5" max="5" width="12.375" bestFit="1" customWidth="1"/>
  </cols>
  <sheetData>
    <row r="1" spans="1:6" x14ac:dyDescent="0.25">
      <c r="A1" t="s">
        <v>7</v>
      </c>
      <c r="B1" t="s">
        <v>8</v>
      </c>
      <c r="D1" t="s">
        <v>9</v>
      </c>
      <c r="E1" t="s">
        <v>11</v>
      </c>
      <c r="F1" t="s">
        <v>10</v>
      </c>
    </row>
    <row r="2" spans="1:6" x14ac:dyDescent="0.25">
      <c r="A2">
        <v>100</v>
      </c>
      <c r="B2">
        <v>0.41699999999999998</v>
      </c>
      <c r="D2" s="3">
        <f>(0.0807*A2)-7.661</f>
        <v>0.4090000000000007</v>
      </c>
      <c r="E2" s="3">
        <f>D2-0.417</f>
        <v>-7.9999999999992855E-3</v>
      </c>
      <c r="F2">
        <f>2.5-(500/(A2+100))</f>
        <v>0</v>
      </c>
    </row>
    <row r="3" spans="1:6" x14ac:dyDescent="0.25">
      <c r="A3">
        <v>101</v>
      </c>
      <c r="B3">
        <v>0.499</v>
      </c>
      <c r="D3" s="3">
        <f t="shared" ref="D3:D22" si="0">(0.0807*A3)-7.661</f>
        <v>0.48969999999999914</v>
      </c>
      <c r="E3" s="3">
        <f t="shared" ref="E3:E22" si="1">D3-0.417</f>
        <v>7.2699999999999154E-2</v>
      </c>
      <c r="F3">
        <f t="shared" ref="F3:F22" si="2">2.5-(500/(A3+100))</f>
        <v>1.2437810945273853E-2</v>
      </c>
    </row>
    <row r="4" spans="1:6" x14ac:dyDescent="0.25">
      <c r="A4">
        <v>102</v>
      </c>
      <c r="B4">
        <v>0.58099999999999996</v>
      </c>
      <c r="D4" s="3">
        <f t="shared" si="0"/>
        <v>0.57039999999999935</v>
      </c>
      <c r="E4" s="3">
        <f t="shared" si="1"/>
        <v>0.15339999999999937</v>
      </c>
      <c r="F4">
        <f t="shared" si="2"/>
        <v>2.4752475247524774E-2</v>
      </c>
    </row>
    <row r="5" spans="1:6" x14ac:dyDescent="0.25">
      <c r="A5">
        <v>103</v>
      </c>
      <c r="B5">
        <v>0.66300000000000003</v>
      </c>
      <c r="D5" s="3">
        <f t="shared" si="0"/>
        <v>0.65109999999999957</v>
      </c>
      <c r="E5" s="3">
        <f t="shared" si="1"/>
        <v>0.23409999999999959</v>
      </c>
      <c r="F5">
        <f t="shared" si="2"/>
        <v>3.6945812807881673E-2</v>
      </c>
    </row>
    <row r="6" spans="1:6" x14ac:dyDescent="0.25">
      <c r="A6">
        <v>104</v>
      </c>
      <c r="B6">
        <v>0.74099999999999999</v>
      </c>
      <c r="D6" s="3">
        <f t="shared" si="0"/>
        <v>0.73179999999999978</v>
      </c>
      <c r="E6" s="3">
        <f t="shared" si="1"/>
        <v>0.3147999999999998</v>
      </c>
      <c r="F6">
        <f t="shared" si="2"/>
        <v>4.9019607843137081E-2</v>
      </c>
    </row>
    <row r="7" spans="1:6" x14ac:dyDescent="0.25">
      <c r="A7">
        <v>105</v>
      </c>
      <c r="B7">
        <v>0.82</v>
      </c>
      <c r="D7" s="3">
        <f t="shared" si="0"/>
        <v>0.8125</v>
      </c>
      <c r="E7" s="3">
        <f t="shared" si="1"/>
        <v>0.39550000000000002</v>
      </c>
      <c r="F7">
        <f t="shared" si="2"/>
        <v>6.0975609756097615E-2</v>
      </c>
    </row>
    <row r="8" spans="1:6" x14ac:dyDescent="0.25">
      <c r="A8">
        <v>106</v>
      </c>
      <c r="B8">
        <v>0.9</v>
      </c>
      <c r="D8" s="3">
        <f t="shared" si="0"/>
        <v>0.89320000000000022</v>
      </c>
      <c r="E8" s="3">
        <f t="shared" si="1"/>
        <v>0.47620000000000023</v>
      </c>
      <c r="F8">
        <f t="shared" si="2"/>
        <v>7.2815533980582714E-2</v>
      </c>
    </row>
    <row r="9" spans="1:6" x14ac:dyDescent="0.25">
      <c r="A9">
        <v>107</v>
      </c>
      <c r="B9">
        <v>0.98099999999999998</v>
      </c>
      <c r="D9" s="3">
        <f t="shared" si="0"/>
        <v>0.97390000000000043</v>
      </c>
      <c r="E9" s="3">
        <f t="shared" si="1"/>
        <v>0.55690000000000039</v>
      </c>
      <c r="F9">
        <f t="shared" si="2"/>
        <v>8.4541062801932298E-2</v>
      </c>
    </row>
    <row r="10" spans="1:6" x14ac:dyDescent="0.25">
      <c r="A10">
        <v>108</v>
      </c>
      <c r="B10">
        <v>1.0589999999999999</v>
      </c>
      <c r="D10" s="3">
        <f t="shared" si="0"/>
        <v>1.0545999999999989</v>
      </c>
      <c r="E10" s="3">
        <f t="shared" si="1"/>
        <v>0.63759999999999883</v>
      </c>
      <c r="F10">
        <f t="shared" si="2"/>
        <v>9.6153846153846256E-2</v>
      </c>
    </row>
    <row r="11" spans="1:6" x14ac:dyDescent="0.25">
      <c r="A11">
        <v>109</v>
      </c>
      <c r="B11">
        <v>1.141</v>
      </c>
      <c r="D11" s="3">
        <f t="shared" si="0"/>
        <v>1.1352999999999991</v>
      </c>
      <c r="E11" s="3">
        <f t="shared" si="1"/>
        <v>0.71829999999999905</v>
      </c>
      <c r="F11">
        <f t="shared" si="2"/>
        <v>0.10765550239234445</v>
      </c>
    </row>
    <row r="12" spans="1:6" x14ac:dyDescent="0.25">
      <c r="A12">
        <v>110</v>
      </c>
      <c r="B12">
        <v>1.2030000000000001</v>
      </c>
      <c r="D12" s="3">
        <f t="shared" si="0"/>
        <v>1.2159999999999993</v>
      </c>
      <c r="E12" s="3">
        <f t="shared" si="1"/>
        <v>0.79899999999999927</v>
      </c>
      <c r="F12">
        <f t="shared" si="2"/>
        <v>0.11904761904761907</v>
      </c>
    </row>
    <row r="13" spans="1:6" x14ac:dyDescent="0.25">
      <c r="A13">
        <v>111</v>
      </c>
      <c r="B13">
        <v>1.288</v>
      </c>
      <c r="D13" s="3">
        <f t="shared" si="0"/>
        <v>1.2966999999999995</v>
      </c>
      <c r="E13" s="3">
        <f t="shared" si="1"/>
        <v>0.87969999999999948</v>
      </c>
      <c r="F13">
        <f t="shared" si="2"/>
        <v>0.13033175355450233</v>
      </c>
    </row>
    <row r="14" spans="1:6" x14ac:dyDescent="0.25">
      <c r="A14">
        <v>112</v>
      </c>
      <c r="B14">
        <v>1.373</v>
      </c>
      <c r="D14" s="3">
        <f t="shared" si="0"/>
        <v>1.3773999999999997</v>
      </c>
      <c r="E14" s="3">
        <f t="shared" si="1"/>
        <v>0.9603999999999997</v>
      </c>
      <c r="F14">
        <f t="shared" si="2"/>
        <v>0.14150943396226401</v>
      </c>
    </row>
    <row r="15" spans="1:6" x14ac:dyDescent="0.25">
      <c r="A15">
        <v>113</v>
      </c>
      <c r="B15">
        <v>1.456</v>
      </c>
      <c r="D15" s="3">
        <f t="shared" si="0"/>
        <v>1.4581</v>
      </c>
      <c r="E15" s="3">
        <f t="shared" si="1"/>
        <v>1.0410999999999999</v>
      </c>
      <c r="F15">
        <f t="shared" si="2"/>
        <v>0.15258215962441302</v>
      </c>
    </row>
    <row r="16" spans="1:6" x14ac:dyDescent="0.25">
      <c r="A16">
        <v>114</v>
      </c>
      <c r="B16">
        <v>1.5389999999999999</v>
      </c>
      <c r="D16" s="3">
        <f t="shared" si="0"/>
        <v>1.5388000000000002</v>
      </c>
      <c r="E16" s="3">
        <f t="shared" si="1"/>
        <v>1.1218000000000001</v>
      </c>
      <c r="F16">
        <f t="shared" si="2"/>
        <v>0.16355140186915884</v>
      </c>
    </row>
    <row r="17" spans="1:6" x14ac:dyDescent="0.25">
      <c r="A17">
        <v>115</v>
      </c>
      <c r="B17">
        <v>1.619</v>
      </c>
      <c r="D17" s="3">
        <f t="shared" si="0"/>
        <v>1.6195000000000004</v>
      </c>
      <c r="E17" s="3">
        <f t="shared" si="1"/>
        <v>1.2025000000000003</v>
      </c>
      <c r="F17">
        <f t="shared" si="2"/>
        <v>0.17441860465116266</v>
      </c>
    </row>
    <row r="18" spans="1:6" x14ac:dyDescent="0.25">
      <c r="A18">
        <v>116</v>
      </c>
      <c r="B18">
        <v>1.7010000000000001</v>
      </c>
      <c r="D18" s="3">
        <f t="shared" si="0"/>
        <v>1.7002000000000006</v>
      </c>
      <c r="E18" s="3">
        <f t="shared" si="1"/>
        <v>1.2832000000000006</v>
      </c>
      <c r="F18">
        <f t="shared" si="2"/>
        <v>0.18518518518518512</v>
      </c>
    </row>
    <row r="19" spans="1:6" x14ac:dyDescent="0.25">
      <c r="A19">
        <v>117</v>
      </c>
      <c r="B19">
        <v>1.7849999999999999</v>
      </c>
      <c r="D19" s="3">
        <f t="shared" si="0"/>
        <v>1.780899999999999</v>
      </c>
      <c r="E19" s="3">
        <f t="shared" si="1"/>
        <v>1.363899999999999</v>
      </c>
      <c r="F19">
        <f t="shared" si="2"/>
        <v>0.19585253456221219</v>
      </c>
    </row>
    <row r="20" spans="1:6" x14ac:dyDescent="0.25">
      <c r="A20">
        <v>118</v>
      </c>
      <c r="B20">
        <v>1.8680000000000001</v>
      </c>
      <c r="D20" s="3">
        <f t="shared" si="0"/>
        <v>1.8615999999999993</v>
      </c>
      <c r="E20" s="3">
        <f t="shared" si="1"/>
        <v>1.4445999999999992</v>
      </c>
      <c r="F20">
        <f t="shared" si="2"/>
        <v>0.20642201834862384</v>
      </c>
    </row>
    <row r="21" spans="1:6" x14ac:dyDescent="0.25">
      <c r="A21">
        <v>119</v>
      </c>
      <c r="B21">
        <v>1.964</v>
      </c>
      <c r="D21" s="3">
        <f t="shared" si="0"/>
        <v>1.9422999999999995</v>
      </c>
      <c r="E21" s="3">
        <f t="shared" si="1"/>
        <v>1.5252999999999994</v>
      </c>
      <c r="F21">
        <f t="shared" si="2"/>
        <v>0.21689497716894968</v>
      </c>
    </row>
    <row r="22" spans="1:6" x14ac:dyDescent="0.25">
      <c r="A22">
        <v>120</v>
      </c>
      <c r="B22">
        <v>2.0499999999999998</v>
      </c>
      <c r="D22" s="3">
        <f t="shared" si="0"/>
        <v>2.0229999999999997</v>
      </c>
      <c r="E22" s="3">
        <f t="shared" si="1"/>
        <v>1.6059999999999997</v>
      </c>
      <c r="F22">
        <f t="shared" si="2"/>
        <v>0.22727272727272707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" sqref="I2"/>
    </sheetView>
  </sheetViews>
  <sheetFormatPr defaultRowHeight="15.75" x14ac:dyDescent="0.25"/>
  <cols>
    <col min="3" max="3" width="10.375" bestFit="1" customWidth="1"/>
  </cols>
  <sheetData>
    <row r="1" spans="1:9" x14ac:dyDescent="0.25">
      <c r="A1" t="s">
        <v>12</v>
      </c>
      <c r="B1" t="s">
        <v>13</v>
      </c>
      <c r="C1" t="s">
        <v>14</v>
      </c>
      <c r="D1" t="s">
        <v>40</v>
      </c>
      <c r="E1" t="s">
        <v>41</v>
      </c>
      <c r="G1" t="s">
        <v>15</v>
      </c>
    </row>
    <row r="2" spans="1:9" x14ac:dyDescent="0.25">
      <c r="A2">
        <v>-10</v>
      </c>
      <c r="B2" s="2">
        <f>100+(0.385*A2)</f>
        <v>96.15</v>
      </c>
      <c r="C2" s="3">
        <v>-1.8149999999999999</v>
      </c>
      <c r="D2">
        <f>0.0546*A2-1.1869</f>
        <v>-1.7329000000000001</v>
      </c>
      <c r="E2" s="1">
        <f>18.315*C2+21.7381</f>
        <v>-11.503625000000003</v>
      </c>
      <c r="G2" t="s">
        <v>38</v>
      </c>
      <c r="I2" t="s">
        <v>40</v>
      </c>
    </row>
    <row r="3" spans="1:9" x14ac:dyDescent="0.25">
      <c r="A3">
        <v>-5</v>
      </c>
      <c r="B3" s="2">
        <f t="shared" ref="B3:B15" si="0">100+(0.385*A3)</f>
        <v>98.075000000000003</v>
      </c>
      <c r="C3" s="3">
        <v>-1.498</v>
      </c>
      <c r="D3">
        <f t="shared" ref="D3:D14" si="1">0.0546*A3-1.1869</f>
        <v>-1.4599000000000002</v>
      </c>
      <c r="E3" s="1">
        <f t="shared" ref="E3:E14" si="2">18.315*C3+21.7381</f>
        <v>-5.697770000000002</v>
      </c>
      <c r="G3" t="s">
        <v>39</v>
      </c>
      <c r="I3" t="s">
        <v>41</v>
      </c>
    </row>
    <row r="4" spans="1:9" x14ac:dyDescent="0.25">
      <c r="A4">
        <v>0</v>
      </c>
      <c r="B4" s="2">
        <f t="shared" si="0"/>
        <v>100</v>
      </c>
      <c r="C4" s="3">
        <v>-1.1930000000000001</v>
      </c>
      <c r="D4">
        <f t="shared" si="1"/>
        <v>-1.1869000000000001</v>
      </c>
      <c r="E4" s="1">
        <f t="shared" si="2"/>
        <v>-0.11169500000000454</v>
      </c>
    </row>
    <row r="5" spans="1:9" x14ac:dyDescent="0.25">
      <c r="A5">
        <v>5</v>
      </c>
      <c r="B5" s="2">
        <f t="shared" si="0"/>
        <v>101.925</v>
      </c>
      <c r="C5" s="3">
        <v>-0.89300000000000002</v>
      </c>
      <c r="D5">
        <f t="shared" si="1"/>
        <v>-0.91390000000000005</v>
      </c>
      <c r="E5" s="1">
        <f t="shared" si="2"/>
        <v>5.3828049999999976</v>
      </c>
    </row>
    <row r="6" spans="1:9" x14ac:dyDescent="0.25">
      <c r="A6">
        <v>10</v>
      </c>
      <c r="B6" s="2">
        <f t="shared" si="0"/>
        <v>103.85</v>
      </c>
      <c r="C6" s="3">
        <v>-0.60399999999999998</v>
      </c>
      <c r="D6">
        <f t="shared" si="1"/>
        <v>-0.64090000000000003</v>
      </c>
      <c r="E6" s="1">
        <f t="shared" si="2"/>
        <v>10.675839999999999</v>
      </c>
    </row>
    <row r="7" spans="1:9" x14ac:dyDescent="0.25">
      <c r="A7">
        <v>15</v>
      </c>
      <c r="B7" s="2">
        <f t="shared" si="0"/>
        <v>105.77500000000001</v>
      </c>
      <c r="C7" s="3">
        <v>-0.32069999999999999</v>
      </c>
      <c r="D7">
        <f t="shared" si="1"/>
        <v>-0.3679</v>
      </c>
      <c r="E7" s="1">
        <f t="shared" si="2"/>
        <v>15.864479499999998</v>
      </c>
    </row>
    <row r="8" spans="1:9" x14ac:dyDescent="0.25">
      <c r="A8">
        <v>20</v>
      </c>
      <c r="B8" s="2">
        <f t="shared" si="0"/>
        <v>107.7</v>
      </c>
      <c r="C8" s="3">
        <v>-4.6280000000000002E-2</v>
      </c>
      <c r="D8">
        <f t="shared" si="1"/>
        <v>-9.4899999999999984E-2</v>
      </c>
      <c r="E8" s="1">
        <f t="shared" si="2"/>
        <v>20.8904818</v>
      </c>
    </row>
    <row r="9" spans="1:9" x14ac:dyDescent="0.25">
      <c r="A9">
        <v>25</v>
      </c>
      <c r="B9" s="2">
        <f t="shared" si="0"/>
        <v>109.625</v>
      </c>
      <c r="C9" s="3">
        <v>0.2225</v>
      </c>
      <c r="D9">
        <f t="shared" si="1"/>
        <v>0.17809999999999993</v>
      </c>
      <c r="E9" s="1">
        <f t="shared" si="2"/>
        <v>25.813187499999998</v>
      </c>
    </row>
    <row r="10" spans="1:9" x14ac:dyDescent="0.25">
      <c r="A10">
        <v>30</v>
      </c>
      <c r="B10" s="2">
        <f t="shared" si="0"/>
        <v>111.55</v>
      </c>
      <c r="C10" s="3">
        <v>0.48299999999999998</v>
      </c>
      <c r="D10">
        <f t="shared" si="1"/>
        <v>0.45110000000000006</v>
      </c>
      <c r="E10" s="1">
        <f t="shared" si="2"/>
        <v>30.584244999999999</v>
      </c>
    </row>
    <row r="11" spans="1:9" x14ac:dyDescent="0.25">
      <c r="A11">
        <v>35</v>
      </c>
      <c r="B11" s="2">
        <f t="shared" si="0"/>
        <v>113.47499999999999</v>
      </c>
      <c r="C11" s="3">
        <v>0.73829999999999996</v>
      </c>
      <c r="D11">
        <f t="shared" si="1"/>
        <v>0.72409999999999997</v>
      </c>
      <c r="E11" s="1">
        <f t="shared" si="2"/>
        <v>35.260064499999999</v>
      </c>
    </row>
    <row r="12" spans="1:9" x14ac:dyDescent="0.25">
      <c r="A12">
        <v>40</v>
      </c>
      <c r="B12" s="2">
        <f t="shared" si="0"/>
        <v>115.4</v>
      </c>
      <c r="C12" s="3">
        <v>0.98599999999999999</v>
      </c>
      <c r="D12">
        <f t="shared" si="1"/>
        <v>0.9971000000000001</v>
      </c>
      <c r="E12" s="1">
        <f t="shared" si="2"/>
        <v>39.796689999999998</v>
      </c>
    </row>
    <row r="13" spans="1:9" x14ac:dyDescent="0.25">
      <c r="A13">
        <v>45</v>
      </c>
      <c r="B13" s="2">
        <f t="shared" si="0"/>
        <v>117.325</v>
      </c>
      <c r="C13" s="3">
        <v>1.2290000000000001</v>
      </c>
      <c r="D13">
        <f t="shared" si="1"/>
        <v>1.2701000000000002</v>
      </c>
      <c r="E13" s="1">
        <f t="shared" si="2"/>
        <v>44.247235000000003</v>
      </c>
    </row>
    <row r="14" spans="1:9" x14ac:dyDescent="0.25">
      <c r="A14">
        <v>50</v>
      </c>
      <c r="B14" s="2">
        <f t="shared" si="0"/>
        <v>119.25</v>
      </c>
      <c r="C14" s="3">
        <v>1.4650000000000001</v>
      </c>
      <c r="D14">
        <f t="shared" si="1"/>
        <v>1.5430999999999999</v>
      </c>
      <c r="E14" s="1">
        <f t="shared" si="2"/>
        <v>48.569575</v>
      </c>
    </row>
    <row r="15" spans="1:9" x14ac:dyDescent="0.25">
      <c r="A15">
        <v>0.1</v>
      </c>
      <c r="B15" s="2">
        <f t="shared" si="0"/>
        <v>100.0385</v>
      </c>
      <c r="C15" s="3"/>
      <c r="E15" s="6"/>
    </row>
    <row r="17" spans="2:3" x14ac:dyDescent="0.25">
      <c r="B17" s="2">
        <f>B15-B4</f>
        <v>3.8499999999999091E-2</v>
      </c>
      <c r="C17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F19" workbookViewId="0">
      <selection activeCell="P3" sqref="P3"/>
    </sheetView>
  </sheetViews>
  <sheetFormatPr defaultRowHeight="15.75" x14ac:dyDescent="0.25"/>
  <cols>
    <col min="2" max="2" width="12.5" bestFit="1" customWidth="1"/>
    <col min="3" max="3" width="12.5" customWidth="1"/>
    <col min="5" max="5" width="9.375" bestFit="1" customWidth="1"/>
    <col min="11" max="12" width="9.5" customWidth="1"/>
    <col min="13" max="13" width="10.375" bestFit="1" customWidth="1"/>
    <col min="14" max="14" width="10.375" customWidth="1"/>
  </cols>
  <sheetData>
    <row r="1" spans="1:23" x14ac:dyDescent="0.25">
      <c r="B1" t="s">
        <v>26</v>
      </c>
      <c r="D1" s="8" t="s">
        <v>28</v>
      </c>
      <c r="E1" s="8"/>
      <c r="F1" s="8"/>
      <c r="G1" s="8"/>
      <c r="I1" t="s">
        <v>29</v>
      </c>
      <c r="N1" s="3">
        <f>M26-L26</f>
        <v>-4.1317391304347639E-2</v>
      </c>
    </row>
    <row r="2" spans="1:23" x14ac:dyDescent="0.25">
      <c r="A2" t="s">
        <v>2</v>
      </c>
      <c r="B2" s="1" t="s">
        <v>4</v>
      </c>
      <c r="C2" s="1" t="s">
        <v>42</v>
      </c>
      <c r="D2" t="s">
        <v>17</v>
      </c>
      <c r="E2" t="s">
        <v>18</v>
      </c>
      <c r="F2" t="s">
        <v>19</v>
      </c>
      <c r="G2" t="s">
        <v>27</v>
      </c>
      <c r="I2" t="s">
        <v>31</v>
      </c>
      <c r="J2" t="s">
        <v>32</v>
      </c>
      <c r="K2" t="s">
        <v>30</v>
      </c>
      <c r="L2" t="s">
        <v>46</v>
      </c>
      <c r="M2" t="s">
        <v>50</v>
      </c>
      <c r="N2" t="s">
        <v>52</v>
      </c>
      <c r="O2" t="s">
        <v>51</v>
      </c>
      <c r="P2" t="s">
        <v>53</v>
      </c>
      <c r="Q2" t="s">
        <v>47</v>
      </c>
      <c r="U2" t="s">
        <v>33</v>
      </c>
      <c r="W2" t="s">
        <v>36</v>
      </c>
    </row>
    <row r="3" spans="1:23" x14ac:dyDescent="0.25">
      <c r="A3">
        <v>11.3</v>
      </c>
      <c r="B3" s="1">
        <v>104.4</v>
      </c>
      <c r="C3" s="1">
        <f t="shared" ref="C3:C20" si="0">100.25+(0.3792*A3)</f>
        <v>104.53496</v>
      </c>
      <c r="D3">
        <v>-0.501</v>
      </c>
      <c r="E3" s="1">
        <f t="shared" ref="E3:E20" si="1">19.8807*D3+20.3101</f>
        <v>10.349869299999998</v>
      </c>
      <c r="F3" s="1">
        <f t="shared" ref="F3:F20" si="2">E3-A3</f>
        <v>-0.95013070000000255</v>
      </c>
      <c r="G3" s="5">
        <f>F3/$A$20</f>
        <v>-1.8889278330019934E-2</v>
      </c>
      <c r="I3">
        <v>5.6</v>
      </c>
      <c r="J3">
        <v>5.8</v>
      </c>
      <c r="K3">
        <v>-0.72699999999999998</v>
      </c>
      <c r="L3" s="3">
        <f>0.0496*I3-1.0043</f>
        <v>-0.72653999999999996</v>
      </c>
      <c r="M3" s="3">
        <f>0.0546*I3-1.1869</f>
        <v>-0.88114000000000003</v>
      </c>
      <c r="N3" s="3">
        <f>L3+$N$1</f>
        <v>-0.7678573913043476</v>
      </c>
      <c r="O3" s="1">
        <f>(L3-M3)/$M$25*100</f>
        <v>9.9135609305666055</v>
      </c>
      <c r="P3" s="1">
        <f>(N3-M3)/$M$25*100</f>
        <v>7.2641270613058486</v>
      </c>
      <c r="Q3" s="1">
        <f>K3/805*1000</f>
        <v>-0.90310559006211177</v>
      </c>
      <c r="U3" t="s">
        <v>34</v>
      </c>
      <c r="W3" t="s">
        <v>35</v>
      </c>
    </row>
    <row r="4" spans="1:23" x14ac:dyDescent="0.25">
      <c r="A4">
        <v>13.3</v>
      </c>
      <c r="B4" s="1">
        <v>105.3</v>
      </c>
      <c r="C4" s="1">
        <f t="shared" si="0"/>
        <v>105.29336000000001</v>
      </c>
      <c r="D4">
        <v>-0.372</v>
      </c>
      <c r="E4" s="1">
        <f t="shared" si="1"/>
        <v>12.914479599999998</v>
      </c>
      <c r="F4" s="1">
        <f t="shared" si="2"/>
        <v>-0.38552040000000254</v>
      </c>
      <c r="G4" s="5">
        <f t="shared" ref="G4:G20" si="3">F4/$A$20</f>
        <v>-7.6644214711730132E-3</v>
      </c>
      <c r="I4">
        <v>5.8</v>
      </c>
      <c r="J4">
        <v>6.3</v>
      </c>
      <c r="K4">
        <v>-0.70199999999999996</v>
      </c>
      <c r="L4" s="3">
        <f t="shared" ref="L4:L25" si="4">0.0496*I4-1.0043</f>
        <v>-0.71662000000000003</v>
      </c>
      <c r="M4" s="3">
        <f t="shared" ref="M4:M25" si="5">0.0546*I4-1.1869</f>
        <v>-0.87021999999999999</v>
      </c>
      <c r="N4" s="3">
        <f t="shared" ref="N4:N25" si="6">L4+$N$1</f>
        <v>-0.75793739130434767</v>
      </c>
      <c r="O4" s="1">
        <f t="shared" ref="O4:O25" si="7">(L4-M4)/$M$25*100</f>
        <v>9.8494369918177842</v>
      </c>
      <c r="P4" s="1">
        <f t="shared" ref="P4:P25" si="8">(N4-M4)/$M$25*100</f>
        <v>7.2000031225570273</v>
      </c>
      <c r="Q4" s="1">
        <f t="shared" ref="Q4:Q25" si="9">K4/805*1000</f>
        <v>-0.8720496894409937</v>
      </c>
    </row>
    <row r="5" spans="1:23" x14ac:dyDescent="0.25">
      <c r="A5">
        <v>15.8</v>
      </c>
      <c r="B5" s="1">
        <v>106.2</v>
      </c>
      <c r="C5" s="1">
        <f t="shared" si="0"/>
        <v>106.24136</v>
      </c>
      <c r="D5">
        <v>-0.246</v>
      </c>
      <c r="E5" s="1">
        <f t="shared" si="1"/>
        <v>15.419447799999999</v>
      </c>
      <c r="F5" s="1">
        <f t="shared" si="2"/>
        <v>-0.38055220000000212</v>
      </c>
      <c r="G5" s="5">
        <f t="shared" si="3"/>
        <v>-7.5656500994036209E-3</v>
      </c>
      <c r="I5">
        <v>6.9</v>
      </c>
      <c r="J5">
        <v>7</v>
      </c>
      <c r="K5">
        <v>-0.67</v>
      </c>
      <c r="L5" s="3">
        <f t="shared" si="4"/>
        <v>-0.66205999999999998</v>
      </c>
      <c r="M5" s="3">
        <f t="shared" si="5"/>
        <v>-0.81015999999999999</v>
      </c>
      <c r="N5" s="3">
        <f t="shared" si="6"/>
        <v>-0.70337739130434762</v>
      </c>
      <c r="O5" s="1">
        <f t="shared" si="7"/>
        <v>9.4967553286993116</v>
      </c>
      <c r="P5" s="1">
        <f t="shared" si="8"/>
        <v>6.8473214594385556</v>
      </c>
      <c r="Q5" s="1">
        <f t="shared" si="9"/>
        <v>-0.83229813664596275</v>
      </c>
    </row>
    <row r="6" spans="1:23" x14ac:dyDescent="0.25">
      <c r="A6">
        <v>18.5</v>
      </c>
      <c r="B6" s="1">
        <v>107.3</v>
      </c>
      <c r="C6" s="1">
        <f t="shared" si="0"/>
        <v>107.26519999999999</v>
      </c>
      <c r="D6">
        <v>-8.7999999999999995E-2</v>
      </c>
      <c r="E6" s="1">
        <f t="shared" si="1"/>
        <v>18.5605984</v>
      </c>
      <c r="F6" s="1">
        <f t="shared" si="2"/>
        <v>6.0598399999999941E-2</v>
      </c>
      <c r="G6" s="5">
        <f t="shared" si="3"/>
        <v>1.2047395626242534E-3</v>
      </c>
      <c r="I6">
        <v>12.5</v>
      </c>
      <c r="J6">
        <v>12.2</v>
      </c>
      <c r="K6">
        <v>-0.40799999999999997</v>
      </c>
      <c r="L6" s="3">
        <f t="shared" si="4"/>
        <v>-0.38429999999999997</v>
      </c>
      <c r="M6" s="3">
        <f t="shared" si="5"/>
        <v>-0.50440000000000007</v>
      </c>
      <c r="N6" s="3">
        <f t="shared" si="6"/>
        <v>-0.42561739130434761</v>
      </c>
      <c r="O6" s="1">
        <f t="shared" si="7"/>
        <v>7.7012850437325335</v>
      </c>
      <c r="P6" s="1">
        <f t="shared" si="8"/>
        <v>5.0518511744717767</v>
      </c>
      <c r="Q6" s="1">
        <f t="shared" si="9"/>
        <v>-0.50683229813664599</v>
      </c>
    </row>
    <row r="7" spans="1:23" x14ac:dyDescent="0.25">
      <c r="A7">
        <v>20.9</v>
      </c>
      <c r="B7" s="1">
        <v>108.2</v>
      </c>
      <c r="C7" s="1">
        <f t="shared" si="0"/>
        <v>108.17528</v>
      </c>
      <c r="D7">
        <v>3.9E-2</v>
      </c>
      <c r="E7" s="1">
        <f t="shared" si="1"/>
        <v>21.085447299999998</v>
      </c>
      <c r="F7" s="1">
        <f t="shared" si="2"/>
        <v>0.18544729999999987</v>
      </c>
      <c r="G7" s="5">
        <f t="shared" si="3"/>
        <v>3.6868250497017869E-3</v>
      </c>
      <c r="I7">
        <v>14</v>
      </c>
      <c r="J7">
        <v>13.7</v>
      </c>
      <c r="K7">
        <v>-0.33100000000000002</v>
      </c>
      <c r="L7" s="3">
        <f t="shared" si="4"/>
        <v>-0.30989999999999995</v>
      </c>
      <c r="M7" s="3">
        <f t="shared" si="5"/>
        <v>-0.42249999999999999</v>
      </c>
      <c r="N7" s="3">
        <f t="shared" si="6"/>
        <v>-0.35121739130434759</v>
      </c>
      <c r="O7" s="1">
        <f t="shared" si="7"/>
        <v>7.2203555031164264</v>
      </c>
      <c r="P7" s="1">
        <f t="shared" si="8"/>
        <v>4.5709216338556704</v>
      </c>
      <c r="Q7" s="1">
        <f t="shared" si="9"/>
        <v>-0.41118012422360251</v>
      </c>
    </row>
    <row r="8" spans="1:23" x14ac:dyDescent="0.25">
      <c r="A8">
        <v>23.4</v>
      </c>
      <c r="B8" s="1">
        <v>109.2</v>
      </c>
      <c r="C8" s="1">
        <f t="shared" si="0"/>
        <v>109.12327999999999</v>
      </c>
      <c r="D8">
        <v>0.17699999999999999</v>
      </c>
      <c r="E8" s="1">
        <f t="shared" si="1"/>
        <v>23.828983899999997</v>
      </c>
      <c r="F8" s="1">
        <f t="shared" si="2"/>
        <v>0.42898389999999864</v>
      </c>
      <c r="G8" s="5">
        <f t="shared" si="3"/>
        <v>8.5285069582504702E-3</v>
      </c>
      <c r="I8">
        <v>17.2</v>
      </c>
      <c r="J8">
        <v>17</v>
      </c>
      <c r="K8">
        <v>-0.16500000000000001</v>
      </c>
      <c r="L8" s="3">
        <f t="shared" si="4"/>
        <v>-0.15117999999999998</v>
      </c>
      <c r="M8" s="3">
        <f t="shared" si="5"/>
        <v>-0.24778000000000011</v>
      </c>
      <c r="N8" s="3">
        <f t="shared" si="6"/>
        <v>-0.19249739130434762</v>
      </c>
      <c r="O8" s="1">
        <f t="shared" si="7"/>
        <v>6.1943724831354139</v>
      </c>
      <c r="P8" s="1">
        <f t="shared" si="8"/>
        <v>3.544938613874657</v>
      </c>
      <c r="Q8" s="1">
        <f t="shared" si="9"/>
        <v>-0.20496894409937891</v>
      </c>
    </row>
    <row r="9" spans="1:23" x14ac:dyDescent="0.25">
      <c r="A9">
        <v>25.9</v>
      </c>
      <c r="B9" s="1">
        <v>110.1</v>
      </c>
      <c r="C9" s="1">
        <f t="shared" si="0"/>
        <v>110.07128</v>
      </c>
      <c r="D9">
        <v>0.29499999999999998</v>
      </c>
      <c r="E9" s="1">
        <f t="shared" si="1"/>
        <v>26.174906499999999</v>
      </c>
      <c r="F9" s="1">
        <f t="shared" si="2"/>
        <v>0.27490650000000016</v>
      </c>
      <c r="G9" s="5">
        <f t="shared" si="3"/>
        <v>5.4653379721670012E-3</v>
      </c>
      <c r="I9">
        <v>19.3</v>
      </c>
      <c r="J9">
        <v>19.3</v>
      </c>
      <c r="K9">
        <v>-5.1999999999999998E-2</v>
      </c>
      <c r="L9" s="3">
        <f t="shared" si="4"/>
        <v>-4.7019999999999951E-2</v>
      </c>
      <c r="M9" s="3">
        <f t="shared" si="5"/>
        <v>-0.13311999999999991</v>
      </c>
      <c r="N9" s="3">
        <f t="shared" si="6"/>
        <v>-8.833739130434759E-2</v>
      </c>
      <c r="O9" s="1">
        <f t="shared" si="7"/>
        <v>5.521071126272858</v>
      </c>
      <c r="P9" s="1">
        <f t="shared" si="8"/>
        <v>2.8716372570121016</v>
      </c>
      <c r="Q9" s="1">
        <f t="shared" si="9"/>
        <v>-6.4596273291925452E-2</v>
      </c>
    </row>
    <row r="10" spans="1:23" x14ac:dyDescent="0.25">
      <c r="A10">
        <v>27.7</v>
      </c>
      <c r="B10" s="1">
        <v>110.8</v>
      </c>
      <c r="C10" s="1">
        <f t="shared" si="0"/>
        <v>110.75384</v>
      </c>
      <c r="D10">
        <v>0.39700000000000002</v>
      </c>
      <c r="E10" s="1">
        <f t="shared" si="1"/>
        <v>28.202737899999999</v>
      </c>
      <c r="F10" s="1">
        <f t="shared" si="2"/>
        <v>0.50273789999999963</v>
      </c>
      <c r="G10" s="5">
        <f t="shared" si="3"/>
        <v>9.9947892644135124E-3</v>
      </c>
      <c r="I10">
        <v>21.5</v>
      </c>
      <c r="J10">
        <v>21.3</v>
      </c>
      <c r="K10">
        <v>5.8999999999999997E-2</v>
      </c>
      <c r="L10" s="3">
        <f t="shared" si="4"/>
        <v>6.2100000000000044E-2</v>
      </c>
      <c r="M10" s="3">
        <f t="shared" si="5"/>
        <v>-1.2999999999999901E-2</v>
      </c>
      <c r="N10" s="3">
        <f t="shared" si="6"/>
        <v>2.0782608695652405E-2</v>
      </c>
      <c r="O10" s="1">
        <f t="shared" si="7"/>
        <v>4.8157078000359066</v>
      </c>
      <c r="P10" s="1">
        <f t="shared" si="8"/>
        <v>2.1662739307751502</v>
      </c>
      <c r="Q10" s="1">
        <f t="shared" si="9"/>
        <v>7.3291925465838501E-2</v>
      </c>
    </row>
    <row r="11" spans="1:23" x14ac:dyDescent="0.25">
      <c r="A11">
        <v>29.7</v>
      </c>
      <c r="B11" s="1">
        <v>111.5</v>
      </c>
      <c r="C11" s="1">
        <f t="shared" si="0"/>
        <v>111.51223999999999</v>
      </c>
      <c r="D11">
        <v>0.496</v>
      </c>
      <c r="E11" s="1">
        <f t="shared" si="1"/>
        <v>30.170927200000001</v>
      </c>
      <c r="F11" s="1">
        <f t="shared" si="2"/>
        <v>0.47092720000000199</v>
      </c>
      <c r="G11" s="5">
        <f t="shared" si="3"/>
        <v>9.3623697813121666E-3</v>
      </c>
      <c r="I11">
        <v>23.5</v>
      </c>
      <c r="J11">
        <v>23.5</v>
      </c>
      <c r="K11">
        <v>0.16200000000000001</v>
      </c>
      <c r="L11" s="3">
        <f t="shared" si="4"/>
        <v>0.1613</v>
      </c>
      <c r="M11" s="3">
        <f t="shared" si="5"/>
        <v>9.6200000000000063E-2</v>
      </c>
      <c r="N11" s="3">
        <f t="shared" si="6"/>
        <v>0.11998260869565236</v>
      </c>
      <c r="O11" s="1">
        <f t="shared" si="7"/>
        <v>4.1744684125477685</v>
      </c>
      <c r="P11" s="1">
        <f t="shared" si="8"/>
        <v>1.5250345432870123</v>
      </c>
      <c r="Q11" s="1">
        <f t="shared" si="9"/>
        <v>0.20124223602484473</v>
      </c>
    </row>
    <row r="12" spans="1:23" x14ac:dyDescent="0.25">
      <c r="A12">
        <v>31.6</v>
      </c>
      <c r="B12" s="1">
        <v>112.2</v>
      </c>
      <c r="C12" s="1">
        <f t="shared" si="0"/>
        <v>112.23272</v>
      </c>
      <c r="D12">
        <v>0.58099999999999996</v>
      </c>
      <c r="E12" s="1">
        <f t="shared" si="1"/>
        <v>31.860786699999998</v>
      </c>
      <c r="F12" s="1">
        <f t="shared" si="2"/>
        <v>0.26078669999999704</v>
      </c>
      <c r="G12" s="5">
        <f t="shared" si="3"/>
        <v>5.1846262425446731E-3</v>
      </c>
      <c r="I12">
        <v>25.2</v>
      </c>
      <c r="J12">
        <v>25.5</v>
      </c>
      <c r="K12">
        <v>0.25900000000000001</v>
      </c>
      <c r="L12" s="3">
        <f t="shared" si="4"/>
        <v>0.24561999999999995</v>
      </c>
      <c r="M12" s="3">
        <f t="shared" si="5"/>
        <v>0.18901999999999997</v>
      </c>
      <c r="N12" s="3">
        <f t="shared" si="6"/>
        <v>0.20430260869565231</v>
      </c>
      <c r="O12" s="1">
        <f t="shared" si="7"/>
        <v>3.6294149331828556</v>
      </c>
      <c r="P12" s="1">
        <f t="shared" si="8"/>
        <v>0.97998106392209872</v>
      </c>
      <c r="Q12" s="1">
        <f t="shared" si="9"/>
        <v>0.32173913043478264</v>
      </c>
    </row>
    <row r="13" spans="1:23" x14ac:dyDescent="0.25">
      <c r="A13">
        <v>33.799999999999997</v>
      </c>
      <c r="B13" s="1">
        <v>113.2</v>
      </c>
      <c r="C13" s="1">
        <f t="shared" si="0"/>
        <v>113.06695999999999</v>
      </c>
      <c r="D13">
        <v>0.71299999999999997</v>
      </c>
      <c r="E13" s="1">
        <f t="shared" si="1"/>
        <v>34.485039099999995</v>
      </c>
      <c r="F13" s="1">
        <f t="shared" si="2"/>
        <v>0.68503909999999735</v>
      </c>
      <c r="G13" s="5">
        <f t="shared" si="3"/>
        <v>1.3619067594433348E-2</v>
      </c>
      <c r="I13">
        <v>26.7</v>
      </c>
      <c r="J13">
        <v>27</v>
      </c>
      <c r="K13">
        <v>0.33500000000000002</v>
      </c>
      <c r="L13" s="3">
        <f t="shared" si="4"/>
        <v>0.32001999999999997</v>
      </c>
      <c r="M13" s="3">
        <f t="shared" si="5"/>
        <v>0.27092000000000005</v>
      </c>
      <c r="N13" s="3">
        <f t="shared" si="6"/>
        <v>0.27870260869565233</v>
      </c>
      <c r="O13" s="1">
        <f t="shared" si="7"/>
        <v>3.1484853925667489</v>
      </c>
      <c r="P13" s="1">
        <f t="shared" si="8"/>
        <v>0.49905152330599195</v>
      </c>
      <c r="Q13" s="1">
        <f t="shared" si="9"/>
        <v>0.41614906832298137</v>
      </c>
    </row>
    <row r="14" spans="1:23" x14ac:dyDescent="0.25">
      <c r="A14">
        <v>35.6</v>
      </c>
      <c r="B14" s="1">
        <v>113.8</v>
      </c>
      <c r="C14" s="1">
        <f t="shared" si="0"/>
        <v>113.74952</v>
      </c>
      <c r="D14">
        <v>0.79400000000000004</v>
      </c>
      <c r="E14" s="1">
        <f t="shared" si="1"/>
        <v>36.095375799999999</v>
      </c>
      <c r="F14" s="1">
        <f t="shared" si="2"/>
        <v>0.49537579999999792</v>
      </c>
      <c r="G14" s="5">
        <f t="shared" si="3"/>
        <v>9.8484254473160619E-3</v>
      </c>
      <c r="I14">
        <v>28.3</v>
      </c>
      <c r="J14">
        <v>28.7</v>
      </c>
      <c r="K14">
        <v>0.42199999999999999</v>
      </c>
      <c r="L14" s="3">
        <f t="shared" si="4"/>
        <v>0.39938000000000007</v>
      </c>
      <c r="M14" s="3">
        <f t="shared" si="5"/>
        <v>0.35828000000000015</v>
      </c>
      <c r="N14" s="3">
        <f t="shared" si="6"/>
        <v>0.35806260869565243</v>
      </c>
      <c r="O14" s="1">
        <f t="shared" si="7"/>
        <v>2.6354938825762382</v>
      </c>
      <c r="P14" s="1">
        <f t="shared" si="8"/>
        <v>-1.3939986684518235E-2</v>
      </c>
      <c r="Q14" s="1">
        <f t="shared" si="9"/>
        <v>0.52422360248447197</v>
      </c>
    </row>
    <row r="15" spans="1:23" x14ac:dyDescent="0.25">
      <c r="A15">
        <v>38.700000000000003</v>
      </c>
      <c r="B15" s="1">
        <v>115</v>
      </c>
      <c r="C15" s="1">
        <f t="shared" si="0"/>
        <v>114.92504</v>
      </c>
      <c r="D15">
        <v>0.94399999999999995</v>
      </c>
      <c r="E15" s="1">
        <f t="shared" si="1"/>
        <v>39.077480800000004</v>
      </c>
      <c r="F15" s="1">
        <f t="shared" si="2"/>
        <v>0.37748080000000073</v>
      </c>
      <c r="G15" s="5">
        <f t="shared" si="3"/>
        <v>7.5045884691849057E-3</v>
      </c>
      <c r="I15">
        <v>30.8</v>
      </c>
      <c r="J15">
        <v>31.1</v>
      </c>
      <c r="K15">
        <v>0.54200000000000004</v>
      </c>
      <c r="L15" s="3">
        <f t="shared" si="4"/>
        <v>0.52337999999999996</v>
      </c>
      <c r="M15" s="3">
        <f t="shared" si="5"/>
        <v>0.49478</v>
      </c>
      <c r="N15" s="3">
        <f t="shared" si="6"/>
        <v>0.48206260869565232</v>
      </c>
      <c r="O15" s="1">
        <f t="shared" si="7"/>
        <v>1.8339446482160695</v>
      </c>
      <c r="P15" s="1">
        <f t="shared" si="8"/>
        <v>-0.81548922104468691</v>
      </c>
      <c r="Q15" s="1">
        <f t="shared" si="9"/>
        <v>0.67329192546583849</v>
      </c>
    </row>
    <row r="16" spans="1:23" x14ac:dyDescent="0.25">
      <c r="A16">
        <v>41.1</v>
      </c>
      <c r="B16" s="1">
        <v>115.8</v>
      </c>
      <c r="C16" s="1">
        <f t="shared" si="0"/>
        <v>115.83512</v>
      </c>
      <c r="D16">
        <v>1.054</v>
      </c>
      <c r="E16" s="1">
        <f t="shared" si="1"/>
        <v>41.264357799999999</v>
      </c>
      <c r="F16" s="1">
        <f t="shared" si="2"/>
        <v>0.16435779999999767</v>
      </c>
      <c r="G16" s="5">
        <f t="shared" si="3"/>
        <v>3.2675506958250037E-3</v>
      </c>
      <c r="I16">
        <v>32.6</v>
      </c>
      <c r="J16">
        <v>32.799999999999997</v>
      </c>
      <c r="K16">
        <v>0.628</v>
      </c>
      <c r="L16" s="3">
        <f t="shared" si="4"/>
        <v>0.61265999999999998</v>
      </c>
      <c r="M16" s="3">
        <f t="shared" si="5"/>
        <v>0.59306000000000014</v>
      </c>
      <c r="N16" s="3">
        <f t="shared" si="6"/>
        <v>0.57134260869565234</v>
      </c>
      <c r="O16" s="1">
        <f t="shared" si="7"/>
        <v>1.2568291994767384</v>
      </c>
      <c r="P16" s="1">
        <f t="shared" si="8"/>
        <v>-1.392604669784018</v>
      </c>
      <c r="Q16" s="1">
        <f t="shared" si="9"/>
        <v>0.78012422360248446</v>
      </c>
    </row>
    <row r="17" spans="1:17" x14ac:dyDescent="0.25">
      <c r="A17">
        <v>42.7</v>
      </c>
      <c r="B17" s="1">
        <v>116.4</v>
      </c>
      <c r="C17" s="1">
        <f t="shared" si="0"/>
        <v>116.44184</v>
      </c>
      <c r="D17">
        <v>1.1200000000000001</v>
      </c>
      <c r="E17" s="1">
        <f t="shared" si="1"/>
        <v>42.576484000000001</v>
      </c>
      <c r="F17" s="1">
        <f t="shared" si="2"/>
        <v>-0.12351600000000218</v>
      </c>
      <c r="G17" s="5">
        <f t="shared" si="3"/>
        <v>-2.4555864811133636E-3</v>
      </c>
      <c r="I17">
        <v>34.200000000000003</v>
      </c>
      <c r="J17">
        <v>34.4</v>
      </c>
      <c r="K17">
        <v>0.70899999999999996</v>
      </c>
      <c r="L17" s="3">
        <f t="shared" si="4"/>
        <v>0.69202000000000008</v>
      </c>
      <c r="M17" s="3">
        <f t="shared" si="5"/>
        <v>0.68042000000000025</v>
      </c>
      <c r="N17" s="3">
        <f t="shared" si="6"/>
        <v>0.65070260869565244</v>
      </c>
      <c r="O17" s="1">
        <f t="shared" si="7"/>
        <v>0.74383768948622841</v>
      </c>
      <c r="P17" s="1">
        <f t="shared" si="8"/>
        <v>-1.9055961797745282</v>
      </c>
      <c r="Q17" s="1">
        <f t="shared" si="9"/>
        <v>0.88074534161490681</v>
      </c>
    </row>
    <row r="18" spans="1:17" x14ac:dyDescent="0.25">
      <c r="A18">
        <v>45.2</v>
      </c>
      <c r="B18" s="1">
        <v>117.2</v>
      </c>
      <c r="C18" s="1">
        <f t="shared" si="0"/>
        <v>117.38983999999999</v>
      </c>
      <c r="D18">
        <v>1.2170000000000001</v>
      </c>
      <c r="E18" s="1">
        <f t="shared" si="1"/>
        <v>44.504911899999996</v>
      </c>
      <c r="F18" s="1">
        <f t="shared" si="2"/>
        <v>-0.69508810000000665</v>
      </c>
      <c r="G18" s="5">
        <f t="shared" si="3"/>
        <v>-1.3818848906560769E-2</v>
      </c>
      <c r="I18">
        <v>35.4</v>
      </c>
      <c r="J18">
        <v>35.5</v>
      </c>
      <c r="K18">
        <v>0.76500000000000001</v>
      </c>
      <c r="L18" s="3">
        <f t="shared" si="4"/>
        <v>0.75153999999999987</v>
      </c>
      <c r="M18" s="3">
        <f t="shared" si="5"/>
        <v>0.74594000000000005</v>
      </c>
      <c r="N18" s="3">
        <f t="shared" si="6"/>
        <v>0.71022260869565224</v>
      </c>
      <c r="O18" s="1">
        <f t="shared" si="7"/>
        <v>0.35909405699334573</v>
      </c>
      <c r="P18" s="1">
        <f t="shared" si="8"/>
        <v>-2.290339812267411</v>
      </c>
      <c r="Q18" s="1">
        <f t="shared" si="9"/>
        <v>0.9503105590062112</v>
      </c>
    </row>
    <row r="19" spans="1:17" x14ac:dyDescent="0.25">
      <c r="A19">
        <v>49.3</v>
      </c>
      <c r="B19" s="1">
        <v>118.9</v>
      </c>
      <c r="C19" s="1">
        <f t="shared" si="0"/>
        <v>118.94456</v>
      </c>
      <c r="D19">
        <v>1.43</v>
      </c>
      <c r="E19" s="1">
        <f t="shared" si="1"/>
        <v>48.739500999999997</v>
      </c>
      <c r="F19" s="1">
        <f t="shared" si="2"/>
        <v>-0.56049900000000008</v>
      </c>
      <c r="G19" s="5">
        <f t="shared" si="3"/>
        <v>-1.1143121272365808E-2</v>
      </c>
      <c r="I19">
        <v>38</v>
      </c>
      <c r="J19">
        <v>37.9</v>
      </c>
      <c r="K19">
        <v>0.88800000000000001</v>
      </c>
      <c r="L19" s="3">
        <f t="shared" si="4"/>
        <v>0.88050000000000006</v>
      </c>
      <c r="M19" s="3">
        <f t="shared" si="5"/>
        <v>0.88790000000000013</v>
      </c>
      <c r="N19" s="3">
        <f t="shared" si="6"/>
        <v>0.83918260869565242</v>
      </c>
      <c r="O19" s="1">
        <f t="shared" si="7"/>
        <v>-0.47451714674122619</v>
      </c>
      <c r="P19" s="1">
        <f t="shared" si="8"/>
        <v>-3.1239510160019828</v>
      </c>
      <c r="Q19" s="1">
        <f t="shared" si="9"/>
        <v>1.1031055900621118</v>
      </c>
    </row>
    <row r="20" spans="1:17" x14ac:dyDescent="0.25">
      <c r="A20">
        <v>50.3</v>
      </c>
      <c r="B20" s="1">
        <v>119.4</v>
      </c>
      <c r="C20" s="1">
        <f t="shared" si="0"/>
        <v>119.32375999999999</v>
      </c>
      <c r="D20">
        <v>1.49</v>
      </c>
      <c r="E20" s="1">
        <f t="shared" si="1"/>
        <v>49.932343000000003</v>
      </c>
      <c r="F20" s="1">
        <f t="shared" si="2"/>
        <v>-0.36765699999999413</v>
      </c>
      <c r="G20" s="5">
        <f t="shared" si="3"/>
        <v>-7.3092842942344763E-3</v>
      </c>
      <c r="I20">
        <v>39.799999999999997</v>
      </c>
      <c r="J20">
        <v>39.799999999999997</v>
      </c>
      <c r="K20">
        <v>0.97799999999999998</v>
      </c>
      <c r="L20" s="3">
        <f t="shared" si="4"/>
        <v>0.96977999999999986</v>
      </c>
      <c r="M20" s="3">
        <f t="shared" si="5"/>
        <v>0.98618000000000006</v>
      </c>
      <c r="N20" s="3">
        <f t="shared" si="6"/>
        <v>0.92846260869565223</v>
      </c>
      <c r="O20" s="1">
        <f t="shared" si="7"/>
        <v>-1.0516325954805572</v>
      </c>
      <c r="P20" s="1">
        <f t="shared" si="8"/>
        <v>-3.7010664647413134</v>
      </c>
      <c r="Q20" s="1">
        <f t="shared" si="9"/>
        <v>1.2149068322981367</v>
      </c>
    </row>
    <row r="21" spans="1:17" x14ac:dyDescent="0.25">
      <c r="I21">
        <v>42.1</v>
      </c>
      <c r="J21">
        <v>42.3</v>
      </c>
      <c r="K21">
        <v>1.093</v>
      </c>
      <c r="L21" s="3">
        <f t="shared" si="4"/>
        <v>1.0838599999999998</v>
      </c>
      <c r="M21" s="3">
        <f t="shared" si="5"/>
        <v>1.1117600000000003</v>
      </c>
      <c r="N21" s="3">
        <f t="shared" si="6"/>
        <v>1.0425426086956522</v>
      </c>
      <c r="O21" s="1">
        <f t="shared" si="7"/>
        <v>-1.7890578910919335</v>
      </c>
      <c r="P21" s="1">
        <f t="shared" si="8"/>
        <v>-4.4384917603526901</v>
      </c>
      <c r="Q21" s="1">
        <f t="shared" si="9"/>
        <v>1.3577639751552795</v>
      </c>
    </row>
    <row r="22" spans="1:17" x14ac:dyDescent="0.25">
      <c r="I22">
        <v>44.2</v>
      </c>
      <c r="J22">
        <v>44.6</v>
      </c>
      <c r="K22">
        <v>1.202</v>
      </c>
      <c r="L22" s="3">
        <f t="shared" si="4"/>
        <v>1.1880200000000001</v>
      </c>
      <c r="M22" s="3">
        <f t="shared" si="5"/>
        <v>1.2264200000000001</v>
      </c>
      <c r="N22" s="3">
        <f t="shared" si="6"/>
        <v>1.1467026086956524</v>
      </c>
      <c r="O22" s="1">
        <f t="shared" si="7"/>
        <v>-2.4623592479544461</v>
      </c>
      <c r="P22" s="1">
        <f t="shared" si="8"/>
        <v>-5.1117931172152025</v>
      </c>
      <c r="Q22" s="1">
        <f t="shared" si="9"/>
        <v>1.493167701863354</v>
      </c>
    </row>
    <row r="23" spans="1:17" x14ac:dyDescent="0.25">
      <c r="I23">
        <v>47.1</v>
      </c>
      <c r="J23">
        <v>47.1</v>
      </c>
      <c r="K23">
        <v>1.2869999999999999</v>
      </c>
      <c r="L23" s="3">
        <f t="shared" si="4"/>
        <v>1.33186</v>
      </c>
      <c r="M23" s="3">
        <f t="shared" si="5"/>
        <v>1.38476</v>
      </c>
      <c r="N23" s="3">
        <f t="shared" si="6"/>
        <v>1.2905426086956524</v>
      </c>
      <c r="O23" s="1">
        <f t="shared" si="7"/>
        <v>-3.3921563598122422</v>
      </c>
      <c r="P23" s="1">
        <f t="shared" si="8"/>
        <v>-6.041590229072999</v>
      </c>
      <c r="Q23" s="1">
        <f t="shared" si="9"/>
        <v>1.5987577639751551</v>
      </c>
    </row>
    <row r="24" spans="1:17" x14ac:dyDescent="0.25">
      <c r="I24">
        <v>48.9</v>
      </c>
      <c r="J24">
        <v>47.8</v>
      </c>
      <c r="K24">
        <v>1.38</v>
      </c>
      <c r="L24" s="3">
        <f t="shared" si="4"/>
        <v>1.4211400000000001</v>
      </c>
      <c r="M24" s="3">
        <f t="shared" si="5"/>
        <v>1.4830399999999999</v>
      </c>
      <c r="N24" s="3">
        <f t="shared" si="6"/>
        <v>1.3798226086956524</v>
      </c>
      <c r="O24" s="1">
        <f t="shared" si="7"/>
        <v>-3.969271808551559</v>
      </c>
      <c r="P24" s="1">
        <f t="shared" si="8"/>
        <v>-6.6187056778123159</v>
      </c>
      <c r="Q24" s="1">
        <f t="shared" si="9"/>
        <v>1.7142857142857142</v>
      </c>
    </row>
    <row r="25" spans="1:17" x14ac:dyDescent="0.25">
      <c r="I25">
        <v>50.3</v>
      </c>
      <c r="J25">
        <v>51.3</v>
      </c>
      <c r="K25">
        <v>1.506</v>
      </c>
      <c r="L25" s="3">
        <f t="shared" si="4"/>
        <v>1.4905799999999998</v>
      </c>
      <c r="M25" s="3">
        <f t="shared" si="5"/>
        <v>1.5594799999999998</v>
      </c>
      <c r="N25" s="3">
        <f t="shared" si="6"/>
        <v>1.4492626086956522</v>
      </c>
      <c r="O25" s="1">
        <f t="shared" si="7"/>
        <v>-4.4181393797932627</v>
      </c>
      <c r="P25" s="1">
        <f t="shared" si="8"/>
        <v>-7.0675732490540195</v>
      </c>
      <c r="Q25" s="1">
        <f t="shared" si="9"/>
        <v>1.8708074534161492</v>
      </c>
    </row>
    <row r="26" spans="1:17" x14ac:dyDescent="0.25">
      <c r="L26" s="3">
        <f>AVERAGE(L3:L25)</f>
        <v>0.39722347826086951</v>
      </c>
      <c r="M26" s="3">
        <f>AVERAGE(M3:M25)</f>
        <v>0.35590608695652187</v>
      </c>
      <c r="N26" s="3"/>
    </row>
  </sheetData>
  <mergeCells count="1">
    <mergeCell ref="D1:G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3" sqref="B23"/>
    </sheetView>
  </sheetViews>
  <sheetFormatPr defaultRowHeight="15.75" x14ac:dyDescent="0.25"/>
  <cols>
    <col min="2" max="2" width="12.375" bestFit="1" customWidth="1"/>
    <col min="5" max="5" width="10" bestFit="1" customWidth="1"/>
  </cols>
  <sheetData>
    <row r="1" spans="1:6" x14ac:dyDescent="0.25">
      <c r="A1" t="s">
        <v>31</v>
      </c>
      <c r="B1" t="s">
        <v>47</v>
      </c>
      <c r="C1" t="s">
        <v>30</v>
      </c>
      <c r="E1" t="s">
        <v>48</v>
      </c>
      <c r="F1" t="s">
        <v>49</v>
      </c>
    </row>
    <row r="2" spans="1:6" x14ac:dyDescent="0.25">
      <c r="A2">
        <v>5.6</v>
      </c>
      <c r="B2" s="1">
        <v>-0.90310559006211177</v>
      </c>
      <c r="C2">
        <v>-0.72699999999999998</v>
      </c>
      <c r="E2" s="1">
        <f>0.0617*A2-1.1475</f>
        <v>-0.80197999999999992</v>
      </c>
      <c r="F2" s="3">
        <f>0.0496*A2-1.0043</f>
        <v>-0.72653999999999996</v>
      </c>
    </row>
    <row r="3" spans="1:6" x14ac:dyDescent="0.25">
      <c r="A3">
        <v>5.8</v>
      </c>
      <c r="B3" s="1">
        <v>-0.8720496894409937</v>
      </c>
      <c r="C3">
        <v>-0.70199999999999996</v>
      </c>
      <c r="E3" s="1">
        <f t="shared" ref="E3:E24" si="0">0.0617*A3-1.1475</f>
        <v>-0.78964000000000001</v>
      </c>
      <c r="F3" s="3">
        <f t="shared" ref="F3:F24" si="1">0.0496*A3-1.0043</f>
        <v>-0.71662000000000003</v>
      </c>
    </row>
    <row r="4" spans="1:6" x14ac:dyDescent="0.25">
      <c r="A4">
        <v>6.9</v>
      </c>
      <c r="B4" s="1">
        <v>-0.83229813664596275</v>
      </c>
      <c r="C4">
        <v>-0.67</v>
      </c>
      <c r="E4" s="1">
        <f t="shared" si="0"/>
        <v>-0.72177000000000002</v>
      </c>
      <c r="F4" s="3">
        <f t="shared" si="1"/>
        <v>-0.66205999999999998</v>
      </c>
    </row>
    <row r="5" spans="1:6" x14ac:dyDescent="0.25">
      <c r="A5">
        <v>12.5</v>
      </c>
      <c r="B5" s="1">
        <v>-0.50683229813664599</v>
      </c>
      <c r="C5">
        <v>-0.40799999999999997</v>
      </c>
      <c r="E5" s="1">
        <f t="shared" si="0"/>
        <v>-0.37624999999999997</v>
      </c>
      <c r="F5" s="3">
        <f t="shared" si="1"/>
        <v>-0.38429999999999997</v>
      </c>
    </row>
    <row r="6" spans="1:6" x14ac:dyDescent="0.25">
      <c r="A6">
        <v>14</v>
      </c>
      <c r="B6" s="1">
        <v>-0.41118012422360251</v>
      </c>
      <c r="C6">
        <v>-0.33100000000000002</v>
      </c>
      <c r="E6" s="1">
        <f t="shared" si="0"/>
        <v>-0.28369999999999995</v>
      </c>
      <c r="F6" s="3">
        <f t="shared" si="1"/>
        <v>-0.30989999999999995</v>
      </c>
    </row>
    <row r="7" spans="1:6" x14ac:dyDescent="0.25">
      <c r="A7">
        <v>17.2</v>
      </c>
      <c r="B7" s="1">
        <v>-0.20496894409937891</v>
      </c>
      <c r="C7">
        <v>-0.16500000000000001</v>
      </c>
      <c r="E7" s="1">
        <f t="shared" si="0"/>
        <v>-8.6260000000000003E-2</v>
      </c>
      <c r="F7" s="3">
        <f t="shared" si="1"/>
        <v>-0.15117999999999998</v>
      </c>
    </row>
    <row r="8" spans="1:6" x14ac:dyDescent="0.25">
      <c r="A8">
        <v>19.3</v>
      </c>
      <c r="B8" s="1">
        <v>-6.4596273291925452E-2</v>
      </c>
      <c r="C8">
        <v>-5.1999999999999998E-2</v>
      </c>
      <c r="E8" s="1">
        <f t="shared" si="0"/>
        <v>4.330999999999996E-2</v>
      </c>
      <c r="F8" s="3">
        <f t="shared" si="1"/>
        <v>-4.7019999999999951E-2</v>
      </c>
    </row>
    <row r="9" spans="1:6" x14ac:dyDescent="0.25">
      <c r="A9">
        <v>21.5</v>
      </c>
      <c r="B9" s="1">
        <v>7.3291925465838501E-2</v>
      </c>
      <c r="C9">
        <v>5.8999999999999997E-2</v>
      </c>
      <c r="E9" s="1">
        <f t="shared" si="0"/>
        <v>0.17904999999999993</v>
      </c>
      <c r="F9" s="3">
        <f t="shared" si="1"/>
        <v>6.2100000000000044E-2</v>
      </c>
    </row>
    <row r="10" spans="1:6" x14ac:dyDescent="0.25">
      <c r="A10">
        <v>23.5</v>
      </c>
      <c r="B10" s="1">
        <v>0.20124223602484473</v>
      </c>
      <c r="C10">
        <v>0.16200000000000001</v>
      </c>
      <c r="E10" s="1">
        <f t="shared" si="0"/>
        <v>0.30244999999999989</v>
      </c>
      <c r="F10" s="3">
        <f t="shared" si="1"/>
        <v>0.1613</v>
      </c>
    </row>
    <row r="11" spans="1:6" x14ac:dyDescent="0.25">
      <c r="A11">
        <v>25.2</v>
      </c>
      <c r="B11" s="1">
        <v>0.32173913043478264</v>
      </c>
      <c r="C11">
        <v>0.25900000000000001</v>
      </c>
      <c r="E11" s="1">
        <f t="shared" si="0"/>
        <v>0.40734000000000004</v>
      </c>
      <c r="F11" s="3">
        <f t="shared" si="1"/>
        <v>0.24561999999999995</v>
      </c>
    </row>
    <row r="12" spans="1:6" x14ac:dyDescent="0.25">
      <c r="A12">
        <v>26.7</v>
      </c>
      <c r="B12" s="1">
        <v>0.41614906832298137</v>
      </c>
      <c r="C12">
        <v>0.33500000000000002</v>
      </c>
      <c r="E12" s="1">
        <f t="shared" si="0"/>
        <v>0.49988999999999995</v>
      </c>
      <c r="F12" s="3">
        <f t="shared" si="1"/>
        <v>0.32001999999999997</v>
      </c>
    </row>
    <row r="13" spans="1:6" x14ac:dyDescent="0.25">
      <c r="A13">
        <v>28.3</v>
      </c>
      <c r="B13" s="1">
        <v>0.52422360248447197</v>
      </c>
      <c r="C13">
        <v>0.42199999999999999</v>
      </c>
      <c r="E13" s="1">
        <f t="shared" si="0"/>
        <v>0.59861000000000009</v>
      </c>
      <c r="F13" s="3">
        <f t="shared" si="1"/>
        <v>0.39938000000000007</v>
      </c>
    </row>
    <row r="14" spans="1:6" x14ac:dyDescent="0.25">
      <c r="A14">
        <v>30.8</v>
      </c>
      <c r="B14" s="1">
        <v>0.67329192546583849</v>
      </c>
      <c r="C14">
        <v>0.54200000000000004</v>
      </c>
      <c r="E14" s="1">
        <f t="shared" si="0"/>
        <v>0.75286000000000008</v>
      </c>
      <c r="F14" s="3">
        <f t="shared" si="1"/>
        <v>0.52337999999999996</v>
      </c>
    </row>
    <row r="15" spans="1:6" x14ac:dyDescent="0.25">
      <c r="A15">
        <v>32.6</v>
      </c>
      <c r="B15" s="1">
        <v>0.78012422360248446</v>
      </c>
      <c r="C15">
        <v>0.628</v>
      </c>
      <c r="E15" s="1">
        <f t="shared" si="0"/>
        <v>0.86392000000000024</v>
      </c>
      <c r="F15" s="3">
        <f t="shared" si="1"/>
        <v>0.61265999999999998</v>
      </c>
    </row>
    <row r="16" spans="1:6" x14ac:dyDescent="0.25">
      <c r="A16">
        <v>34.200000000000003</v>
      </c>
      <c r="B16" s="1">
        <v>0.88074534161490681</v>
      </c>
      <c r="C16">
        <v>0.70899999999999996</v>
      </c>
      <c r="E16" s="1">
        <f t="shared" si="0"/>
        <v>0.96263999999999994</v>
      </c>
      <c r="F16" s="3">
        <f t="shared" si="1"/>
        <v>0.69202000000000008</v>
      </c>
    </row>
    <row r="17" spans="1:6" x14ac:dyDescent="0.25">
      <c r="A17">
        <v>35.4</v>
      </c>
      <c r="B17" s="1">
        <v>0.9503105590062112</v>
      </c>
      <c r="C17">
        <v>0.76500000000000001</v>
      </c>
      <c r="E17" s="1">
        <f t="shared" si="0"/>
        <v>1.03668</v>
      </c>
      <c r="F17" s="3">
        <f t="shared" si="1"/>
        <v>0.75153999999999987</v>
      </c>
    </row>
    <row r="18" spans="1:6" x14ac:dyDescent="0.25">
      <c r="A18">
        <v>38</v>
      </c>
      <c r="B18" s="1">
        <v>1.1031055900621118</v>
      </c>
      <c r="C18">
        <v>0.88800000000000001</v>
      </c>
      <c r="E18" s="1">
        <f t="shared" si="0"/>
        <v>1.1970999999999998</v>
      </c>
      <c r="F18" s="3">
        <f t="shared" si="1"/>
        <v>0.88050000000000006</v>
      </c>
    </row>
    <row r="19" spans="1:6" x14ac:dyDescent="0.25">
      <c r="A19">
        <v>39.799999999999997</v>
      </c>
      <c r="B19" s="1">
        <v>1.2149068322981367</v>
      </c>
      <c r="C19">
        <v>0.97799999999999998</v>
      </c>
      <c r="E19" s="1">
        <f t="shared" si="0"/>
        <v>1.30816</v>
      </c>
      <c r="F19" s="3">
        <f t="shared" si="1"/>
        <v>0.96977999999999986</v>
      </c>
    </row>
    <row r="20" spans="1:6" x14ac:dyDescent="0.25">
      <c r="A20">
        <v>42.1</v>
      </c>
      <c r="B20" s="1">
        <v>1.3577639751552795</v>
      </c>
      <c r="C20">
        <v>1.093</v>
      </c>
      <c r="E20" s="1">
        <f t="shared" si="0"/>
        <v>1.4500700000000002</v>
      </c>
      <c r="F20" s="3">
        <f t="shared" si="1"/>
        <v>1.0838599999999998</v>
      </c>
    </row>
    <row r="21" spans="1:6" x14ac:dyDescent="0.25">
      <c r="A21">
        <v>44.2</v>
      </c>
      <c r="B21" s="1">
        <v>1.493167701863354</v>
      </c>
      <c r="C21">
        <v>1.202</v>
      </c>
      <c r="E21" s="1">
        <f t="shared" si="0"/>
        <v>1.5796399999999999</v>
      </c>
      <c r="F21" s="3">
        <f t="shared" si="1"/>
        <v>1.1880200000000001</v>
      </c>
    </row>
    <row r="22" spans="1:6" x14ac:dyDescent="0.25">
      <c r="A22">
        <v>47.1</v>
      </c>
      <c r="B22" s="1">
        <v>1.5987577639751551</v>
      </c>
      <c r="C22">
        <v>1.2869999999999999</v>
      </c>
      <c r="E22" s="1">
        <f t="shared" si="0"/>
        <v>1.7585700000000002</v>
      </c>
      <c r="F22" s="3">
        <f t="shared" si="1"/>
        <v>1.33186</v>
      </c>
    </row>
    <row r="23" spans="1:6" x14ac:dyDescent="0.25">
      <c r="A23">
        <v>50</v>
      </c>
      <c r="B23" s="1">
        <v>1.7142857142857142</v>
      </c>
      <c r="C23">
        <v>1.38</v>
      </c>
      <c r="E23" s="1">
        <f t="shared" si="0"/>
        <v>1.9375</v>
      </c>
      <c r="F23" s="3">
        <f t="shared" si="1"/>
        <v>1.4757</v>
      </c>
    </row>
    <row r="24" spans="1:6" x14ac:dyDescent="0.25">
      <c r="A24">
        <v>50.3</v>
      </c>
      <c r="B24" s="1">
        <v>1.8708074534161492</v>
      </c>
      <c r="C24">
        <v>1.506</v>
      </c>
      <c r="E24" s="1">
        <f t="shared" si="0"/>
        <v>1.9560099999999996</v>
      </c>
      <c r="F24" s="3">
        <f t="shared" si="1"/>
        <v>1.4905799999999998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D3" sqref="D3"/>
    </sheetView>
  </sheetViews>
  <sheetFormatPr defaultRowHeight="15.75" x14ac:dyDescent="0.25"/>
  <cols>
    <col min="3" max="3" width="14.625" bestFit="1" customWidth="1"/>
    <col min="4" max="4" width="14.625" customWidth="1"/>
  </cols>
  <sheetData>
    <row r="1" spans="1:11" x14ac:dyDescent="0.25">
      <c r="C1" s="8" t="s">
        <v>28</v>
      </c>
      <c r="D1" s="8"/>
      <c r="E1" s="8"/>
      <c r="F1" s="8"/>
      <c r="G1" s="8"/>
    </row>
    <row r="2" spans="1:11" x14ac:dyDescent="0.25">
      <c r="A2" t="s">
        <v>2</v>
      </c>
      <c r="B2" s="1" t="s">
        <v>42</v>
      </c>
      <c r="C2" t="s">
        <v>17</v>
      </c>
      <c r="D2" t="s">
        <v>45</v>
      </c>
      <c r="E2" t="s">
        <v>40</v>
      </c>
      <c r="F2" t="s">
        <v>41</v>
      </c>
      <c r="I2" t="s">
        <v>43</v>
      </c>
      <c r="K2" t="s">
        <v>40</v>
      </c>
    </row>
    <row r="3" spans="1:11" x14ac:dyDescent="0.25">
      <c r="A3">
        <v>11.3</v>
      </c>
      <c r="B3" s="1">
        <f t="shared" ref="B3:B20" si="0">100.25+(0.3792*A3)</f>
        <v>104.53496</v>
      </c>
      <c r="C3" s="3">
        <v>-0.501</v>
      </c>
      <c r="D3" s="3">
        <f>0.0546*A3-1.1869</f>
        <v>-0.56991999999999998</v>
      </c>
      <c r="E3" s="3">
        <f>0.0503*A3-1.0216</f>
        <v>-0.45321</v>
      </c>
      <c r="F3" s="1">
        <f>19.8807*C3+20.3101</f>
        <v>10.349869299999998</v>
      </c>
      <c r="G3" s="1">
        <f t="shared" ref="G3:G20" si="1">(D3-E3)/$D$20*100</f>
        <v>-7.4839048913740474</v>
      </c>
      <c r="H3" s="1">
        <f>ABS(G3)</f>
        <v>7.4839048913740474</v>
      </c>
      <c r="I3" s="1" t="s">
        <v>44</v>
      </c>
      <c r="J3" s="5"/>
      <c r="K3" t="s">
        <v>41</v>
      </c>
    </row>
    <row r="4" spans="1:11" x14ac:dyDescent="0.25">
      <c r="A4">
        <v>13.3</v>
      </c>
      <c r="B4" s="1">
        <f t="shared" si="0"/>
        <v>105.29336000000001</v>
      </c>
      <c r="C4" s="3">
        <v>-0.372</v>
      </c>
      <c r="D4" s="3">
        <f t="shared" ref="D4:D20" si="2">0.0546*A4-1.1869</f>
        <v>-0.46072000000000002</v>
      </c>
      <c r="E4" s="3">
        <f t="shared" ref="E4:E20" si="3">0.0503*A4-1.0216</f>
        <v>-0.35261000000000009</v>
      </c>
      <c r="F4" s="1">
        <f t="shared" ref="F4:F20" si="4">19.8807*C4+20.3101</f>
        <v>12.914479599999998</v>
      </c>
      <c r="G4" s="1">
        <f t="shared" si="1"/>
        <v>-6.9324390181342466</v>
      </c>
      <c r="H4" s="1">
        <f t="shared" ref="H4:H20" si="5">ABS(G4)</f>
        <v>6.9324390181342466</v>
      </c>
      <c r="I4" s="1"/>
      <c r="J4" s="5"/>
    </row>
    <row r="5" spans="1:11" x14ac:dyDescent="0.25">
      <c r="A5">
        <v>15.8</v>
      </c>
      <c r="B5" s="1">
        <f t="shared" si="0"/>
        <v>106.24136</v>
      </c>
      <c r="C5" s="3">
        <v>-0.246</v>
      </c>
      <c r="D5" s="3">
        <f t="shared" si="2"/>
        <v>-0.32421999999999995</v>
      </c>
      <c r="E5" s="3">
        <f t="shared" si="3"/>
        <v>-0.22686000000000006</v>
      </c>
      <c r="F5" s="1">
        <f t="shared" si="4"/>
        <v>15.419447799999999</v>
      </c>
      <c r="G5" s="1">
        <f t="shared" si="1"/>
        <v>-6.243106676584496</v>
      </c>
      <c r="H5" s="1">
        <f t="shared" si="5"/>
        <v>6.243106676584496</v>
      </c>
      <c r="I5" s="1"/>
      <c r="J5" s="5"/>
    </row>
    <row r="6" spans="1:11" x14ac:dyDescent="0.25">
      <c r="A6">
        <v>18.5</v>
      </c>
      <c r="B6" s="1">
        <f t="shared" si="0"/>
        <v>107.26519999999999</v>
      </c>
      <c r="C6" s="3">
        <v>-8.7999999999999995E-2</v>
      </c>
      <c r="D6" s="3">
        <f t="shared" si="2"/>
        <v>-0.17680000000000007</v>
      </c>
      <c r="E6" s="3">
        <f t="shared" si="3"/>
        <v>-9.1050000000000075E-2</v>
      </c>
      <c r="F6" s="1">
        <f t="shared" si="4"/>
        <v>18.5605984</v>
      </c>
      <c r="G6" s="1">
        <f t="shared" si="1"/>
        <v>-5.4986277477107759</v>
      </c>
      <c r="H6" s="1">
        <f t="shared" si="5"/>
        <v>5.4986277477107759</v>
      </c>
      <c r="I6" s="1"/>
      <c r="J6" s="5"/>
    </row>
    <row r="7" spans="1:11" x14ac:dyDescent="0.25">
      <c r="A7">
        <v>20.9</v>
      </c>
      <c r="B7" s="1">
        <f t="shared" si="0"/>
        <v>108.17528</v>
      </c>
      <c r="C7" s="3">
        <v>3.9E-2</v>
      </c>
      <c r="D7" s="3">
        <f t="shared" si="2"/>
        <v>-4.5760000000000023E-2</v>
      </c>
      <c r="E7" s="3">
        <f t="shared" si="3"/>
        <v>2.9669999999999863E-2</v>
      </c>
      <c r="F7" s="1">
        <f t="shared" si="4"/>
        <v>21.085447299999998</v>
      </c>
      <c r="G7" s="1">
        <f t="shared" si="1"/>
        <v>-4.836868699823011</v>
      </c>
      <c r="H7" s="1">
        <f t="shared" si="5"/>
        <v>4.836868699823011</v>
      </c>
      <c r="I7" s="1"/>
      <c r="J7" s="5"/>
    </row>
    <row r="8" spans="1:11" x14ac:dyDescent="0.25">
      <c r="A8">
        <v>23.4</v>
      </c>
      <c r="B8" s="1">
        <f t="shared" si="0"/>
        <v>109.12327999999999</v>
      </c>
      <c r="C8" s="3">
        <v>0.17699999999999999</v>
      </c>
      <c r="D8" s="3">
        <f t="shared" si="2"/>
        <v>9.0739999999999821E-2</v>
      </c>
      <c r="E8" s="3">
        <f t="shared" si="3"/>
        <v>0.15541999999999989</v>
      </c>
      <c r="F8" s="1">
        <f t="shared" si="4"/>
        <v>23.828983899999997</v>
      </c>
      <c r="G8" s="1">
        <f t="shared" si="1"/>
        <v>-4.1475363582732756</v>
      </c>
      <c r="H8" s="1">
        <f t="shared" si="5"/>
        <v>4.1475363582732756</v>
      </c>
      <c r="I8" s="1"/>
      <c r="J8" s="5"/>
    </row>
    <row r="9" spans="1:11" x14ac:dyDescent="0.25">
      <c r="A9">
        <v>25.9</v>
      </c>
      <c r="B9" s="1">
        <f t="shared" si="0"/>
        <v>110.07128</v>
      </c>
      <c r="C9" s="3">
        <v>0.29499999999999998</v>
      </c>
      <c r="D9" s="3">
        <f t="shared" si="2"/>
        <v>0.22723999999999989</v>
      </c>
      <c r="E9" s="3">
        <f t="shared" si="3"/>
        <v>0.2811699999999997</v>
      </c>
      <c r="F9" s="1">
        <f t="shared" si="4"/>
        <v>26.174906499999999</v>
      </c>
      <c r="G9" s="1">
        <f t="shared" si="1"/>
        <v>-3.4582040167235117</v>
      </c>
      <c r="H9" s="1">
        <f t="shared" si="5"/>
        <v>3.4582040167235117</v>
      </c>
      <c r="I9" s="1"/>
      <c r="J9" s="5"/>
    </row>
    <row r="10" spans="1:11" x14ac:dyDescent="0.25">
      <c r="A10">
        <v>27.7</v>
      </c>
      <c r="B10" s="1">
        <f t="shared" si="0"/>
        <v>110.75384</v>
      </c>
      <c r="C10" s="3">
        <v>0.39700000000000002</v>
      </c>
      <c r="D10" s="3">
        <f t="shared" si="2"/>
        <v>0.32552000000000003</v>
      </c>
      <c r="E10" s="3">
        <f t="shared" si="3"/>
        <v>0.37170999999999976</v>
      </c>
      <c r="F10" s="1">
        <f t="shared" si="4"/>
        <v>28.202737899999999</v>
      </c>
      <c r="G10" s="1">
        <f t="shared" si="1"/>
        <v>-2.9618847308076885</v>
      </c>
      <c r="H10" s="1">
        <f t="shared" si="5"/>
        <v>2.9618847308076885</v>
      </c>
      <c r="I10" s="1"/>
      <c r="J10" s="5"/>
    </row>
    <row r="11" spans="1:11" x14ac:dyDescent="0.25">
      <c r="A11">
        <v>29.7</v>
      </c>
      <c r="B11" s="1">
        <f t="shared" si="0"/>
        <v>111.51223999999999</v>
      </c>
      <c r="C11" s="3">
        <v>0.496</v>
      </c>
      <c r="D11" s="3">
        <f t="shared" si="2"/>
        <v>0.43472</v>
      </c>
      <c r="E11" s="3">
        <f t="shared" si="3"/>
        <v>0.47230999999999979</v>
      </c>
      <c r="F11" s="1">
        <f t="shared" si="4"/>
        <v>30.170927200000001</v>
      </c>
      <c r="G11" s="1">
        <f t="shared" si="1"/>
        <v>-2.410418857567894</v>
      </c>
      <c r="H11" s="1">
        <f t="shared" si="5"/>
        <v>2.410418857567894</v>
      </c>
      <c r="I11" s="1"/>
      <c r="J11" s="5"/>
    </row>
    <row r="12" spans="1:11" x14ac:dyDescent="0.25">
      <c r="A12">
        <v>31.6</v>
      </c>
      <c r="B12" s="1">
        <f t="shared" si="0"/>
        <v>112.23272</v>
      </c>
      <c r="C12" s="3">
        <v>0.58099999999999996</v>
      </c>
      <c r="D12" s="3">
        <f t="shared" si="2"/>
        <v>0.53846000000000016</v>
      </c>
      <c r="E12" s="3">
        <f t="shared" si="3"/>
        <v>0.56787999999999994</v>
      </c>
      <c r="F12" s="1">
        <f t="shared" si="4"/>
        <v>31.860786699999998</v>
      </c>
      <c r="G12" s="1">
        <f t="shared" si="1"/>
        <v>-1.8865262779900853</v>
      </c>
      <c r="H12" s="1">
        <f t="shared" si="5"/>
        <v>1.8865262779900853</v>
      </c>
      <c r="I12" s="1"/>
      <c r="J12" s="5"/>
    </row>
    <row r="13" spans="1:11" x14ac:dyDescent="0.25">
      <c r="A13">
        <v>33.799999999999997</v>
      </c>
      <c r="B13" s="1">
        <f t="shared" si="0"/>
        <v>113.06695999999999</v>
      </c>
      <c r="C13" s="3">
        <v>0.71299999999999997</v>
      </c>
      <c r="D13" s="3">
        <f t="shared" si="2"/>
        <v>0.65857999999999994</v>
      </c>
      <c r="E13" s="3">
        <f t="shared" si="3"/>
        <v>0.6785399999999997</v>
      </c>
      <c r="F13" s="1">
        <f t="shared" si="4"/>
        <v>34.485039099999995</v>
      </c>
      <c r="G13" s="1">
        <f t="shared" si="1"/>
        <v>-1.2799138174263063</v>
      </c>
      <c r="H13" s="1">
        <f t="shared" si="5"/>
        <v>1.2799138174263063</v>
      </c>
      <c r="I13" s="1"/>
      <c r="J13" s="5"/>
    </row>
    <row r="14" spans="1:11" x14ac:dyDescent="0.25">
      <c r="A14">
        <v>35.6</v>
      </c>
      <c r="B14" s="1">
        <f t="shared" si="0"/>
        <v>113.74952</v>
      </c>
      <c r="C14" s="3">
        <v>0.79400000000000004</v>
      </c>
      <c r="D14" s="3">
        <f t="shared" si="2"/>
        <v>0.75686000000000009</v>
      </c>
      <c r="E14" s="3">
        <f t="shared" si="3"/>
        <v>0.76907999999999999</v>
      </c>
      <c r="F14" s="1">
        <f t="shared" si="4"/>
        <v>36.095375799999999</v>
      </c>
      <c r="G14" s="1">
        <f t="shared" si="1"/>
        <v>-0.78359453151049707</v>
      </c>
      <c r="H14" s="1">
        <f t="shared" si="5"/>
        <v>0.78359453151049707</v>
      </c>
      <c r="I14" s="1"/>
      <c r="J14" s="5"/>
    </row>
    <row r="15" spans="1:11" x14ac:dyDescent="0.25">
      <c r="A15">
        <v>38.700000000000003</v>
      </c>
      <c r="B15" s="1">
        <f t="shared" si="0"/>
        <v>114.92504</v>
      </c>
      <c r="C15" s="3">
        <v>0.94399999999999995</v>
      </c>
      <c r="D15" s="3">
        <f t="shared" si="2"/>
        <v>0.92612000000000005</v>
      </c>
      <c r="E15" s="3">
        <f t="shared" si="3"/>
        <v>0.92500999999999989</v>
      </c>
      <c r="F15" s="1">
        <f t="shared" si="4"/>
        <v>39.077480800000004</v>
      </c>
      <c r="G15" s="1">
        <f t="shared" si="1"/>
        <v>7.1177572011193888E-2</v>
      </c>
      <c r="H15" s="1">
        <f t="shared" si="5"/>
        <v>7.1177572011193888E-2</v>
      </c>
      <c r="I15" s="1"/>
      <c r="J15" s="5"/>
    </row>
    <row r="16" spans="1:11" x14ac:dyDescent="0.25">
      <c r="A16">
        <v>41.1</v>
      </c>
      <c r="B16" s="1">
        <f t="shared" si="0"/>
        <v>115.83512</v>
      </c>
      <c r="C16" s="3">
        <v>1.054</v>
      </c>
      <c r="D16" s="3">
        <f t="shared" si="2"/>
        <v>1.0571600000000001</v>
      </c>
      <c r="E16" s="3">
        <f t="shared" si="3"/>
        <v>1.04573</v>
      </c>
      <c r="F16" s="1">
        <f t="shared" si="4"/>
        <v>41.264357799999999</v>
      </c>
      <c r="G16" s="1">
        <f t="shared" si="1"/>
        <v>0.7329366198989441</v>
      </c>
      <c r="H16" s="1">
        <f t="shared" si="5"/>
        <v>0.7329366198989441</v>
      </c>
      <c r="I16" s="1"/>
      <c r="J16" s="5"/>
    </row>
    <row r="17" spans="1:10" x14ac:dyDescent="0.25">
      <c r="A17">
        <v>42.7</v>
      </c>
      <c r="B17" s="1">
        <f t="shared" si="0"/>
        <v>116.44184</v>
      </c>
      <c r="C17" s="3">
        <v>1.1200000000000001</v>
      </c>
      <c r="D17" s="3">
        <f t="shared" si="2"/>
        <v>1.1445200000000004</v>
      </c>
      <c r="E17" s="3">
        <f t="shared" si="3"/>
        <v>1.1262100000000002</v>
      </c>
      <c r="F17" s="1">
        <f t="shared" si="4"/>
        <v>42.576484000000001</v>
      </c>
      <c r="G17" s="1">
        <f t="shared" si="1"/>
        <v>1.1741093184907965</v>
      </c>
      <c r="H17" s="1">
        <f t="shared" si="5"/>
        <v>1.1741093184907965</v>
      </c>
      <c r="I17" s="1"/>
      <c r="J17" s="5"/>
    </row>
    <row r="18" spans="1:10" x14ac:dyDescent="0.25">
      <c r="A18">
        <v>45.2</v>
      </c>
      <c r="B18" s="1">
        <f t="shared" si="0"/>
        <v>117.38983999999999</v>
      </c>
      <c r="C18" s="3">
        <v>1.2170000000000001</v>
      </c>
      <c r="D18" s="3">
        <f t="shared" si="2"/>
        <v>1.2810200000000003</v>
      </c>
      <c r="E18" s="3">
        <f t="shared" si="3"/>
        <v>1.2519600000000002</v>
      </c>
      <c r="F18" s="1">
        <f t="shared" si="4"/>
        <v>44.504911899999996</v>
      </c>
      <c r="G18" s="1">
        <f t="shared" si="1"/>
        <v>1.8634416600405319</v>
      </c>
      <c r="H18" s="1">
        <f t="shared" si="5"/>
        <v>1.8634416600405319</v>
      </c>
      <c r="I18" s="1"/>
      <c r="J18" s="5"/>
    </row>
    <row r="19" spans="1:10" x14ac:dyDescent="0.25">
      <c r="A19">
        <v>49.3</v>
      </c>
      <c r="B19" s="1">
        <f t="shared" si="0"/>
        <v>118.94456</v>
      </c>
      <c r="C19" s="3">
        <v>1.43</v>
      </c>
      <c r="D19" s="3">
        <f t="shared" si="2"/>
        <v>1.50488</v>
      </c>
      <c r="E19" s="3">
        <f t="shared" si="3"/>
        <v>1.4581899999999999</v>
      </c>
      <c r="F19" s="1">
        <f t="shared" si="4"/>
        <v>48.739500999999997</v>
      </c>
      <c r="G19" s="1">
        <f t="shared" si="1"/>
        <v>2.9939467001821201</v>
      </c>
      <c r="H19" s="1">
        <f t="shared" si="5"/>
        <v>2.9939467001821201</v>
      </c>
      <c r="I19" s="1"/>
      <c r="J19" s="5"/>
    </row>
    <row r="20" spans="1:10" x14ac:dyDescent="0.25">
      <c r="A20">
        <v>50.3</v>
      </c>
      <c r="B20" s="1">
        <f t="shared" si="0"/>
        <v>119.32375999999999</v>
      </c>
      <c r="C20" s="3">
        <v>1.49</v>
      </c>
      <c r="D20" s="3">
        <f t="shared" si="2"/>
        <v>1.5594799999999998</v>
      </c>
      <c r="E20" s="3">
        <f t="shared" si="3"/>
        <v>1.5084899999999999</v>
      </c>
      <c r="F20" s="1">
        <f t="shared" si="4"/>
        <v>49.932343000000003</v>
      </c>
      <c r="G20" s="1">
        <f t="shared" si="1"/>
        <v>3.2696796368020031</v>
      </c>
      <c r="H20" s="1">
        <f t="shared" si="5"/>
        <v>3.2696796368020031</v>
      </c>
      <c r="I20" s="1"/>
      <c r="J20" s="5"/>
    </row>
    <row r="21" spans="1:10" x14ac:dyDescent="0.25">
      <c r="H21" s="1">
        <f>MAX(H3:H20)</f>
        <v>7.4839048913740474</v>
      </c>
    </row>
  </sheetData>
  <mergeCells count="1">
    <mergeCell ref="C1:G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I1" workbookViewId="0">
      <selection activeCell="U3" sqref="U3:U8"/>
    </sheetView>
  </sheetViews>
  <sheetFormatPr defaultRowHeight="15.75" x14ac:dyDescent="0.25"/>
  <cols>
    <col min="3" max="3" width="13" bestFit="1" customWidth="1"/>
    <col min="4" max="4" width="6" bestFit="1" customWidth="1"/>
    <col min="14" max="14" width="17.5" bestFit="1" customWidth="1"/>
  </cols>
  <sheetData>
    <row r="1" spans="1:21" x14ac:dyDescent="0.25">
      <c r="A1" t="s">
        <v>20</v>
      </c>
      <c r="B1" t="s">
        <v>21</v>
      </c>
      <c r="C1" t="s">
        <v>24</v>
      </c>
      <c r="D1" t="s">
        <v>25</v>
      </c>
      <c r="G1" t="s">
        <v>60</v>
      </c>
      <c r="H1" t="s">
        <v>61</v>
      </c>
    </row>
    <row r="2" spans="1:21" x14ac:dyDescent="0.25">
      <c r="A2" t="s">
        <v>23</v>
      </c>
      <c r="B2">
        <v>60</v>
      </c>
      <c r="C2">
        <v>4.0999999999999996</v>
      </c>
      <c r="D2">
        <v>0.72</v>
      </c>
      <c r="E2">
        <v>3.11</v>
      </c>
      <c r="F2">
        <f>C2-E2</f>
        <v>0.98999999999999977</v>
      </c>
      <c r="G2">
        <f>(14.6997-16.5017*D2)</f>
        <v>2.8184760000000004</v>
      </c>
      <c r="H2">
        <f>15.0118-16.8067*D2</f>
        <v>2.9109759999999998</v>
      </c>
      <c r="I2">
        <f>(C2-H2)/$C$7*100</f>
        <v>11.772514851485147</v>
      </c>
      <c r="L2" t="s">
        <v>54</v>
      </c>
      <c r="M2" t="s">
        <v>55</v>
      </c>
      <c r="N2" t="s">
        <v>56</v>
      </c>
      <c r="O2" t="s">
        <v>57</v>
      </c>
      <c r="P2" t="s">
        <v>64</v>
      </c>
      <c r="Q2" t="s">
        <v>62</v>
      </c>
      <c r="R2" t="s">
        <v>63</v>
      </c>
      <c r="S2" t="s">
        <v>65</v>
      </c>
      <c r="T2" t="s">
        <v>66</v>
      </c>
      <c r="U2" t="s">
        <v>67</v>
      </c>
    </row>
    <row r="3" spans="1:21" x14ac:dyDescent="0.25">
      <c r="A3" t="s">
        <v>22</v>
      </c>
      <c r="B3">
        <v>60</v>
      </c>
      <c r="C3">
        <v>4.5</v>
      </c>
      <c r="D3">
        <v>0.59099999999999997</v>
      </c>
      <c r="E3">
        <v>5.79</v>
      </c>
      <c r="F3">
        <f t="shared" ref="F3:F7" si="0">C3-E3</f>
        <v>-1.29</v>
      </c>
      <c r="G3">
        <f t="shared" ref="G3:G7" si="1">(14.6997-16.5017*D3)</f>
        <v>4.9471953000000006</v>
      </c>
      <c r="H3">
        <f t="shared" ref="H3:H7" si="2">15.0118-16.8067*D3</f>
        <v>5.0790403000000008</v>
      </c>
      <c r="I3">
        <f t="shared" ref="I3:I7" si="3">(C3-H3)/$C$7*100</f>
        <v>-5.7330722772277314</v>
      </c>
      <c r="L3" t="s">
        <v>23</v>
      </c>
      <c r="M3">
        <v>60</v>
      </c>
      <c r="N3">
        <v>4.0999999999999996</v>
      </c>
      <c r="O3" s="3">
        <v>0.72</v>
      </c>
      <c r="P3" s="3">
        <f>15.0118-16.8067*O3</f>
        <v>2.9109759999999998</v>
      </c>
      <c r="Q3" s="2">
        <f>1/O3</f>
        <v>1.3888888888888888</v>
      </c>
      <c r="R3">
        <f>Q3*60</f>
        <v>83.333333333333329</v>
      </c>
      <c r="S3">
        <f>0.01885*R3</f>
        <v>1.5708333333333331</v>
      </c>
      <c r="T3" s="7">
        <f>S3/P3</f>
        <v>0.53962428179872768</v>
      </c>
      <c r="U3" s="1">
        <f>(N3-P3)/$N$8*100</f>
        <v>11.772514851485147</v>
      </c>
    </row>
    <row r="4" spans="1:21" x14ac:dyDescent="0.25">
      <c r="A4" t="s">
        <v>23</v>
      </c>
      <c r="B4">
        <v>40</v>
      </c>
      <c r="C4">
        <v>5.7</v>
      </c>
      <c r="D4">
        <v>0.53500000000000003</v>
      </c>
      <c r="E4">
        <v>5.47</v>
      </c>
      <c r="F4">
        <f t="shared" si="0"/>
        <v>0.23000000000000043</v>
      </c>
      <c r="G4">
        <f t="shared" si="1"/>
        <v>5.8712904999999989</v>
      </c>
      <c r="H4">
        <f t="shared" si="2"/>
        <v>6.0202154999999991</v>
      </c>
      <c r="I4">
        <f t="shared" si="3"/>
        <v>-3.1704504950494941</v>
      </c>
      <c r="L4" t="s">
        <v>22</v>
      </c>
      <c r="M4">
        <v>60</v>
      </c>
      <c r="N4">
        <v>4.5</v>
      </c>
      <c r="O4" s="3">
        <v>0.59099999999999997</v>
      </c>
      <c r="P4" s="3">
        <f t="shared" ref="P4:P8" si="4">15.0118-16.8067*O4</f>
        <v>5.0790403000000008</v>
      </c>
      <c r="Q4" s="2">
        <f t="shared" ref="Q4:Q8" si="5">1/O4</f>
        <v>1.6920473773265652</v>
      </c>
      <c r="R4">
        <f t="shared" ref="R4:R8" si="6">Q4*60</f>
        <v>101.5228426395939</v>
      </c>
      <c r="S4">
        <f t="shared" ref="S4:S8" si="7">0.01885*R4</f>
        <v>1.913705583756345</v>
      </c>
      <c r="T4" s="7">
        <f t="shared" ref="T4:T8" si="8">S4/P4</f>
        <v>0.37678487878041539</v>
      </c>
      <c r="U4" s="1">
        <f t="shared" ref="U4:U8" si="9">(N4-P4)/$N$8*100</f>
        <v>-5.7330722772277314</v>
      </c>
    </row>
    <row r="5" spans="1:21" x14ac:dyDescent="0.25">
      <c r="A5" t="s">
        <v>23</v>
      </c>
      <c r="B5">
        <v>20</v>
      </c>
      <c r="C5">
        <v>6.9</v>
      </c>
      <c r="D5">
        <v>0.47599999999999998</v>
      </c>
      <c r="E5">
        <v>7.7</v>
      </c>
      <c r="F5">
        <f t="shared" si="0"/>
        <v>-0.79999999999999982</v>
      </c>
      <c r="G5">
        <f t="shared" si="1"/>
        <v>6.8448908000000008</v>
      </c>
      <c r="H5">
        <f t="shared" si="2"/>
        <v>7.0118108000000001</v>
      </c>
      <c r="I5">
        <f t="shared" si="3"/>
        <v>-1.107037623762374</v>
      </c>
      <c r="L5" t="s">
        <v>23</v>
      </c>
      <c r="M5">
        <v>40</v>
      </c>
      <c r="N5">
        <v>5.7</v>
      </c>
      <c r="O5" s="3">
        <v>0.53500000000000003</v>
      </c>
      <c r="P5" s="3">
        <f t="shared" si="4"/>
        <v>6.0202154999999991</v>
      </c>
      <c r="Q5" s="2">
        <f t="shared" si="5"/>
        <v>1.8691588785046729</v>
      </c>
      <c r="R5">
        <f t="shared" si="6"/>
        <v>112.14953271028037</v>
      </c>
      <c r="S5">
        <f t="shared" si="7"/>
        <v>2.1140186915887846</v>
      </c>
      <c r="T5" s="7">
        <f t="shared" si="8"/>
        <v>0.35115332525700865</v>
      </c>
      <c r="U5" s="1">
        <f t="shared" si="9"/>
        <v>-3.1704504950494941</v>
      </c>
    </row>
    <row r="6" spans="1:21" x14ac:dyDescent="0.25">
      <c r="A6" t="s">
        <v>22</v>
      </c>
      <c r="B6">
        <v>40</v>
      </c>
      <c r="C6">
        <v>7.3</v>
      </c>
      <c r="D6">
        <v>0.41199999999999998</v>
      </c>
      <c r="E6">
        <v>8.1199999999999992</v>
      </c>
      <c r="F6">
        <f t="shared" si="0"/>
        <v>-0.8199999999999994</v>
      </c>
      <c r="G6">
        <f t="shared" si="1"/>
        <v>7.9009996000000005</v>
      </c>
      <c r="H6">
        <f t="shared" si="2"/>
        <v>8.0874395999999997</v>
      </c>
      <c r="I6">
        <f t="shared" si="3"/>
        <v>-7.7964316831683158</v>
      </c>
      <c r="L6" t="s">
        <v>23</v>
      </c>
      <c r="M6">
        <v>20</v>
      </c>
      <c r="N6">
        <v>6.9</v>
      </c>
      <c r="O6" s="3">
        <v>0.47599999999999998</v>
      </c>
      <c r="P6" s="3">
        <f t="shared" si="4"/>
        <v>7.0118108000000001</v>
      </c>
      <c r="Q6" s="2">
        <f t="shared" si="5"/>
        <v>2.1008403361344539</v>
      </c>
      <c r="R6">
        <f t="shared" si="6"/>
        <v>126.05042016806723</v>
      </c>
      <c r="S6">
        <f t="shared" si="7"/>
        <v>2.3760504201680672</v>
      </c>
      <c r="T6" s="7">
        <f t="shared" si="8"/>
        <v>0.33886402356550566</v>
      </c>
      <c r="U6" s="1">
        <f t="shared" si="9"/>
        <v>-1.107037623762374</v>
      </c>
    </row>
    <row r="7" spans="1:21" x14ac:dyDescent="0.25">
      <c r="A7" t="s">
        <v>22</v>
      </c>
      <c r="B7">
        <v>20</v>
      </c>
      <c r="C7">
        <v>10.1</v>
      </c>
      <c r="D7" s="3">
        <v>0.32700000000000001</v>
      </c>
      <c r="E7">
        <v>9.6999999999999993</v>
      </c>
      <c r="F7">
        <f t="shared" si="0"/>
        <v>0.40000000000000036</v>
      </c>
      <c r="G7">
        <f t="shared" si="1"/>
        <v>9.3036440999999996</v>
      </c>
      <c r="H7">
        <f t="shared" si="2"/>
        <v>9.516009099999998</v>
      </c>
      <c r="I7">
        <f t="shared" si="3"/>
        <v>5.782088118811898</v>
      </c>
      <c r="L7" t="s">
        <v>22</v>
      </c>
      <c r="M7">
        <v>40</v>
      </c>
      <c r="N7">
        <v>7.3</v>
      </c>
      <c r="O7" s="3">
        <v>0.41199999999999998</v>
      </c>
      <c r="P7" s="3">
        <f t="shared" si="4"/>
        <v>8.0874395999999997</v>
      </c>
      <c r="Q7" s="2">
        <f t="shared" si="5"/>
        <v>2.4271844660194177</v>
      </c>
      <c r="R7">
        <f t="shared" si="6"/>
        <v>145.63106796116506</v>
      </c>
      <c r="S7">
        <f t="shared" si="7"/>
        <v>2.7451456310679609</v>
      </c>
      <c r="T7" s="7">
        <f t="shared" si="8"/>
        <v>0.33943321580639207</v>
      </c>
      <c r="U7" s="1">
        <f t="shared" si="9"/>
        <v>-7.7964316831683158</v>
      </c>
    </row>
    <row r="8" spans="1:21" x14ac:dyDescent="0.25">
      <c r="L8" t="s">
        <v>22</v>
      </c>
      <c r="M8">
        <v>20</v>
      </c>
      <c r="N8">
        <v>10.1</v>
      </c>
      <c r="O8" s="3">
        <v>0.32700000000000001</v>
      </c>
      <c r="P8" s="3">
        <f t="shared" si="4"/>
        <v>9.516009099999998</v>
      </c>
      <c r="Q8" s="2">
        <f t="shared" si="5"/>
        <v>3.0581039755351682</v>
      </c>
      <c r="R8">
        <f t="shared" si="6"/>
        <v>183.48623853211009</v>
      </c>
      <c r="S8">
        <f t="shared" si="7"/>
        <v>3.4587155963302751</v>
      </c>
      <c r="T8" s="7">
        <f t="shared" si="8"/>
        <v>0.36346282984641909</v>
      </c>
      <c r="U8" s="1">
        <f t="shared" si="9"/>
        <v>5.782088118811898</v>
      </c>
    </row>
    <row r="9" spans="1:21" x14ac:dyDescent="0.25">
      <c r="T9">
        <f>AVERAGE(T3:T8)</f>
        <v>0.38488709250907815</v>
      </c>
    </row>
    <row r="11" spans="1:21" x14ac:dyDescent="0.25">
      <c r="J11" t="s">
        <v>58</v>
      </c>
    </row>
    <row r="12" spans="1:21" x14ac:dyDescent="0.25">
      <c r="J12" t="s">
        <v>59</v>
      </c>
    </row>
  </sheetData>
  <sortState ref="L3:N8">
    <sortCondition ref="N3:N8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Sensor de Nível (Capacitância)</vt:lpstr>
      <vt:lpstr>Pt100 (Resistência)</vt:lpstr>
      <vt:lpstr>Pt100 (Condicionado")</vt:lpstr>
      <vt:lpstr>Circuito Simulado</vt:lpstr>
      <vt:lpstr>Plan1</vt:lpstr>
      <vt:lpstr>Plan4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Sheila</cp:lastModifiedBy>
  <dcterms:created xsi:type="dcterms:W3CDTF">2016-06-03T17:30:18Z</dcterms:created>
  <dcterms:modified xsi:type="dcterms:W3CDTF">2016-06-27T17:44:35Z</dcterms:modified>
</cp:coreProperties>
</file>