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0d2b4aa944a63/Escritorio/"/>
    </mc:Choice>
  </mc:AlternateContent>
  <xr:revisionPtr revIDLastSave="6" documentId="11_65CE357AF9A27A5427D0C478E3798B584B554070" xr6:coauthVersionLast="47" xr6:coauthVersionMax="47" xr10:uidLastSave="{0EFD63DC-C643-4CB3-B9EA-AC1DF0016824}"/>
  <bookViews>
    <workbookView xWindow="-108" yWindow="-108" windowWidth="23256" windowHeight="12456" tabRatio="833" activeTab="1" xr2:uid="{00000000-000D-0000-FFFF-FFFF00000000}"/>
  </bookViews>
  <sheets>
    <sheet name="Tasa Bruta | BF Vs Imp" sheetId="12" r:id="rId1"/>
    <sheet name="Comparativo | AZ vs Trad" sheetId="14" r:id="rId2"/>
    <sheet name="Grafica Comparativo" sheetId="15" state="hidden" r:id="rId3"/>
    <sheet name="Detalle Comparativo" sheetId="13" state="hidden" r:id="rId4"/>
    <sheet name="Supuestos" sheetId="1" r:id="rId5"/>
    <sheet name="Tabla Comparativa 10 años" sheetId="10" r:id="rId6"/>
    <sheet name="Tabla Comparativa 25 años" sheetId="11" r:id="rId7"/>
    <sheet name="Gráfica 10 años" sheetId="8" r:id="rId8"/>
    <sheet name="Gráfica 25 años" sheetId="7" r:id="rId9"/>
    <sheet name="Detalle" sheetId="4" state="hidden" r:id="rId10"/>
  </sheets>
  <externalReferences>
    <externalReference r:id="rId11"/>
  </externalReferences>
  <definedNames>
    <definedName name="_xlnm.Print_Area" localSheetId="6">'Tabla Comparativa 25 años'!$D$12:$O$74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6" i="14" l="1"/>
  <c r="K16" i="14"/>
  <c r="K17" i="14" l="1"/>
  <c r="K19" i="14"/>
  <c r="AZ19" i="14" s="1"/>
  <c r="C8" i="15" s="1"/>
  <c r="D8" i="15"/>
  <c r="D9" i="15"/>
  <c r="C10" i="15"/>
  <c r="BA15" i="14"/>
  <c r="D5" i="15" s="1"/>
  <c r="AZ15" i="14"/>
  <c r="C5" i="15" s="1"/>
  <c r="AQ26" i="14"/>
  <c r="AQ17" i="14"/>
  <c r="AQ18" i="14" s="1"/>
  <c r="BA21" i="14" s="1"/>
  <c r="D10" i="15" s="1"/>
  <c r="AQ15" i="14"/>
  <c r="BA22" i="14" s="1"/>
  <c r="K15" i="14"/>
  <c r="AZ22" i="14" s="1"/>
  <c r="BA26" i="14" s="1"/>
  <c r="D15" i="15" s="1"/>
  <c r="BG8" i="14"/>
  <c r="BG23" i="14" s="1"/>
  <c r="BF8" i="14"/>
  <c r="BF23" i="14" s="1"/>
  <c r="BG6" i="14"/>
  <c r="BG26" i="14" s="1"/>
  <c r="BF6" i="14"/>
  <c r="BF7" i="14" s="1"/>
  <c r="P6" i="12"/>
  <c r="P18" i="12" s="1"/>
  <c r="D6" i="13" s="1"/>
  <c r="O6" i="12"/>
  <c r="O18" i="12"/>
  <c r="C6" i="13"/>
  <c r="P4" i="12"/>
  <c r="P20" i="12" s="1"/>
  <c r="D8" i="13" s="1"/>
  <c r="O4" i="12"/>
  <c r="D13" i="12"/>
  <c r="K7" i="12"/>
  <c r="G6" i="11"/>
  <c r="L18" i="11" s="1"/>
  <c r="G5" i="11"/>
  <c r="G6" i="10"/>
  <c r="G5" i="10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B21" i="11"/>
  <c r="F20" i="11"/>
  <c r="B20" i="11"/>
  <c r="F19" i="11"/>
  <c r="G18" i="11"/>
  <c r="B17" i="11"/>
  <c r="B16" i="11"/>
  <c r="K6" i="11"/>
  <c r="J6" i="11"/>
  <c r="I6" i="11"/>
  <c r="K5" i="11"/>
  <c r="J5" i="11"/>
  <c r="I5" i="11"/>
  <c r="B5" i="11"/>
  <c r="K4" i="11"/>
  <c r="J4" i="11"/>
  <c r="I4" i="11"/>
  <c r="G4" i="11"/>
  <c r="B4" i="11"/>
  <c r="M3" i="11"/>
  <c r="L3" i="11"/>
  <c r="K3" i="11"/>
  <c r="J3" i="11"/>
  <c r="I3" i="11"/>
  <c r="G3" i="11"/>
  <c r="B3" i="11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B21" i="10"/>
  <c r="F20" i="10"/>
  <c r="B20" i="10"/>
  <c r="F19" i="10"/>
  <c r="G18" i="10"/>
  <c r="B17" i="10"/>
  <c r="B16" i="10"/>
  <c r="K6" i="10"/>
  <c r="J6" i="10"/>
  <c r="I6" i="10"/>
  <c r="N5" i="10" s="1"/>
  <c r="K5" i="10"/>
  <c r="J5" i="10"/>
  <c r="I5" i="10"/>
  <c r="B5" i="10"/>
  <c r="K4" i="10"/>
  <c r="J4" i="10"/>
  <c r="I4" i="10"/>
  <c r="G4" i="10"/>
  <c r="B4" i="10"/>
  <c r="M3" i="10"/>
  <c r="L3" i="10"/>
  <c r="K3" i="10"/>
  <c r="J3" i="10"/>
  <c r="I3" i="10"/>
  <c r="G3" i="10"/>
  <c r="B3" i="10"/>
  <c r="E7" i="1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M3" i="4"/>
  <c r="L3" i="4"/>
  <c r="K4" i="4"/>
  <c r="K5" i="4"/>
  <c r="K6" i="4"/>
  <c r="K3" i="4"/>
  <c r="J4" i="4"/>
  <c r="J5" i="4"/>
  <c r="J6" i="4"/>
  <c r="J3" i="4"/>
  <c r="I6" i="4"/>
  <c r="I5" i="4"/>
  <c r="I4" i="4"/>
  <c r="I3" i="4"/>
  <c r="G6" i="4"/>
  <c r="G5" i="4"/>
  <c r="G4" i="4"/>
  <c r="G3" i="4"/>
  <c r="G18" i="4"/>
  <c r="G48" i="4" s="1"/>
  <c r="F16" i="1"/>
  <c r="G49" i="11"/>
  <c r="G49" i="10"/>
  <c r="G28" i="10"/>
  <c r="G59" i="10"/>
  <c r="E29" i="8"/>
  <c r="E29" i="7"/>
  <c r="F29" i="8"/>
  <c r="F29" i="7"/>
  <c r="D29" i="7"/>
  <c r="D29" i="8"/>
  <c r="N5" i="11" l="1"/>
  <c r="N4" i="10"/>
  <c r="J28" i="10"/>
  <c r="N4" i="4"/>
  <c r="O5" i="12"/>
  <c r="P5" i="12"/>
  <c r="O9" i="12"/>
  <c r="O17" i="12" s="1"/>
  <c r="BA28" i="14"/>
  <c r="D17" i="15" s="1"/>
  <c r="BA27" i="14"/>
  <c r="D16" i="15" s="1"/>
  <c r="AZ26" i="14"/>
  <c r="C15" i="15" s="1"/>
  <c r="AZ23" i="14"/>
  <c r="C12" i="15" s="1"/>
  <c r="BA23" i="14"/>
  <c r="D12" i="15" s="1"/>
  <c r="AZ28" i="14"/>
  <c r="C17" i="15" s="1"/>
  <c r="BA17" i="14"/>
  <c r="AZ17" i="14"/>
  <c r="AQ29" i="14"/>
  <c r="BA18" i="14"/>
  <c r="K20" i="14"/>
  <c r="AQ23" i="14"/>
  <c r="BG7" i="14"/>
  <c r="BG9" i="14" s="1"/>
  <c r="BG11" i="14" s="1"/>
  <c r="BG27" i="14" s="1"/>
  <c r="BF28" i="14" s="1"/>
  <c r="BF9" i="14"/>
  <c r="BF22" i="14"/>
  <c r="BG22" i="14"/>
  <c r="J48" i="4"/>
  <c r="L48" i="4"/>
  <c r="N5" i="4"/>
  <c r="N4" i="11"/>
  <c r="J18" i="4"/>
  <c r="J18" i="10"/>
  <c r="J18" i="11"/>
  <c r="L18" i="4"/>
  <c r="L18" i="10"/>
  <c r="L28" i="10"/>
  <c r="N3" i="10"/>
  <c r="N2" i="11"/>
  <c r="N2" i="10"/>
  <c r="N2" i="4"/>
  <c r="K18" i="11"/>
  <c r="M18" i="11" s="1"/>
  <c r="I49" i="11"/>
  <c r="N3" i="11"/>
  <c r="K48" i="4"/>
  <c r="I18" i="11"/>
  <c r="K49" i="10"/>
  <c r="I59" i="10"/>
  <c r="I18" i="10"/>
  <c r="I48" i="4"/>
  <c r="I18" i="4"/>
  <c r="K18" i="4"/>
  <c r="N3" i="4"/>
  <c r="I28" i="10"/>
  <c r="I49" i="10"/>
  <c r="K59" i="10"/>
  <c r="K49" i="11"/>
  <c r="K18" i="10"/>
  <c r="K28" i="10"/>
  <c r="J49" i="10"/>
  <c r="L49" i="11"/>
  <c r="J49" i="11"/>
  <c r="L59" i="10"/>
  <c r="L49" i="10"/>
  <c r="J59" i="10"/>
  <c r="D7" i="12"/>
  <c r="C12" i="13" s="1"/>
  <c r="P9" i="12"/>
  <c r="P17" i="12" s="1"/>
  <c r="D5" i="13" s="1"/>
  <c r="O7" i="12"/>
  <c r="P7" i="12"/>
  <c r="P8" i="12" s="1"/>
  <c r="P21" i="12" s="1"/>
  <c r="O22" i="12" s="1"/>
  <c r="D8" i="12" s="1"/>
  <c r="N59" i="10" l="1"/>
  <c r="N49" i="10"/>
  <c r="G50" i="10" s="1"/>
  <c r="N48" i="4"/>
  <c r="E4" i="8" s="1"/>
  <c r="O14" i="12"/>
  <c r="C5" i="13"/>
  <c r="BA24" i="14"/>
  <c r="D13" i="15" s="1"/>
  <c r="D6" i="15"/>
  <c r="BA25" i="14"/>
  <c r="D14" i="15" s="1"/>
  <c r="D7" i="15"/>
  <c r="AZ24" i="14"/>
  <c r="C13" i="15" s="1"/>
  <c r="C6" i="15"/>
  <c r="K21" i="14"/>
  <c r="AZ20" i="14"/>
  <c r="C9" i="15" s="1"/>
  <c r="BG25" i="14"/>
  <c r="BG19" i="14"/>
  <c r="BF19" i="14"/>
  <c r="BF25" i="14"/>
  <c r="M48" i="4"/>
  <c r="F4" i="8" s="1"/>
  <c r="M18" i="4"/>
  <c r="N18" i="4" s="1"/>
  <c r="Q48" i="4" s="1"/>
  <c r="M28" i="10"/>
  <c r="M18" i="10"/>
  <c r="N18" i="10" s="1"/>
  <c r="N18" i="11"/>
  <c r="G19" i="11" s="1"/>
  <c r="J19" i="11" s="1"/>
  <c r="M49" i="10"/>
  <c r="Q49" i="10" s="1"/>
  <c r="N49" i="11"/>
  <c r="G50" i="11" s="1"/>
  <c r="L50" i="11" s="1"/>
  <c r="F4" i="7"/>
  <c r="R48" i="4"/>
  <c r="M16" i="1" s="1"/>
  <c r="M49" i="11"/>
  <c r="Q49" i="11" s="1"/>
  <c r="N28" i="10"/>
  <c r="G29" i="10" s="1"/>
  <c r="G49" i="4"/>
  <c r="L49" i="4" s="1"/>
  <c r="M59" i="10"/>
  <c r="G60" i="10"/>
  <c r="L60" i="10" s="1"/>
  <c r="J50" i="10"/>
  <c r="I50" i="10"/>
  <c r="L50" i="10"/>
  <c r="K50" i="10"/>
  <c r="O19" i="12"/>
  <c r="P19" i="12"/>
  <c r="D7" i="13" s="1"/>
  <c r="P14" i="12"/>
  <c r="Q14" i="12" s="1"/>
  <c r="D10" i="12" s="1"/>
  <c r="E4" i="7" l="1"/>
  <c r="C7" i="13"/>
  <c r="K23" i="14"/>
  <c r="K29" i="14"/>
  <c r="AQ32" i="14" s="1"/>
  <c r="AZ18" i="14"/>
  <c r="AZ27" i="14"/>
  <c r="C16" i="15" s="1"/>
  <c r="K26" i="14"/>
  <c r="BH19" i="14"/>
  <c r="L19" i="11"/>
  <c r="G19" i="10"/>
  <c r="O49" i="10"/>
  <c r="M6" i="10" s="1"/>
  <c r="P49" i="10"/>
  <c r="S49" i="10" s="1"/>
  <c r="R49" i="10"/>
  <c r="XFD49" i="10"/>
  <c r="I19" i="11"/>
  <c r="K19" i="11"/>
  <c r="M19" i="11" s="1"/>
  <c r="P49" i="11"/>
  <c r="S49" i="11" s="1"/>
  <c r="O49" i="11"/>
  <c r="M6" i="11" s="1"/>
  <c r="R49" i="11"/>
  <c r="XFD49" i="11"/>
  <c r="J60" i="10"/>
  <c r="I49" i="4"/>
  <c r="K49" i="4"/>
  <c r="M49" i="4" s="1"/>
  <c r="J49" i="4"/>
  <c r="O59" i="10"/>
  <c r="D4" i="8"/>
  <c r="G19" i="4"/>
  <c r="D4" i="7"/>
  <c r="P48" i="4"/>
  <c r="K16" i="1" s="1"/>
  <c r="O48" i="4"/>
  <c r="J29" i="10"/>
  <c r="I29" i="10"/>
  <c r="L29" i="10"/>
  <c r="K29" i="10"/>
  <c r="K60" i="10"/>
  <c r="M60" i="10" s="1"/>
  <c r="R59" i="10"/>
  <c r="XFC48" i="4"/>
  <c r="M50" i="10"/>
  <c r="Q50" i="10" s="1"/>
  <c r="N50" i="10"/>
  <c r="I50" i="11"/>
  <c r="J50" i="11"/>
  <c r="K50" i="11"/>
  <c r="M50" i="11" s="1"/>
  <c r="Q50" i="11" s="1"/>
  <c r="I60" i="10"/>
  <c r="D9" i="12"/>
  <c r="D9" i="13"/>
  <c r="C10" i="13" s="1"/>
  <c r="AZ25" i="14" l="1"/>
  <c r="C14" i="15" s="1"/>
  <c r="C7" i="15"/>
  <c r="N50" i="11"/>
  <c r="N19" i="11"/>
  <c r="G20" i="11" s="1"/>
  <c r="J20" i="11" s="1"/>
  <c r="I19" i="10"/>
  <c r="J19" i="10"/>
  <c r="K19" i="10"/>
  <c r="L19" i="10"/>
  <c r="R50" i="11"/>
  <c r="N60" i="10"/>
  <c r="G61" i="10" s="1"/>
  <c r="I61" i="10" s="1"/>
  <c r="M29" i="10"/>
  <c r="N29" i="10" s="1"/>
  <c r="G51" i="10"/>
  <c r="I51" i="10" s="1"/>
  <c r="J19" i="4"/>
  <c r="I19" i="4"/>
  <c r="L19" i="4"/>
  <c r="K19" i="4"/>
  <c r="N49" i="4"/>
  <c r="J16" i="1"/>
  <c r="M6" i="4"/>
  <c r="F5" i="8"/>
  <c r="F5" i="7"/>
  <c r="R49" i="4"/>
  <c r="M17" i="1" s="1"/>
  <c r="XFD50" i="11" l="1"/>
  <c r="K20" i="11"/>
  <c r="I20" i="11"/>
  <c r="L20" i="11"/>
  <c r="M20" i="11" s="1"/>
  <c r="N20" i="11" s="1"/>
  <c r="G21" i="11" s="1"/>
  <c r="L21" i="11" s="1"/>
  <c r="O50" i="11"/>
  <c r="M19" i="10"/>
  <c r="P50" i="11"/>
  <c r="S50" i="11" s="1"/>
  <c r="G51" i="11"/>
  <c r="I51" i="11" s="1"/>
  <c r="N19" i="10"/>
  <c r="J61" i="10"/>
  <c r="N61" i="10" s="1"/>
  <c r="L61" i="10"/>
  <c r="M19" i="4"/>
  <c r="N19" i="4" s="1"/>
  <c r="G20" i="4" s="1"/>
  <c r="K61" i="10"/>
  <c r="G30" i="10"/>
  <c r="R60" i="10"/>
  <c r="O60" i="10"/>
  <c r="L51" i="10"/>
  <c r="J51" i="10"/>
  <c r="N51" i="10" s="1"/>
  <c r="K51" i="10"/>
  <c r="D5" i="7"/>
  <c r="E5" i="7"/>
  <c r="E5" i="8"/>
  <c r="G50" i="4"/>
  <c r="L51" i="11" l="1"/>
  <c r="K51" i="11"/>
  <c r="D5" i="8"/>
  <c r="M61" i="10"/>
  <c r="J21" i="11"/>
  <c r="I21" i="11"/>
  <c r="K21" i="11"/>
  <c r="J51" i="11"/>
  <c r="N51" i="11" s="1"/>
  <c r="G52" i="11" s="1"/>
  <c r="I52" i="11" s="1"/>
  <c r="O50" i="10"/>
  <c r="P50" i="10"/>
  <c r="S50" i="10" s="1"/>
  <c r="R50" i="10"/>
  <c r="XFD50" i="10"/>
  <c r="G20" i="10"/>
  <c r="O49" i="4"/>
  <c r="J17" i="1" s="1"/>
  <c r="M51" i="11"/>
  <c r="Q51" i="11" s="1"/>
  <c r="P49" i="4"/>
  <c r="K17" i="1" s="1"/>
  <c r="XFC49" i="4"/>
  <c r="Q49" i="4"/>
  <c r="M51" i="10"/>
  <c r="M21" i="11"/>
  <c r="N21" i="11" s="1"/>
  <c r="G22" i="11" s="1"/>
  <c r="L22" i="11" s="1"/>
  <c r="K30" i="10"/>
  <c r="L30" i="10"/>
  <c r="I30" i="10"/>
  <c r="J30" i="10"/>
  <c r="G52" i="10"/>
  <c r="L52" i="10" s="1"/>
  <c r="I20" i="4"/>
  <c r="J20" i="4"/>
  <c r="L20" i="4"/>
  <c r="K20" i="4"/>
  <c r="L50" i="4"/>
  <c r="I50" i="4"/>
  <c r="J50" i="4"/>
  <c r="K50" i="4"/>
  <c r="N50" i="4"/>
  <c r="G62" i="10"/>
  <c r="M50" i="4" l="1"/>
  <c r="O51" i="11"/>
  <c r="R51" i="11"/>
  <c r="P51" i="11"/>
  <c r="S51" i="11" s="1"/>
  <c r="XFD51" i="11"/>
  <c r="L20" i="10"/>
  <c r="K20" i="10"/>
  <c r="M20" i="10" s="1"/>
  <c r="I20" i="10"/>
  <c r="J20" i="10"/>
  <c r="K22" i="11"/>
  <c r="M22" i="11" s="1"/>
  <c r="I22" i="11"/>
  <c r="M20" i="4"/>
  <c r="N20" i="4" s="1"/>
  <c r="J22" i="11"/>
  <c r="Q51" i="10"/>
  <c r="J52" i="11"/>
  <c r="N52" i="11" s="1"/>
  <c r="L52" i="11"/>
  <c r="K52" i="11"/>
  <c r="M30" i="10"/>
  <c r="N30" i="10" s="1"/>
  <c r="K52" i="10"/>
  <c r="M52" i="10" s="1"/>
  <c r="J52" i="10"/>
  <c r="G51" i="4"/>
  <c r="E6" i="7"/>
  <c r="E6" i="8"/>
  <c r="I52" i="10"/>
  <c r="F6" i="7"/>
  <c r="R50" i="4"/>
  <c r="M18" i="1" s="1"/>
  <c r="F6" i="8"/>
  <c r="J62" i="10"/>
  <c r="K62" i="10"/>
  <c r="I62" i="10"/>
  <c r="L62" i="10"/>
  <c r="M52" i="11" l="1"/>
  <c r="N20" i="10"/>
  <c r="XFD51" i="10" s="1"/>
  <c r="G21" i="10"/>
  <c r="O51" i="10"/>
  <c r="P51" i="10"/>
  <c r="S51" i="10" s="1"/>
  <c r="R51" i="10"/>
  <c r="XFC50" i="4"/>
  <c r="G21" i="4"/>
  <c r="I21" i="4" s="1"/>
  <c r="N22" i="11"/>
  <c r="G23" i="11" s="1"/>
  <c r="K23" i="11" s="1"/>
  <c r="Q50" i="4"/>
  <c r="O50" i="4"/>
  <c r="J18" i="1" s="1"/>
  <c r="P50" i="4"/>
  <c r="K18" i="1" s="1"/>
  <c r="D6" i="8"/>
  <c r="O52" i="11"/>
  <c r="G53" i="11"/>
  <c r="J53" i="11" s="1"/>
  <c r="R52" i="11"/>
  <c r="D6" i="7"/>
  <c r="XFD52" i="11"/>
  <c r="N52" i="10"/>
  <c r="G53" i="10" s="1"/>
  <c r="K53" i="10" s="1"/>
  <c r="G31" i="10"/>
  <c r="R61" i="10"/>
  <c r="O61" i="10"/>
  <c r="J51" i="4"/>
  <c r="L51" i="4"/>
  <c r="K51" i="4"/>
  <c r="I51" i="4"/>
  <c r="M62" i="10"/>
  <c r="N62" i="10"/>
  <c r="P52" i="11"/>
  <c r="Q52" i="11"/>
  <c r="Q52" i="10"/>
  <c r="I23" i="11" l="1"/>
  <c r="L21" i="4"/>
  <c r="K21" i="4"/>
  <c r="M21" i="4" s="1"/>
  <c r="L23" i="11"/>
  <c r="M23" i="11" s="1"/>
  <c r="J21" i="4"/>
  <c r="L21" i="10"/>
  <c r="J21" i="10"/>
  <c r="I21" i="10"/>
  <c r="K21" i="10"/>
  <c r="M21" i="10" s="1"/>
  <c r="J23" i="11"/>
  <c r="K53" i="11"/>
  <c r="L53" i="11"/>
  <c r="I53" i="11"/>
  <c r="N53" i="11" s="1"/>
  <c r="N51" i="4"/>
  <c r="I53" i="10"/>
  <c r="J53" i="10"/>
  <c r="L53" i="10"/>
  <c r="M53" i="10" s="1"/>
  <c r="M51" i="4"/>
  <c r="F7" i="7" s="1"/>
  <c r="L31" i="10"/>
  <c r="K31" i="10"/>
  <c r="I31" i="10"/>
  <c r="J31" i="10"/>
  <c r="G63" i="10"/>
  <c r="L63" i="10" s="1"/>
  <c r="S52" i="11"/>
  <c r="N23" i="11" l="1"/>
  <c r="G24" i="11" s="1"/>
  <c r="I24" i="11" s="1"/>
  <c r="N21" i="4"/>
  <c r="G22" i="4" s="1"/>
  <c r="N53" i="10"/>
  <c r="G54" i="10" s="1"/>
  <c r="R51" i="4"/>
  <c r="M19" i="1" s="1"/>
  <c r="F7" i="8"/>
  <c r="N21" i="10"/>
  <c r="D7" i="7"/>
  <c r="D7" i="8"/>
  <c r="XFC51" i="4"/>
  <c r="J24" i="11"/>
  <c r="L24" i="11"/>
  <c r="K24" i="11"/>
  <c r="M24" i="11" s="1"/>
  <c r="M31" i="10"/>
  <c r="N31" i="10" s="1"/>
  <c r="M53" i="11"/>
  <c r="Q53" i="11" s="1"/>
  <c r="P53" i="11"/>
  <c r="S53" i="11" s="1"/>
  <c r="XFD53" i="11"/>
  <c r="R53" i="11"/>
  <c r="O53" i="11"/>
  <c r="G54" i="11"/>
  <c r="L54" i="11" s="1"/>
  <c r="G52" i="4"/>
  <c r="L52" i="4" s="1"/>
  <c r="Q51" i="4"/>
  <c r="E7" i="8"/>
  <c r="E7" i="7"/>
  <c r="P51" i="4"/>
  <c r="K19" i="1" s="1"/>
  <c r="O51" i="4"/>
  <c r="J19" i="1" s="1"/>
  <c r="I63" i="10"/>
  <c r="J63" i="10"/>
  <c r="K63" i="10"/>
  <c r="M63" i="10" s="1"/>
  <c r="I22" i="4"/>
  <c r="K22" i="4"/>
  <c r="J22" i="4"/>
  <c r="L22" i="4"/>
  <c r="J54" i="11"/>
  <c r="K54" i="11"/>
  <c r="Q53" i="10"/>
  <c r="I54" i="10" l="1"/>
  <c r="L54" i="10"/>
  <c r="J52" i="4"/>
  <c r="I54" i="11"/>
  <c r="N54" i="11" s="1"/>
  <c r="G55" i="11" s="1"/>
  <c r="G22" i="10"/>
  <c r="P52" i="10"/>
  <c r="S52" i="10" s="1"/>
  <c r="R52" i="10"/>
  <c r="XFD52" i="10"/>
  <c r="O52" i="10"/>
  <c r="N24" i="11"/>
  <c r="G25" i="11" s="1"/>
  <c r="I25" i="11" s="1"/>
  <c r="K54" i="10"/>
  <c r="M54" i="10" s="1"/>
  <c r="Q54" i="10" s="1"/>
  <c r="J54" i="10"/>
  <c r="J25" i="11"/>
  <c r="K52" i="4"/>
  <c r="M52" i="4" s="1"/>
  <c r="I52" i="4"/>
  <c r="N52" i="4" s="1"/>
  <c r="N63" i="10"/>
  <c r="G64" i="10"/>
  <c r="J64" i="10" s="1"/>
  <c r="G32" i="10"/>
  <c r="O62" i="10"/>
  <c r="R62" i="10"/>
  <c r="M22" i="4"/>
  <c r="N22" i="4" s="1"/>
  <c r="N54" i="10"/>
  <c r="G55" i="10" s="1"/>
  <c r="M54" i="11"/>
  <c r="K25" i="11" l="1"/>
  <c r="I22" i="10"/>
  <c r="K22" i="10"/>
  <c r="L22" i="10"/>
  <c r="J22" i="10"/>
  <c r="L25" i="11"/>
  <c r="K64" i="10"/>
  <c r="L64" i="10"/>
  <c r="I64" i="10"/>
  <c r="N64" i="10" s="1"/>
  <c r="G65" i="10" s="1"/>
  <c r="L32" i="10"/>
  <c r="K32" i="10"/>
  <c r="J32" i="10"/>
  <c r="I32" i="10"/>
  <c r="R54" i="11"/>
  <c r="P52" i="4"/>
  <c r="E8" i="8"/>
  <c r="G53" i="4"/>
  <c r="E8" i="7"/>
  <c r="O52" i="4"/>
  <c r="J20" i="1" s="1"/>
  <c r="Q52" i="4"/>
  <c r="XFC52" i="4"/>
  <c r="F8" i="8"/>
  <c r="R52" i="4"/>
  <c r="M20" i="1" s="1"/>
  <c r="F8" i="7"/>
  <c r="D8" i="7"/>
  <c r="G23" i="4"/>
  <c r="D8" i="8"/>
  <c r="O54" i="11"/>
  <c r="XFD54" i="11"/>
  <c r="P54" i="11"/>
  <c r="J55" i="10"/>
  <c r="L55" i="10"/>
  <c r="K55" i="10"/>
  <c r="I55" i="10"/>
  <c r="Q54" i="11"/>
  <c r="I55" i="11"/>
  <c r="L55" i="11"/>
  <c r="K55" i="11"/>
  <c r="J55" i="11"/>
  <c r="M25" i="11" l="1"/>
  <c r="N25" i="11" s="1"/>
  <c r="G26" i="11" s="1"/>
  <c r="M64" i="10"/>
  <c r="M22" i="10"/>
  <c r="N22" i="10" s="1"/>
  <c r="K26" i="11"/>
  <c r="L26" i="11"/>
  <c r="I26" i="11"/>
  <c r="M32" i="10"/>
  <c r="N32" i="10" s="1"/>
  <c r="J26" i="11"/>
  <c r="S54" i="11"/>
  <c r="M55" i="10"/>
  <c r="K20" i="1"/>
  <c r="I23" i="4"/>
  <c r="K23" i="4"/>
  <c r="L23" i="4"/>
  <c r="J23" i="4"/>
  <c r="L53" i="4"/>
  <c r="J53" i="4"/>
  <c r="I53" i="4"/>
  <c r="K53" i="4"/>
  <c r="N55" i="10"/>
  <c r="G56" i="10" s="1"/>
  <c r="N55" i="11"/>
  <c r="G56" i="11" s="1"/>
  <c r="J65" i="10"/>
  <c r="K65" i="10"/>
  <c r="L65" i="10"/>
  <c r="I65" i="10"/>
  <c r="M55" i="11"/>
  <c r="R53" i="10" l="1"/>
  <c r="O53" i="10"/>
  <c r="G23" i="10"/>
  <c r="I23" i="10" s="1"/>
  <c r="XFD53" i="10"/>
  <c r="P53" i="10"/>
  <c r="S53" i="10" s="1"/>
  <c r="N53" i="4"/>
  <c r="L23" i="10"/>
  <c r="K23" i="10"/>
  <c r="M26" i="11"/>
  <c r="N26" i="11" s="1"/>
  <c r="G27" i="11" s="1"/>
  <c r="J27" i="11" s="1"/>
  <c r="N65" i="10"/>
  <c r="G66" i="10" s="1"/>
  <c r="M23" i="4"/>
  <c r="N23" i="4" s="1"/>
  <c r="Q55" i="10"/>
  <c r="R55" i="11"/>
  <c r="G33" i="10"/>
  <c r="O63" i="10"/>
  <c r="R63" i="10"/>
  <c r="M53" i="4"/>
  <c r="E9" i="8"/>
  <c r="E9" i="7"/>
  <c r="G54" i="4"/>
  <c r="O55" i="11"/>
  <c r="XFD55" i="11"/>
  <c r="M65" i="10"/>
  <c r="L56" i="11"/>
  <c r="I56" i="11"/>
  <c r="J56" i="11"/>
  <c r="K56" i="11"/>
  <c r="J56" i="10"/>
  <c r="L56" i="10"/>
  <c r="I56" i="10"/>
  <c r="K56" i="10"/>
  <c r="Q55" i="11"/>
  <c r="P55" i="11"/>
  <c r="J23" i="10" l="1"/>
  <c r="O53" i="4"/>
  <c r="M23" i="10"/>
  <c r="N23" i="10" s="1"/>
  <c r="L27" i="11"/>
  <c r="K27" i="11"/>
  <c r="I27" i="11"/>
  <c r="M56" i="10"/>
  <c r="Q56" i="10" s="1"/>
  <c r="L33" i="10"/>
  <c r="I33" i="10"/>
  <c r="K33" i="10"/>
  <c r="J33" i="10"/>
  <c r="Q53" i="4"/>
  <c r="G24" i="4"/>
  <c r="K24" i="4" s="1"/>
  <c r="D9" i="8"/>
  <c r="P53" i="4"/>
  <c r="XFC53" i="4"/>
  <c r="D9" i="7"/>
  <c r="S55" i="11"/>
  <c r="R53" i="4"/>
  <c r="F9" i="7"/>
  <c r="F9" i="8"/>
  <c r="K54" i="4"/>
  <c r="L54" i="4"/>
  <c r="J54" i="4"/>
  <c r="I54" i="4"/>
  <c r="M56" i="11"/>
  <c r="Q56" i="11" s="1"/>
  <c r="N56" i="11"/>
  <c r="R56" i="11" s="1"/>
  <c r="N56" i="10"/>
  <c r="L66" i="10"/>
  <c r="I66" i="10"/>
  <c r="K66" i="10"/>
  <c r="J66" i="10"/>
  <c r="O54" i="10" l="1"/>
  <c r="R54" i="10"/>
  <c r="P54" i="10"/>
  <c r="S54" i="10" s="1"/>
  <c r="G24" i="10"/>
  <c r="I24" i="10" s="1"/>
  <c r="XFD54" i="10"/>
  <c r="M27" i="11"/>
  <c r="N27" i="11" s="1"/>
  <c r="G28" i="11" s="1"/>
  <c r="N54" i="4"/>
  <c r="E10" i="7" s="1"/>
  <c r="G57" i="11"/>
  <c r="I57" i="11" s="1"/>
  <c r="O56" i="11"/>
  <c r="G57" i="10"/>
  <c r="K57" i="10" s="1"/>
  <c r="XFD56" i="11"/>
  <c r="M33" i="10"/>
  <c r="N33" i="10" s="1"/>
  <c r="L24" i="4"/>
  <c r="M24" i="4" s="1"/>
  <c r="I24" i="4"/>
  <c r="P56" i="11"/>
  <c r="S56" i="11" s="1"/>
  <c r="J24" i="4"/>
  <c r="M54" i="4"/>
  <c r="N66" i="10"/>
  <c r="G67" i="10" s="1"/>
  <c r="M66" i="10"/>
  <c r="L57" i="10"/>
  <c r="K24" i="10" l="1"/>
  <c r="J24" i="10"/>
  <c r="L24" i="10"/>
  <c r="M24" i="10" s="1"/>
  <c r="N24" i="10" s="1"/>
  <c r="K57" i="11"/>
  <c r="M57" i="11" s="1"/>
  <c r="Q57" i="11" s="1"/>
  <c r="J57" i="11"/>
  <c r="N57" i="11" s="1"/>
  <c r="O57" i="11" s="1"/>
  <c r="L57" i="11"/>
  <c r="I57" i="10"/>
  <c r="N24" i="4"/>
  <c r="Q54" i="4" s="1"/>
  <c r="J28" i="11"/>
  <c r="K28" i="11"/>
  <c r="L28" i="11"/>
  <c r="I28" i="11"/>
  <c r="G55" i="4"/>
  <c r="I55" i="4" s="1"/>
  <c r="E10" i="8"/>
  <c r="J57" i="10"/>
  <c r="D10" i="8"/>
  <c r="G34" i="10"/>
  <c r="R64" i="10"/>
  <c r="O64" i="10"/>
  <c r="R54" i="4"/>
  <c r="F10" i="7"/>
  <c r="F10" i="8"/>
  <c r="XFC54" i="4"/>
  <c r="K67" i="10"/>
  <c r="L67" i="10"/>
  <c r="I67" i="10"/>
  <c r="J67" i="10"/>
  <c r="M57" i="10"/>
  <c r="K55" i="4" l="1"/>
  <c r="D10" i="7"/>
  <c r="J55" i="4"/>
  <c r="O54" i="4"/>
  <c r="L55" i="4"/>
  <c r="G25" i="4"/>
  <c r="J25" i="4" s="1"/>
  <c r="P54" i="4"/>
  <c r="N57" i="10"/>
  <c r="G25" i="10"/>
  <c r="XFD55" i="10"/>
  <c r="R55" i="10"/>
  <c r="P55" i="10"/>
  <c r="S55" i="10" s="1"/>
  <c r="O55" i="10"/>
  <c r="M28" i="11"/>
  <c r="N28" i="11" s="1"/>
  <c r="G29" i="11" s="1"/>
  <c r="M55" i="4"/>
  <c r="F11" i="7" s="1"/>
  <c r="G58" i="10"/>
  <c r="I58" i="10" s="1"/>
  <c r="R57" i="11"/>
  <c r="XFD57" i="11"/>
  <c r="P57" i="11"/>
  <c r="S57" i="11" s="1"/>
  <c r="I34" i="10"/>
  <c r="K34" i="10"/>
  <c r="L34" i="10"/>
  <c r="J34" i="10"/>
  <c r="N55" i="4"/>
  <c r="G58" i="11"/>
  <c r="J58" i="11" s="1"/>
  <c r="N67" i="10"/>
  <c r="M67" i="10"/>
  <c r="Q57" i="10"/>
  <c r="R55" i="4" l="1"/>
  <c r="K25" i="4"/>
  <c r="L25" i="4"/>
  <c r="M25" i="4" s="1"/>
  <c r="F11" i="8"/>
  <c r="I25" i="4"/>
  <c r="K25" i="10"/>
  <c r="I25" i="10"/>
  <c r="L25" i="10"/>
  <c r="J25" i="10"/>
  <c r="J29" i="11"/>
  <c r="L29" i="11"/>
  <c r="K29" i="11"/>
  <c r="M29" i="11" s="1"/>
  <c r="I29" i="11"/>
  <c r="K58" i="10"/>
  <c r="M58" i="10" s="1"/>
  <c r="Q68" i="10" s="1"/>
  <c r="K58" i="11"/>
  <c r="J58" i="10"/>
  <c r="N58" i="10" s="1"/>
  <c r="M34" i="10"/>
  <c r="N34" i="10" s="1"/>
  <c r="G35" i="10" s="1"/>
  <c r="L58" i="10"/>
  <c r="I58" i="11"/>
  <c r="N58" i="11" s="1"/>
  <c r="O58" i="11" s="1"/>
  <c r="L58" i="11"/>
  <c r="M58" i="11" s="1"/>
  <c r="Q58" i="11" s="1"/>
  <c r="E11" i="7"/>
  <c r="G56" i="4"/>
  <c r="E11" i="8"/>
  <c r="G68" i="10"/>
  <c r="M25" i="10" l="1"/>
  <c r="N25" i="4"/>
  <c r="D11" i="8" s="1"/>
  <c r="N29" i="11"/>
  <c r="G30" i="11" s="1"/>
  <c r="J30" i="11" s="1"/>
  <c r="N25" i="10"/>
  <c r="Q55" i="4"/>
  <c r="D11" i="7"/>
  <c r="G26" i="4"/>
  <c r="J26" i="4" s="1"/>
  <c r="I30" i="11"/>
  <c r="K30" i="11"/>
  <c r="Q63" i="10"/>
  <c r="XFC55" i="4"/>
  <c r="Q58" i="10"/>
  <c r="P62" i="10"/>
  <c r="R65" i="10"/>
  <c r="O65" i="10"/>
  <c r="XFD60" i="10"/>
  <c r="P60" i="10"/>
  <c r="P64" i="10"/>
  <c r="P65" i="10"/>
  <c r="P63" i="10"/>
  <c r="Q60" i="10"/>
  <c r="Q61" i="10"/>
  <c r="Q59" i="10"/>
  <c r="XFD63" i="10"/>
  <c r="Q64" i="10"/>
  <c r="XFD62" i="10"/>
  <c r="XFD61" i="10"/>
  <c r="XFD59" i="10"/>
  <c r="Q67" i="10"/>
  <c r="XFD64" i="10"/>
  <c r="P61" i="10"/>
  <c r="S61" i="10" s="1"/>
  <c r="XFD65" i="10"/>
  <c r="P59" i="10"/>
  <c r="Q65" i="10"/>
  <c r="Q66" i="10"/>
  <c r="Q62" i="10"/>
  <c r="K35" i="10"/>
  <c r="L35" i="10"/>
  <c r="I35" i="10"/>
  <c r="J35" i="10"/>
  <c r="L56" i="4"/>
  <c r="J56" i="4"/>
  <c r="I56" i="4"/>
  <c r="K56" i="4"/>
  <c r="R58" i="11"/>
  <c r="G59" i="11"/>
  <c r="I59" i="11" s="1"/>
  <c r="K68" i="10"/>
  <c r="I68" i="10"/>
  <c r="L68" i="10"/>
  <c r="J68" i="10"/>
  <c r="P58" i="11"/>
  <c r="S58" i="11" s="1"/>
  <c r="XFD58" i="11"/>
  <c r="K26" i="4" l="1"/>
  <c r="S59" i="10"/>
  <c r="L30" i="11"/>
  <c r="M56" i="4"/>
  <c r="F12" i="8" s="1"/>
  <c r="P55" i="4"/>
  <c r="O55" i="4"/>
  <c r="S60" i="10"/>
  <c r="S63" i="10"/>
  <c r="G26" i="10"/>
  <c r="R56" i="10"/>
  <c r="O56" i="10"/>
  <c r="XFD56" i="10"/>
  <c r="P56" i="10"/>
  <c r="S56" i="10" s="1"/>
  <c r="I26" i="4"/>
  <c r="M30" i="11"/>
  <c r="N30" i="11" s="1"/>
  <c r="G31" i="11" s="1"/>
  <c r="L26" i="4"/>
  <c r="M26" i="4" s="1"/>
  <c r="N26" i="4" s="1"/>
  <c r="D12" i="8" s="1"/>
  <c r="S65" i="10"/>
  <c r="S62" i="10"/>
  <c r="N56" i="4"/>
  <c r="E12" i="7" s="1"/>
  <c r="K59" i="11"/>
  <c r="S64" i="10"/>
  <c r="M35" i="10"/>
  <c r="N35" i="10" s="1"/>
  <c r="L59" i="11"/>
  <c r="M59" i="11" s="1"/>
  <c r="Q59" i="11" s="1"/>
  <c r="F12" i="7"/>
  <c r="J59" i="11"/>
  <c r="N59" i="11" s="1"/>
  <c r="R59" i="11" s="1"/>
  <c r="N68" i="10"/>
  <c r="M68" i="10"/>
  <c r="E12" i="8" l="1"/>
  <c r="R56" i="4"/>
  <c r="G57" i="4"/>
  <c r="L57" i="4" s="1"/>
  <c r="D12" i="7"/>
  <c r="L26" i="10"/>
  <c r="I26" i="10"/>
  <c r="J26" i="10"/>
  <c r="K26" i="10"/>
  <c r="M26" i="10" s="1"/>
  <c r="N26" i="10" s="1"/>
  <c r="G27" i="4"/>
  <c r="J27" i="4" s="1"/>
  <c r="XFC56" i="4"/>
  <c r="O56" i="4"/>
  <c r="P56" i="4"/>
  <c r="I31" i="11"/>
  <c r="L31" i="11"/>
  <c r="K31" i="11"/>
  <c r="J31" i="11"/>
  <c r="Q56" i="4"/>
  <c r="G36" i="10"/>
  <c r="O66" i="10"/>
  <c r="R66" i="10"/>
  <c r="XFD66" i="10"/>
  <c r="P66" i="10"/>
  <c r="S66" i="10" s="1"/>
  <c r="I57" i="4"/>
  <c r="K57" i="4"/>
  <c r="G69" i="10"/>
  <c r="K69" i="10" s="1"/>
  <c r="G60" i="11"/>
  <c r="K60" i="11" s="1"/>
  <c r="O59" i="11"/>
  <c r="P59" i="11"/>
  <c r="S59" i="11" s="1"/>
  <c r="XFD59" i="11"/>
  <c r="I60" i="11"/>
  <c r="J57" i="4" l="1"/>
  <c r="J60" i="11"/>
  <c r="N60" i="11" s="1"/>
  <c r="G27" i="10"/>
  <c r="XFD57" i="10"/>
  <c r="P57" i="10"/>
  <c r="S57" i="10" s="1"/>
  <c r="O57" i="10"/>
  <c r="R57" i="10"/>
  <c r="M31" i="11"/>
  <c r="N31" i="11" s="1"/>
  <c r="G32" i="11" s="1"/>
  <c r="L27" i="4"/>
  <c r="K27" i="4"/>
  <c r="I27" i="4"/>
  <c r="N57" i="4"/>
  <c r="G58" i="4" s="1"/>
  <c r="K36" i="10"/>
  <c r="J36" i="10"/>
  <c r="I36" i="10"/>
  <c r="L36" i="10"/>
  <c r="M57" i="4"/>
  <c r="I69" i="10"/>
  <c r="J69" i="10"/>
  <c r="L69" i="10"/>
  <c r="M69" i="10" s="1"/>
  <c r="Q69" i="10" s="1"/>
  <c r="L60" i="11"/>
  <c r="M60" i="11" s="1"/>
  <c r="Q60" i="11" s="1"/>
  <c r="G61" i="11"/>
  <c r="R60" i="11"/>
  <c r="O60" i="11"/>
  <c r="E13" i="7" l="1"/>
  <c r="E13" i="8"/>
  <c r="I27" i="10"/>
  <c r="J27" i="10"/>
  <c r="K27" i="10"/>
  <c r="L27" i="10"/>
  <c r="M27" i="4"/>
  <c r="N27" i="4" s="1"/>
  <c r="J32" i="11"/>
  <c r="K32" i="11"/>
  <c r="I32" i="11"/>
  <c r="L32" i="11"/>
  <c r="N69" i="10"/>
  <c r="G70" i="10" s="1"/>
  <c r="M36" i="10"/>
  <c r="N36" i="10" s="1"/>
  <c r="F13" i="7"/>
  <c r="R57" i="4"/>
  <c r="M21" i="1" s="1"/>
  <c r="F13" i="8"/>
  <c r="K58" i="4"/>
  <c r="J58" i="4"/>
  <c r="L58" i="4"/>
  <c r="I58" i="4"/>
  <c r="N58" i="4" s="1"/>
  <c r="P60" i="11"/>
  <c r="S60" i="11" s="1"/>
  <c r="K61" i="11"/>
  <c r="L61" i="11"/>
  <c r="J61" i="11"/>
  <c r="I61" i="11"/>
  <c r="XFD60" i="11"/>
  <c r="M27" i="10" l="1"/>
  <c r="N27" i="10" s="1"/>
  <c r="D13" i="8"/>
  <c r="P57" i="4"/>
  <c r="K21" i="1" s="1"/>
  <c r="O57" i="4"/>
  <c r="D13" i="7"/>
  <c r="G28" i="4"/>
  <c r="Q57" i="4"/>
  <c r="XFC57" i="4"/>
  <c r="M32" i="11"/>
  <c r="N32" i="11" s="1"/>
  <c r="G33" i="11" s="1"/>
  <c r="G37" i="10"/>
  <c r="XFD67" i="10"/>
  <c r="O67" i="10"/>
  <c r="R67" i="10"/>
  <c r="P67" i="10"/>
  <c r="S67" i="10" s="1"/>
  <c r="E14" i="8"/>
  <c r="E14" i="7"/>
  <c r="G59" i="4"/>
  <c r="M58" i="4"/>
  <c r="N61" i="11"/>
  <c r="R61" i="11" s="1"/>
  <c r="I70" i="10"/>
  <c r="L70" i="10"/>
  <c r="K70" i="10"/>
  <c r="J70" i="10"/>
  <c r="M61" i="11"/>
  <c r="Q61" i="11" s="1"/>
  <c r="XFD58" i="10" l="1"/>
  <c r="R58" i="10"/>
  <c r="O58" i="10"/>
  <c r="P58" i="10"/>
  <c r="S58" i="10" s="1"/>
  <c r="K28" i="4"/>
  <c r="J28" i="4"/>
  <c r="I28" i="4"/>
  <c r="L28" i="4"/>
  <c r="I33" i="11"/>
  <c r="J33" i="11"/>
  <c r="K33" i="11"/>
  <c r="L33" i="11"/>
  <c r="M70" i="10"/>
  <c r="Q70" i="10" s="1"/>
  <c r="G62" i="11"/>
  <c r="L62" i="11" s="1"/>
  <c r="O61" i="11"/>
  <c r="XFD61" i="11"/>
  <c r="K37" i="10"/>
  <c r="I37" i="10"/>
  <c r="J37" i="10"/>
  <c r="L37" i="10"/>
  <c r="F14" i="8"/>
  <c r="F14" i="7"/>
  <c r="R58" i="4"/>
  <c r="L59" i="4"/>
  <c r="J59" i="4"/>
  <c r="K59" i="4"/>
  <c r="I59" i="4"/>
  <c r="N70" i="10"/>
  <c r="G71" i="10" s="1"/>
  <c r="K62" i="11"/>
  <c r="J62" i="11"/>
  <c r="P61" i="11"/>
  <c r="S61" i="11" s="1"/>
  <c r="M37" i="10" l="1"/>
  <c r="N37" i="10" s="1"/>
  <c r="XFD68" i="10" s="1"/>
  <c r="M33" i="11"/>
  <c r="N33" i="11" s="1"/>
  <c r="G34" i="11" s="1"/>
  <c r="M28" i="4"/>
  <c r="N28" i="4" s="1"/>
  <c r="I62" i="11"/>
  <c r="N62" i="11" s="1"/>
  <c r="O62" i="11" s="1"/>
  <c r="N59" i="4"/>
  <c r="G60" i="4" s="1"/>
  <c r="E15" i="7"/>
  <c r="E15" i="8"/>
  <c r="M62" i="11"/>
  <c r="Q62" i="11" s="1"/>
  <c r="M59" i="4"/>
  <c r="I71" i="10"/>
  <c r="K71" i="10"/>
  <c r="J71" i="10"/>
  <c r="L71" i="10"/>
  <c r="D14" i="7" l="1"/>
  <c r="O58" i="4"/>
  <c r="J21" i="1" s="1"/>
  <c r="P58" i="4"/>
  <c r="XFC58" i="4"/>
  <c r="D14" i="8"/>
  <c r="Q58" i="4"/>
  <c r="G29" i="4"/>
  <c r="J34" i="11"/>
  <c r="I34" i="11"/>
  <c r="L34" i="11"/>
  <c r="K34" i="11"/>
  <c r="R68" i="10"/>
  <c r="O68" i="10"/>
  <c r="P68" i="10"/>
  <c r="S68" i="10" s="1"/>
  <c r="G38" i="10"/>
  <c r="J38" i="10" s="1"/>
  <c r="I38" i="10"/>
  <c r="F15" i="8"/>
  <c r="F15" i="7"/>
  <c r="R59" i="4"/>
  <c r="P62" i="11"/>
  <c r="S62" i="11" s="1"/>
  <c r="R62" i="11"/>
  <c r="J60" i="4"/>
  <c r="I60" i="4"/>
  <c r="L60" i="4"/>
  <c r="K60" i="4"/>
  <c r="G63" i="11"/>
  <c r="L63" i="11" s="1"/>
  <c r="XFD62" i="11"/>
  <c r="M71" i="10"/>
  <c r="Q71" i="10" s="1"/>
  <c r="N71" i="10"/>
  <c r="L38" i="10" l="1"/>
  <c r="N60" i="4"/>
  <c r="K38" i="10"/>
  <c r="M38" i="10" s="1"/>
  <c r="N38" i="10" s="1"/>
  <c r="M34" i="11"/>
  <c r="N34" i="11" s="1"/>
  <c r="G35" i="11" s="1"/>
  <c r="K29" i="4"/>
  <c r="L29" i="4"/>
  <c r="I29" i="4"/>
  <c r="J29" i="4"/>
  <c r="G72" i="10"/>
  <c r="J72" i="10" s="1"/>
  <c r="M60" i="4"/>
  <c r="E16" i="8"/>
  <c r="G61" i="4"/>
  <c r="E16" i="7"/>
  <c r="J63" i="11"/>
  <c r="I63" i="11"/>
  <c r="K63" i="11"/>
  <c r="M63" i="11" s="1"/>
  <c r="Q63" i="11" s="1"/>
  <c r="I72" i="10"/>
  <c r="L72" i="10"/>
  <c r="N63" i="11" l="1"/>
  <c r="M29" i="4"/>
  <c r="N29" i="4" s="1"/>
  <c r="J35" i="11"/>
  <c r="L35" i="11"/>
  <c r="K35" i="11"/>
  <c r="I35" i="11"/>
  <c r="K72" i="10"/>
  <c r="G39" i="10"/>
  <c r="XFD69" i="10"/>
  <c r="R69" i="10"/>
  <c r="P69" i="10"/>
  <c r="S69" i="10" s="1"/>
  <c r="O69" i="10"/>
  <c r="G64" i="11"/>
  <c r="I64" i="11" s="1"/>
  <c r="XFD63" i="11"/>
  <c r="O63" i="11"/>
  <c r="R63" i="11"/>
  <c r="P63" i="11"/>
  <c r="S63" i="11" s="1"/>
  <c r="F16" i="8"/>
  <c r="F16" i="7"/>
  <c r="R60" i="4"/>
  <c r="I61" i="4"/>
  <c r="J61" i="4"/>
  <c r="K61" i="4"/>
  <c r="L61" i="4"/>
  <c r="N72" i="10"/>
  <c r="G73" i="10"/>
  <c r="M72" i="10"/>
  <c r="Q72" i="10" s="1"/>
  <c r="N61" i="4" l="1"/>
  <c r="M35" i="11"/>
  <c r="N35" i="11" s="1"/>
  <c r="G36" i="11" s="1"/>
  <c r="L36" i="11" s="1"/>
  <c r="K36" i="11"/>
  <c r="XFC59" i="4"/>
  <c r="G30" i="4"/>
  <c r="O59" i="4"/>
  <c r="D15" i="7"/>
  <c r="Q59" i="4"/>
  <c r="P59" i="4"/>
  <c r="D15" i="8"/>
  <c r="K64" i="11"/>
  <c r="L64" i="11"/>
  <c r="J64" i="11"/>
  <c r="N64" i="11" s="1"/>
  <c r="J39" i="10"/>
  <c r="L39" i="10"/>
  <c r="I39" i="10"/>
  <c r="K39" i="10"/>
  <c r="E17" i="8"/>
  <c r="E17" i="7"/>
  <c r="G62" i="4"/>
  <c r="M61" i="4"/>
  <c r="K73" i="10"/>
  <c r="J73" i="10"/>
  <c r="I73" i="10"/>
  <c r="L73" i="10"/>
  <c r="G65" i="11" l="1"/>
  <c r="O64" i="11"/>
  <c r="M64" i="11"/>
  <c r="Q64" i="11" s="1"/>
  <c r="I36" i="11"/>
  <c r="J36" i="11"/>
  <c r="M36" i="11"/>
  <c r="I30" i="4"/>
  <c r="J30" i="4"/>
  <c r="K30" i="4"/>
  <c r="L30" i="4"/>
  <c r="M39" i="10"/>
  <c r="N39" i="10" s="1"/>
  <c r="XFD70" i="10" s="1"/>
  <c r="N73" i="10"/>
  <c r="R64" i="11"/>
  <c r="F17" i="7"/>
  <c r="F17" i="8"/>
  <c r="R61" i="4"/>
  <c r="J62" i="4"/>
  <c r="L62" i="4"/>
  <c r="I62" i="4"/>
  <c r="N62" i="4" s="1"/>
  <c r="K62" i="4"/>
  <c r="M62" i="4" s="1"/>
  <c r="R62" i="4" s="1"/>
  <c r="M22" i="1" s="1"/>
  <c r="M73" i="10"/>
  <c r="Q73" i="10" s="1"/>
  <c r="I65" i="11"/>
  <c r="K65" i="11"/>
  <c r="J65" i="11"/>
  <c r="L65" i="11"/>
  <c r="N36" i="11" l="1"/>
  <c r="G37" i="11" s="1"/>
  <c r="I37" i="11" s="1"/>
  <c r="XFD64" i="11"/>
  <c r="P64" i="11"/>
  <c r="S64" i="11" s="1"/>
  <c r="K37" i="11"/>
  <c r="L37" i="11"/>
  <c r="M30" i="4"/>
  <c r="N30" i="4" s="1"/>
  <c r="P60" i="4" s="1"/>
  <c r="O70" i="10"/>
  <c r="G40" i="10"/>
  <c r="L40" i="10" s="1"/>
  <c r="R70" i="10"/>
  <c r="P70" i="10"/>
  <c r="S70" i="10" s="1"/>
  <c r="N65" i="11"/>
  <c r="G66" i="11" s="1"/>
  <c r="E18" i="8"/>
  <c r="G63" i="4"/>
  <c r="E18" i="7"/>
  <c r="F18" i="8"/>
  <c r="F18" i="7"/>
  <c r="M65" i="11"/>
  <c r="Q65" i="11" s="1"/>
  <c r="J37" i="11" l="1"/>
  <c r="M37" i="11"/>
  <c r="N37" i="11"/>
  <c r="G38" i="11" s="1"/>
  <c r="J38" i="11" s="1"/>
  <c r="R65" i="11"/>
  <c r="O65" i="11"/>
  <c r="L38" i="11"/>
  <c r="D16" i="8"/>
  <c r="D16" i="7"/>
  <c r="O60" i="4"/>
  <c r="G31" i="4"/>
  <c r="K31" i="4" s="1"/>
  <c r="Q60" i="4"/>
  <c r="XFC60" i="4"/>
  <c r="K38" i="11"/>
  <c r="I40" i="10"/>
  <c r="J40" i="10"/>
  <c r="K40" i="10"/>
  <c r="M40" i="10" s="1"/>
  <c r="J63" i="4"/>
  <c r="I63" i="4"/>
  <c r="N63" i="4" s="1"/>
  <c r="L63" i="4"/>
  <c r="K63" i="4"/>
  <c r="XFD65" i="11"/>
  <c r="P65" i="11"/>
  <c r="S65" i="11" s="1"/>
  <c r="K66" i="11"/>
  <c r="I66" i="11"/>
  <c r="L66" i="11"/>
  <c r="J66" i="11"/>
  <c r="M38" i="11" l="1"/>
  <c r="N40" i="10"/>
  <c r="I38" i="11"/>
  <c r="M63" i="4"/>
  <c r="F19" i="8" s="1"/>
  <c r="L31" i="4"/>
  <c r="I31" i="4"/>
  <c r="J31" i="4"/>
  <c r="M31" i="4"/>
  <c r="N31" i="4" s="1"/>
  <c r="G41" i="10"/>
  <c r="R71" i="10"/>
  <c r="O71" i="10"/>
  <c r="P71" i="10"/>
  <c r="S71" i="10" s="1"/>
  <c r="XFD71" i="10"/>
  <c r="G64" i="4"/>
  <c r="E19" i="8"/>
  <c r="E19" i="7"/>
  <c r="N66" i="11"/>
  <c r="G67" i="11" s="1"/>
  <c r="M66" i="11"/>
  <c r="Q66" i="11" s="1"/>
  <c r="R63" i="4" l="1"/>
  <c r="F19" i="7"/>
  <c r="O66" i="11"/>
  <c r="N38" i="11"/>
  <c r="G39" i="11" s="1"/>
  <c r="O61" i="4"/>
  <c r="D17" i="7"/>
  <c r="XFC61" i="4"/>
  <c r="G32" i="4"/>
  <c r="D17" i="8"/>
  <c r="Q61" i="4"/>
  <c r="P61" i="4"/>
  <c r="R66" i="11"/>
  <c r="K41" i="10"/>
  <c r="J41" i="10"/>
  <c r="L41" i="10"/>
  <c r="I41" i="10"/>
  <c r="K64" i="4"/>
  <c r="L64" i="4"/>
  <c r="I64" i="4"/>
  <c r="J64" i="4"/>
  <c r="XFD66" i="11"/>
  <c r="P66" i="11"/>
  <c r="S66" i="11" s="1"/>
  <c r="K67" i="11"/>
  <c r="J67" i="11"/>
  <c r="L67" i="11"/>
  <c r="I67" i="11"/>
  <c r="K39" i="11" l="1"/>
  <c r="M39" i="11" s="1"/>
  <c r="I39" i="11"/>
  <c r="L39" i="11"/>
  <c r="J39" i="11"/>
  <c r="L32" i="4"/>
  <c r="J32" i="4"/>
  <c r="I32" i="4"/>
  <c r="K32" i="4"/>
  <c r="M67" i="11"/>
  <c r="Q67" i="11" s="1"/>
  <c r="M41" i="10"/>
  <c r="N41" i="10" s="1"/>
  <c r="M64" i="4"/>
  <c r="F20" i="7" s="1"/>
  <c r="R64" i="4"/>
  <c r="N64" i="4"/>
  <c r="N67" i="11"/>
  <c r="G68" i="11" s="1"/>
  <c r="N39" i="11" l="1"/>
  <c r="G40" i="11" s="1"/>
  <c r="M32" i="4"/>
  <c r="F20" i="8"/>
  <c r="N32" i="4"/>
  <c r="D18" i="8" s="1"/>
  <c r="D18" i="7"/>
  <c r="O62" i="4"/>
  <c r="J22" i="1" s="1"/>
  <c r="XFC62" i="4"/>
  <c r="Q62" i="4"/>
  <c r="G42" i="10"/>
  <c r="XFD72" i="10"/>
  <c r="R72" i="10"/>
  <c r="P72" i="10"/>
  <c r="S72" i="10" s="1"/>
  <c r="O72" i="10"/>
  <c r="E20" i="7"/>
  <c r="E20" i="8"/>
  <c r="G65" i="4"/>
  <c r="P67" i="11"/>
  <c r="S67" i="11" s="1"/>
  <c r="XFD67" i="11"/>
  <c r="O67" i="11"/>
  <c r="R67" i="11"/>
  <c r="J68" i="11"/>
  <c r="I68" i="11"/>
  <c r="L68" i="11"/>
  <c r="K68" i="11"/>
  <c r="P62" i="4" l="1"/>
  <c r="K22" i="1" s="1"/>
  <c r="G33" i="4"/>
  <c r="N68" i="11"/>
  <c r="L40" i="11"/>
  <c r="I40" i="11"/>
  <c r="K40" i="11"/>
  <c r="J40" i="11"/>
  <c r="L33" i="4"/>
  <c r="I33" i="4"/>
  <c r="K33" i="4"/>
  <c r="J33" i="4"/>
  <c r="I42" i="10"/>
  <c r="K42" i="10"/>
  <c r="J42" i="10"/>
  <c r="L42" i="10"/>
  <c r="J65" i="4"/>
  <c r="K65" i="4"/>
  <c r="I65" i="4"/>
  <c r="L65" i="4"/>
  <c r="M68" i="11"/>
  <c r="Q68" i="11" s="1"/>
  <c r="R68" i="11"/>
  <c r="O68" i="11"/>
  <c r="G69" i="11"/>
  <c r="M33" i="4" l="1"/>
  <c r="M40" i="11"/>
  <c r="N40" i="11" s="1"/>
  <c r="G41" i="11" s="1"/>
  <c r="N33" i="4"/>
  <c r="D19" i="7" s="1"/>
  <c r="XFC63" i="4"/>
  <c r="G34" i="4"/>
  <c r="M42" i="10"/>
  <c r="N42" i="10" s="1"/>
  <c r="O73" i="10" s="1"/>
  <c r="M65" i="4"/>
  <c r="N65" i="4"/>
  <c r="P68" i="11"/>
  <c r="S68" i="11" s="1"/>
  <c r="XFD68" i="11"/>
  <c r="K69" i="11"/>
  <c r="L69" i="11"/>
  <c r="J69" i="11"/>
  <c r="I69" i="11"/>
  <c r="J41" i="11" l="1"/>
  <c r="I41" i="11"/>
  <c r="L41" i="11"/>
  <c r="K41" i="11"/>
  <c r="M41" i="11" s="1"/>
  <c r="N41" i="11" s="1"/>
  <c r="G42" i="11" s="1"/>
  <c r="N69" i="11"/>
  <c r="D19" i="8"/>
  <c r="P63" i="4"/>
  <c r="O63" i="4"/>
  <c r="Q63" i="4"/>
  <c r="R73" i="10"/>
  <c r="K34" i="4"/>
  <c r="L34" i="4"/>
  <c r="I34" i="4"/>
  <c r="J34" i="4"/>
  <c r="P73" i="10"/>
  <c r="S73" i="10" s="1"/>
  <c r="XFD73" i="10"/>
  <c r="F21" i="8"/>
  <c r="F21" i="7"/>
  <c r="R65" i="4"/>
  <c r="E21" i="7"/>
  <c r="E21" i="8"/>
  <c r="G66" i="4"/>
  <c r="M69" i="11"/>
  <c r="Q69" i="11" s="1"/>
  <c r="G70" i="11"/>
  <c r="O69" i="11"/>
  <c r="R69" i="11"/>
  <c r="L42" i="11" l="1"/>
  <c r="I42" i="11"/>
  <c r="N42" i="11" s="1"/>
  <c r="J42" i="11"/>
  <c r="K42" i="11"/>
  <c r="M42" i="11" s="1"/>
  <c r="M34" i="4"/>
  <c r="N34" i="4" s="1"/>
  <c r="XFD69" i="11"/>
  <c r="P69" i="11"/>
  <c r="S69" i="11" s="1"/>
  <c r="J66" i="4"/>
  <c r="K66" i="4"/>
  <c r="L66" i="4"/>
  <c r="I66" i="4"/>
  <c r="L70" i="11"/>
  <c r="I70" i="11"/>
  <c r="K70" i="11"/>
  <c r="J70" i="11"/>
  <c r="D20" i="7" l="1"/>
  <c r="P64" i="4"/>
  <c r="O64" i="4"/>
  <c r="G35" i="4"/>
  <c r="Q64" i="4"/>
  <c r="XFC64" i="4"/>
  <c r="D20" i="8"/>
  <c r="N66" i="4"/>
  <c r="E22" i="7" s="1"/>
  <c r="M70" i="11"/>
  <c r="Q70" i="11" s="1"/>
  <c r="M66" i="4"/>
  <c r="E22" i="8"/>
  <c r="N70" i="11"/>
  <c r="G67" i="4" l="1"/>
  <c r="J35" i="4"/>
  <c r="K35" i="4"/>
  <c r="I35" i="4"/>
  <c r="L35" i="4"/>
  <c r="XFD70" i="11"/>
  <c r="F22" i="8"/>
  <c r="F22" i="7"/>
  <c r="R66" i="4"/>
  <c r="J67" i="4"/>
  <c r="L67" i="4"/>
  <c r="K67" i="4"/>
  <c r="I67" i="4"/>
  <c r="R70" i="11"/>
  <c r="O70" i="11"/>
  <c r="G71" i="11"/>
  <c r="J71" i="11" s="1"/>
  <c r="P70" i="11"/>
  <c r="S70" i="11" s="1"/>
  <c r="M35" i="4" l="1"/>
  <c r="N35" i="4" s="1"/>
  <c r="N67" i="4"/>
  <c r="M67" i="4"/>
  <c r="R67" i="4" s="1"/>
  <c r="M23" i="1" s="1"/>
  <c r="G68" i="4"/>
  <c r="E23" i="8"/>
  <c r="E23" i="7"/>
  <c r="L71" i="11"/>
  <c r="F23" i="7"/>
  <c r="F23" i="8"/>
  <c r="K71" i="11"/>
  <c r="I71" i="11"/>
  <c r="N71" i="11" s="1"/>
  <c r="O65" i="4" l="1"/>
  <c r="Q65" i="4"/>
  <c r="G36" i="4"/>
  <c r="XFC65" i="4"/>
  <c r="D21" i="8"/>
  <c r="P65" i="4"/>
  <c r="D21" i="7"/>
  <c r="R71" i="11"/>
  <c r="G72" i="11"/>
  <c r="K72" i="11" s="1"/>
  <c r="O71" i="11"/>
  <c r="M71" i="11"/>
  <c r="Q71" i="11" s="1"/>
  <c r="P71" i="11"/>
  <c r="J68" i="4"/>
  <c r="I68" i="4"/>
  <c r="L68" i="4"/>
  <c r="K68" i="4"/>
  <c r="M68" i="4" s="1"/>
  <c r="J72" i="11"/>
  <c r="L72" i="11" l="1"/>
  <c r="I72" i="11"/>
  <c r="XFD71" i="11"/>
  <c r="L36" i="4"/>
  <c r="K36" i="4"/>
  <c r="I36" i="4"/>
  <c r="J36" i="4"/>
  <c r="N68" i="4"/>
  <c r="S71" i="11"/>
  <c r="N72" i="11"/>
  <c r="R72" i="11" s="1"/>
  <c r="F24" i="8"/>
  <c r="F24" i="7"/>
  <c r="R68" i="4"/>
  <c r="M72" i="11"/>
  <c r="Q72" i="11" s="1"/>
  <c r="M36" i="4" l="1"/>
  <c r="N36" i="4" s="1"/>
  <c r="E24" i="8"/>
  <c r="G69" i="4"/>
  <c r="K69" i="4" s="1"/>
  <c r="E24" i="7"/>
  <c r="O72" i="11"/>
  <c r="G73" i="11"/>
  <c r="K73" i="11" s="1"/>
  <c r="P72" i="11"/>
  <c r="S72" i="11" s="1"/>
  <c r="XFD72" i="11"/>
  <c r="L69" i="4" l="1"/>
  <c r="I69" i="4"/>
  <c r="J69" i="4"/>
  <c r="XFC66" i="4"/>
  <c r="G37" i="4"/>
  <c r="D22" i="8"/>
  <c r="O66" i="4"/>
  <c r="P66" i="4"/>
  <c r="D22" i="7"/>
  <c r="Q66" i="4"/>
  <c r="L73" i="11"/>
  <c r="M73" i="11" s="1"/>
  <c r="Q73" i="11" s="1"/>
  <c r="J73" i="11"/>
  <c r="I73" i="11"/>
  <c r="M69" i="4"/>
  <c r="N69" i="4" l="1"/>
  <c r="I37" i="4"/>
  <c r="K37" i="4"/>
  <c r="J37" i="4"/>
  <c r="L37" i="4"/>
  <c r="N73" i="11"/>
  <c r="O73" i="11" s="1"/>
  <c r="F25" i="8"/>
  <c r="F25" i="7"/>
  <c r="R69" i="4"/>
  <c r="E25" i="7" l="1"/>
  <c r="E25" i="8"/>
  <c r="G70" i="4"/>
  <c r="XFD73" i="11"/>
  <c r="P73" i="11"/>
  <c r="S73" i="11" s="1"/>
  <c r="M37" i="4"/>
  <c r="N37" i="4" s="1"/>
  <c r="R73" i="11"/>
  <c r="L70" i="4" l="1"/>
  <c r="J70" i="4"/>
  <c r="K70" i="4"/>
  <c r="M70" i="4" s="1"/>
  <c r="I70" i="4"/>
  <c r="N70" i="4" s="1"/>
  <c r="G71" i="4" s="1"/>
  <c r="J71" i="4" s="1"/>
  <c r="D23" i="8"/>
  <c r="O67" i="4"/>
  <c r="J23" i="1" s="1"/>
  <c r="D23" i="7"/>
  <c r="G38" i="4"/>
  <c r="Q67" i="4"/>
  <c r="P67" i="4"/>
  <c r="K23" i="1" s="1"/>
  <c r="XFC67" i="4"/>
  <c r="E26" i="7"/>
  <c r="L71" i="4"/>
  <c r="F26" i="7"/>
  <c r="F26" i="8"/>
  <c r="R70" i="4"/>
  <c r="I71" i="4" l="1"/>
  <c r="K71" i="4"/>
  <c r="M71" i="4" s="1"/>
  <c r="E26" i="8"/>
  <c r="N71" i="4"/>
  <c r="E27" i="8" s="1"/>
  <c r="I38" i="4"/>
  <c r="K38" i="4"/>
  <c r="L38" i="4"/>
  <c r="J38" i="4"/>
  <c r="G72" i="4"/>
  <c r="E27" i="7" l="1"/>
  <c r="M38" i="4"/>
  <c r="N38" i="4" s="1"/>
  <c r="F27" i="8"/>
  <c r="F27" i="7"/>
  <c r="R71" i="4"/>
  <c r="L72" i="4"/>
  <c r="J72" i="4"/>
  <c r="K72" i="4"/>
  <c r="M72" i="4" s="1"/>
  <c r="R72" i="4" s="1"/>
  <c r="M24" i="1" s="1"/>
  <c r="I72" i="4"/>
  <c r="N72" i="4" s="1"/>
  <c r="G39" i="4" l="1"/>
  <c r="D24" i="8"/>
  <c r="O68" i="4"/>
  <c r="XFC68" i="4"/>
  <c r="Q68" i="4"/>
  <c r="P68" i="4"/>
  <c r="D24" i="7"/>
  <c r="E28" i="7"/>
  <c r="E28" i="8"/>
  <c r="F28" i="7"/>
  <c r="F28" i="8"/>
  <c r="K39" i="4" l="1"/>
  <c r="I39" i="4"/>
  <c r="L39" i="4"/>
  <c r="J39" i="4"/>
  <c r="M39" i="4" l="1"/>
  <c r="N39" i="4" s="1"/>
  <c r="XFC69" i="4" l="1"/>
  <c r="D25" i="8"/>
  <c r="G40" i="4"/>
  <c r="D25" i="7"/>
  <c r="O69" i="4"/>
  <c r="P69" i="4"/>
  <c r="Q69" i="4"/>
  <c r="K40" i="4" l="1"/>
  <c r="L40" i="4"/>
  <c r="J40" i="4"/>
  <c r="I40" i="4"/>
  <c r="M40" i="4" l="1"/>
  <c r="N40" i="4" s="1"/>
  <c r="G41" i="4" l="1"/>
  <c r="D26" i="8"/>
  <c r="O70" i="4"/>
  <c r="D26" i="7"/>
  <c r="Q70" i="4"/>
  <c r="P70" i="4"/>
  <c r="XFC70" i="4"/>
  <c r="K41" i="4" l="1"/>
  <c r="J41" i="4"/>
  <c r="L41" i="4"/>
  <c r="I41" i="4"/>
  <c r="M41" i="4" l="1"/>
  <c r="N41" i="4" s="1"/>
  <c r="D27" i="8" l="1"/>
  <c r="P71" i="4"/>
  <c r="D27" i="7"/>
  <c r="G42" i="4"/>
  <c r="XFC71" i="4"/>
  <c r="Q71" i="4"/>
  <c r="O71" i="4"/>
  <c r="J42" i="4" l="1"/>
  <c r="K42" i="4"/>
  <c r="L42" i="4"/>
  <c r="I42" i="4"/>
  <c r="M42" i="4" l="1"/>
  <c r="N42" i="4" s="1"/>
  <c r="D28" i="8" l="1"/>
  <c r="O72" i="4"/>
  <c r="J24" i="1" s="1"/>
  <c r="Q72" i="4"/>
  <c r="P72" i="4"/>
  <c r="K24" i="1" s="1"/>
  <c r="XFC72" i="4"/>
  <c r="D2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7" authorId="0" shapeId="0" xr:uid="{00000000-0006-0000-0000-000001000000}">
      <text>
        <r>
          <rPr>
            <sz val="9"/>
            <color indexed="81"/>
            <rFont val="Calibri Light"/>
            <family val="2"/>
            <scheme val="major"/>
          </rPr>
          <t>Introducir tasa bruta para la determinación de la Tasa Neta (después de impuestos)</t>
        </r>
      </text>
    </comment>
    <comment ref="K7" authorId="0" shapeId="0" xr:uid="{00000000-0006-0000-0000-000002000000}">
      <text>
        <r>
          <rPr>
            <sz val="9"/>
            <color indexed="81"/>
            <rFont val="Calibri Light"/>
            <family val="2"/>
            <scheme val="major"/>
          </rPr>
          <t>Tasa Neta de vehículo tradicional despues de descontar costos e impuestos</t>
        </r>
      </text>
    </comment>
    <comment ref="D13" authorId="0" shapeId="0" xr:uid="{00000000-0006-0000-0000-000003000000}">
      <text>
        <r>
          <rPr>
            <sz val="9"/>
            <color indexed="81"/>
            <rFont val="Calibri Light"/>
            <family val="2"/>
            <scheme val="major"/>
          </rPr>
          <t>Tasa Bruta que debería de obtener el cliente para igual el rendimiento neto de AZ despues de costos e impuestos</t>
        </r>
      </text>
    </comment>
  </commentList>
</comments>
</file>

<file path=xl/sharedStrings.xml><?xml version="1.0" encoding="utf-8"?>
<sst xmlns="http://schemas.openxmlformats.org/spreadsheetml/2006/main" count="342" uniqueCount="114">
  <si>
    <t>Distribución por Asset Class</t>
  </si>
  <si>
    <t>Rendimiento Incremental por periodo de tiempo</t>
  </si>
  <si>
    <t>Deuda MX</t>
  </si>
  <si>
    <t>Capitales MXN</t>
  </si>
  <si>
    <t>Año</t>
  </si>
  <si>
    <t>%</t>
  </si>
  <si>
    <t>Variables Macroeconómicas</t>
  </si>
  <si>
    <t>Impuestos</t>
  </si>
  <si>
    <t>Inflación</t>
  </si>
  <si>
    <t>Deuda (ISR)</t>
  </si>
  <si>
    <t>Depreciación MXN vs USD</t>
  </si>
  <si>
    <t xml:space="preserve">Enajenacion Acciones </t>
  </si>
  <si>
    <t>Costo Plataforma Allianz</t>
  </si>
  <si>
    <t>Costo Vehículo Tradicional</t>
  </si>
  <si>
    <t>Rendimiento                                        Esperado</t>
  </si>
  <si>
    <t>Apreciación Anual USD vs MXN</t>
  </si>
  <si>
    <t>RENDIMIENTOS</t>
  </si>
  <si>
    <t>+</t>
  </si>
  <si>
    <t>Allianz</t>
  </si>
  <si>
    <t>Sin BF</t>
  </si>
  <si>
    <t>Rendimiento Deuda USD</t>
  </si>
  <si>
    <t>Deuda USD</t>
  </si>
  <si>
    <t>Rendimiento Deuda MX</t>
  </si>
  <si>
    <t>Deuda MXN</t>
  </si>
  <si>
    <t>Rendimiento Capitales</t>
  </si>
  <si>
    <t>Capitales USD</t>
  </si>
  <si>
    <t xml:space="preserve">INVERSIÓN SIN BENEFICIOS FISCALES </t>
  </si>
  <si>
    <t>ADICIONALES</t>
  </si>
  <si>
    <t>Capital</t>
  </si>
  <si>
    <t>Rendimiento</t>
  </si>
  <si>
    <t>Saldo Final</t>
  </si>
  <si>
    <t>Impuestos sobre Rendimientos</t>
  </si>
  <si>
    <t>Impuestos Totales</t>
  </si>
  <si>
    <t>Tipo Cambio</t>
  </si>
  <si>
    <t>Deuda</t>
  </si>
  <si>
    <t xml:space="preserve"> Capitales</t>
  </si>
  <si>
    <t>Deuda (mxn)</t>
  </si>
  <si>
    <t>Capitales (mxn)</t>
  </si>
  <si>
    <t>IMPUESTOS</t>
  </si>
  <si>
    <t xml:space="preserve">INVERSIÓN CON BENEFICIOS FISCALES </t>
  </si>
  <si>
    <t>Impuestos Diferidos | Seguro de Vida Inversión</t>
  </si>
  <si>
    <t>Impuestos Totales Diferidos</t>
  </si>
  <si>
    <t>Diferimiento</t>
  </si>
  <si>
    <t>Vehículo Tradicional</t>
  </si>
  <si>
    <t>Plataforma Allianz</t>
  </si>
  <si>
    <t>Distribución por Tipo de Activo</t>
  </si>
  <si>
    <t>Aportación Anual</t>
  </si>
  <si>
    <t>Plazo</t>
  </si>
  <si>
    <t>Aportacion Anual</t>
  </si>
  <si>
    <t>-</t>
  </si>
  <si>
    <t>Impuestos Acumulados Diferidos</t>
  </si>
  <si>
    <t>Potencializador por Diferimiento</t>
  </si>
  <si>
    <t>Tasa Bruta comparativa</t>
  </si>
  <si>
    <t>Rendimiento Incremental</t>
  </si>
  <si>
    <t>*opcional</t>
  </si>
  <si>
    <t>Diferencia en Saldo</t>
  </si>
  <si>
    <t>mxn</t>
  </si>
  <si>
    <t>Saldo Incremental</t>
  </si>
  <si>
    <t>*Para efectos de calculo de intereses y obligaciones fiscales, se considera un periodo de capitalización y cobertura de obligaciones fiscales de forma anual</t>
  </si>
  <si>
    <t>* Simulación considerando supuestos flexibles y leyes vigentes al 2023, no representa ninguna garantía de rendimiento por parte de Allianz México</t>
  </si>
  <si>
    <t>** Simulación considerando supuestos teóricos y leyes vigentes al 2023, no representa ninguna garantía de rendimiento por parte de Allianz México</t>
  </si>
  <si>
    <t>*Herramienta informativa que busca dimensionar el impacto del beneficio fiscal ofrecido por la solución financiera en funcion de ciertos supuestos personalizables.</t>
  </si>
  <si>
    <t>Año Vencido</t>
  </si>
  <si>
    <t>Rendimiento Esperado por Tipo de Activo</t>
  </si>
  <si>
    <t>Impuestos Diferidos acumulados</t>
  </si>
  <si>
    <t>Tasa Bruta Tradicional</t>
  </si>
  <si>
    <t>Inversión Inicial</t>
  </si>
  <si>
    <t>Herramientas comparativa - Tasas Deuda Nominal</t>
  </si>
  <si>
    <t xml:space="preserve">Inflación </t>
  </si>
  <si>
    <t>Tradicional</t>
  </si>
  <si>
    <t>Rendimientos Brutos</t>
  </si>
  <si>
    <t>Rendimientos Reales</t>
  </si>
  <si>
    <t>Costo</t>
  </si>
  <si>
    <t>Impuesto Retenido</t>
  </si>
  <si>
    <t>Impuesto Diferido</t>
  </si>
  <si>
    <t>Impuesto  anual definitivo</t>
  </si>
  <si>
    <t>***Para efectos de calculo de intereses y obligaciones fiscales, se considera un periodo de capitalización y cobertura de obligaciones fiscales de forma anual</t>
  </si>
  <si>
    <t>Tasa Allianz  (Portal AZ)</t>
  </si>
  <si>
    <t>Retención Provisional</t>
  </si>
  <si>
    <t xml:space="preserve">Impuestos por diferir  </t>
  </si>
  <si>
    <t xml:space="preserve">% Impuestos Vs Rendimientos  </t>
  </si>
  <si>
    <t xml:space="preserve">% Saldo Incremental  </t>
  </si>
  <si>
    <t xml:space="preserve">Inversión Inicial  </t>
  </si>
  <si>
    <r>
      <t>Supuestos |</t>
    </r>
    <r>
      <rPr>
        <sz val="16"/>
        <color theme="0"/>
        <rFont val="Calibri Light"/>
        <family val="2"/>
        <scheme val="major"/>
      </rPr>
      <t xml:space="preserve"> Simulación Beneficio Fiscal</t>
    </r>
  </si>
  <si>
    <t>Tasa Neto                  Tradicional</t>
  </si>
  <si>
    <t>Rendimiento esperado</t>
  </si>
  <si>
    <t>Rendimientos  (1 año)</t>
  </si>
  <si>
    <t>Inversión tradicional</t>
  </si>
  <si>
    <t>Impuestos Retenidos</t>
  </si>
  <si>
    <t>Impuestos por pagar</t>
  </si>
  <si>
    <t>Impuestos Diferidos</t>
  </si>
  <si>
    <t>Impuestos pagados totales</t>
  </si>
  <si>
    <t>Fee Anual</t>
  </si>
  <si>
    <t>Integración de costos e impuestos</t>
  </si>
  <si>
    <r>
      <rPr>
        <sz val="14"/>
        <color theme="1"/>
        <rFont val="Calibri Light"/>
        <family val="2"/>
        <scheme val="major"/>
      </rPr>
      <t>Tasa Neta</t>
    </r>
    <r>
      <rPr>
        <sz val="11"/>
        <color theme="1"/>
        <rFont val="Calibri Light"/>
        <family val="2"/>
        <scheme val="major"/>
      </rPr>
      <t xml:space="preserve">                                   </t>
    </r>
    <r>
      <rPr>
        <sz val="8"/>
        <color theme="1"/>
        <rFont val="Calibri Light"/>
        <family val="2"/>
        <scheme val="major"/>
      </rPr>
      <t>(despues de costos e impuestos)</t>
    </r>
  </si>
  <si>
    <t>Proporcion del Impuesto sobre Rendimiento</t>
  </si>
  <si>
    <t>OptiMaxx elite</t>
  </si>
  <si>
    <t>Inversión</t>
  </si>
  <si>
    <r>
      <rPr>
        <sz val="14"/>
        <color theme="1"/>
        <rFont val="Calibri Light"/>
        <family val="2"/>
        <scheme val="major"/>
      </rPr>
      <t>Tasa Neta</t>
    </r>
    <r>
      <rPr>
        <sz val="11"/>
        <color theme="1"/>
        <rFont val="Calibri Light"/>
        <family val="2"/>
        <scheme val="major"/>
      </rPr>
      <t xml:space="preserve">                                   </t>
    </r>
    <r>
      <rPr>
        <sz val="8"/>
        <color theme="1"/>
        <rFont val="Calibri Light"/>
        <family val="2"/>
        <scheme val="major"/>
      </rPr>
      <t>(despues de costos y diferimiento)</t>
    </r>
  </si>
  <si>
    <t>Retencion Provisional</t>
  </si>
  <si>
    <t>Tasa ISR</t>
  </si>
  <si>
    <t>Rendimiento Real</t>
  </si>
  <si>
    <t>Impuesto retenido</t>
  </si>
  <si>
    <t>Impuesto anual definitivo</t>
  </si>
  <si>
    <t>Impuesto diferido</t>
  </si>
  <si>
    <t>Integracion Gráfica</t>
  </si>
  <si>
    <t>Proporción del Impuesto diferido sobre Rendimiento</t>
  </si>
  <si>
    <t>Supuestos</t>
  </si>
  <si>
    <r>
      <t xml:space="preserve">Tasa Bruta                               </t>
    </r>
    <r>
      <rPr>
        <sz val="8"/>
        <color theme="0" tint="-0.34998626667073579"/>
        <rFont val="Calibri Light"/>
        <family val="2"/>
        <scheme val="major"/>
      </rPr>
      <t>(Antes de costos e impuestos)</t>
    </r>
  </si>
  <si>
    <r>
      <t xml:space="preserve">Tasa Bruta                              </t>
    </r>
    <r>
      <rPr>
        <sz val="11"/>
        <color theme="0" tint="-0.34998626667073579"/>
        <rFont val="Calibri Light"/>
        <family val="2"/>
        <scheme val="major"/>
      </rPr>
      <t xml:space="preserve"> </t>
    </r>
    <r>
      <rPr>
        <sz val="8"/>
        <color theme="0" tint="-0.34998626667073579"/>
        <rFont val="Calibri Light"/>
        <family val="2"/>
        <scheme val="major"/>
      </rPr>
      <t>(Antes de costos e impuestos)</t>
    </r>
  </si>
  <si>
    <t>Comparativo | Inversión Tradicional Vs OM elite (Anual)</t>
  </si>
  <si>
    <t>Diferencia en saldo</t>
  </si>
  <si>
    <t>Rendimientos anuales</t>
  </si>
  <si>
    <r>
      <t xml:space="preserve">Comparativo Tasa Bruta | </t>
    </r>
    <r>
      <rPr>
        <sz val="14"/>
        <color theme="0"/>
        <rFont val="Calibri Light"/>
        <family val="2"/>
        <scheme val="major"/>
      </rPr>
      <t>Beneficio Fiscal vs Tradicional</t>
    </r>
    <r>
      <rPr>
        <b/>
        <sz val="20"/>
        <color theme="0"/>
        <rFont val="Calibri Light"/>
        <family val="2"/>
        <scheme val="major"/>
      </rPr>
      <t xml:space="preserve"> </t>
    </r>
    <r>
      <rPr>
        <sz val="9"/>
        <color theme="0"/>
        <rFont val="Calibri Light"/>
        <family val="2"/>
        <scheme val="major"/>
      </rPr>
      <t>(anual)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</si>
</sst>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\ &quot;mxn&quot;"/>
    <numFmt numFmtId="165" formatCode="0.0%"/>
    <numFmt numFmtId="166" formatCode="0\ &quot;años&quot;"/>
    <numFmt numFmtId="167" formatCode="#,##0\ 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color theme="1" tint="0.499984740745262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color rgb="FFC00000"/>
      <name val="Calibri Light"/>
      <family val="2"/>
      <scheme val="major"/>
    </font>
    <font>
      <b/>
      <sz val="11"/>
      <color rgb="FF659B92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sz val="12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0"/>
      <color theme="0" tint="-4.9989318521683403E-2"/>
      <name val="Calibri Light"/>
      <family val="2"/>
      <scheme val="major"/>
    </font>
    <font>
      <sz val="12"/>
      <color theme="0" tint="-4.9989318521683403E-2"/>
      <name val="Calibri Light"/>
      <family val="2"/>
      <scheme val="major"/>
    </font>
    <font>
      <b/>
      <sz val="12"/>
      <color theme="6" tint="-0.249977111117893"/>
      <name val="Calibri Light"/>
      <family val="2"/>
      <scheme val="major"/>
    </font>
    <font>
      <b/>
      <sz val="11"/>
      <color theme="0" tint="-4.9989318521683403E-2"/>
      <name val="Calibri Light"/>
      <family val="2"/>
      <scheme val="major"/>
    </font>
    <font>
      <b/>
      <sz val="10"/>
      <color theme="0" tint="-4.9989318521683403E-2"/>
      <name val="Calibri Light"/>
      <family val="2"/>
      <scheme val="major"/>
    </font>
    <font>
      <b/>
      <sz val="10"/>
      <color theme="9"/>
      <name val="Calibri Light"/>
      <family val="2"/>
      <scheme val="major"/>
    </font>
    <font>
      <b/>
      <sz val="10"/>
      <color theme="6" tint="-0.249977111117893"/>
      <name val="Calibri Light"/>
      <family val="2"/>
      <scheme val="major"/>
    </font>
    <font>
      <sz val="11"/>
      <color theme="9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0"/>
      <color theme="2" tint="-0.499984740745262"/>
      <name val="Calibri Light"/>
      <family val="2"/>
      <scheme val="major"/>
    </font>
    <font>
      <sz val="8"/>
      <color theme="1" tint="0.34998626667073579"/>
      <name val="Calibri Light"/>
      <family val="2"/>
      <scheme val="major"/>
    </font>
    <font>
      <b/>
      <sz val="11"/>
      <color theme="9"/>
      <name val="Calibri Light"/>
      <family val="2"/>
      <scheme val="major"/>
    </font>
    <font>
      <sz val="11"/>
      <color theme="1" tint="0.499984740745262"/>
      <name val="Calibri Light"/>
      <family val="2"/>
      <scheme val="major"/>
    </font>
    <font>
      <sz val="10"/>
      <color theme="1" tint="0.499984740745262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8"/>
      <color theme="9"/>
      <name val="Calibri Light"/>
      <family val="2"/>
      <scheme val="major"/>
    </font>
    <font>
      <b/>
      <sz val="9"/>
      <color theme="9"/>
      <name val="Calibri Light"/>
      <family val="2"/>
      <scheme val="major"/>
    </font>
    <font>
      <b/>
      <sz val="9"/>
      <color rgb="FFC00000"/>
      <name val="Calibri Light"/>
      <family val="2"/>
      <scheme val="major"/>
    </font>
    <font>
      <b/>
      <sz val="9"/>
      <color theme="7"/>
      <name val="Calibri Light"/>
      <family val="2"/>
      <scheme val="major"/>
    </font>
    <font>
      <sz val="9"/>
      <color indexed="81"/>
      <name val="Calibri Light"/>
      <family val="2"/>
      <scheme val="major"/>
    </font>
    <font>
      <sz val="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20"/>
      <color theme="0"/>
      <name val="Calibri Light"/>
      <family val="2"/>
      <scheme val="major"/>
    </font>
    <font>
      <sz val="9"/>
      <color theme="0"/>
      <name val="Calibri Light"/>
      <family val="2"/>
      <scheme val="major"/>
    </font>
    <font>
      <sz val="10"/>
      <color theme="1" tint="0.34998626667073579"/>
      <name val="Calibri Light"/>
      <family val="2"/>
      <scheme val="major"/>
    </font>
    <font>
      <sz val="7.5"/>
      <color theme="1" tint="0.34998626667073579"/>
      <name val="Calibri Light"/>
      <family val="2"/>
      <scheme val="major"/>
    </font>
    <font>
      <sz val="9"/>
      <color theme="9"/>
      <name val="Calibri Light"/>
      <family val="2"/>
      <scheme val="major"/>
    </font>
    <font>
      <sz val="9"/>
      <color rgb="FFB6A380"/>
      <name val="Calibri Light"/>
      <family val="2"/>
      <scheme val="major"/>
    </font>
    <font>
      <sz val="16"/>
      <color theme="0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9"/>
      <color theme="2" tint="-0.499984740745262"/>
      <name val="Calibri Light"/>
      <family val="2"/>
      <scheme val="major"/>
    </font>
    <font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color theme="0" tint="-0.34998626667073579"/>
      <name val="Calibri Light"/>
      <family val="2"/>
      <scheme val="major"/>
    </font>
    <font>
      <sz val="10"/>
      <color rgb="FFC00000"/>
      <name val="Calibri Light"/>
      <family val="2"/>
      <scheme val="major"/>
    </font>
    <font>
      <sz val="7"/>
      <color theme="1" tint="0.34998626667073579"/>
      <name val="Calibri Light"/>
      <family val="2"/>
      <scheme val="major"/>
    </font>
    <font>
      <b/>
      <sz val="14"/>
      <color theme="1" tint="0.34998626667073579"/>
      <name val="Calibri Light"/>
      <family val="2"/>
      <scheme val="major"/>
    </font>
    <font>
      <sz val="7.5"/>
      <color theme="1"/>
      <name val="Calibri Light"/>
      <family val="2"/>
      <scheme val="major"/>
    </font>
    <font>
      <b/>
      <sz val="12"/>
      <color theme="9"/>
      <name val="Calibri Light"/>
      <family val="2"/>
      <scheme val="maj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DBFB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DBFA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8EBF0"/>
        <bgColor indexed="64"/>
      </patternFill>
    </fill>
    <fill>
      <patternFill patternType="solid">
        <fgColor rgb="FFB6A3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3DCC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AE3"/>
        <bgColor indexed="64"/>
      </patternFill>
    </fill>
    <fill>
      <patternFill patternType="solid">
        <fgColor rgb="FFEEEAE2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ck">
        <color theme="0" tint="-0.14993743705557422"/>
      </left>
      <right/>
      <top style="thick">
        <color theme="0" tint="-0.14993743705557422"/>
      </top>
      <bottom style="thick">
        <color theme="0" tint="-0.14993743705557422"/>
      </bottom>
      <diagonal/>
    </border>
    <border>
      <left/>
      <right/>
      <top style="thick">
        <color theme="0" tint="-0.14993743705557422"/>
      </top>
      <bottom style="thick">
        <color theme="0" tint="-0.14993743705557422"/>
      </bottom>
      <diagonal/>
    </border>
    <border>
      <left/>
      <right style="thick">
        <color theme="0" tint="-0.14993743705557422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ck">
        <color theme="0" tint="-0.14996795556505021"/>
      </left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/>
      <top/>
      <bottom/>
      <diagonal/>
    </border>
    <border>
      <left/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ck">
        <color theme="0" tint="-0.14996795556505021"/>
      </right>
      <top/>
      <bottom style="thin">
        <color theme="0" tint="-0.14993743705557422"/>
      </bottom>
      <diagonal/>
    </border>
    <border>
      <left style="thick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ck">
        <color theme="0" tint="-0.14996795556505021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ck">
        <color theme="0" tint="-0.14996795556505021"/>
      </right>
      <top/>
      <bottom/>
      <diagonal/>
    </border>
    <border>
      <left style="thick">
        <color theme="0" tint="-0.14993743705557422"/>
      </left>
      <right/>
      <top style="thick">
        <color theme="0" tint="-0.14993743705557422"/>
      </top>
      <bottom/>
      <diagonal/>
    </border>
    <border>
      <left/>
      <right/>
      <top style="thick">
        <color theme="0" tint="-0.14993743705557422"/>
      </top>
      <bottom/>
      <diagonal/>
    </border>
    <border>
      <left/>
      <right style="thick">
        <color theme="0" tint="-0.14993743705557422"/>
      </right>
      <top style="thick">
        <color theme="0" tint="-0.14993743705557422"/>
      </top>
      <bottom/>
      <diagonal/>
    </border>
    <border>
      <left style="thick">
        <color theme="0" tint="-0.149937437055574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 tint="-0.14993743705557422"/>
      </right>
      <top style="thin">
        <color theme="0"/>
      </top>
      <bottom style="thin">
        <color theme="0"/>
      </bottom>
      <diagonal/>
    </border>
    <border>
      <left style="thick">
        <color theme="0" tint="-0.14993743705557422"/>
      </left>
      <right/>
      <top/>
      <bottom/>
      <diagonal/>
    </border>
    <border>
      <left/>
      <right style="thick">
        <color theme="0" tint="-0.14993743705557422"/>
      </right>
      <top/>
      <bottom/>
      <diagonal/>
    </border>
    <border>
      <left style="thick">
        <color theme="0" tint="-0.14993743705557422"/>
      </left>
      <right/>
      <top/>
      <bottom style="thick">
        <color theme="0" tint="-0.14993743705557422"/>
      </bottom>
      <diagonal/>
    </border>
    <border>
      <left/>
      <right/>
      <top/>
      <bottom style="thick">
        <color theme="0" tint="-0.14993743705557422"/>
      </bottom>
      <diagonal/>
    </border>
    <border>
      <left/>
      <right style="thick">
        <color theme="0" tint="-0.14993743705557422"/>
      </right>
      <top/>
      <bottom style="thick">
        <color theme="0" tint="-0.14993743705557422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/>
      <top style="thick">
        <color theme="0" tint="-0.14996795556505021"/>
      </top>
      <bottom/>
      <diagonal/>
    </border>
    <border>
      <left/>
      <right style="thick">
        <color theme="0" tint="-0.14996795556505021"/>
      </right>
      <top style="thick">
        <color theme="0" tint="-0.14996795556505021"/>
      </top>
      <bottom/>
      <diagonal/>
    </border>
    <border>
      <left/>
      <right/>
      <top style="thick">
        <color theme="0" tint="-0.149967955565050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374370555742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 tint="-0.14993743705557422"/>
      </right>
      <top/>
      <bottom style="thin">
        <color theme="0"/>
      </bottom>
      <diagonal/>
    </border>
    <border>
      <left style="thick">
        <color theme="0" tint="-0.14993743705557422"/>
      </left>
      <right/>
      <top style="thin">
        <color theme="0"/>
      </top>
      <bottom style="thick">
        <color theme="0" tint="-0.14990691854609822"/>
      </bottom>
      <diagonal/>
    </border>
    <border>
      <left/>
      <right/>
      <top style="thin">
        <color theme="0"/>
      </top>
      <bottom style="thick">
        <color theme="0" tint="-0.14990691854609822"/>
      </bottom>
      <diagonal/>
    </border>
    <border>
      <left/>
      <right style="thick">
        <color theme="0" tint="-0.14993743705557422"/>
      </right>
      <top style="thin">
        <color theme="0"/>
      </top>
      <bottom style="thick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theme="0" tint="-0.14993743705557422"/>
      </left>
      <right/>
      <top/>
      <bottom style="medium">
        <color indexed="64"/>
      </bottom>
      <diagonal/>
    </border>
    <border>
      <left/>
      <right style="thick">
        <color theme="0" tint="-0.14993743705557422"/>
      </right>
      <top/>
      <bottom style="medium">
        <color indexed="64"/>
      </bottom>
      <diagonal/>
    </border>
    <border>
      <left style="thick">
        <color theme="0" tint="-0.14993743705557422"/>
      </left>
      <right style="thin">
        <color theme="0"/>
      </right>
      <top style="thin">
        <color theme="0"/>
      </top>
      <bottom style="thick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 tint="-0.14996795556505021"/>
      </bottom>
      <diagonal/>
    </border>
    <border>
      <left style="thin">
        <color theme="0"/>
      </left>
      <right style="thick">
        <color theme="0" tint="-0.14993743705557422"/>
      </right>
      <top style="thin">
        <color theme="0"/>
      </top>
      <bottom style="thick">
        <color theme="0" tint="-0.14996795556505021"/>
      </bottom>
      <diagonal/>
    </border>
    <border>
      <left style="thick">
        <color theme="0" tint="-0.14993743705557422"/>
      </left>
      <right style="thin">
        <color theme="0"/>
      </right>
      <top style="thin">
        <color theme="0"/>
      </top>
      <bottom style="thick">
        <color theme="0" tint="-0.149906918546098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 tint="-0.14990691854609822"/>
      </bottom>
      <diagonal/>
    </border>
    <border>
      <left style="thin">
        <color theme="0"/>
      </left>
      <right style="thick">
        <color theme="0" tint="-0.14993743705557422"/>
      </right>
      <top style="thin">
        <color theme="0"/>
      </top>
      <bottom style="thick">
        <color theme="0" tint="-0.149906918546098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 style="thin">
        <color indexed="64"/>
      </right>
      <top/>
      <bottom style="thick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24994659260841701"/>
      </bottom>
      <diagonal/>
    </border>
    <border>
      <left style="thin">
        <color indexed="64"/>
      </left>
      <right style="thick">
        <color theme="0" tint="-0.24994659260841701"/>
      </right>
      <top/>
      <bottom style="thick">
        <color theme="0" tint="-0.24994659260841701"/>
      </bottom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mediumDashed">
        <color rgb="FFB6A380"/>
      </left>
      <right style="mediumDashed">
        <color rgb="FFB6A380"/>
      </right>
      <top style="mediumDashed">
        <color rgb="FFB6A380"/>
      </top>
      <bottom style="mediumDashed">
        <color rgb="FFB6A380"/>
      </bottom>
      <diagonal/>
    </border>
    <border>
      <left/>
      <right style="mediumDashed">
        <color rgb="FFB6A380"/>
      </right>
      <top style="mediumDashed">
        <color rgb="FFB6A380"/>
      </top>
      <bottom style="mediumDashed">
        <color rgb="FFB6A38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7">
    <xf numFmtId="0" fontId="0" fillId="0" borderId="0" xfId="0"/>
    <xf numFmtId="0" fontId="2" fillId="7" borderId="0" xfId="0" applyFont="1" applyFill="1"/>
    <xf numFmtId="0" fontId="5" fillId="2" borderId="0" xfId="0" applyFont="1" applyFill="1"/>
    <xf numFmtId="0" fontId="5" fillId="0" borderId="0" xfId="0" applyFont="1"/>
    <xf numFmtId="0" fontId="14" fillId="5" borderId="23" xfId="0" applyFont="1" applyFill="1" applyBorder="1" applyAlignment="1">
      <alignment horizontal="center" vertical="center" wrapText="1"/>
    </xf>
    <xf numFmtId="0" fontId="15" fillId="5" borderId="0" xfId="0" applyFont="1" applyFill="1"/>
    <xf numFmtId="0" fontId="16" fillId="5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4" fillId="5" borderId="24" xfId="0" applyFont="1" applyFill="1" applyBorder="1" applyAlignment="1">
      <alignment horizontal="center" vertical="center" wrapText="1"/>
    </xf>
    <xf numFmtId="43" fontId="5" fillId="2" borderId="0" xfId="1" applyFont="1" applyFill="1"/>
    <xf numFmtId="0" fontId="7" fillId="0" borderId="0" xfId="0" applyFont="1"/>
    <xf numFmtId="10" fontId="7" fillId="0" borderId="0" xfId="0" applyNumberFormat="1" applyFont="1" applyAlignment="1">
      <alignment horizontal="center" vertical="center"/>
    </xf>
    <xf numFmtId="0" fontId="7" fillId="6" borderId="25" xfId="0" applyFont="1" applyFill="1" applyBorder="1"/>
    <xf numFmtId="0" fontId="7" fillId="6" borderId="26" xfId="0" applyFont="1" applyFill="1" applyBorder="1"/>
    <xf numFmtId="10" fontId="5" fillId="6" borderId="26" xfId="2" applyNumberFormat="1" applyFont="1" applyFill="1" applyBorder="1" applyAlignment="1">
      <alignment horizontal="center"/>
    </xf>
    <xf numFmtId="9" fontId="5" fillId="6" borderId="26" xfId="2" applyFont="1" applyFill="1" applyBorder="1" applyAlignment="1">
      <alignment horizontal="center"/>
    </xf>
    <xf numFmtId="10" fontId="5" fillId="2" borderId="0" xfId="0" applyNumberFormat="1" applyFont="1" applyFill="1"/>
    <xf numFmtId="43" fontId="5" fillId="0" borderId="0" xfId="1" applyFont="1"/>
    <xf numFmtId="0" fontId="17" fillId="7" borderId="25" xfId="0" applyFont="1" applyFill="1" applyBorder="1"/>
    <xf numFmtId="10" fontId="18" fillId="7" borderId="25" xfId="2" applyNumberFormat="1" applyFont="1" applyFill="1" applyBorder="1" applyAlignment="1">
      <alignment horizontal="center"/>
    </xf>
    <xf numFmtId="9" fontId="18" fillId="7" borderId="25" xfId="2" applyFont="1" applyFill="1" applyBorder="1" applyAlignment="1">
      <alignment horizontal="center"/>
    </xf>
    <xf numFmtId="0" fontId="17" fillId="7" borderId="0" xfId="0" applyFont="1" applyFill="1"/>
    <xf numFmtId="10" fontId="18" fillId="7" borderId="0" xfId="2" applyNumberFormat="1" applyFont="1" applyFill="1" applyBorder="1" applyAlignment="1">
      <alignment horizontal="center"/>
    </xf>
    <xf numFmtId="10" fontId="19" fillId="2" borderId="0" xfId="0" applyNumberFormat="1" applyFont="1" applyFill="1" applyAlignment="1">
      <alignment horizontal="center"/>
    </xf>
    <xf numFmtId="0" fontId="17" fillId="2" borderId="0" xfId="0" applyFont="1" applyFill="1"/>
    <xf numFmtId="10" fontId="18" fillId="2" borderId="0" xfId="2" applyNumberFormat="1" applyFont="1" applyFill="1" applyBorder="1" applyAlignment="1">
      <alignment horizontal="center"/>
    </xf>
    <xf numFmtId="9" fontId="18" fillId="2" borderId="0" xfId="2" applyFont="1" applyFill="1" applyBorder="1" applyAlignment="1">
      <alignment horizontal="center"/>
    </xf>
    <xf numFmtId="9" fontId="5" fillId="0" borderId="0" xfId="0" applyNumberFormat="1" applyFont="1" applyAlignment="1">
      <alignment horizontal="center"/>
    </xf>
    <xf numFmtId="165" fontId="7" fillId="0" borderId="0" xfId="0" applyNumberFormat="1" applyFont="1"/>
    <xf numFmtId="0" fontId="5" fillId="0" borderId="40" xfId="0" applyFont="1" applyBorder="1" applyAlignment="1">
      <alignment horizontal="center"/>
    </xf>
    <xf numFmtId="4" fontId="5" fillId="0" borderId="41" xfId="1" applyNumberFormat="1" applyFont="1" applyBorder="1" applyAlignment="1">
      <alignment horizontal="center" vertical="center"/>
    </xf>
    <xf numFmtId="0" fontId="5" fillId="4" borderId="43" xfId="0" applyFont="1" applyFill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5" fontId="5" fillId="0" borderId="0" xfId="2" applyNumberFormat="1" applyFont="1" applyFill="1"/>
    <xf numFmtId="0" fontId="5" fillId="0" borderId="46" xfId="0" applyFont="1" applyBorder="1" applyAlignment="1">
      <alignment horizontal="center"/>
    </xf>
    <xf numFmtId="0" fontId="15" fillId="0" borderId="0" xfId="0" applyFont="1"/>
    <xf numFmtId="10" fontId="5" fillId="0" borderId="0" xfId="2" applyNumberFormat="1" applyFont="1"/>
    <xf numFmtId="0" fontId="5" fillId="4" borderId="4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4" fontId="5" fillId="2" borderId="0" xfId="1" applyNumberFormat="1" applyFont="1" applyFill="1" applyBorder="1" applyAlignment="1">
      <alignment horizontal="center" vertical="center"/>
    </xf>
    <xf numFmtId="0" fontId="21" fillId="8" borderId="52" xfId="0" applyFont="1" applyFill="1" applyBorder="1" applyAlignment="1">
      <alignment horizontal="center" vertical="center"/>
    </xf>
    <xf numFmtId="0" fontId="21" fillId="8" borderId="31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/>
    </xf>
    <xf numFmtId="10" fontId="22" fillId="2" borderId="0" xfId="2" applyNumberFormat="1" applyFont="1" applyFill="1" applyAlignment="1">
      <alignment horizontal="center"/>
    </xf>
    <xf numFmtId="4" fontId="5" fillId="0" borderId="0" xfId="0" applyNumberFormat="1" applyFont="1"/>
    <xf numFmtId="10" fontId="23" fillId="2" borderId="0" xfId="2" applyNumberFormat="1" applyFont="1" applyFill="1" applyAlignment="1">
      <alignment horizontal="center"/>
    </xf>
    <xf numFmtId="10" fontId="5" fillId="2" borderId="0" xfId="2" applyNumberFormat="1" applyFont="1" applyFill="1"/>
    <xf numFmtId="3" fontId="5" fillId="0" borderId="41" xfId="1" applyNumberFormat="1" applyFont="1" applyBorder="1" applyAlignment="1">
      <alignment horizontal="center" vertical="center"/>
    </xf>
    <xf numFmtId="3" fontId="5" fillId="0" borderId="42" xfId="1" applyNumberFormat="1" applyFont="1" applyBorder="1" applyAlignment="1">
      <alignment horizontal="center" vertical="center"/>
    </xf>
    <xf numFmtId="3" fontId="5" fillId="4" borderId="44" xfId="1" applyNumberFormat="1" applyFont="1" applyFill="1" applyBorder="1" applyAlignment="1">
      <alignment horizontal="center" vertical="center"/>
    </xf>
    <xf numFmtId="3" fontId="5" fillId="4" borderId="45" xfId="1" applyNumberFormat="1" applyFont="1" applyFill="1" applyBorder="1" applyAlignment="1">
      <alignment horizontal="center" vertical="center"/>
    </xf>
    <xf numFmtId="3" fontId="5" fillId="0" borderId="0" xfId="1" applyNumberFormat="1" applyFont="1" applyBorder="1" applyAlignment="1">
      <alignment horizontal="center" vertical="center"/>
    </xf>
    <xf numFmtId="3" fontId="5" fillId="0" borderId="47" xfId="1" applyNumberFormat="1" applyFont="1" applyBorder="1" applyAlignment="1">
      <alignment horizontal="center" vertical="center"/>
    </xf>
    <xf numFmtId="3" fontId="5" fillId="4" borderId="49" xfId="1" applyNumberFormat="1" applyFont="1" applyFill="1" applyBorder="1" applyAlignment="1">
      <alignment horizontal="center" vertical="center"/>
    </xf>
    <xf numFmtId="3" fontId="5" fillId="4" borderId="50" xfId="1" applyNumberFormat="1" applyFont="1" applyFill="1" applyBorder="1" applyAlignment="1">
      <alignment horizontal="center" vertical="center"/>
    </xf>
    <xf numFmtId="0" fontId="17" fillId="9" borderId="31" xfId="0" applyFont="1" applyFill="1" applyBorder="1" applyAlignment="1">
      <alignment horizontal="center"/>
    </xf>
    <xf numFmtId="0" fontId="17" fillId="9" borderId="32" xfId="0" applyFont="1" applyFill="1" applyBorder="1" applyAlignment="1">
      <alignment horizontal="center"/>
    </xf>
    <xf numFmtId="0" fontId="17" fillId="9" borderId="38" xfId="0" applyFont="1" applyFill="1" applyBorder="1" applyAlignment="1">
      <alignment horizontal="center"/>
    </xf>
    <xf numFmtId="3" fontId="5" fillId="4" borderId="43" xfId="0" applyNumberFormat="1" applyFont="1" applyFill="1" applyBorder="1" applyAlignment="1">
      <alignment horizontal="center"/>
    </xf>
    <xf numFmtId="3" fontId="5" fillId="0" borderId="46" xfId="0" applyNumberFormat="1" applyFont="1" applyBorder="1" applyAlignment="1">
      <alignment horizontal="center"/>
    </xf>
    <xf numFmtId="3" fontId="5" fillId="4" borderId="48" xfId="0" applyNumberFormat="1" applyFont="1" applyFill="1" applyBorder="1" applyAlignment="1">
      <alignment horizontal="center"/>
    </xf>
    <xf numFmtId="0" fontId="17" fillId="8" borderId="31" xfId="0" applyFont="1" applyFill="1" applyBorder="1" applyAlignment="1">
      <alignment horizontal="center" vertical="center"/>
    </xf>
    <xf numFmtId="0" fontId="17" fillId="8" borderId="32" xfId="0" applyFont="1" applyFill="1" applyBorder="1" applyAlignment="1">
      <alignment horizontal="center" vertical="center"/>
    </xf>
    <xf numFmtId="0" fontId="17" fillId="8" borderId="38" xfId="0" applyFont="1" applyFill="1" applyBorder="1" applyAlignment="1">
      <alignment horizontal="center" vertical="center"/>
    </xf>
    <xf numFmtId="4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4" borderId="57" xfId="0" applyNumberFormat="1" applyFont="1" applyFill="1" applyBorder="1" applyAlignment="1">
      <alignment horizontal="center"/>
    </xf>
    <xf numFmtId="3" fontId="5" fillId="4" borderId="24" xfId="1" applyNumberFormat="1" applyFont="1" applyFill="1" applyBorder="1" applyAlignment="1">
      <alignment horizontal="center" vertical="center"/>
    </xf>
    <xf numFmtId="3" fontId="5" fillId="4" borderId="58" xfId="1" applyNumberFormat="1" applyFont="1" applyFill="1" applyBorder="1" applyAlignment="1">
      <alignment horizontal="center" vertical="center"/>
    </xf>
    <xf numFmtId="0" fontId="5" fillId="4" borderId="57" xfId="0" applyFont="1" applyFill="1" applyBorder="1" applyAlignment="1">
      <alignment horizontal="center"/>
    </xf>
    <xf numFmtId="0" fontId="5" fillId="0" borderId="59" xfId="0" applyFont="1" applyBorder="1" applyAlignment="1">
      <alignment horizontal="center"/>
    </xf>
    <xf numFmtId="3" fontId="5" fillId="0" borderId="60" xfId="1" applyNumberFormat="1" applyFont="1" applyBorder="1" applyAlignment="1">
      <alignment horizontal="center" vertical="center"/>
    </xf>
    <xf numFmtId="3" fontId="5" fillId="0" borderId="61" xfId="1" applyNumberFormat="1" applyFont="1" applyBorder="1" applyAlignment="1">
      <alignment horizontal="center" vertical="center"/>
    </xf>
    <xf numFmtId="10" fontId="26" fillId="2" borderId="11" xfId="0" applyNumberFormat="1" applyFont="1" applyFill="1" applyBorder="1" applyAlignment="1" applyProtection="1">
      <alignment horizontal="center" vertical="center"/>
      <protection locked="0"/>
    </xf>
    <xf numFmtId="10" fontId="26" fillId="2" borderId="17" xfId="0" applyNumberFormat="1" applyFont="1" applyFill="1" applyBorder="1" applyAlignment="1" applyProtection="1">
      <alignment horizontal="center" vertical="center"/>
      <protection locked="0"/>
    </xf>
    <xf numFmtId="10" fontId="26" fillId="2" borderId="21" xfId="0" applyNumberFormat="1" applyFont="1" applyFill="1" applyBorder="1" applyAlignment="1" applyProtection="1">
      <alignment horizontal="center" vertical="center"/>
      <protection locked="0"/>
    </xf>
    <xf numFmtId="4" fontId="5" fillId="2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0" fontId="29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10" fontId="26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0" fontId="13" fillId="2" borderId="0" xfId="0" applyNumberFormat="1" applyFont="1" applyFill="1" applyAlignment="1">
      <alignment horizontal="center" vertical="center"/>
    </xf>
    <xf numFmtId="10" fontId="5" fillId="0" borderId="0" xfId="2" applyNumberFormat="1" applyFont="1" applyAlignment="1" applyProtection="1">
      <alignment horizontal="center" vertical="center"/>
    </xf>
    <xf numFmtId="0" fontId="30" fillId="2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4" fontId="5" fillId="0" borderId="0" xfId="1" applyNumberFormat="1" applyFont="1" applyFill="1" applyBorder="1" applyAlignment="1">
      <alignment horizontal="center" vertical="center"/>
    </xf>
    <xf numFmtId="10" fontId="23" fillId="0" borderId="0" xfId="2" applyNumberFormat="1" applyFont="1" applyFill="1" applyAlignment="1">
      <alignment horizontal="center"/>
    </xf>
    <xf numFmtId="10" fontId="5" fillId="0" borderId="0" xfId="2" applyNumberFormat="1" applyFont="1" applyFill="1"/>
    <xf numFmtId="0" fontId="9" fillId="2" borderId="0" xfId="0" applyFont="1" applyFill="1" applyAlignment="1">
      <alignment vertical="center" wrapText="1"/>
    </xf>
    <xf numFmtId="10" fontId="35" fillId="2" borderId="0" xfId="0" applyNumberFormat="1" applyFont="1" applyFill="1" applyAlignment="1">
      <alignment vertical="center"/>
    </xf>
    <xf numFmtId="10" fontId="34" fillId="2" borderId="0" xfId="0" applyNumberFormat="1" applyFont="1" applyFill="1" applyAlignment="1">
      <alignment vertical="center"/>
    </xf>
    <xf numFmtId="10" fontId="25" fillId="2" borderId="0" xfId="0" applyNumberFormat="1" applyFont="1" applyFill="1" applyAlignment="1">
      <alignment horizontal="center" vertical="center"/>
    </xf>
    <xf numFmtId="165" fontId="26" fillId="2" borderId="21" xfId="2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left" vertical="center"/>
    </xf>
    <xf numFmtId="10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167" fontId="7" fillId="2" borderId="62" xfId="0" applyNumberFormat="1" applyFont="1" applyFill="1" applyBorder="1" applyAlignment="1" applyProtection="1">
      <alignment vertical="center"/>
      <protection locked="0"/>
    </xf>
    <xf numFmtId="166" fontId="7" fillId="2" borderId="62" xfId="0" applyNumberFormat="1" applyFont="1" applyFill="1" applyBorder="1" applyAlignment="1" applyProtection="1">
      <alignment vertical="center"/>
      <protection locked="0"/>
    </xf>
    <xf numFmtId="0" fontId="9" fillId="2" borderId="0" xfId="0" applyFont="1" applyFill="1" applyAlignment="1">
      <alignment horizontal="left"/>
    </xf>
    <xf numFmtId="0" fontId="7" fillId="4" borderId="12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0" fontId="11" fillId="4" borderId="69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0" fontId="33" fillId="0" borderId="72" xfId="0" applyNumberFormat="1" applyFont="1" applyBorder="1" applyAlignment="1">
      <alignment horizontal="center" vertical="center"/>
    </xf>
    <xf numFmtId="3" fontId="31" fillId="0" borderId="14" xfId="1" applyNumberFormat="1" applyFont="1" applyBorder="1" applyAlignment="1" applyProtection="1">
      <alignment horizontal="center" vertical="center"/>
    </xf>
    <xf numFmtId="3" fontId="31" fillId="0" borderId="65" xfId="1" applyNumberFormat="1" applyFont="1" applyBorder="1" applyAlignment="1" applyProtection="1">
      <alignment horizontal="center" vertical="center"/>
    </xf>
    <xf numFmtId="165" fontId="26" fillId="2" borderId="11" xfId="0" applyNumberFormat="1" applyFont="1" applyFill="1" applyBorder="1" applyAlignment="1">
      <alignment horizontal="center" vertical="center"/>
    </xf>
    <xf numFmtId="165" fontId="26" fillId="2" borderId="21" xfId="0" applyNumberFormat="1" applyFont="1" applyFill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11" fillId="4" borderId="70" xfId="0" applyFont="1" applyFill="1" applyBorder="1" applyAlignment="1">
      <alignment horizontal="center" vertical="center"/>
    </xf>
    <xf numFmtId="10" fontId="33" fillId="0" borderId="73" xfId="0" applyNumberFormat="1" applyFont="1" applyBorder="1" applyAlignment="1">
      <alignment horizontal="center" vertical="center"/>
    </xf>
    <xf numFmtId="3" fontId="31" fillId="0" borderId="67" xfId="1" applyNumberFormat="1" applyFont="1" applyBorder="1" applyAlignment="1" applyProtection="1">
      <alignment horizontal="center" vertical="center"/>
    </xf>
    <xf numFmtId="0" fontId="27" fillId="2" borderId="0" xfId="0" applyFont="1" applyFill="1" applyAlignment="1">
      <alignment horizontal="left" vertical="center"/>
    </xf>
    <xf numFmtId="3" fontId="5" fillId="2" borderId="0" xfId="1" applyNumberFormat="1" applyFont="1" applyFill="1" applyBorder="1" applyAlignment="1">
      <alignment horizontal="center" vertical="center"/>
    </xf>
    <xf numFmtId="10" fontId="48" fillId="2" borderId="62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/>
    <xf numFmtId="0" fontId="4" fillId="2" borderId="0" xfId="0" applyFont="1" applyFill="1"/>
    <xf numFmtId="4" fontId="3" fillId="2" borderId="0" xfId="0" applyNumberFormat="1" applyFont="1" applyFill="1"/>
    <xf numFmtId="4" fontId="2" fillId="2" borderId="0" xfId="0" applyNumberFormat="1" applyFont="1" applyFill="1"/>
    <xf numFmtId="0" fontId="49" fillId="2" borderId="0" xfId="0" applyFont="1" applyFill="1"/>
    <xf numFmtId="4" fontId="50" fillId="2" borderId="0" xfId="0" applyNumberFormat="1" applyFont="1" applyFill="1"/>
    <xf numFmtId="3" fontId="5" fillId="0" borderId="83" xfId="0" applyNumberFormat="1" applyFont="1" applyBorder="1" applyAlignment="1">
      <alignment horizontal="center"/>
    </xf>
    <xf numFmtId="3" fontId="5" fillId="0" borderId="5" xfId="1" applyNumberFormat="1" applyFont="1" applyBorder="1" applyAlignment="1">
      <alignment horizontal="center" vertical="center"/>
    </xf>
    <xf numFmtId="3" fontId="5" fillId="0" borderId="84" xfId="1" applyNumberFormat="1" applyFont="1" applyBorder="1" applyAlignment="1">
      <alignment horizontal="center" vertical="center"/>
    </xf>
    <xf numFmtId="0" fontId="5" fillId="4" borderId="85" xfId="0" applyFont="1" applyFill="1" applyBorder="1" applyAlignment="1">
      <alignment horizontal="center"/>
    </xf>
    <xf numFmtId="3" fontId="5" fillId="4" borderId="86" xfId="1" applyNumberFormat="1" applyFont="1" applyFill="1" applyBorder="1" applyAlignment="1">
      <alignment horizontal="center" vertical="center"/>
    </xf>
    <xf numFmtId="3" fontId="5" fillId="4" borderId="87" xfId="1" applyNumberFormat="1" applyFont="1" applyFill="1" applyBorder="1" applyAlignment="1">
      <alignment horizontal="center" vertical="center"/>
    </xf>
    <xf numFmtId="3" fontId="5" fillId="4" borderId="88" xfId="0" applyNumberFormat="1" applyFont="1" applyFill="1" applyBorder="1" applyAlignment="1">
      <alignment horizontal="center"/>
    </xf>
    <xf numFmtId="3" fontId="5" fillId="4" borderId="89" xfId="1" applyNumberFormat="1" applyFont="1" applyFill="1" applyBorder="1" applyAlignment="1">
      <alignment horizontal="center" vertical="center"/>
    </xf>
    <xf numFmtId="3" fontId="5" fillId="4" borderId="90" xfId="1" applyNumberFormat="1" applyFont="1" applyFill="1" applyBorder="1" applyAlignment="1">
      <alignment horizontal="center" vertical="center"/>
    </xf>
    <xf numFmtId="3" fontId="5" fillId="0" borderId="59" xfId="0" applyNumberFormat="1" applyFont="1" applyBorder="1" applyAlignment="1">
      <alignment horizontal="center"/>
    </xf>
    <xf numFmtId="10" fontId="30" fillId="2" borderId="0" xfId="0" applyNumberFormat="1" applyFont="1" applyFill="1" applyAlignment="1" applyProtection="1">
      <alignment horizontal="center" vertical="center"/>
      <protection locked="0"/>
    </xf>
    <xf numFmtId="0" fontId="9" fillId="2" borderId="0" xfId="0" applyFont="1" applyFill="1" applyAlignment="1">
      <alignment horizontal="center" vertical="center" wrapText="1"/>
    </xf>
    <xf numFmtId="10" fontId="30" fillId="2" borderId="0" xfId="0" applyNumberFormat="1" applyFont="1" applyFill="1" applyAlignment="1" applyProtection="1">
      <alignment horizontal="left" vertical="center"/>
      <protection locked="0"/>
    </xf>
    <xf numFmtId="10" fontId="5" fillId="2" borderId="0" xfId="2" applyNumberFormat="1" applyFont="1" applyFill="1" applyAlignment="1" applyProtection="1">
      <alignment horizontal="center" vertical="center"/>
    </xf>
    <xf numFmtId="3" fontId="5" fillId="0" borderId="0" xfId="0" applyNumberFormat="1" applyFont="1" applyAlignment="1">
      <alignment vertical="center"/>
    </xf>
    <xf numFmtId="9" fontId="5" fillId="0" borderId="0" xfId="2" applyFont="1" applyFill="1" applyBorder="1" applyAlignment="1">
      <alignment vertical="center"/>
    </xf>
    <xf numFmtId="10" fontId="30" fillId="2" borderId="0" xfId="0" applyNumberFormat="1" applyFont="1" applyFill="1" applyAlignment="1">
      <alignment horizontal="center" vertical="center"/>
    </xf>
    <xf numFmtId="0" fontId="39" fillId="2" borderId="0" xfId="0" applyFont="1" applyFill="1" applyAlignment="1">
      <alignment vertical="center" wrapText="1"/>
    </xf>
    <xf numFmtId="167" fontId="5" fillId="2" borderId="0" xfId="0" applyNumberFormat="1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10" fontId="52" fillId="2" borderId="0" xfId="2" applyNumberFormat="1" applyFont="1" applyFill="1" applyBorder="1" applyAlignment="1" applyProtection="1">
      <alignment horizontal="center" vertical="center"/>
    </xf>
    <xf numFmtId="0" fontId="10" fillId="2" borderId="0" xfId="0" applyFont="1" applyFill="1" applyAlignment="1">
      <alignment horizontal="center" vertical="center"/>
    </xf>
    <xf numFmtId="10" fontId="30" fillId="2" borderId="0" xfId="0" applyNumberFormat="1" applyFont="1" applyFill="1" applyAlignment="1">
      <alignment horizontal="left" vertical="center"/>
    </xf>
    <xf numFmtId="3" fontId="5" fillId="5" borderId="0" xfId="0" applyNumberFormat="1" applyFont="1" applyFill="1" applyAlignment="1">
      <alignment vertical="center"/>
    </xf>
    <xf numFmtId="3" fontId="5" fillId="2" borderId="0" xfId="0" applyNumberFormat="1" applyFont="1" applyFill="1" applyAlignment="1">
      <alignment vertical="center"/>
    </xf>
    <xf numFmtId="0" fontId="5" fillId="10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2" borderId="102" xfId="0" applyFont="1" applyFill="1" applyBorder="1" applyAlignment="1">
      <alignment horizontal="center" vertical="center"/>
    </xf>
    <xf numFmtId="0" fontId="5" fillId="2" borderId="10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9" fontId="5" fillId="5" borderId="0" xfId="2" applyFont="1" applyFill="1" applyAlignment="1" applyProtection="1">
      <alignment vertical="center"/>
    </xf>
    <xf numFmtId="0" fontId="56" fillId="2" borderId="0" xfId="0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56" fillId="2" borderId="0" xfId="0" applyFont="1" applyFill="1" applyAlignment="1">
      <alignment vertical="center"/>
    </xf>
    <xf numFmtId="0" fontId="42" fillId="2" borderId="0" xfId="0" applyFont="1" applyFill="1" applyAlignment="1">
      <alignment vertical="center"/>
    </xf>
    <xf numFmtId="167" fontId="41" fillId="2" borderId="62" xfId="0" applyNumberFormat="1" applyFont="1" applyFill="1" applyBorder="1" applyAlignment="1">
      <alignment horizontal="center" vertical="center"/>
    </xf>
    <xf numFmtId="167" fontId="41" fillId="12" borderId="62" xfId="0" applyNumberFormat="1" applyFont="1" applyFill="1" applyBorder="1" applyAlignment="1">
      <alignment horizontal="center" vertical="center"/>
    </xf>
    <xf numFmtId="10" fontId="44" fillId="2" borderId="62" xfId="2" applyNumberFormat="1" applyFont="1" applyFill="1" applyBorder="1" applyAlignment="1" applyProtection="1">
      <alignment horizontal="center" vertical="center"/>
    </xf>
    <xf numFmtId="10" fontId="43" fillId="2" borderId="62" xfId="2" applyNumberFormat="1" applyFont="1" applyFill="1" applyBorder="1" applyAlignment="1" applyProtection="1">
      <alignment horizontal="center" vertical="center"/>
    </xf>
    <xf numFmtId="10" fontId="37" fillId="9" borderId="62" xfId="0" applyNumberFormat="1" applyFont="1" applyFill="1" applyBorder="1" applyAlignment="1">
      <alignment horizontal="center" vertical="center"/>
    </xf>
    <xf numFmtId="9" fontId="5" fillId="2" borderId="0" xfId="0" applyNumberFormat="1" applyFont="1" applyFill="1" applyAlignment="1">
      <alignment horizontal="center" vertical="center"/>
    </xf>
    <xf numFmtId="10" fontId="48" fillId="0" borderId="62" xfId="0" applyNumberFormat="1" applyFont="1" applyBorder="1" applyAlignment="1" applyProtection="1">
      <alignment horizontal="center" vertical="center"/>
      <protection locked="0"/>
    </xf>
    <xf numFmtId="10" fontId="9" fillId="0" borderId="62" xfId="0" applyNumberFormat="1" applyFont="1" applyBorder="1" applyAlignment="1" applyProtection="1">
      <alignment horizontal="center" vertical="center"/>
      <protection locked="0"/>
    </xf>
    <xf numFmtId="167" fontId="41" fillId="0" borderId="62" xfId="0" applyNumberFormat="1" applyFont="1" applyBorder="1" applyAlignment="1" applyProtection="1">
      <alignment horizontal="center" vertical="center"/>
      <protection locked="0"/>
    </xf>
    <xf numFmtId="0" fontId="7" fillId="4" borderId="62" xfId="0" applyFont="1" applyFill="1" applyBorder="1" applyAlignment="1">
      <alignment horizontal="left" vertical="center"/>
    </xf>
    <xf numFmtId="0" fontId="7" fillId="4" borderId="62" xfId="0" applyFont="1" applyFill="1" applyBorder="1" applyAlignment="1">
      <alignment horizontal="center" vertical="center"/>
    </xf>
    <xf numFmtId="0" fontId="6" fillId="9" borderId="62" xfId="0" applyFont="1" applyFill="1" applyBorder="1" applyAlignment="1">
      <alignment horizontal="center" vertical="center"/>
    </xf>
    <xf numFmtId="0" fontId="6" fillId="10" borderId="62" xfId="0" applyFont="1" applyFill="1" applyBorder="1" applyAlignment="1">
      <alignment horizontal="center" vertical="center"/>
    </xf>
    <xf numFmtId="0" fontId="6" fillId="11" borderId="62" xfId="0" applyFont="1" applyFill="1" applyBorder="1" applyAlignment="1">
      <alignment horizontal="center" vertical="center"/>
    </xf>
    <xf numFmtId="10" fontId="40" fillId="10" borderId="62" xfId="0" applyNumberFormat="1" applyFont="1" applyFill="1" applyBorder="1" applyAlignment="1">
      <alignment horizontal="right" vertical="center"/>
    </xf>
    <xf numFmtId="0" fontId="6" fillId="3" borderId="62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 wrapText="1"/>
    </xf>
    <xf numFmtId="0" fontId="38" fillId="10" borderId="79" xfId="0" applyFont="1" applyFill="1" applyBorder="1" applyAlignment="1">
      <alignment horizontal="center" vertical="center" wrapText="1"/>
    </xf>
    <xf numFmtId="0" fontId="39" fillId="10" borderId="80" xfId="0" applyFont="1" applyFill="1" applyBorder="1" applyAlignment="1">
      <alignment horizontal="center" vertical="center" wrapText="1"/>
    </xf>
    <xf numFmtId="0" fontId="39" fillId="10" borderId="81" xfId="0" applyFont="1" applyFill="1" applyBorder="1" applyAlignment="1">
      <alignment horizontal="center" vertical="center" wrapText="1"/>
    </xf>
    <xf numFmtId="0" fontId="39" fillId="10" borderId="74" xfId="0" applyFont="1" applyFill="1" applyBorder="1" applyAlignment="1">
      <alignment horizontal="center" vertical="center" wrapText="1"/>
    </xf>
    <xf numFmtId="0" fontId="39" fillId="10" borderId="82" xfId="0" applyFont="1" applyFill="1" applyBorder="1" applyAlignment="1">
      <alignment horizontal="center" vertical="center" wrapText="1"/>
    </xf>
    <xf numFmtId="0" fontId="39" fillId="10" borderId="75" xfId="0" applyFont="1" applyFill="1" applyBorder="1" applyAlignment="1">
      <alignment horizontal="center" vertical="center" wrapText="1"/>
    </xf>
    <xf numFmtId="10" fontId="6" fillId="10" borderId="62" xfId="0" applyNumberFormat="1" applyFont="1" applyFill="1" applyBorder="1" applyAlignment="1">
      <alignment horizontal="right" vertical="center"/>
    </xf>
    <xf numFmtId="0" fontId="47" fillId="10" borderId="76" xfId="0" applyFont="1" applyFill="1" applyBorder="1" applyAlignment="1">
      <alignment horizontal="center" vertical="center"/>
    </xf>
    <xf numFmtId="0" fontId="47" fillId="10" borderId="77" xfId="0" applyFont="1" applyFill="1" applyBorder="1" applyAlignment="1">
      <alignment horizontal="center" vertical="center"/>
    </xf>
    <xf numFmtId="0" fontId="47" fillId="10" borderId="78" xfId="0" applyFont="1" applyFill="1" applyBorder="1" applyAlignment="1">
      <alignment horizontal="center" vertical="center"/>
    </xf>
    <xf numFmtId="10" fontId="30" fillId="0" borderId="62" xfId="0" applyNumberFormat="1" applyFont="1" applyBorder="1" applyAlignment="1" applyProtection="1">
      <alignment horizontal="center" vertical="center"/>
      <protection locked="0"/>
    </xf>
    <xf numFmtId="10" fontId="6" fillId="9" borderId="62" xfId="0" applyNumberFormat="1" applyFont="1" applyFill="1" applyBorder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10" fontId="52" fillId="14" borderId="93" xfId="2" applyNumberFormat="1" applyFont="1" applyFill="1" applyBorder="1" applyAlignment="1" applyProtection="1">
      <alignment horizontal="center" vertical="center"/>
      <protection locked="0"/>
    </xf>
    <xf numFmtId="10" fontId="52" fillId="14" borderId="94" xfId="2" applyNumberFormat="1" applyFont="1" applyFill="1" applyBorder="1" applyAlignment="1" applyProtection="1">
      <alignment horizontal="center" vertical="center"/>
      <protection locked="0"/>
    </xf>
    <xf numFmtId="10" fontId="52" fillId="14" borderId="95" xfId="2" applyNumberFormat="1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Alignment="1">
      <alignment horizontal="center" vertical="center" wrapText="1"/>
    </xf>
    <xf numFmtId="0" fontId="51" fillId="2" borderId="0" xfId="0" applyFont="1" applyFill="1" applyAlignment="1">
      <alignment horizontal="center" vertical="center" wrapText="1"/>
    </xf>
    <xf numFmtId="3" fontId="52" fillId="19" borderId="93" xfId="0" applyNumberFormat="1" applyFont="1" applyFill="1" applyBorder="1" applyAlignment="1">
      <alignment horizontal="center" vertical="center"/>
    </xf>
    <xf numFmtId="0" fontId="52" fillId="19" borderId="94" xfId="0" applyFont="1" applyFill="1" applyBorder="1" applyAlignment="1">
      <alignment horizontal="center" vertical="center"/>
    </xf>
    <xf numFmtId="0" fontId="52" fillId="19" borderId="95" xfId="0" applyFont="1" applyFill="1" applyBorder="1" applyAlignment="1">
      <alignment horizontal="center" vertical="center"/>
    </xf>
    <xf numFmtId="0" fontId="52" fillId="19" borderId="93" xfId="0" applyFont="1" applyFill="1" applyBorder="1" applyAlignment="1">
      <alignment horizontal="center" vertical="center"/>
    </xf>
    <xf numFmtId="3" fontId="52" fillId="18" borderId="93" xfId="0" applyNumberFormat="1" applyFont="1" applyFill="1" applyBorder="1" applyAlignment="1">
      <alignment horizontal="center" vertical="center"/>
    </xf>
    <xf numFmtId="0" fontId="52" fillId="18" borderId="94" xfId="0" applyFont="1" applyFill="1" applyBorder="1" applyAlignment="1">
      <alignment horizontal="center" vertical="center"/>
    </xf>
    <xf numFmtId="0" fontId="52" fillId="18" borderId="95" xfId="0" applyFont="1" applyFill="1" applyBorder="1" applyAlignment="1">
      <alignment horizontal="center" vertical="center"/>
    </xf>
    <xf numFmtId="0" fontId="52" fillId="18" borderId="93" xfId="0" applyFont="1" applyFill="1" applyBorder="1" applyAlignment="1">
      <alignment horizontal="center" vertical="center"/>
    </xf>
    <xf numFmtId="10" fontId="51" fillId="15" borderId="93" xfId="0" applyNumberFormat="1" applyFont="1" applyFill="1" applyBorder="1" applyAlignment="1">
      <alignment horizontal="center" vertical="center"/>
    </xf>
    <xf numFmtId="10" fontId="51" fillId="15" borderId="94" xfId="0" applyNumberFormat="1" applyFont="1" applyFill="1" applyBorder="1" applyAlignment="1">
      <alignment horizontal="center" vertical="center"/>
    </xf>
    <xf numFmtId="10" fontId="51" fillId="15" borderId="95" xfId="0" applyNumberFormat="1" applyFont="1" applyFill="1" applyBorder="1" applyAlignment="1">
      <alignment horizontal="center" vertical="center"/>
    </xf>
    <xf numFmtId="0" fontId="45" fillId="10" borderId="0" xfId="0" applyFont="1" applyFill="1" applyAlignment="1">
      <alignment horizontal="center" vertical="center"/>
    </xf>
    <xf numFmtId="0" fontId="10" fillId="10" borderId="99" xfId="0" applyFont="1" applyFill="1" applyBorder="1" applyAlignment="1">
      <alignment horizontal="center" vertical="center"/>
    </xf>
    <xf numFmtId="0" fontId="10" fillId="10" borderId="100" xfId="0" applyFont="1" applyFill="1" applyBorder="1" applyAlignment="1">
      <alignment horizontal="center" vertical="center"/>
    </xf>
    <xf numFmtId="0" fontId="10" fillId="10" borderId="101" xfId="0" applyFont="1" applyFill="1" applyBorder="1" applyAlignment="1">
      <alignment horizontal="center" vertical="center"/>
    </xf>
    <xf numFmtId="3" fontId="57" fillId="0" borderId="96" xfId="1" applyNumberFormat="1" applyFont="1" applyFill="1" applyBorder="1" applyAlignment="1" applyProtection="1">
      <alignment horizontal="center" vertical="center"/>
    </xf>
    <xf numFmtId="3" fontId="57" fillId="0" borderId="97" xfId="1" applyNumberFormat="1" applyFont="1" applyFill="1" applyBorder="1" applyAlignment="1" applyProtection="1">
      <alignment horizontal="center" vertical="center"/>
    </xf>
    <xf numFmtId="3" fontId="57" fillId="0" borderId="98" xfId="1" applyNumberFormat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10" fontId="52" fillId="19" borderId="93" xfId="2" applyNumberFormat="1" applyFont="1" applyFill="1" applyBorder="1" applyAlignment="1" applyProtection="1">
      <alignment horizontal="center" vertical="center"/>
    </xf>
    <xf numFmtId="10" fontId="52" fillId="19" borderId="94" xfId="2" applyNumberFormat="1" applyFont="1" applyFill="1" applyBorder="1" applyAlignment="1" applyProtection="1">
      <alignment horizontal="center" vertical="center"/>
    </xf>
    <xf numFmtId="10" fontId="52" fillId="19" borderId="95" xfId="2" applyNumberFormat="1" applyFont="1" applyFill="1" applyBorder="1" applyAlignment="1" applyProtection="1">
      <alignment horizontal="center" vertical="center"/>
    </xf>
    <xf numFmtId="3" fontId="26" fillId="2" borderId="91" xfId="0" applyNumberFormat="1" applyFont="1" applyFill="1" applyBorder="1" applyAlignment="1">
      <alignment horizontal="center" vertical="center"/>
    </xf>
    <xf numFmtId="3" fontId="26" fillId="2" borderId="92" xfId="0" applyNumberFormat="1" applyFont="1" applyFill="1" applyBorder="1" applyAlignment="1">
      <alignment horizontal="center" vertical="center"/>
    </xf>
    <xf numFmtId="3" fontId="26" fillId="2" borderId="16" xfId="0" applyNumberFormat="1" applyFont="1" applyFill="1" applyBorder="1" applyAlignment="1">
      <alignment horizontal="center" vertical="center"/>
    </xf>
    <xf numFmtId="0" fontId="31" fillId="2" borderId="0" xfId="0" applyFont="1" applyFill="1" applyAlignment="1">
      <alignment horizontal="left" vertical="center"/>
    </xf>
    <xf numFmtId="3" fontId="30" fillId="2" borderId="91" xfId="0" applyNumberFormat="1" applyFont="1" applyFill="1" applyBorder="1" applyAlignment="1">
      <alignment horizontal="center" vertical="center"/>
    </xf>
    <xf numFmtId="3" fontId="30" fillId="2" borderId="92" xfId="0" applyNumberFormat="1" applyFont="1" applyFill="1" applyBorder="1" applyAlignment="1">
      <alignment horizontal="center" vertical="center"/>
    </xf>
    <xf numFmtId="3" fontId="30" fillId="2" borderId="16" xfId="0" applyNumberFormat="1" applyFont="1" applyFill="1" applyBorder="1" applyAlignment="1">
      <alignment horizontal="center" vertical="center"/>
    </xf>
    <xf numFmtId="10" fontId="52" fillId="13" borderId="93" xfId="2" applyNumberFormat="1" applyFont="1" applyFill="1" applyBorder="1" applyAlignment="1" applyProtection="1">
      <alignment horizontal="center" vertical="center"/>
      <protection locked="0"/>
    </xf>
    <xf numFmtId="10" fontId="52" fillId="13" borderId="94" xfId="2" applyNumberFormat="1" applyFont="1" applyFill="1" applyBorder="1" applyAlignment="1" applyProtection="1">
      <alignment horizontal="center" vertical="center"/>
      <protection locked="0"/>
    </xf>
    <xf numFmtId="10" fontId="52" fillId="13" borderId="95" xfId="2" applyNumberFormat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>
      <alignment horizontal="left" vertical="center"/>
    </xf>
    <xf numFmtId="3" fontId="55" fillId="2" borderId="91" xfId="0" applyNumberFormat="1" applyFont="1" applyFill="1" applyBorder="1" applyAlignment="1">
      <alignment horizontal="center" vertical="center"/>
    </xf>
    <xf numFmtId="3" fontId="55" fillId="2" borderId="92" xfId="0" applyNumberFormat="1" applyFont="1" applyFill="1" applyBorder="1" applyAlignment="1">
      <alignment horizontal="center" vertical="center"/>
    </xf>
    <xf numFmtId="3" fontId="55" fillId="2" borderId="16" xfId="0" applyNumberFormat="1" applyFont="1" applyFill="1" applyBorder="1" applyAlignment="1">
      <alignment horizontal="center" vertical="center"/>
    </xf>
    <xf numFmtId="10" fontId="52" fillId="18" borderId="93" xfId="2" applyNumberFormat="1" applyFont="1" applyFill="1" applyBorder="1" applyAlignment="1" applyProtection="1">
      <alignment horizontal="center" vertical="center"/>
    </xf>
    <xf numFmtId="10" fontId="52" fillId="18" borderId="94" xfId="2" applyNumberFormat="1" applyFont="1" applyFill="1" applyBorder="1" applyAlignment="1" applyProtection="1">
      <alignment horizontal="center" vertical="center"/>
    </xf>
    <xf numFmtId="10" fontId="52" fillId="18" borderId="95" xfId="2" applyNumberFormat="1" applyFont="1" applyFill="1" applyBorder="1" applyAlignment="1" applyProtection="1">
      <alignment horizontal="center" vertical="center"/>
    </xf>
    <xf numFmtId="10" fontId="52" fillId="18" borderId="93" xfId="0" applyNumberFormat="1" applyFont="1" applyFill="1" applyBorder="1" applyAlignment="1">
      <alignment horizontal="center" vertical="center"/>
    </xf>
    <xf numFmtId="10" fontId="5" fillId="15" borderId="93" xfId="0" applyNumberFormat="1" applyFont="1" applyFill="1" applyBorder="1" applyAlignment="1" applyProtection="1">
      <alignment horizontal="center" vertical="center"/>
      <protection locked="0"/>
    </xf>
    <xf numFmtId="10" fontId="5" fillId="15" borderId="94" xfId="0" applyNumberFormat="1" applyFont="1" applyFill="1" applyBorder="1" applyAlignment="1" applyProtection="1">
      <alignment horizontal="center" vertical="center"/>
      <protection locked="0"/>
    </xf>
    <xf numFmtId="10" fontId="5" fillId="15" borderId="95" xfId="0" applyNumberFormat="1" applyFont="1" applyFill="1" applyBorder="1" applyAlignment="1" applyProtection="1">
      <alignment horizontal="center" vertical="center"/>
      <protection locked="0"/>
    </xf>
    <xf numFmtId="0" fontId="25" fillId="2" borderId="0" xfId="0" applyFont="1" applyFill="1" applyAlignment="1">
      <alignment horizontal="center" vertical="center"/>
    </xf>
    <xf numFmtId="10" fontId="31" fillId="15" borderId="93" xfId="0" applyNumberFormat="1" applyFont="1" applyFill="1" applyBorder="1" applyAlignment="1" applyProtection="1">
      <alignment horizontal="center" vertical="center"/>
      <protection locked="0"/>
    </xf>
    <xf numFmtId="0" fontId="31" fillId="15" borderId="94" xfId="0" applyFont="1" applyFill="1" applyBorder="1" applyAlignment="1" applyProtection="1">
      <alignment horizontal="center" vertical="center"/>
      <protection locked="0"/>
    </xf>
    <xf numFmtId="0" fontId="31" fillId="15" borderId="95" xfId="0" applyFont="1" applyFill="1" applyBorder="1" applyAlignment="1" applyProtection="1">
      <alignment horizontal="center" vertical="center"/>
      <protection locked="0"/>
    </xf>
    <xf numFmtId="0" fontId="5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3" fontId="31" fillId="0" borderId="62" xfId="1" applyNumberFormat="1" applyFont="1" applyBorder="1" applyAlignment="1" applyProtection="1">
      <alignment horizontal="center" vertical="center"/>
    </xf>
    <xf numFmtId="0" fontId="38" fillId="10" borderId="62" xfId="0" applyFont="1" applyFill="1" applyBorder="1" applyAlignment="1">
      <alignment horizontal="center" vertical="center" wrapText="1"/>
    </xf>
    <xf numFmtId="0" fontId="39" fillId="10" borderId="62" xfId="0" applyFont="1" applyFill="1" applyBorder="1" applyAlignment="1">
      <alignment horizontal="center" vertical="center" wrapText="1"/>
    </xf>
    <xf numFmtId="10" fontId="6" fillId="10" borderId="62" xfId="0" applyNumberFormat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32" fillId="4" borderId="63" xfId="0" applyFont="1" applyFill="1" applyBorder="1" applyAlignment="1">
      <alignment horizontal="center" vertical="center" wrapText="1"/>
    </xf>
    <xf numFmtId="0" fontId="32" fillId="4" borderId="62" xfId="0" applyFont="1" applyFill="1" applyBorder="1" applyAlignment="1">
      <alignment horizontal="center" vertical="center" wrapText="1"/>
    </xf>
    <xf numFmtId="0" fontId="32" fillId="4" borderId="64" xfId="0" applyFont="1" applyFill="1" applyBorder="1" applyAlignment="1">
      <alignment horizontal="center" vertical="center" wrapText="1"/>
    </xf>
    <xf numFmtId="0" fontId="32" fillId="4" borderId="65" xfId="0" applyFont="1" applyFill="1" applyBorder="1" applyAlignment="1">
      <alignment horizontal="center" vertical="center" wrapText="1"/>
    </xf>
    <xf numFmtId="0" fontId="11" fillId="4" borderId="71" xfId="0" applyFont="1" applyFill="1" applyBorder="1" applyAlignment="1">
      <alignment horizontal="center" vertical="center"/>
    </xf>
    <xf numFmtId="0" fontId="11" fillId="4" borderId="72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left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3" fontId="31" fillId="0" borderId="66" xfId="1" applyNumberFormat="1" applyFont="1" applyBorder="1" applyAlignment="1" applyProtection="1">
      <alignment horizontal="center" vertical="center"/>
    </xf>
    <xf numFmtId="0" fontId="11" fillId="4" borderId="68" xfId="0" applyFont="1" applyFill="1" applyBorder="1" applyAlignment="1">
      <alignment horizontal="center" vertical="center"/>
    </xf>
    <xf numFmtId="0" fontId="11" fillId="4" borderId="6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 wrapText="1"/>
    </xf>
    <xf numFmtId="0" fontId="14" fillId="5" borderId="24" xfId="0" applyFont="1" applyFill="1" applyBorder="1" applyAlignment="1">
      <alignment horizontal="center" vertical="center" wrapText="1"/>
    </xf>
    <xf numFmtId="0" fontId="20" fillId="9" borderId="27" xfId="0" applyFont="1" applyFill="1" applyBorder="1" applyAlignment="1">
      <alignment horizontal="center"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1" fillId="9" borderId="31" xfId="0" applyFont="1" applyFill="1" applyBorder="1" applyAlignment="1">
      <alignment horizontal="center"/>
    </xf>
    <xf numFmtId="0" fontId="21" fillId="9" borderId="0" xfId="0" applyFont="1" applyFill="1" applyAlignment="1">
      <alignment horizontal="center"/>
    </xf>
    <xf numFmtId="0" fontId="21" fillId="9" borderId="32" xfId="0" applyFont="1" applyFill="1" applyBorder="1" applyAlignment="1">
      <alignment horizontal="center"/>
    </xf>
    <xf numFmtId="0" fontId="21" fillId="9" borderId="30" xfId="0" applyFont="1" applyFill="1" applyBorder="1" applyAlignment="1">
      <alignment horizontal="center" vertical="center" wrapText="1"/>
    </xf>
    <xf numFmtId="0" fontId="17" fillId="9" borderId="35" xfId="0" applyFont="1" applyFill="1" applyBorder="1" applyAlignment="1">
      <alignment horizontal="center"/>
    </xf>
    <xf numFmtId="0" fontId="17" fillId="9" borderId="36" xfId="0" applyFont="1" applyFill="1" applyBorder="1" applyAlignment="1">
      <alignment horizontal="center"/>
    </xf>
    <xf numFmtId="0" fontId="17" fillId="9" borderId="37" xfId="0" applyFont="1" applyFill="1" applyBorder="1" applyAlignment="1">
      <alignment horizontal="center" vertical="center" wrapText="1"/>
    </xf>
    <xf numFmtId="0" fontId="17" fillId="9" borderId="39" xfId="0" applyFont="1" applyFill="1" applyBorder="1" applyAlignment="1">
      <alignment horizontal="center" vertical="center" wrapText="1"/>
    </xf>
    <xf numFmtId="0" fontId="20" fillId="8" borderId="27" xfId="0" applyFont="1" applyFill="1" applyBorder="1" applyAlignment="1">
      <alignment horizontal="center" vertical="center"/>
    </xf>
    <xf numFmtId="0" fontId="20" fillId="8" borderId="28" xfId="0" applyFont="1" applyFill="1" applyBorder="1" applyAlignment="1">
      <alignment horizontal="center" vertical="center"/>
    </xf>
    <xf numFmtId="0" fontId="20" fillId="8" borderId="29" xfId="0" applyFont="1" applyFill="1" applyBorder="1" applyAlignment="1">
      <alignment horizontal="center" vertical="center"/>
    </xf>
    <xf numFmtId="0" fontId="21" fillId="9" borderId="55" xfId="0" applyFont="1" applyFill="1" applyBorder="1" applyAlignment="1">
      <alignment horizontal="center" vertical="center"/>
    </xf>
    <xf numFmtId="0" fontId="21" fillId="9" borderId="30" xfId="0" applyFont="1" applyFill="1" applyBorder="1" applyAlignment="1">
      <alignment horizontal="center" vertical="center"/>
    </xf>
    <xf numFmtId="0" fontId="21" fillId="9" borderId="56" xfId="0" applyFont="1" applyFill="1" applyBorder="1" applyAlignment="1">
      <alignment horizontal="center" vertical="center"/>
    </xf>
    <xf numFmtId="0" fontId="21" fillId="9" borderId="31" xfId="0" applyFont="1" applyFill="1" applyBorder="1" applyAlignment="1">
      <alignment horizontal="center" vertical="center"/>
    </xf>
    <xf numFmtId="0" fontId="21" fillId="9" borderId="32" xfId="0" applyFont="1" applyFill="1" applyBorder="1" applyAlignment="1">
      <alignment horizontal="center" vertical="center"/>
    </xf>
    <xf numFmtId="0" fontId="21" fillId="9" borderId="33" xfId="0" applyFont="1" applyFill="1" applyBorder="1" applyAlignment="1">
      <alignment horizontal="center" vertical="center"/>
    </xf>
    <xf numFmtId="0" fontId="21" fillId="9" borderId="34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 textRotation="90" wrapText="1"/>
    </xf>
    <xf numFmtId="0" fontId="21" fillId="8" borderId="51" xfId="0" applyFont="1" applyFill="1" applyBorder="1" applyAlignment="1">
      <alignment horizontal="center" vertical="center" wrapText="1"/>
    </xf>
    <xf numFmtId="0" fontId="21" fillId="8" borderId="30" xfId="0" applyFont="1" applyFill="1" applyBorder="1" applyAlignment="1">
      <alignment horizontal="center" vertical="center" wrapText="1"/>
    </xf>
    <xf numFmtId="0" fontId="21" fillId="8" borderId="51" xfId="0" applyFont="1" applyFill="1" applyBorder="1" applyAlignment="1">
      <alignment horizontal="center" vertical="center"/>
    </xf>
    <xf numFmtId="0" fontId="21" fillId="8" borderId="30" xfId="0" applyFont="1" applyFill="1" applyBorder="1" applyAlignment="1">
      <alignment horizontal="center" vertical="center"/>
    </xf>
    <xf numFmtId="0" fontId="21" fillId="8" borderId="52" xfId="0" applyFont="1" applyFill="1" applyBorder="1" applyAlignment="1">
      <alignment horizontal="center" vertical="center"/>
    </xf>
    <xf numFmtId="0" fontId="21" fillId="8" borderId="53" xfId="0" applyFont="1" applyFill="1" applyBorder="1" applyAlignment="1">
      <alignment horizontal="center" vertical="center"/>
    </xf>
    <xf numFmtId="0" fontId="21" fillId="8" borderId="33" xfId="0" applyFont="1" applyFill="1" applyBorder="1" applyAlignment="1">
      <alignment horizontal="center" vertical="center"/>
    </xf>
    <xf numFmtId="0" fontId="21" fillId="8" borderId="34" xfId="0" applyFont="1" applyFill="1" applyBorder="1" applyAlignment="1">
      <alignment horizontal="center" vertical="center"/>
    </xf>
    <xf numFmtId="0" fontId="21" fillId="8" borderId="54" xfId="0" applyFont="1" applyFill="1" applyBorder="1" applyAlignment="1">
      <alignment horizontal="center" vertical="center"/>
    </xf>
    <xf numFmtId="0" fontId="17" fillId="8" borderId="35" xfId="0" applyFont="1" applyFill="1" applyBorder="1" applyAlignment="1">
      <alignment horizontal="center" vertical="center"/>
    </xf>
    <xf numFmtId="0" fontId="17" fillId="8" borderId="36" xfId="0" applyFont="1" applyFill="1" applyBorder="1" applyAlignment="1">
      <alignment horizontal="center" vertical="center"/>
    </xf>
    <xf numFmtId="0" fontId="17" fillId="8" borderId="37" xfId="0" applyFont="1" applyFill="1" applyBorder="1" applyAlignment="1">
      <alignment horizontal="center" vertical="center" wrapText="1"/>
    </xf>
    <xf numFmtId="0" fontId="17" fillId="8" borderId="39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center" vertical="center" textRotation="90" wrapText="1"/>
    </xf>
    <xf numFmtId="3" fontId="59" fillId="2" borderId="93" xfId="0" applyNumberFormat="1" applyFont="1" applyFill="1" applyBorder="1" applyAlignment="1">
      <alignment horizontal="center" vertical="center"/>
    </xf>
    <xf numFmtId="0" fontId="59" fillId="2" borderId="94" xfId="0" applyFont="1" applyFill="1" applyBorder="1" applyAlignment="1">
      <alignment horizontal="center" vertical="center"/>
    </xf>
    <xf numFmtId="0" fontId="59" fillId="2" borderId="95" xfId="0" applyFont="1" applyFill="1" applyBorder="1" applyAlignment="1">
      <alignment horizontal="center" vertical="center"/>
    </xf>
    <xf numFmtId="0" fontId="59" fillId="2" borderId="93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EEEAE2"/>
      <color rgb="FFD3DAE3"/>
      <color rgb="FFB6A380"/>
      <color rgb="FFE3DCCF"/>
      <color rgb="FFB7C2D1"/>
      <color rgb="FFCDBFA7"/>
      <color rgb="FFE8EBF0"/>
      <color rgb="FFADB9CA"/>
      <color rgb="FF700000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727127029475297"/>
          <c:y val="5.4354508116991759E-2"/>
          <c:w val="0.5195428889972824"/>
          <c:h val="0.821857282259030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'Detalle Comparativo'!$B$5</c:f>
              <c:strCache>
                <c:ptCount val="1"/>
                <c:pt idx="0">
                  <c:v>Costo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'Detalle Comparativo'!$C$4:$D$4</c:f>
              <c:strCache>
                <c:ptCount val="2"/>
                <c:pt idx="1">
                  <c:v>Tradicional</c:v>
                </c:pt>
              </c:strCache>
            </c:strRef>
          </c:cat>
          <c:val>
            <c:numRef>
              <c:f>'Detalle Comparativo'!$C$5:$D$5</c:f>
              <c:numCache>
                <c:formatCode>General</c:formatCode>
                <c:ptCount val="2"/>
                <c:pt idx="0">
                  <c:v>375000</c:v>
                </c:pt>
                <c:pt idx="1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D5-40CE-9841-309F20B25919}"/>
            </c:ext>
          </c:extLst>
        </c:ser>
        <c:ser>
          <c:idx val="1"/>
          <c:order val="1"/>
          <c:tx>
            <c:strRef>
              <c:f>'Detalle Comparativo'!$B$6</c:f>
              <c:strCache>
                <c:ptCount val="1"/>
                <c:pt idx="0">
                  <c:v>Inflación 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'Detalle Comparativo'!$C$4:$D$4</c:f>
              <c:strCache>
                <c:ptCount val="2"/>
                <c:pt idx="1">
                  <c:v>Tradicional</c:v>
                </c:pt>
              </c:strCache>
            </c:strRef>
          </c:cat>
          <c:val>
            <c:numRef>
              <c:f>'Detalle Comparativo'!$C$6:$D$6</c:f>
              <c:numCache>
                <c:formatCode>General</c:formatCode>
                <c:ptCount val="2"/>
                <c:pt idx="0">
                  <c:v>2320000</c:v>
                </c:pt>
                <c:pt idx="1">
                  <c:v>2320000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D5-40CE-9841-309F20B25919}"/>
            </c:ext>
          </c:extLst>
        </c:ser>
        <c:ser>
          <c:idx val="2"/>
          <c:order val="2"/>
          <c:tx>
            <c:strRef>
              <c:f>'Detalle Comparativo'!$B$7</c:f>
              <c:strCache>
                <c:ptCount val="1"/>
                <c:pt idx="0">
                  <c:v>Rendimientos Reales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'Detalle Comparativo'!$C$4:$D$4</c:f>
              <c:strCache>
                <c:ptCount val="2"/>
                <c:pt idx="1">
                  <c:v>Tradicional</c:v>
                </c:pt>
              </c:strCache>
            </c:strRef>
          </c:cat>
          <c:val>
            <c:numRef>
              <c:f>'Detalle Comparativo'!$C$7:$D$7</c:f>
              <c:numCache>
                <c:formatCode>General</c:formatCode>
                <c:ptCount val="2"/>
                <c:pt idx="0">
                  <c:v>1981250</c:v>
                </c:pt>
                <c:pt idx="1">
                  <c:v>1856250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D5-40CE-9841-309F20B25919}"/>
            </c:ext>
          </c:extLst>
        </c:ser>
        <c:ser>
          <c:idx val="3"/>
          <c:order val="3"/>
          <c:tx>
            <c:strRef>
              <c:f>'Detalle Comparativo'!$B$8</c:f>
              <c:strCache>
                <c:ptCount val="1"/>
                <c:pt idx="0">
                  <c:v>Impuesto Retenido</c:v>
                </c:pt>
              </c:strCache>
            </c:strRef>
          </c:tx>
          <c:spPr>
            <a:solidFill>
              <a:srgbClr val="CDBFA7">
                <a:alpha val="20000"/>
              </a:srgbClr>
            </a:solidFill>
            <a:ln w="6350">
              <a:solidFill>
                <a:srgbClr val="B6A380"/>
              </a:solidFill>
              <a:prstDash val="solid"/>
            </a:ln>
            <a:effectLst/>
          </c:spPr>
          <c:invertIfNegative val="0"/>
          <c:cat>
            <c:strRef>
              <c:f>'Detalle Comparativo'!$C$4:$D$4</c:f>
              <c:strCache>
                <c:ptCount val="2"/>
                <c:pt idx="1">
                  <c:v>Tradicional</c:v>
                </c:pt>
              </c:strCache>
            </c:strRef>
          </c:cat>
          <c:val>
            <c:numRef>
              <c:f>'Detalle Comparativo'!$C$8:$D$8</c:f>
              <c:numCache>
                <c:formatCode>General</c:formatCode>
                <c:ptCount val="2"/>
                <c:pt idx="0">
                  <c:v>0</c:v>
                </c:pt>
                <c:pt idx="1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D5-40CE-9841-309F20B25919}"/>
            </c:ext>
          </c:extLst>
        </c:ser>
        <c:ser>
          <c:idx val="4"/>
          <c:order val="4"/>
          <c:tx>
            <c:strRef>
              <c:f>'Detalle Comparativo'!$B$9</c:f>
              <c:strCache>
                <c:ptCount val="1"/>
                <c:pt idx="0">
                  <c:v>Impuesto  anual definitivo</c:v>
                </c:pt>
              </c:strCache>
            </c:strRef>
          </c:tx>
          <c:spPr>
            <a:solidFill>
              <a:srgbClr val="CDBFA7">
                <a:alpha val="45098"/>
              </a:srgbClr>
            </a:solidFill>
            <a:ln>
              <a:solidFill>
                <a:srgbClr val="B6A380"/>
              </a:solidFill>
              <a:prstDash val="dash"/>
            </a:ln>
            <a:effectLst/>
          </c:spPr>
          <c:invertIfNegative val="0"/>
          <c:dPt>
            <c:idx val="1"/>
            <c:invertIfNegative val="0"/>
            <c:bubble3D val="0"/>
            <c:spPr>
              <a:noFill/>
              <a:ln>
                <a:solidFill>
                  <a:srgbClr val="B6A380"/>
                </a:solidFill>
                <a:prstDash val="dash"/>
              </a:ln>
              <a:effectLst/>
            </c:spPr>
            <c:extLst>
              <c:ext xmlns:c16="http://schemas.microsoft.com/office/drawing/2014/chart" uri="{C3380CC4-5D6E-409C-BE32-E72D297353CC}">
                <c16:uniqueId val="{00000000-E358-47C9-A435-3D3F3749718A}"/>
              </c:ext>
            </c:extLst>
          </c:dPt>
          <c:cat>
            <c:strRef>
              <c:f>'Detalle Comparativo'!$C$4:$D$4</c:f>
              <c:strCache>
                <c:ptCount val="2"/>
                <c:pt idx="1">
                  <c:v>Tradicional</c:v>
                </c:pt>
              </c:strCache>
            </c:strRef>
          </c:cat>
          <c:val>
            <c:numRef>
              <c:f>'Detalle Comparativo'!$C$9:$D$9</c:f>
              <c:numCache>
                <c:formatCode>General</c:formatCode>
                <c:ptCount val="2"/>
                <c:pt idx="0">
                  <c:v>0</c:v>
                </c:pt>
                <c:pt idx="1">
                  <c:v>1018750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D5-40CE-9841-309F20B25919}"/>
            </c:ext>
          </c:extLst>
        </c:ser>
        <c:ser>
          <c:idx val="5"/>
          <c:order val="5"/>
          <c:tx>
            <c:strRef>
              <c:f>'Detalle Comparativo'!$B$10</c:f>
              <c:strCache>
                <c:ptCount val="1"/>
                <c:pt idx="0">
                  <c:v>Impuesto Diferido</c:v>
                </c:pt>
              </c:strCache>
            </c:strRef>
          </c:tx>
          <c:spPr>
            <a:solidFill>
              <a:srgbClr val="ADB9CA">
                <a:alpha val="74118"/>
              </a:srgbClr>
            </a:solidFill>
            <a:ln>
              <a:noFill/>
            </a:ln>
            <a:effectLst/>
          </c:spPr>
          <c:invertIfNegative val="0"/>
          <c:cat>
            <c:strRef>
              <c:f>'Detalle Comparativo'!$C$4:$D$4</c:f>
              <c:strCache>
                <c:ptCount val="2"/>
                <c:pt idx="1">
                  <c:v>Tradicional</c:v>
                </c:pt>
              </c:strCache>
            </c:strRef>
          </c:cat>
          <c:val>
            <c:numRef>
              <c:f>'Detalle Comparativo'!$C$10:$D$10</c:f>
              <c:numCache>
                <c:formatCode>General</c:formatCode>
                <c:ptCount val="2"/>
                <c:pt idx="0">
                  <c:v>1268750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ED5-40CE-9841-309F20B25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5131520"/>
        <c:axId val="95133056"/>
      </c:barChart>
      <c:catAx>
        <c:axId val="951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B6A380"/>
                </a:solidFill>
                <a:latin typeface="+mj-lt"/>
                <a:ea typeface="+mn-ea"/>
                <a:cs typeface="+mn-cs"/>
              </a:defRPr>
            </a:pPr>
            <a:endParaRPr lang="es-MX"/>
          </a:p>
        </c:txPr>
        <c:crossAx val="95133056"/>
        <c:crosses val="autoZero"/>
        <c:auto val="1"/>
        <c:lblAlgn val="ctr"/>
        <c:lblOffset val="100"/>
        <c:noMultiLvlLbl val="0"/>
      </c:catAx>
      <c:valAx>
        <c:axId val="95133056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es-MX"/>
          </a:p>
        </c:txPr>
        <c:crossAx val="9513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66803491568113"/>
          <c:y val="0.20228203336440786"/>
          <c:w val="0.22209323577454565"/>
          <c:h val="0.709086268424894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727127029475297"/>
          <c:y val="5.4354508116991759E-2"/>
          <c:w val="0.5195428889972824"/>
          <c:h val="0.821857282259030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'Grafica Comparativo'!$B$5</c:f>
              <c:strCache>
                <c:ptCount val="1"/>
                <c:pt idx="0">
                  <c:v>Costo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'Grafica Comparativo'!$C$4:$D$4</c:f>
              <c:strCache>
                <c:ptCount val="1"/>
                <c:pt idx="0">
                  <c:v>Tradicional</c:v>
                </c:pt>
              </c:strCache>
            </c:strRef>
          </c:cat>
          <c:val>
            <c:numRef>
              <c:f>'Grafica Comparativo'!$C$5:$D$5</c:f>
              <c:numCache>
                <c:formatCode>#,##0</c:formatCode>
                <c:ptCount val="2"/>
                <c:pt idx="0">
                  <c:v>14400</c:v>
                </c:pt>
                <c:pt idx="1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B-4827-B3A3-8EB3A349BED0}"/>
            </c:ext>
          </c:extLst>
        </c:ser>
        <c:ser>
          <c:idx val="1"/>
          <c:order val="1"/>
          <c:tx>
            <c:v>Inflación</c:v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'Grafica Comparativo'!$C$4:$D$4</c:f>
              <c:strCache>
                <c:ptCount val="1"/>
                <c:pt idx="0">
                  <c:v>Tradicional</c:v>
                </c:pt>
              </c:strCache>
            </c:strRef>
          </c:cat>
          <c:val>
            <c:numRef>
              <c:f>'Grafica Comparativo'!$C$6:$D$6</c:f>
              <c:numCache>
                <c:formatCode>#,##0</c:formatCode>
                <c:ptCount val="2"/>
                <c:pt idx="0">
                  <c:v>45799.999999999993</c:v>
                </c:pt>
                <c:pt idx="1">
                  <c:v>45799.999999999993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AB-4827-B3A3-8EB3A349BED0}"/>
            </c:ext>
          </c:extLst>
        </c:ser>
        <c:ser>
          <c:idx val="2"/>
          <c:order val="2"/>
          <c:tx>
            <c:strRef>
              <c:f>'Grafica Comparativo'!$B$7</c:f>
              <c:strCache>
                <c:ptCount val="1"/>
                <c:pt idx="0">
                  <c:v>Rendimiento Real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'Grafica Comparativo'!$C$4:$D$4</c:f>
              <c:strCache>
                <c:ptCount val="1"/>
                <c:pt idx="0">
                  <c:v>Tradicional</c:v>
                </c:pt>
              </c:strCache>
            </c:strRef>
          </c:cat>
          <c:val>
            <c:numRef>
              <c:f>'Grafica Comparativo'!$C$7:$D$7</c:f>
              <c:numCache>
                <c:formatCode>#,##0</c:formatCode>
                <c:ptCount val="2"/>
                <c:pt idx="0">
                  <c:v>32370.000000000007</c:v>
                </c:pt>
                <c:pt idx="1">
                  <c:v>38480.000000000007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AB-4827-B3A3-8EB3A349BED0}"/>
            </c:ext>
          </c:extLst>
        </c:ser>
        <c:ser>
          <c:idx val="3"/>
          <c:order val="3"/>
          <c:tx>
            <c:strRef>
              <c:f>'Grafica Comparativo'!$B$8</c:f>
              <c:strCache>
                <c:ptCount val="1"/>
                <c:pt idx="0">
                  <c:v>Impuesto retenido</c:v>
                </c:pt>
              </c:strCache>
            </c:strRef>
          </c:tx>
          <c:spPr>
            <a:solidFill>
              <a:srgbClr val="CDBFA7">
                <a:alpha val="20000"/>
              </a:srgbClr>
            </a:solidFill>
            <a:ln w="6350">
              <a:solidFill>
                <a:srgbClr val="B6A380"/>
              </a:solidFill>
              <a:prstDash val="solid"/>
            </a:ln>
            <a:effectLst/>
          </c:spPr>
          <c:invertIfNegative val="0"/>
          <c:cat>
            <c:strRef>
              <c:f>'Grafica Comparativo'!$C$4:$D$4</c:f>
              <c:strCache>
                <c:ptCount val="1"/>
                <c:pt idx="0">
                  <c:v>Tradicional</c:v>
                </c:pt>
              </c:strCache>
            </c:strRef>
          </c:cat>
          <c:val>
            <c:numRef>
              <c:f>'Grafica Comparativo'!$C$8:$D$8</c:f>
              <c:numCache>
                <c:formatCode>#,##0</c:formatCode>
                <c:ptCount val="2"/>
                <c:pt idx="0">
                  <c:v>5000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AB-4827-B3A3-8EB3A349BED0}"/>
            </c:ext>
          </c:extLst>
        </c:ser>
        <c:ser>
          <c:idx val="4"/>
          <c:order val="4"/>
          <c:tx>
            <c:strRef>
              <c:f>'Grafica Comparativo'!$B$9</c:f>
              <c:strCache>
                <c:ptCount val="1"/>
                <c:pt idx="0">
                  <c:v>Impuesto anual definitivo</c:v>
                </c:pt>
              </c:strCache>
            </c:strRef>
          </c:tx>
          <c:spPr>
            <a:solidFill>
              <a:schemeClr val="bg1">
                <a:alpha val="45098"/>
              </a:schemeClr>
            </a:solidFill>
            <a:ln>
              <a:solidFill>
                <a:srgbClr val="B6A380"/>
              </a:solidFill>
              <a:prstDash val="dash"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0EAB-4827-B3A3-8EB3A349BED0}"/>
              </c:ext>
            </c:extLst>
          </c:dPt>
          <c:cat>
            <c:strRef>
              <c:f>'Grafica Comparativo'!$C$4:$D$4</c:f>
              <c:strCache>
                <c:ptCount val="1"/>
                <c:pt idx="0">
                  <c:v>Tradicional</c:v>
                </c:pt>
              </c:strCache>
            </c:strRef>
          </c:cat>
          <c:val>
            <c:numRef>
              <c:f>'Grafica Comparativo'!$C$9:$D$9</c:f>
              <c:numCache>
                <c:formatCode>#,##0</c:formatCode>
                <c:ptCount val="2"/>
                <c:pt idx="0">
                  <c:v>12430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AB-4827-B3A3-8EB3A349BED0}"/>
            </c:ext>
          </c:extLst>
        </c:ser>
        <c:ser>
          <c:idx val="5"/>
          <c:order val="5"/>
          <c:tx>
            <c:strRef>
              <c:f>'Grafica Comparativo'!$B$10</c:f>
              <c:strCache>
                <c:ptCount val="1"/>
                <c:pt idx="0">
                  <c:v>Impuesto diferido</c:v>
                </c:pt>
              </c:strCache>
            </c:strRef>
          </c:tx>
          <c:spPr>
            <a:solidFill>
              <a:srgbClr val="ADB9CA">
                <a:alpha val="74118"/>
              </a:srgbClr>
            </a:solidFill>
            <a:ln>
              <a:noFill/>
            </a:ln>
            <a:effectLst/>
          </c:spPr>
          <c:invertIfNegative val="0"/>
          <c:cat>
            <c:strRef>
              <c:f>'Grafica Comparativo'!$C$4:$D$4</c:f>
              <c:strCache>
                <c:ptCount val="1"/>
                <c:pt idx="0">
                  <c:v>Tradicional</c:v>
                </c:pt>
              </c:strCache>
            </c:strRef>
          </c:cat>
          <c:val>
            <c:numRef>
              <c:f>'Grafica Comparativo'!$C$10:$D$10</c:f>
              <c:numCache>
                <c:formatCode>#,##0</c:formatCode>
                <c:ptCount val="2"/>
                <c:pt idx="0">
                  <c:v>0</c:v>
                </c:pt>
                <c:pt idx="1">
                  <c:v>20720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AB-4827-B3A3-8EB3A349B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5230592"/>
        <c:axId val="95236480"/>
      </c:barChart>
      <c:catAx>
        <c:axId val="952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B6A380"/>
                </a:solidFill>
                <a:latin typeface="+mj-lt"/>
                <a:ea typeface="+mn-ea"/>
                <a:cs typeface="+mn-cs"/>
              </a:defRPr>
            </a:pPr>
            <a:endParaRPr lang="es-MX"/>
          </a:p>
        </c:txPr>
        <c:crossAx val="95236480"/>
        <c:crosses val="autoZero"/>
        <c:auto val="1"/>
        <c:lblAlgn val="ctr"/>
        <c:lblOffset val="100"/>
        <c:noMultiLvlLbl val="0"/>
      </c:catAx>
      <c:valAx>
        <c:axId val="95236480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es-MX"/>
          </a:p>
        </c:txPr>
        <c:crossAx val="9523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515896039310872"/>
          <c:y val="0.2688674478970553"/>
          <c:w val="0.22484103960689128"/>
          <c:h val="0.544196356304998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1" i="0" baseline="0">
                <a:solidFill>
                  <a:schemeClr val="accent1">
                    <a:lumMod val="50000"/>
                  </a:schemeClr>
                </a:solidFill>
                <a:effectLst/>
              </a:rPr>
              <a:t>Beneficio Fiscal Acumulado en 10 años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Detalle!$R$44</c:f>
              <c:strCache>
                <c:ptCount val="1"/>
                <c:pt idx="0">
                  <c:v>Impuestos Acumulados Diferidos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'Gráfica 10 años'!$C$4:$C$29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0</c:v>
                </c:pt>
              </c:numCache>
            </c:numRef>
          </c:cat>
          <c:val>
            <c:numRef>
              <c:f>Detalle!$R$48:$R$58</c:f>
              <c:numCache>
                <c:formatCode>#,##0.00</c:formatCode>
                <c:ptCount val="11"/>
                <c:pt idx="0">
                  <c:v>393750.00000000006</c:v>
                </c:pt>
                <c:pt idx="1">
                  <c:v>812109.37500000012</c:v>
                </c:pt>
                <c:pt idx="2">
                  <c:v>1256616.2109375002</c:v>
                </c:pt>
                <c:pt idx="3">
                  <c:v>1728904.7241210942</c:v>
                </c:pt>
                <c:pt idx="4">
                  <c:v>2230711.2693786626</c:v>
                </c:pt>
                <c:pt idx="5">
                  <c:v>2763880.723714829</c:v>
                </c:pt>
                <c:pt idx="6">
                  <c:v>3330373.2689470057</c:v>
                </c:pt>
                <c:pt idx="7">
                  <c:v>3932271.5982561936</c:v>
                </c:pt>
                <c:pt idx="8">
                  <c:v>4571788.5731472056</c:v>
                </c:pt>
                <c:pt idx="9">
                  <c:v>5251275.3589689061</c:v>
                </c:pt>
                <c:pt idx="10">
                  <c:v>5973230.0689044632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7-418C-A56A-6EA675924B05}"/>
            </c:ext>
          </c:extLst>
        </c:ser>
        <c:ser>
          <c:idx val="1"/>
          <c:order val="1"/>
          <c:tx>
            <c:strRef>
              <c:f>Detalle!$Q$44</c:f>
              <c:strCache>
                <c:ptCount val="1"/>
                <c:pt idx="0">
                  <c:v>Potencializador por Diferimiento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'Gráfica 10 años'!$C$4:$C$29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0</c:v>
                </c:pt>
              </c:numCache>
            </c:numRef>
          </c:cat>
          <c:val>
            <c:numRef>
              <c:f>Detalle!$Q$48:$Q$58</c:f>
              <c:numCache>
                <c:formatCode>#,##0.00</c:formatCode>
                <c:ptCount val="11"/>
                <c:pt idx="0">
                  <c:v>81249.999999999942</c:v>
                </c:pt>
                <c:pt idx="1">
                  <c:v>192753.12499999988</c:v>
                </c:pt>
                <c:pt idx="2">
                  <c:v>337734.47031249828</c:v>
                </c:pt>
                <c:pt idx="3">
                  <c:v>519691.41628203494</c:v>
                </c:pt>
                <c:pt idx="4">
                  <c:v>742414.39407814248</c:v>
                </c:pt>
                <c:pt idx="5">
                  <c:v>1010009.1479932512</c:v>
                </c:pt>
                <c:pt idx="6">
                  <c:v>1326920.5983051802</c:v>
                </c:pt>
                <c:pt idx="7">
                  <c:v>1697958.4158254187</c:v>
                </c:pt>
                <c:pt idx="8">
                  <c:v>2128324.4267873485</c:v>
                </c:pt>
                <c:pt idx="9">
                  <c:v>2623641.9747629687</c:v>
                </c:pt>
                <c:pt idx="10">
                  <c:v>3189987.3748660199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7-418C-A56A-6EA675924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96250112"/>
        <c:axId val="96251904"/>
      </c:barChart>
      <c:catAx>
        <c:axId val="9625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es-MX"/>
          </a:p>
        </c:txPr>
        <c:crossAx val="96251904"/>
        <c:crosses val="autoZero"/>
        <c:auto val="1"/>
        <c:lblAlgn val="ctr"/>
        <c:lblOffset val="100"/>
        <c:noMultiLvlLbl val="0"/>
      </c:catAx>
      <c:valAx>
        <c:axId val="962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71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ysDash"/>
              <a:round/>
            </a:ln>
            <a:effectLst/>
          </c:spPr>
        </c:min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es-MX"/>
          </a:p>
        </c:txPr>
        <c:crossAx val="9625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Light" panose="020B0502040204020203" pitchFamily="34" charset="-122"/>
              <a:ea typeface="Microsoft YaHei Light" panose="020B0502040204020203" pitchFamily="34" charset="-122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1">
                <a:solidFill>
                  <a:schemeClr val="accent1">
                    <a:lumMod val="50000"/>
                  </a:schemeClr>
                </a:solidFill>
              </a:rPr>
              <a:t>Beneficio</a:t>
            </a:r>
            <a:r>
              <a:rPr lang="es-MX" sz="1800" b="1" baseline="0">
                <a:solidFill>
                  <a:schemeClr val="accent1">
                    <a:lumMod val="50000"/>
                  </a:schemeClr>
                </a:solidFill>
              </a:rPr>
              <a:t> Fiscal a 10 años</a:t>
            </a:r>
            <a:endParaRPr lang="es-MX" sz="1800" b="1">
              <a:solidFill>
                <a:schemeClr val="accent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Saldo Incremental (miles)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,;\-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Detalle!$E$48:$E$57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Detalle!$P$48:$P$57</c:f>
              <c:numCache>
                <c:formatCode>#,##0</c:formatCode>
                <c:ptCount val="10"/>
                <c:pt idx="0">
                  <c:v>475000</c:v>
                </c:pt>
                <c:pt idx="1">
                  <c:v>1004862.5</c:v>
                </c:pt>
                <c:pt idx="2">
                  <c:v>1594350.6812499985</c:v>
                </c:pt>
                <c:pt idx="3">
                  <c:v>2248596.1404031292</c:v>
                </c:pt>
                <c:pt idx="4">
                  <c:v>2973125.6634568051</c:v>
                </c:pt>
                <c:pt idx="5">
                  <c:v>3773889.8717080802</c:v>
                </c:pt>
                <c:pt idx="6">
                  <c:v>4657293.8672521859</c:v>
                </c:pt>
                <c:pt idx="7">
                  <c:v>5630230.0140816122</c:v>
                </c:pt>
                <c:pt idx="8">
                  <c:v>6700112.9999345541</c:v>
                </c:pt>
                <c:pt idx="9">
                  <c:v>7874917.3337318748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0A77-4294-AB0B-55668A743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axId val="102351232"/>
        <c:axId val="102352768"/>
      </c:barChart>
      <c:lineChart>
        <c:grouping val="standard"/>
        <c:varyColors val="0"/>
        <c:ser>
          <c:idx val="0"/>
          <c:order val="0"/>
          <c:tx>
            <c:strRef>
              <c:f>'Gráfica 10 años'!$D$3</c:f>
              <c:strCache>
                <c:ptCount val="1"/>
                <c:pt idx="0">
                  <c:v>Vehículo Tradicional</c:v>
                </c:pt>
              </c:strCache>
            </c:strRef>
          </c:tx>
          <c:spPr>
            <a:ln w="76200" cap="rnd">
              <a:solidFill>
                <a:schemeClr val="accent4">
                  <a:lumMod val="50000"/>
                </a:schemeClr>
              </a:solidFill>
              <a:prstDash val="sysDash"/>
              <a:round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Detalle!$E$48:$E$57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'Gráfica 10 años'!$D$5:$D$14</c:f>
              <c:numCache>
                <c:formatCode>#,##0.00</c:formatCode>
                <c:ptCount val="10"/>
                <c:pt idx="0">
                  <c:v>55440450</c:v>
                </c:pt>
                <c:pt idx="1">
                  <c:v>58378793.850000001</c:v>
                </c:pt>
                <c:pt idx="2">
                  <c:v>61472869.924049996</c:v>
                </c:pt>
                <c:pt idx="3">
                  <c:v>64730932.03002464</c:v>
                </c:pt>
                <c:pt idx="4">
                  <c:v>68161671.427615955</c:v>
                </c:pt>
                <c:pt idx="5">
                  <c:v>71774240.013279602</c:v>
                </c:pt>
                <c:pt idx="6">
                  <c:v>75578274.733983412</c:v>
                </c:pt>
                <c:pt idx="7">
                  <c:v>79583923.294884533</c:v>
                </c:pt>
                <c:pt idx="8">
                  <c:v>83801871.229513407</c:v>
                </c:pt>
                <c:pt idx="9">
                  <c:v>88243370.404677629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0A77-4294-AB0B-55668A7430F8}"/>
            </c:ext>
          </c:extLst>
        </c:ser>
        <c:ser>
          <c:idx val="1"/>
          <c:order val="1"/>
          <c:tx>
            <c:strRef>
              <c:f>'Gráfica 10 años'!$E$3</c:f>
              <c:strCache>
                <c:ptCount val="1"/>
                <c:pt idx="0">
                  <c:v>Plataforma Allianz</c:v>
                </c:pt>
              </c:strCache>
            </c:strRef>
          </c:tx>
          <c:spPr>
            <a:ln w="88900" cap="rnd" cmpd="sng">
              <a:solidFill>
                <a:schemeClr val="tx2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Detalle!$E$48:$E$57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'Gráfica 10 años'!$E$5:$E$14</c:f>
              <c:numCache>
                <c:formatCode>#,##0.00</c:formatCode>
                <c:ptCount val="10"/>
                <c:pt idx="0">
                  <c:v>56445312.5</c:v>
                </c:pt>
                <c:pt idx="1">
                  <c:v>59973144.53125</c:v>
                </c:pt>
                <c:pt idx="2">
                  <c:v>63721466.064453125</c:v>
                </c:pt>
                <c:pt idx="3">
                  <c:v>67704057.693481445</c:v>
                </c:pt>
                <c:pt idx="4">
                  <c:v>71935561.299324036</c:v>
                </c:pt>
                <c:pt idx="5">
                  <c:v>76431533.880531788</c:v>
                </c:pt>
                <c:pt idx="6">
                  <c:v>81208504.748065025</c:v>
                </c:pt>
                <c:pt idx="7">
                  <c:v>86284036.294819087</c:v>
                </c:pt>
                <c:pt idx="8">
                  <c:v>91676788.563245282</c:v>
                </c:pt>
                <c:pt idx="9">
                  <c:v>97406587.848448113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0A77-4294-AB0B-55668A743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64288"/>
        <c:axId val="102354304"/>
      </c:lineChart>
      <c:catAx>
        <c:axId val="10235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es-MX"/>
          </a:p>
        </c:txPr>
        <c:crossAx val="102352768"/>
        <c:crosses val="autoZero"/>
        <c:auto val="1"/>
        <c:lblAlgn val="ctr"/>
        <c:lblOffset val="100"/>
        <c:noMultiLvlLbl val="0"/>
      </c:catAx>
      <c:valAx>
        <c:axId val="1023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es-MX"/>
          </a:p>
        </c:txPr>
        <c:crossAx val="102351232"/>
        <c:crosses val="autoZero"/>
        <c:crossBetween val="between"/>
      </c:valAx>
      <c:valAx>
        <c:axId val="102354304"/>
        <c:scaling>
          <c:orientation val="minMax"/>
        </c:scaling>
        <c:delete val="0"/>
        <c:axPos val="r"/>
        <c:majorGridlines>
          <c:spPr>
            <a:ln w="15875" cap="flat" cmpd="sng" algn="ctr">
              <a:solidFill>
                <a:schemeClr val="tx2">
                  <a:alpha val="33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es-MX"/>
          </a:p>
        </c:txPr>
        <c:crossAx val="102364288"/>
        <c:crosses val="max"/>
        <c:crossBetween val="between"/>
      </c:valAx>
      <c:catAx>
        <c:axId val="102364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354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Light" panose="020B0502040204020203" pitchFamily="34" charset="-122"/>
              <a:ea typeface="Microsoft YaHei Light" panose="020B0502040204020203" pitchFamily="34" charset="-122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1" i="0" baseline="0">
                <a:solidFill>
                  <a:schemeClr val="accent1">
                    <a:lumMod val="50000"/>
                  </a:schemeClr>
                </a:solidFill>
                <a:effectLst/>
              </a:rPr>
              <a:t>Beneficio Fiscal Acumulado en 25 años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Detalle!$R$44</c:f>
              <c:strCache>
                <c:ptCount val="1"/>
                <c:pt idx="0">
                  <c:v>Impuestos Acumulados Diferidos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'Gráfica 25 años'!$C$4:$C$29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0</c:v>
                </c:pt>
              </c:numCache>
            </c:numRef>
          </c:cat>
          <c:val>
            <c:numRef>
              <c:f>Detalle!$R$48:$R$72</c:f>
              <c:numCache>
                <c:formatCode>#,##0.00</c:formatCode>
                <c:ptCount val="25"/>
                <c:pt idx="0">
                  <c:v>393750.00000000006</c:v>
                </c:pt>
                <c:pt idx="1">
                  <c:v>812109.37500000012</c:v>
                </c:pt>
                <c:pt idx="2">
                  <c:v>1256616.2109375002</c:v>
                </c:pt>
                <c:pt idx="3">
                  <c:v>1728904.7241210942</c:v>
                </c:pt>
                <c:pt idx="4">
                  <c:v>2230711.2693786626</c:v>
                </c:pt>
                <c:pt idx="5">
                  <c:v>2763880.723714829</c:v>
                </c:pt>
                <c:pt idx="6">
                  <c:v>3330373.2689470057</c:v>
                </c:pt>
                <c:pt idx="7">
                  <c:v>3932271.5982561936</c:v>
                </c:pt>
                <c:pt idx="8">
                  <c:v>4571788.5731472056</c:v>
                </c:pt>
                <c:pt idx="9">
                  <c:v>5251275.3589689061</c:v>
                </c:pt>
                <c:pt idx="10">
                  <c:v>5973230.0689044632</c:v>
                </c:pt>
                <c:pt idx="11">
                  <c:v>6740306.9482109919</c:v>
                </c:pt>
                <c:pt idx="12">
                  <c:v>7555326.1324741784</c:v>
                </c:pt>
                <c:pt idx="13">
                  <c:v>8421284.015753815</c:v>
                </c:pt>
                <c:pt idx="14">
                  <c:v>9341364.2667384278</c:v>
                </c:pt>
                <c:pt idx="15">
                  <c:v>10318949.533409581</c:v>
                </c:pt>
                <c:pt idx="16">
                  <c:v>11357633.87924768</c:v>
                </c:pt>
                <c:pt idx="17">
                  <c:v>12461235.996700659</c:v>
                </c:pt>
                <c:pt idx="18">
                  <c:v>13633813.24649445</c:v>
                </c:pt>
                <c:pt idx="19">
                  <c:v>14879676.574400352</c:v>
                </c:pt>
                <c:pt idx="20">
                  <c:v>16203406.360300375</c:v>
                </c:pt>
                <c:pt idx="21">
                  <c:v>17609869.25781915</c:v>
                </c:pt>
                <c:pt idx="22">
                  <c:v>19104236.086432848</c:v>
                </c:pt>
                <c:pt idx="23">
                  <c:v>20692000.841834903</c:v>
                </c:pt>
                <c:pt idx="24">
                  <c:v>22379000.894449584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3-441E-8E09-D139BB7F157D}"/>
            </c:ext>
          </c:extLst>
        </c:ser>
        <c:ser>
          <c:idx val="1"/>
          <c:order val="1"/>
          <c:tx>
            <c:strRef>
              <c:f>Detalle!$Q$44</c:f>
              <c:strCache>
                <c:ptCount val="1"/>
                <c:pt idx="0">
                  <c:v>Potencializador por Diferimiento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'Gráfica 25 años'!$C$4:$C$29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0</c:v>
                </c:pt>
              </c:numCache>
            </c:numRef>
          </c:cat>
          <c:val>
            <c:numRef>
              <c:f>Detalle!$Q$48:$Q$72</c:f>
              <c:numCache>
                <c:formatCode>#,##0.00</c:formatCode>
                <c:ptCount val="25"/>
                <c:pt idx="0">
                  <c:v>81249.999999999942</c:v>
                </c:pt>
                <c:pt idx="1">
                  <c:v>192753.12499999988</c:v>
                </c:pt>
                <c:pt idx="2">
                  <c:v>337734.47031249828</c:v>
                </c:pt>
                <c:pt idx="3">
                  <c:v>519691.41628203494</c:v>
                </c:pt>
                <c:pt idx="4">
                  <c:v>742414.39407814248</c:v>
                </c:pt>
                <c:pt idx="5">
                  <c:v>1010009.1479932512</c:v>
                </c:pt>
                <c:pt idx="6">
                  <c:v>1326920.5983051802</c:v>
                </c:pt>
                <c:pt idx="7">
                  <c:v>1697958.4158254187</c:v>
                </c:pt>
                <c:pt idx="8">
                  <c:v>2128324.4267873485</c:v>
                </c:pt>
                <c:pt idx="9">
                  <c:v>2623641.9747629687</c:v>
                </c:pt>
                <c:pt idx="10">
                  <c:v>3189987.3748660199</c:v>
                </c:pt>
                <c:pt idx="11">
                  <c:v>3833923.6046395823</c:v>
                </c:pt>
                <c:pt idx="12">
                  <c:v>4562536.3857727405</c:v>
                </c:pt>
                <c:pt idx="13">
                  <c:v>5383472.821186414</c:v>
                </c:pt>
                <c:pt idx="14">
                  <c:v>6304982.7631125022</c:v>
                </c:pt>
                <c:pt idx="15">
                  <c:v>7335963.0996108651</c:v>
                </c:pt>
                <c:pt idx="16">
                  <c:v>8486005.1595719606</c:v>
                </c:pt>
                <c:pt idx="17">
                  <c:v>9765445.4496911466</c:v>
                </c:pt>
                <c:pt idx="18">
                  <c:v>11185419.951228015</c:v>
                </c:pt>
                <c:pt idx="19">
                  <c:v>12757922.219640268</c:v>
                </c:pt>
                <c:pt idx="20">
                  <c:v>14495865.546465682</c:v>
                </c:pt>
                <c:pt idx="21">
                  <c:v>16413149.460186895</c:v>
                </c:pt>
                <c:pt idx="22">
                  <c:v>18524730.861320224</c:v>
                </c:pt>
                <c:pt idx="23">
                  <c:v>20846700.106697589</c:v>
                </c:pt>
                <c:pt idx="24">
                  <c:v>23396362.378937908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03-441E-8E09-D139BB7F1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02416768"/>
        <c:axId val="102418304"/>
      </c:barChart>
      <c:catAx>
        <c:axId val="1024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es-MX"/>
          </a:p>
        </c:txPr>
        <c:crossAx val="102418304"/>
        <c:crosses val="autoZero"/>
        <c:auto val="1"/>
        <c:lblAlgn val="ctr"/>
        <c:lblOffset val="100"/>
        <c:noMultiLvlLbl val="0"/>
      </c:catAx>
      <c:valAx>
        <c:axId val="10241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71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ysDash"/>
              <a:round/>
            </a:ln>
            <a:effectLst/>
          </c:spPr>
        </c:min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es-MX"/>
          </a:p>
        </c:txPr>
        <c:crossAx val="10241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Light" panose="020B0502040204020203" pitchFamily="34" charset="-122"/>
              <a:ea typeface="Microsoft YaHei Light" panose="020B0502040204020203" pitchFamily="34" charset="-122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1">
                <a:solidFill>
                  <a:schemeClr val="accent1">
                    <a:lumMod val="50000"/>
                  </a:schemeClr>
                </a:solidFill>
              </a:rPr>
              <a:t>Beneficio</a:t>
            </a:r>
            <a:r>
              <a:rPr lang="es-MX" sz="1800" b="1" baseline="0">
                <a:solidFill>
                  <a:schemeClr val="accent1">
                    <a:lumMod val="50000"/>
                  </a:schemeClr>
                </a:solidFill>
              </a:rPr>
              <a:t> Fiscal a 25 años</a:t>
            </a:r>
            <a:endParaRPr lang="es-MX" sz="1800" b="1">
              <a:solidFill>
                <a:schemeClr val="accent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Saldo Incremental (mdp)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,," sourceLinked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j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'Gráfica 25 años'!$C$4:$C$29</c15:sqref>
                  </c15:fullRef>
                </c:ext>
              </c:extLst>
              <c:f>'Gráfica 25 años'!$C$4:$C$28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Detalle!$P$48:$P$72</c15:sqref>
                  </c15:fullRef>
                </c:ext>
              </c:extLst>
              <c:f>Detalle!$P$48:$P$72</c:f>
              <c:numCache>
                <c:formatCode>#,##0</c:formatCode>
                <c:ptCount val="25"/>
                <c:pt idx="0">
                  <c:v>475000</c:v>
                </c:pt>
                <c:pt idx="1">
                  <c:v>1004862.5</c:v>
                </c:pt>
                <c:pt idx="2">
                  <c:v>1594350.6812499985</c:v>
                </c:pt>
                <c:pt idx="3">
                  <c:v>2248596.1404031292</c:v>
                </c:pt>
                <c:pt idx="4">
                  <c:v>2973125.6634568051</c:v>
                </c:pt>
                <c:pt idx="5">
                  <c:v>3773889.8717080802</c:v>
                </c:pt>
                <c:pt idx="6">
                  <c:v>4657293.8672521859</c:v>
                </c:pt>
                <c:pt idx="7">
                  <c:v>5630230.0140816122</c:v>
                </c:pt>
                <c:pt idx="8">
                  <c:v>6700112.9999345541</c:v>
                </c:pt>
                <c:pt idx="9">
                  <c:v>7874917.3337318748</c:v>
                </c:pt>
                <c:pt idx="10">
                  <c:v>9163217.4437704831</c:v>
                </c:pt>
                <c:pt idx="11">
                  <c:v>10574230.552850574</c:v>
                </c:pt>
                <c:pt idx="12">
                  <c:v>12117862.518246919</c:v>
                </c:pt>
                <c:pt idx="13">
                  <c:v>13804756.836940229</c:v>
                </c:pt>
                <c:pt idx="14">
                  <c:v>15646347.02985093</c:v>
                </c:pt>
                <c:pt idx="15">
                  <c:v>17654912.633020446</c:v>
                </c:pt>
                <c:pt idx="16">
                  <c:v>19843639.038819641</c:v>
                </c:pt>
                <c:pt idx="17">
                  <c:v>22226681.446391806</c:v>
                </c:pt>
                <c:pt idx="18">
                  <c:v>24819233.197722465</c:v>
                </c:pt>
                <c:pt idx="19">
                  <c:v>27637598.79404062</c:v>
                </c:pt>
                <c:pt idx="20">
                  <c:v>30699271.906766057</c:v>
                </c:pt>
                <c:pt idx="21">
                  <c:v>34023018.718006045</c:v>
                </c:pt>
                <c:pt idx="22">
                  <c:v>37628966.947753072</c:v>
                </c:pt>
                <c:pt idx="23">
                  <c:v>41538700.948532492</c:v>
                </c:pt>
                <c:pt idx="24">
                  <c:v>45775363.273387492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B6-41B2-9C9C-D60DB13CE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axId val="102995072"/>
        <c:axId val="102996608"/>
      </c:barChart>
      <c:lineChart>
        <c:grouping val="standard"/>
        <c:varyColors val="0"/>
        <c:ser>
          <c:idx val="0"/>
          <c:order val="0"/>
          <c:tx>
            <c:strRef>
              <c:f>'Gráfica 25 años'!$D$3</c:f>
              <c:strCache>
                <c:ptCount val="1"/>
                <c:pt idx="0">
                  <c:v>Vehículo Tradicional</c:v>
                </c:pt>
              </c:strCache>
            </c:strRef>
          </c:tx>
          <c:spPr>
            <a:ln w="76200" cap="rnd">
              <a:solidFill>
                <a:schemeClr val="accent4">
                  <a:lumMod val="50000"/>
                </a:schemeClr>
              </a:solidFill>
              <a:prstDash val="sysDash"/>
              <a:round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'Gráfica 25 años'!$C$4:$C$29</c15:sqref>
                  </c15:fullRef>
                </c:ext>
              </c:extLst>
              <c:f>'Gráfica 25 años'!$C$4:$C$28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'Gráfica 25 años'!$D$4:$D$29</c15:sqref>
                  </c15:fullRef>
                </c:ext>
              </c:extLst>
              <c:f>'Gráfica 25 años'!$D$4:$D$28</c:f>
              <c:numCache>
                <c:formatCode>#,##0.00</c:formatCode>
                <c:ptCount val="25"/>
                <c:pt idx="0">
                  <c:v>52650000</c:v>
                </c:pt>
                <c:pt idx="1">
                  <c:v>55440450</c:v>
                </c:pt>
                <c:pt idx="2">
                  <c:v>58378793.850000001</c:v>
                </c:pt>
                <c:pt idx="3">
                  <c:v>61472869.924049996</c:v>
                </c:pt>
                <c:pt idx="4">
                  <c:v>64730932.03002464</c:v>
                </c:pt>
                <c:pt idx="5">
                  <c:v>68161671.427615955</c:v>
                </c:pt>
                <c:pt idx="6">
                  <c:v>71774240.013279602</c:v>
                </c:pt>
                <c:pt idx="7">
                  <c:v>75578274.733983412</c:v>
                </c:pt>
                <c:pt idx="8">
                  <c:v>79583923.294884533</c:v>
                </c:pt>
                <c:pt idx="9">
                  <c:v>83801871.229513407</c:v>
                </c:pt>
                <c:pt idx="10">
                  <c:v>88243370.404677629</c:v>
                </c:pt>
                <c:pt idx="11">
                  <c:v>92920269.036125541</c:v>
                </c:pt>
                <c:pt idx="12">
                  <c:v>97845043.295040205</c:v>
                </c:pt>
                <c:pt idx="13">
                  <c:v>103030830.58967733</c:v>
                </c:pt>
                <c:pt idx="14">
                  <c:v>108491464.61093023</c:v>
                </c:pt>
                <c:pt idx="15">
                  <c:v>114241512.23530954</c:v>
                </c:pt>
                <c:pt idx="16">
                  <c:v>120296312.38378096</c:v>
                </c:pt>
                <c:pt idx="17">
                  <c:v>126672016.94012134</c:v>
                </c:pt>
                <c:pt idx="18">
                  <c:v>133385633.83794776</c:v>
                </c:pt>
                <c:pt idx="19">
                  <c:v>140455072.43135899</c:v>
                </c:pt>
                <c:pt idx="20">
                  <c:v>147899191.27022102</c:v>
                </c:pt>
                <c:pt idx="21">
                  <c:v>155737848.40754274</c:v>
                </c:pt>
                <c:pt idx="22">
                  <c:v>163991954.37314251</c:v>
                </c:pt>
                <c:pt idx="23">
                  <c:v>172683527.95491907</c:v>
                </c:pt>
                <c:pt idx="24">
                  <c:v>181835754.93652979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B6-41B2-9C9C-D60DB13CE332}"/>
            </c:ext>
          </c:extLst>
        </c:ser>
        <c:ser>
          <c:idx val="1"/>
          <c:order val="1"/>
          <c:tx>
            <c:strRef>
              <c:f>'Gráfica 25 años'!$E$3</c:f>
              <c:strCache>
                <c:ptCount val="1"/>
                <c:pt idx="0">
                  <c:v>Plataforma Allianz</c:v>
                </c:pt>
              </c:strCache>
            </c:strRef>
          </c:tx>
          <c:spPr>
            <a:ln w="88900" cap="rnd" cmpd="sng">
              <a:solidFill>
                <a:schemeClr val="tx2"/>
              </a:solidFill>
              <a:prstDash val="solid"/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'Gráfica 25 años'!$C$4:$C$29</c15:sqref>
                  </c15:fullRef>
                </c:ext>
              </c:extLst>
              <c:f>'Gráfica 25 años'!$C$4:$C$28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'Gráfica 25 años'!$E$4:$E$29</c15:sqref>
                  </c15:fullRef>
                </c:ext>
              </c:extLst>
              <c:f>'Gráfica 25 años'!$E$4:$E$28</c:f>
              <c:numCache>
                <c:formatCode>#,##0.00</c:formatCode>
                <c:ptCount val="25"/>
                <c:pt idx="0">
                  <c:v>53125000</c:v>
                </c:pt>
                <c:pt idx="1">
                  <c:v>56445312.5</c:v>
                </c:pt>
                <c:pt idx="2">
                  <c:v>59973144.53125</c:v>
                </c:pt>
                <c:pt idx="3">
                  <c:v>63721466.064453125</c:v>
                </c:pt>
                <c:pt idx="4">
                  <c:v>67704057.693481445</c:v>
                </c:pt>
                <c:pt idx="5">
                  <c:v>71935561.299324036</c:v>
                </c:pt>
                <c:pt idx="6">
                  <c:v>76431533.880531788</c:v>
                </c:pt>
                <c:pt idx="7">
                  <c:v>81208504.748065025</c:v>
                </c:pt>
                <c:pt idx="8">
                  <c:v>86284036.294819087</c:v>
                </c:pt>
                <c:pt idx="9">
                  <c:v>91676788.563245282</c:v>
                </c:pt>
                <c:pt idx="10">
                  <c:v>97406587.848448113</c:v>
                </c:pt>
                <c:pt idx="11">
                  <c:v>103494499.58897611</c:v>
                </c:pt>
                <c:pt idx="12">
                  <c:v>109962905.81328712</c:v>
                </c:pt>
                <c:pt idx="13">
                  <c:v>116835587.42661756</c:v>
                </c:pt>
                <c:pt idx="14">
                  <c:v>124137811.64078116</c:v>
                </c:pt>
                <c:pt idx="15">
                  <c:v>131896424.86832999</c:v>
                </c:pt>
                <c:pt idx="16">
                  <c:v>140139951.4226006</c:v>
                </c:pt>
                <c:pt idx="17">
                  <c:v>148898698.38651314</c:v>
                </c:pt>
                <c:pt idx="18">
                  <c:v>158204867.03567022</c:v>
                </c:pt>
                <c:pt idx="19">
                  <c:v>168092671.22539961</c:v>
                </c:pt>
                <c:pt idx="20">
                  <c:v>178598463.17698708</c:v>
                </c:pt>
                <c:pt idx="21">
                  <c:v>189760867.12554878</c:v>
                </c:pt>
                <c:pt idx="22">
                  <c:v>201620921.32089558</c:v>
                </c:pt>
                <c:pt idx="23">
                  <c:v>214222228.90345156</c:v>
                </c:pt>
                <c:pt idx="24">
                  <c:v>227611118.20991728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B6-41B2-9C9C-D60DB13CE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04032"/>
        <c:axId val="103002496"/>
      </c:lineChart>
      <c:catAx>
        <c:axId val="10299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es-MX"/>
          </a:p>
        </c:txPr>
        <c:crossAx val="102996608"/>
        <c:crosses val="autoZero"/>
        <c:auto val="1"/>
        <c:lblAlgn val="ctr"/>
        <c:lblOffset val="100"/>
        <c:noMultiLvlLbl val="0"/>
      </c:catAx>
      <c:valAx>
        <c:axId val="10299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es-MX"/>
          </a:p>
        </c:txPr>
        <c:crossAx val="102995072"/>
        <c:crosses val="autoZero"/>
        <c:crossBetween val="between"/>
      </c:valAx>
      <c:valAx>
        <c:axId val="103002496"/>
        <c:scaling>
          <c:orientation val="minMax"/>
        </c:scaling>
        <c:delete val="0"/>
        <c:axPos val="r"/>
        <c:majorGridlines>
          <c:spPr>
            <a:ln w="12700" cap="flat" cmpd="sng" algn="ctr">
              <a:solidFill>
                <a:schemeClr val="tx2">
                  <a:alpha val="62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es-MX"/>
          </a:p>
        </c:txPr>
        <c:crossAx val="103004032"/>
        <c:crosses val="max"/>
        <c:crossBetween val="between"/>
      </c:valAx>
      <c:catAx>
        <c:axId val="103004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02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Light" panose="020B0502040204020203" pitchFamily="34" charset="-122"/>
              <a:ea typeface="Microsoft YaHei Light" panose="020B0502040204020203" pitchFamily="34" charset="-122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171449</xdr:rowOff>
    </xdr:from>
    <xdr:to>
      <xdr:col>1</xdr:col>
      <xdr:colOff>0</xdr:colOff>
      <xdr:row>2</xdr:row>
      <xdr:rowOff>112345</xdr:rowOff>
    </xdr:to>
    <xdr:pic>
      <xdr:nvPicPr>
        <xdr:cNvPr id="2" name="Picture 12" descr="Resultado de imagen para allianz big logo">
          <a:extLst>
            <a:ext uri="{FF2B5EF4-FFF2-40B4-BE49-F238E27FC236}">
              <a16:creationId xmlns:a16="http://schemas.microsoft.com/office/drawing/2014/main" id="{3AD04990-F650-426F-82C4-0240EC0A7A4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200" t="27916" b="28454"/>
        <a:stretch/>
      </xdr:blipFill>
      <xdr:spPr bwMode="auto">
        <a:xfrm>
          <a:off x="190500" y="171449"/>
          <a:ext cx="0" cy="4552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26457</xdr:colOff>
      <xdr:row>8</xdr:row>
      <xdr:rowOff>87313</xdr:rowOff>
    </xdr:from>
    <xdr:to>
      <xdr:col>10</xdr:col>
      <xdr:colOff>910166</xdr:colOff>
      <xdr:row>27</xdr:row>
      <xdr:rowOff>7938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EB822E-55F8-B013-58CE-C4EC9FE02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0.24689</cdr:x>
      <cdr:y>0.90055</cdr:y>
    </cdr:from>
    <cdr:to>
      <cdr:x>0.40999</cdr:x>
      <cdr:y>0.945</cdr:y>
    </cdr:to>
    <cdr:pic>
      <cdr:nvPicPr>
        <cdr:cNvPr id="2" name="Imagen 1">
          <a:extLst xmlns:a="http://schemas.openxmlformats.org/drawingml/2006/main">
            <a:ext uri="{FF2B5EF4-FFF2-40B4-BE49-F238E27FC236}">
              <a16:creationId xmlns:a16="http://schemas.microsoft.com/office/drawing/2014/main" id="{0A01D33C-B0F7-4A75-B92D-06A97AD9E1C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08003" y="3245240"/>
          <a:ext cx="599819" cy="160189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189045</xdr:colOff>
      <xdr:row>0</xdr:row>
      <xdr:rowOff>171449</xdr:rowOff>
    </xdr:from>
    <xdr:to>
      <xdr:col>42</xdr:col>
      <xdr:colOff>0</xdr:colOff>
      <xdr:row>3</xdr:row>
      <xdr:rowOff>63662</xdr:rowOff>
    </xdr:to>
    <xdr:pic>
      <xdr:nvPicPr>
        <xdr:cNvPr id="2" name="Picture 12" descr="Logotipo&#10;&#10;Descripción generada automáticamente">
          <a:extLst>
            <a:ext uri="{FF2B5EF4-FFF2-40B4-BE49-F238E27FC236}">
              <a16:creationId xmlns:a16="http://schemas.microsoft.com/office/drawing/2014/main" id="{7B6C384B-8413-4226-90CA-43B2B885B7F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200" t="27916" b="28454"/>
        <a:stretch/>
      </xdr:blipFill>
      <xdr:spPr bwMode="auto">
        <a:xfrm>
          <a:off x="196850" y="171449"/>
          <a:ext cx="0" cy="44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17318</xdr:colOff>
      <xdr:row>6</xdr:row>
      <xdr:rowOff>88546</xdr:rowOff>
    </xdr:from>
    <xdr:to>
      <xdr:col>32</xdr:col>
      <xdr:colOff>190500</xdr:colOff>
      <xdr:row>25</xdr:row>
      <xdr:rowOff>155864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91BB6E7-2A55-4BF2-83DD-2EE3F6CD4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24</xdr:col>
      <xdr:colOff>117171</xdr:colOff>
      <xdr:row>23</xdr:row>
      <xdr:rowOff>176182</xdr:rowOff>
    </xdr:from>
    <xdr:to>
      <xdr:col>27</xdr:col>
      <xdr:colOff>127000</xdr:colOff>
      <xdr:row>24</xdr:row>
      <xdr:rowOff>138300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A01D33C-B0F7-4A75-B92D-06A97AD9E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2088" y="4674099"/>
          <a:ext cx="581329" cy="1737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171449</xdr:rowOff>
    </xdr:from>
    <xdr:to>
      <xdr:col>1</xdr:col>
      <xdr:colOff>0</xdr:colOff>
      <xdr:row>2</xdr:row>
      <xdr:rowOff>112345</xdr:rowOff>
    </xdr:to>
    <xdr:pic>
      <xdr:nvPicPr>
        <xdr:cNvPr id="11" name="Picture 12" descr="Resultado de imagen para allianz big logo">
          <a:extLst>
            <a:ext uri="{FF2B5EF4-FFF2-40B4-BE49-F238E27FC236}">
              <a16:creationId xmlns:a16="http://schemas.microsoft.com/office/drawing/2014/main" id="{24417493-C155-42D0-B89E-6BA88DEB180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200" t="27916" b="28454"/>
        <a:stretch/>
      </xdr:blipFill>
      <xdr:spPr bwMode="auto">
        <a:xfrm>
          <a:off x="190500" y="171449"/>
          <a:ext cx="468572" cy="43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15</xdr:row>
      <xdr:rowOff>76201</xdr:rowOff>
    </xdr:from>
    <xdr:to>
      <xdr:col>14</xdr:col>
      <xdr:colOff>19050</xdr:colOff>
      <xdr:row>30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7298FF-0E34-4A4C-ABDA-25B86793C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0</xdr:row>
      <xdr:rowOff>104775</xdr:rowOff>
    </xdr:from>
    <xdr:to>
      <xdr:col>14</xdr:col>
      <xdr:colOff>85725</xdr:colOff>
      <xdr:row>14</xdr:row>
      <xdr:rowOff>219074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579BFFD-35FE-4AB7-8991-C884EC42B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123825</xdr:colOff>
      <xdr:row>0</xdr:row>
      <xdr:rowOff>161925</xdr:rowOff>
    </xdr:from>
    <xdr:to>
      <xdr:col>1</xdr:col>
      <xdr:colOff>127000</xdr:colOff>
      <xdr:row>3</xdr:row>
      <xdr:rowOff>30989</xdr:rowOff>
    </xdr:to>
    <xdr:pic>
      <xdr:nvPicPr>
        <xdr:cNvPr id="4" name="Picture 12" descr="Resultado de imagen para allianz big logo">
          <a:extLst>
            <a:ext uri="{FF2B5EF4-FFF2-40B4-BE49-F238E27FC236}">
              <a16:creationId xmlns:a16="http://schemas.microsoft.com/office/drawing/2014/main" id="{EDAC7733-76B6-401E-B5B3-D861FFD548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200" t="27916" b="28454"/>
        <a:stretch/>
      </xdr:blipFill>
      <xdr:spPr bwMode="auto">
        <a:xfrm>
          <a:off x="346075" y="161925"/>
          <a:ext cx="0" cy="678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15</xdr:row>
      <xdr:rowOff>154780</xdr:rowOff>
    </xdr:from>
    <xdr:to>
      <xdr:col>14</xdr:col>
      <xdr:colOff>101248</xdr:colOff>
      <xdr:row>29</xdr:row>
      <xdr:rowOff>107156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351EA1-B294-4783-938F-F1127A2CF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0</xdr:row>
      <xdr:rowOff>104775</xdr:rowOff>
    </xdr:from>
    <xdr:to>
      <xdr:col>14</xdr:col>
      <xdr:colOff>85725</xdr:colOff>
      <xdr:row>14</xdr:row>
      <xdr:rowOff>219074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069BA5B-244B-4C12-864F-432911810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123825</xdr:colOff>
      <xdr:row>0</xdr:row>
      <xdr:rowOff>161925</xdr:rowOff>
    </xdr:from>
    <xdr:to>
      <xdr:col>1</xdr:col>
      <xdr:colOff>123825</xdr:colOff>
      <xdr:row>3</xdr:row>
      <xdr:rowOff>27814</xdr:rowOff>
    </xdr:to>
    <xdr:pic>
      <xdr:nvPicPr>
        <xdr:cNvPr id="4" name="Picture 12" descr="Resultado de imagen para allianz big logo">
          <a:extLst>
            <a:ext uri="{FF2B5EF4-FFF2-40B4-BE49-F238E27FC236}">
              <a16:creationId xmlns:a16="http://schemas.microsoft.com/office/drawing/2014/main" id="{AAB19B6E-98BE-46D5-912D-ED332237285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200" t="27916" b="28454"/>
        <a:stretch/>
      </xdr:blipFill>
      <xdr:spPr bwMode="auto">
        <a:xfrm>
          <a:off x="346075" y="161925"/>
          <a:ext cx="0" cy="678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lianzmx-my.sharepoint.com/personal/f_nosti_allianz_com_mx/Documents/Archivos%20de%20chat%20de%20Microsoft%20Teams/Instituciones%20Financieras/SC%20Asset%20Management/Simulador/Simulador%20Beneficio%20Fiscal%20-%202022%20(S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Simulador"/>
      <sheetName val="Gráfica"/>
      <sheetName val="Detalle Simulador"/>
    </sheetNames>
    <sheetDataSet>
      <sheetData sheetId="0">
        <row r="8">
          <cell r="D8">
            <v>0</v>
          </cell>
        </row>
        <row r="9">
          <cell r="D9">
            <v>0.08</v>
          </cell>
        </row>
        <row r="11">
          <cell r="D11">
            <v>0</v>
          </cell>
        </row>
        <row r="14">
          <cell r="D14">
            <v>0.05</v>
          </cell>
          <cell r="G14">
            <v>0.35</v>
          </cell>
        </row>
        <row r="15">
          <cell r="D15">
            <v>0.04</v>
          </cell>
          <cell r="G15">
            <v>0.1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  <pageSetUpPr fitToPage="1"/>
  </sheetPr>
  <dimension ref="A1:S50"/>
  <sheetViews>
    <sheetView topLeftCell="A4" zoomScale="130" zoomScaleNormal="130" workbookViewId="0">
      <selection activeCell="D13" sqref="D13"/>
    </sheetView>
  </sheetViews>
  <sheetFormatPr baseColWidth="10" defaultColWidth="0" defaultRowHeight="0" customHeight="1" zeroHeight="1" x14ac:dyDescent="0.3"/>
  <cols>
    <col min="1" max="1" width="2.77734375" style="80" customWidth="1"/>
    <col min="2" max="2" width="10.5546875" style="80" customWidth="1"/>
    <col min="3" max="3" width="12.44140625" style="80" customWidth="1"/>
    <col min="4" max="4" width="16.21875" style="80" customWidth="1"/>
    <col min="5" max="5" width="3.5546875" style="80" customWidth="1"/>
    <col min="6" max="6" width="2.77734375" style="80" customWidth="1"/>
    <col min="7" max="7" width="12.5546875" style="80" customWidth="1"/>
    <col min="8" max="8" width="12.44140625" style="80" customWidth="1"/>
    <col min="9" max="9" width="1.77734375" style="80" customWidth="1"/>
    <col min="10" max="11" width="13.21875" style="80" customWidth="1"/>
    <col min="12" max="12" width="2.77734375" style="80" customWidth="1"/>
    <col min="13" max="13" width="7.21875" style="80" hidden="1" customWidth="1"/>
    <col min="14" max="14" width="23.5546875" style="80" hidden="1" customWidth="1"/>
    <col min="15" max="15" width="15.77734375" style="80" hidden="1" customWidth="1"/>
    <col min="16" max="16" width="17.21875" style="80" hidden="1" customWidth="1"/>
    <col min="17" max="17" width="11.44140625" style="80" hidden="1" customWidth="1"/>
    <col min="18" max="19" width="6.77734375" style="80" hidden="1" customWidth="1"/>
    <col min="20" max="16384" width="11.44140625" style="80" hidden="1"/>
  </cols>
  <sheetData>
    <row r="1" spans="1:17" ht="14.25" customHeight="1" x14ac:dyDescent="0.3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7" ht="26.25" customHeight="1" x14ac:dyDescent="0.3">
      <c r="A2" s="79"/>
      <c r="B2" s="188" t="s">
        <v>113</v>
      </c>
      <c r="C2" s="189"/>
      <c r="D2" s="189"/>
      <c r="E2" s="189"/>
      <c r="F2" s="189"/>
      <c r="G2" s="189"/>
      <c r="H2" s="189"/>
      <c r="I2" s="189"/>
      <c r="J2" s="189"/>
      <c r="K2" s="190"/>
      <c r="L2" s="79"/>
      <c r="O2" s="80" t="s">
        <v>18</v>
      </c>
      <c r="P2" s="80" t="s">
        <v>69</v>
      </c>
    </row>
    <row r="3" spans="1:17" ht="14.4" x14ac:dyDescent="0.3">
      <c r="A3" s="79"/>
      <c r="B3" s="191"/>
      <c r="C3" s="192"/>
      <c r="D3" s="192"/>
      <c r="E3" s="192"/>
      <c r="F3" s="192"/>
      <c r="G3" s="192"/>
      <c r="H3" s="192"/>
      <c r="I3" s="192"/>
      <c r="J3" s="192"/>
      <c r="K3" s="193"/>
      <c r="L3" s="79"/>
    </row>
    <row r="4" spans="1:17" ht="14.25" customHeight="1" thickBo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N4" s="103" t="s">
        <v>28</v>
      </c>
      <c r="O4" s="151">
        <f>+D5</f>
        <v>50000000</v>
      </c>
      <c r="P4" s="151">
        <f>+D5</f>
        <v>50000000</v>
      </c>
    </row>
    <row r="5" spans="1:17" ht="19.5" customHeight="1" thickBot="1" x14ac:dyDescent="0.25">
      <c r="A5" s="79"/>
      <c r="B5" s="194" t="s">
        <v>82</v>
      </c>
      <c r="C5" s="194"/>
      <c r="D5" s="179">
        <v>50000000</v>
      </c>
      <c r="E5" s="81"/>
      <c r="F5" s="82"/>
      <c r="G5" s="195" t="s">
        <v>67</v>
      </c>
      <c r="H5" s="196"/>
      <c r="I5" s="196"/>
      <c r="J5" s="196"/>
      <c r="K5" s="197"/>
      <c r="L5" s="79"/>
      <c r="N5" s="103" t="s">
        <v>70</v>
      </c>
      <c r="O5" s="80">
        <f>+O4*H7</f>
        <v>5945000</v>
      </c>
      <c r="P5" s="79">
        <f>+O4*H7</f>
        <v>5945000</v>
      </c>
    </row>
    <row r="6" spans="1:17" ht="14.25" customHeight="1" x14ac:dyDescent="0.3">
      <c r="A6" s="79"/>
      <c r="B6" s="83"/>
      <c r="C6" s="84"/>
      <c r="D6" s="84"/>
      <c r="E6" s="82"/>
      <c r="F6" s="82"/>
      <c r="G6" s="79"/>
      <c r="H6" s="79"/>
      <c r="I6" s="79"/>
      <c r="J6" s="79"/>
      <c r="K6" s="79"/>
      <c r="L6" s="79"/>
      <c r="N6" s="103" t="s">
        <v>68</v>
      </c>
      <c r="O6" s="79">
        <f>+D5*D16</f>
        <v>2320000</v>
      </c>
      <c r="P6" s="79">
        <f>+D5*D16</f>
        <v>2320000</v>
      </c>
    </row>
    <row r="7" spans="1:17" ht="17.25" customHeight="1" x14ac:dyDescent="0.2">
      <c r="A7" s="79"/>
      <c r="B7" s="185" t="s">
        <v>86</v>
      </c>
      <c r="C7" s="185"/>
      <c r="D7" s="171">
        <f>+O5</f>
        <v>5945000</v>
      </c>
      <c r="E7" s="81"/>
      <c r="F7" s="82"/>
      <c r="G7" s="187" t="s">
        <v>65</v>
      </c>
      <c r="H7" s="198">
        <v>0.11890000000000001</v>
      </c>
      <c r="I7" s="101"/>
      <c r="J7" s="187" t="s">
        <v>84</v>
      </c>
      <c r="K7" s="199">
        <f>+(H7-D26)-((H7-D26-D16)*D19)</f>
        <v>8.7025000000000005E-2</v>
      </c>
      <c r="L7" s="79"/>
      <c r="N7" s="103" t="s">
        <v>71</v>
      </c>
      <c r="O7" s="79">
        <f>+O5-O6</f>
        <v>3625000</v>
      </c>
      <c r="P7" s="79">
        <f>+P5-P6</f>
        <v>3625000</v>
      </c>
    </row>
    <row r="8" spans="1:17" ht="17.25" customHeight="1" x14ac:dyDescent="0.2">
      <c r="A8" s="79"/>
      <c r="B8" s="185" t="s">
        <v>79</v>
      </c>
      <c r="C8" s="185"/>
      <c r="D8" s="172">
        <f>+O22</f>
        <v>1268750</v>
      </c>
      <c r="E8" s="81"/>
      <c r="F8" s="82"/>
      <c r="G8" s="187"/>
      <c r="H8" s="198"/>
      <c r="I8" s="101"/>
      <c r="J8" s="187"/>
      <c r="K8" s="199"/>
      <c r="L8" s="79"/>
      <c r="N8" s="80" t="s">
        <v>7</v>
      </c>
      <c r="O8" s="79">
        <v>0</v>
      </c>
      <c r="P8" s="79">
        <f>+P7*D19</f>
        <v>1268750</v>
      </c>
    </row>
    <row r="9" spans="1:17" ht="17.25" customHeight="1" x14ac:dyDescent="0.3">
      <c r="A9" s="79"/>
      <c r="B9" s="185" t="s">
        <v>80</v>
      </c>
      <c r="C9" s="185"/>
      <c r="D9" s="173">
        <f>+D8/D7</f>
        <v>0.21341463414634146</v>
      </c>
      <c r="E9" s="82"/>
      <c r="F9" s="82"/>
      <c r="G9" s="79"/>
      <c r="H9" s="79"/>
      <c r="I9" s="79"/>
      <c r="J9" s="79"/>
      <c r="K9" s="79"/>
      <c r="L9" s="79"/>
      <c r="N9" s="103" t="s">
        <v>72</v>
      </c>
      <c r="O9" s="79">
        <f>+O4*D23</f>
        <v>375000</v>
      </c>
      <c r="P9" s="79">
        <f>+P4*D26</f>
        <v>500000</v>
      </c>
    </row>
    <row r="10" spans="1:17" ht="17.25" customHeight="1" x14ac:dyDescent="0.3">
      <c r="A10" s="79"/>
      <c r="B10" s="185" t="s">
        <v>81</v>
      </c>
      <c r="C10" s="185"/>
      <c r="D10" s="174">
        <f>+Q14</f>
        <v>2.5726217669181706E-2</v>
      </c>
      <c r="E10" s="82"/>
      <c r="F10" s="82"/>
      <c r="G10" s="79"/>
      <c r="H10" s="79"/>
      <c r="I10" s="79"/>
      <c r="J10" s="79"/>
      <c r="K10" s="79"/>
      <c r="L10" s="79"/>
      <c r="N10" s="103"/>
      <c r="O10" s="79"/>
      <c r="P10" s="79"/>
    </row>
    <row r="11" spans="1:17" ht="14.25" customHeight="1" x14ac:dyDescent="0.3">
      <c r="A11" s="79"/>
      <c r="B11" s="82"/>
      <c r="C11" s="82"/>
      <c r="D11" s="82"/>
      <c r="E11" s="82"/>
      <c r="F11" s="82"/>
      <c r="G11" s="79"/>
      <c r="H11" s="79"/>
      <c r="I11" s="79"/>
      <c r="J11" s="79"/>
      <c r="K11" s="79"/>
      <c r="L11" s="79"/>
      <c r="N11" s="103"/>
      <c r="O11" s="79"/>
      <c r="P11" s="79"/>
    </row>
    <row r="12" spans="1:17" ht="16.5" customHeight="1" x14ac:dyDescent="0.3">
      <c r="A12" s="79"/>
      <c r="B12" s="187" t="s">
        <v>77</v>
      </c>
      <c r="C12" s="187"/>
      <c r="D12" s="178">
        <v>9.8900000000000002E-2</v>
      </c>
      <c r="E12" s="82"/>
      <c r="F12" s="82"/>
      <c r="L12" s="79"/>
      <c r="N12" s="103"/>
      <c r="O12" s="79"/>
      <c r="P12" s="79"/>
    </row>
    <row r="13" spans="1:17" ht="16.5" customHeight="1" x14ac:dyDescent="0.3">
      <c r="A13" s="79"/>
      <c r="B13" s="187" t="s">
        <v>52</v>
      </c>
      <c r="C13" s="187"/>
      <c r="D13" s="175">
        <f>+(1.53846154*(D12-D23))+D26-(0.53846154*(D16))</f>
        <v>0.1256307693</v>
      </c>
      <c r="E13" s="82"/>
      <c r="F13" s="82"/>
      <c r="L13" s="79"/>
      <c r="N13" s="103"/>
      <c r="O13" s="79"/>
      <c r="P13" s="79"/>
    </row>
    <row r="14" spans="1:17" ht="14.25" customHeight="1" x14ac:dyDescent="0.3">
      <c r="A14" s="79"/>
      <c r="B14" s="82"/>
      <c r="C14" s="82"/>
      <c r="D14" s="82"/>
      <c r="E14" s="82"/>
      <c r="F14" s="82"/>
      <c r="G14" s="98"/>
      <c r="H14" s="100"/>
      <c r="I14" s="100"/>
      <c r="J14" s="98"/>
      <c r="K14" s="99"/>
      <c r="L14" s="79"/>
      <c r="N14" s="91"/>
      <c r="O14" s="151">
        <f>+O4+O5-O9</f>
        <v>55570000</v>
      </c>
      <c r="P14" s="151">
        <f>+P4+P5-P8-P9</f>
        <v>54176250</v>
      </c>
      <c r="Q14" s="80">
        <f>+O14/P14-1</f>
        <v>2.5726217669181706E-2</v>
      </c>
    </row>
    <row r="15" spans="1:17" ht="15" customHeight="1" x14ac:dyDescent="0.3">
      <c r="A15" s="79"/>
      <c r="B15" s="186" t="s">
        <v>6</v>
      </c>
      <c r="C15" s="186"/>
      <c r="D15" s="186"/>
      <c r="E15" s="79"/>
      <c r="F15" s="79"/>
      <c r="G15" s="79"/>
      <c r="H15" s="79"/>
      <c r="I15" s="79"/>
      <c r="J15" s="79"/>
      <c r="K15" s="79"/>
      <c r="L15" s="79"/>
      <c r="N15" s="104"/>
    </row>
    <row r="16" spans="1:17" ht="15" customHeight="1" x14ac:dyDescent="0.3">
      <c r="A16" s="79"/>
      <c r="B16" s="181" t="s">
        <v>8</v>
      </c>
      <c r="C16" s="181"/>
      <c r="D16" s="177">
        <v>4.6399999999999997E-2</v>
      </c>
      <c r="E16" s="79"/>
      <c r="F16" s="79"/>
      <c r="G16" s="79"/>
      <c r="H16" s="79"/>
      <c r="I16" s="79"/>
      <c r="J16" s="79"/>
      <c r="K16" s="79"/>
      <c r="L16" s="79"/>
      <c r="O16" s="106" t="s">
        <v>18</v>
      </c>
      <c r="P16" s="106" t="s">
        <v>69</v>
      </c>
    </row>
    <row r="17" spans="1:16" s="79" customFormat="1" ht="15" customHeight="1" x14ac:dyDescent="0.3">
      <c r="B17" s="85"/>
      <c r="C17" s="85"/>
      <c r="D17" s="86"/>
      <c r="N17" s="103" t="s">
        <v>72</v>
      </c>
      <c r="O17" s="79">
        <f>+O9</f>
        <v>375000</v>
      </c>
      <c r="P17" s="79">
        <f>+P9</f>
        <v>500000</v>
      </c>
    </row>
    <row r="18" spans="1:16" s="79" customFormat="1" ht="15" customHeight="1" x14ac:dyDescent="0.3">
      <c r="B18" s="184" t="s">
        <v>7</v>
      </c>
      <c r="C18" s="184"/>
      <c r="D18" s="184"/>
      <c r="N18" s="105" t="s">
        <v>68</v>
      </c>
      <c r="O18" s="79">
        <f>+O6</f>
        <v>2320000</v>
      </c>
      <c r="P18" s="79">
        <f>+P6</f>
        <v>2320000</v>
      </c>
    </row>
    <row r="19" spans="1:16" s="79" customFormat="1" ht="15" customHeight="1" x14ac:dyDescent="0.3">
      <c r="B19" s="181" t="s">
        <v>9</v>
      </c>
      <c r="C19" s="181"/>
      <c r="D19" s="126">
        <v>0.35</v>
      </c>
      <c r="N19" s="105" t="s">
        <v>71</v>
      </c>
      <c r="O19" s="79">
        <f>+O7-O22</f>
        <v>2356250</v>
      </c>
      <c r="P19" s="79">
        <f>+P7-O22</f>
        <v>2356250</v>
      </c>
    </row>
    <row r="20" spans="1:16" s="79" customFormat="1" ht="15" customHeight="1" x14ac:dyDescent="0.3">
      <c r="B20" s="181" t="s">
        <v>78</v>
      </c>
      <c r="C20" s="181"/>
      <c r="D20" s="126">
        <v>5.0000000000000001E-3</v>
      </c>
      <c r="N20" s="105" t="s">
        <v>73</v>
      </c>
      <c r="O20" s="79">
        <v>0</v>
      </c>
      <c r="P20" s="79">
        <f>+P4*D20</f>
        <v>250000</v>
      </c>
    </row>
    <row r="21" spans="1:16" s="79" customFormat="1" ht="15" customHeight="1" x14ac:dyDescent="0.3">
      <c r="B21" s="82"/>
      <c r="C21" s="82"/>
      <c r="D21" s="82"/>
      <c r="N21" s="105" t="s">
        <v>75</v>
      </c>
      <c r="O21" s="79">
        <v>0</v>
      </c>
      <c r="P21" s="79">
        <f>+P8-P20</f>
        <v>1018750</v>
      </c>
    </row>
    <row r="22" spans="1:16" s="79" customFormat="1" ht="15" customHeight="1" x14ac:dyDescent="0.3">
      <c r="B22" s="183" t="s">
        <v>12</v>
      </c>
      <c r="C22" s="183"/>
      <c r="D22" s="183"/>
      <c r="N22" s="105" t="s">
        <v>74</v>
      </c>
      <c r="O22" s="79">
        <f>+P20+P21</f>
        <v>1268750</v>
      </c>
      <c r="P22" s="79">
        <v>0</v>
      </c>
    </row>
    <row r="23" spans="1:16" s="79" customFormat="1" ht="15" customHeight="1" x14ac:dyDescent="0.3">
      <c r="B23" s="180" t="s">
        <v>23</v>
      </c>
      <c r="C23" s="180"/>
      <c r="D23" s="126">
        <v>7.4999999999999997E-3</v>
      </c>
      <c r="O23" s="151"/>
      <c r="P23" s="151"/>
    </row>
    <row r="24" spans="1:16" s="79" customFormat="1" ht="15" customHeight="1" x14ac:dyDescent="0.3">
      <c r="D24" s="80"/>
    </row>
    <row r="25" spans="1:16" s="79" customFormat="1" ht="15" customHeight="1" x14ac:dyDescent="0.3">
      <c r="B25" s="182" t="s">
        <v>13</v>
      </c>
      <c r="C25" s="182"/>
      <c r="D25" s="182"/>
    </row>
    <row r="26" spans="1:16" s="79" customFormat="1" ht="15" customHeight="1" x14ac:dyDescent="0.3">
      <c r="B26" s="180" t="s">
        <v>23</v>
      </c>
      <c r="C26" s="180"/>
      <c r="D26" s="177">
        <v>0.01</v>
      </c>
    </row>
    <row r="27" spans="1:16" s="79" customFormat="1" ht="15" customHeight="1" x14ac:dyDescent="0.3">
      <c r="B27" s="87"/>
      <c r="C27" s="87"/>
      <c r="D27" s="88"/>
    </row>
    <row r="28" spans="1:16" s="79" customFormat="1" ht="15" customHeight="1" x14ac:dyDescent="0.3">
      <c r="B28" s="168" t="s">
        <v>61</v>
      </c>
      <c r="C28" s="87"/>
      <c r="D28" s="88"/>
      <c r="E28" s="82"/>
      <c r="F28" s="82"/>
      <c r="H28" s="176"/>
    </row>
    <row r="29" spans="1:16" s="79" customFormat="1" ht="15" customHeight="1" x14ac:dyDescent="0.3">
      <c r="B29" s="168" t="s">
        <v>60</v>
      </c>
      <c r="C29" s="87"/>
      <c r="D29" s="88"/>
      <c r="E29" s="82"/>
      <c r="F29" s="82"/>
    </row>
    <row r="30" spans="1:16" s="79" customFormat="1" ht="15" customHeight="1" x14ac:dyDescent="0.3">
      <c r="B30" s="168" t="s">
        <v>76</v>
      </c>
      <c r="E30" s="82"/>
      <c r="F30" s="82"/>
    </row>
    <row r="31" spans="1:16" ht="14.25" customHeight="1" x14ac:dyDescent="0.3">
      <c r="A31" s="79"/>
      <c r="B31" s="79"/>
      <c r="C31" s="79"/>
      <c r="D31" s="79"/>
      <c r="E31" s="79"/>
      <c r="F31" s="82"/>
      <c r="G31" s="89"/>
      <c r="H31" s="90"/>
      <c r="I31" s="90"/>
      <c r="J31" s="90"/>
      <c r="K31" s="90"/>
      <c r="L31" s="79"/>
    </row>
    <row r="32" spans="1:16" ht="15" hidden="1" customHeight="1" x14ac:dyDescent="0.3">
      <c r="A32" s="79"/>
      <c r="B32" s="79"/>
      <c r="E32" s="79"/>
      <c r="F32" s="82"/>
      <c r="G32" s="89"/>
      <c r="H32" s="90"/>
      <c r="I32" s="90"/>
      <c r="J32" s="90"/>
      <c r="K32" s="90"/>
      <c r="L32" s="79"/>
    </row>
    <row r="33" spans="1:16" ht="15" hidden="1" customHeight="1" x14ac:dyDescent="0.3">
      <c r="A33" s="79"/>
      <c r="B33" s="79"/>
      <c r="C33" s="79"/>
      <c r="D33" s="79"/>
      <c r="E33" s="79"/>
      <c r="H33" s="90"/>
      <c r="I33" s="90"/>
      <c r="J33" s="90"/>
      <c r="K33" s="90"/>
      <c r="L33" s="79"/>
    </row>
    <row r="34" spans="1:16" ht="14.1" hidden="1" customHeight="1" x14ac:dyDescent="0.3">
      <c r="A34" s="79"/>
      <c r="E34" s="79"/>
      <c r="F34" s="79"/>
      <c r="G34" s="79"/>
      <c r="H34" s="79"/>
      <c r="I34" s="79"/>
      <c r="J34" s="79"/>
      <c r="K34" s="79"/>
      <c r="L34" s="79"/>
    </row>
    <row r="37" spans="1:16" ht="15.75" hidden="1" customHeight="1" x14ac:dyDescent="0.3"/>
    <row r="39" spans="1:16" ht="14.4" hidden="1" x14ac:dyDescent="0.3">
      <c r="P39" s="91"/>
    </row>
    <row r="41" spans="1:16" ht="15.75" hidden="1" customHeight="1" x14ac:dyDescent="0.3"/>
    <row r="43" spans="1:16" ht="14.4" hidden="1" x14ac:dyDescent="0.3">
      <c r="O43" s="91"/>
    </row>
    <row r="45" spans="1:16" ht="15.75" hidden="1" customHeight="1" x14ac:dyDescent="0.3"/>
    <row r="47" spans="1:16" ht="28.5" hidden="1" customHeight="1" x14ac:dyDescent="0.3"/>
    <row r="48" spans="1:16" ht="15.75" hidden="1" customHeight="1" x14ac:dyDescent="0.3"/>
    <row r="50" ht="26.25" hidden="1" customHeight="1" x14ac:dyDescent="0.3"/>
  </sheetData>
  <mergeCells count="22">
    <mergeCell ref="B8:C8"/>
    <mergeCell ref="B15:D15"/>
    <mergeCell ref="B12:C12"/>
    <mergeCell ref="B13:C13"/>
    <mergeCell ref="B2:K3"/>
    <mergeCell ref="B5:C5"/>
    <mergeCell ref="G5:K5"/>
    <mergeCell ref="G7:G8"/>
    <mergeCell ref="H7:H8"/>
    <mergeCell ref="J7:J8"/>
    <mergeCell ref="K7:K8"/>
    <mergeCell ref="B7:C7"/>
    <mergeCell ref="B9:C9"/>
    <mergeCell ref="B10:C10"/>
    <mergeCell ref="B26:C26"/>
    <mergeCell ref="B16:C16"/>
    <mergeCell ref="B25:D25"/>
    <mergeCell ref="B20:C20"/>
    <mergeCell ref="B23:C23"/>
    <mergeCell ref="B19:C19"/>
    <mergeCell ref="B22:D22"/>
    <mergeCell ref="B18:D1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D7 D9:D10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79998168889431442"/>
    <pageSetUpPr fitToPage="1"/>
  </sheetPr>
  <dimension ref="A1:BR55"/>
  <sheetViews>
    <sheetView tabSelected="1" topLeftCell="A10" zoomScaleNormal="100" workbookViewId="0">
      <selection activeCell="AQ32" sqref="AQ32:AU33"/>
    </sheetView>
  </sheetViews>
  <sheetFormatPr baseColWidth="10" defaultColWidth="0" defaultRowHeight="0" customHeight="1" zeroHeight="1" x14ac:dyDescent="0.3"/>
  <cols>
    <col min="1" max="2" width="2.77734375" style="80" customWidth="1"/>
    <col min="3" max="4" width="2.77734375" style="103" customWidth="1"/>
    <col min="5" max="5" width="3.5546875" style="80" customWidth="1"/>
    <col min="6" max="17" width="2.77734375" style="80" customWidth="1"/>
    <col min="18" max="18" width="4.5546875" style="80" customWidth="1"/>
    <col min="19" max="34" width="2.77734375" style="80" customWidth="1"/>
    <col min="35" max="36" width="2.77734375" style="103" customWidth="1"/>
    <col min="37" max="37" width="3.5546875" style="80" customWidth="1"/>
    <col min="38" max="47" width="2.77734375" style="80" customWidth="1"/>
    <col min="48" max="49" width="2.77734375" style="79" customWidth="1"/>
    <col min="50" max="50" width="12.5546875" style="80" hidden="1" customWidth="1"/>
    <col min="51" max="51" width="22" style="80" hidden="1" customWidth="1"/>
    <col min="52" max="52" width="25" style="80" hidden="1" customWidth="1"/>
    <col min="53" max="53" width="13.21875" style="80" hidden="1" customWidth="1"/>
    <col min="54" max="54" width="13.21875" style="79" hidden="1" customWidth="1"/>
    <col min="55" max="55" width="2.77734375" style="79" hidden="1" customWidth="1"/>
    <col min="56" max="56" width="7.21875" style="79" hidden="1" customWidth="1"/>
    <col min="57" max="57" width="23.5546875" style="79" hidden="1" customWidth="1"/>
    <col min="58" max="58" width="15.77734375" style="79" hidden="1" customWidth="1"/>
    <col min="59" max="59" width="17.21875" style="79" hidden="1" customWidth="1"/>
    <col min="60" max="60" width="11.44140625" style="79" hidden="1" customWidth="1"/>
    <col min="61" max="62" width="6.77734375" style="79" hidden="1" customWidth="1"/>
    <col min="63" max="63" width="11.44140625" style="79" hidden="1" customWidth="1"/>
    <col min="64" max="67" width="11.44140625" style="80" hidden="1" customWidth="1"/>
    <col min="68" max="70" width="6.77734375" style="80" hidden="1" customWidth="1"/>
    <col min="71" max="16384" width="11.44140625" style="80" hidden="1"/>
  </cols>
  <sheetData>
    <row r="1" spans="1:59" ht="14.25" customHeight="1" x14ac:dyDescent="0.3">
      <c r="A1" s="79"/>
      <c r="B1" s="79"/>
      <c r="C1" s="105"/>
      <c r="D1" s="105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105"/>
      <c r="AJ1" s="105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X1" s="144"/>
      <c r="AY1" s="149"/>
      <c r="AZ1" s="101"/>
      <c r="BA1" s="144"/>
      <c r="BB1" s="83"/>
    </row>
    <row r="2" spans="1:59" ht="14.55" customHeight="1" x14ac:dyDescent="0.3">
      <c r="A2" s="79"/>
      <c r="B2" s="79"/>
      <c r="C2" s="220" t="s">
        <v>110</v>
      </c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220"/>
      <c r="AP2" s="220"/>
      <c r="AQ2" s="220"/>
      <c r="AR2" s="220"/>
      <c r="AS2" s="220"/>
      <c r="AT2" s="220"/>
      <c r="AU2" s="220"/>
      <c r="AV2" s="150"/>
      <c r="AW2" s="150"/>
      <c r="AX2" s="144"/>
      <c r="AY2" s="149"/>
      <c r="AZ2" s="101"/>
      <c r="BA2" s="144"/>
      <c r="BB2" s="83"/>
      <c r="BF2" s="79" t="s">
        <v>18</v>
      </c>
      <c r="BG2" s="79" t="s">
        <v>69</v>
      </c>
    </row>
    <row r="3" spans="1:59" ht="14.55" customHeight="1" x14ac:dyDescent="0.3">
      <c r="A3" s="79"/>
      <c r="B3" s="79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150"/>
      <c r="AW3" s="150"/>
      <c r="AX3" s="79"/>
      <c r="AY3" s="79"/>
      <c r="AZ3" s="79"/>
      <c r="BA3" s="79"/>
    </row>
    <row r="4" spans="1:59" ht="14.55" customHeight="1" thickBot="1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150"/>
      <c r="AW4" s="150"/>
      <c r="AX4" s="79"/>
      <c r="AY4" s="79"/>
      <c r="AZ4" s="79"/>
      <c r="BA4" s="79"/>
    </row>
    <row r="5" spans="1:59" ht="14.55" customHeight="1" thickTop="1" thickBo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221" t="s">
        <v>97</v>
      </c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3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150"/>
      <c r="AW5" s="150"/>
      <c r="AX5" s="79"/>
      <c r="AY5" s="79"/>
      <c r="AZ5" s="79"/>
      <c r="BA5" s="79"/>
    </row>
    <row r="6" spans="1:59" ht="24.6" customHeight="1" thickTop="1" thickBot="1" x14ac:dyDescent="0.35">
      <c r="A6" s="79"/>
      <c r="B6" s="79"/>
      <c r="C6" s="105"/>
      <c r="D6" s="105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224">
        <v>1000000</v>
      </c>
      <c r="R6" s="225"/>
      <c r="S6" s="225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6"/>
      <c r="AH6" s="79"/>
      <c r="AI6" s="105"/>
      <c r="AJ6" s="105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X6" s="79"/>
      <c r="AY6" s="79"/>
      <c r="AZ6" s="79"/>
      <c r="BA6" s="79"/>
      <c r="BE6" s="105" t="s">
        <v>28</v>
      </c>
      <c r="BF6" s="151">
        <f>+AS7</f>
        <v>0</v>
      </c>
      <c r="BG6" s="151">
        <f>+AS7</f>
        <v>0</v>
      </c>
    </row>
    <row r="7" spans="1:59" ht="15" thickTop="1" x14ac:dyDescent="0.3">
      <c r="A7" s="79"/>
      <c r="B7" s="200" t="s">
        <v>87</v>
      </c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201" t="s">
        <v>96</v>
      </c>
      <c r="AJ7" s="201"/>
      <c r="AK7" s="201"/>
      <c r="AL7" s="201"/>
      <c r="AM7" s="201"/>
      <c r="AN7" s="201"/>
      <c r="AO7" s="201"/>
      <c r="AP7" s="201"/>
      <c r="AQ7" s="201"/>
      <c r="AR7" s="201"/>
      <c r="AS7" s="201"/>
      <c r="AT7" s="201"/>
      <c r="AU7" s="201"/>
      <c r="AV7" s="201"/>
      <c r="AX7" s="79"/>
      <c r="AY7" s="79"/>
      <c r="AZ7" s="79"/>
      <c r="BA7" s="79"/>
      <c r="BE7" s="105" t="s">
        <v>70</v>
      </c>
      <c r="BF7" s="79" t="e">
        <f>+BF6*#REF!</f>
        <v>#REF!</v>
      </c>
      <c r="BG7" s="79" t="e">
        <f>+BF6*#REF!</f>
        <v>#REF!</v>
      </c>
    </row>
    <row r="8" spans="1:59" ht="14.25" customHeight="1" thickBot="1" x14ac:dyDescent="0.35">
      <c r="A8" s="79"/>
      <c r="B8" s="79"/>
      <c r="C8" s="105"/>
      <c r="D8" s="105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105"/>
      <c r="AJ8" s="105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X8" s="79"/>
      <c r="AY8" s="79"/>
      <c r="AZ8" s="79"/>
      <c r="BA8" s="79"/>
      <c r="BE8" s="105" t="s">
        <v>68</v>
      </c>
      <c r="BF8" s="79">
        <f>+AS7*AS21</f>
        <v>0</v>
      </c>
      <c r="BG8" s="79">
        <f>+AS7*AS21</f>
        <v>0</v>
      </c>
    </row>
    <row r="9" spans="1:59" ht="27" customHeight="1" thickTop="1" thickBot="1" x14ac:dyDescent="0.35">
      <c r="A9" s="79"/>
      <c r="B9" s="202" t="s">
        <v>108</v>
      </c>
      <c r="C9" s="202"/>
      <c r="D9" s="202"/>
      <c r="E9" s="202"/>
      <c r="F9" s="202"/>
      <c r="G9" s="202"/>
      <c r="H9" s="202"/>
      <c r="I9" s="202"/>
      <c r="J9" s="79"/>
      <c r="K9" s="238">
        <v>0.11</v>
      </c>
      <c r="L9" s="239"/>
      <c r="M9" s="239"/>
      <c r="N9" s="239"/>
      <c r="O9" s="240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202" t="s">
        <v>109</v>
      </c>
      <c r="AJ9" s="202"/>
      <c r="AK9" s="202"/>
      <c r="AL9" s="202"/>
      <c r="AM9" s="202"/>
      <c r="AN9" s="202"/>
      <c r="AO9" s="202"/>
      <c r="AP9" s="79"/>
      <c r="AQ9" s="79"/>
      <c r="AR9" s="204">
        <v>0.1125</v>
      </c>
      <c r="AS9" s="205"/>
      <c r="AT9" s="205"/>
      <c r="AU9" s="205"/>
      <c r="AV9" s="206"/>
      <c r="AX9" s="79"/>
      <c r="AY9" s="79"/>
      <c r="AZ9" s="79"/>
      <c r="BA9" s="79"/>
      <c r="BE9" s="105" t="s">
        <v>71</v>
      </c>
      <c r="BF9" s="79" t="e">
        <f>+BF7-BF8</f>
        <v>#REF!</v>
      </c>
      <c r="BG9" s="79" t="e">
        <f>+BG7-BG8</f>
        <v>#REF!</v>
      </c>
    </row>
    <row r="10" spans="1:59" ht="7.05" customHeight="1" thickTop="1" thickBot="1" x14ac:dyDescent="0.35">
      <c r="A10" s="79"/>
      <c r="B10" s="79"/>
      <c r="C10" s="79"/>
      <c r="D10" s="79"/>
      <c r="E10" s="79"/>
      <c r="F10" s="79"/>
      <c r="G10" s="79"/>
      <c r="H10" s="79"/>
      <c r="J10" s="79"/>
      <c r="K10" s="152"/>
      <c r="L10" s="152"/>
      <c r="M10" s="152"/>
      <c r="N10" s="152"/>
      <c r="O10" s="152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152"/>
      <c r="AS10" s="152"/>
      <c r="AT10" s="152"/>
      <c r="AU10" s="152"/>
      <c r="AV10" s="152"/>
      <c r="AX10" s="98"/>
      <c r="AY10" s="100"/>
      <c r="AZ10" s="100"/>
      <c r="BA10" s="98"/>
      <c r="BB10" s="99"/>
      <c r="BE10" s="105"/>
    </row>
    <row r="11" spans="1:59" ht="17.25" customHeight="1" thickTop="1" thickBot="1" x14ac:dyDescent="0.35">
      <c r="A11" s="79"/>
      <c r="B11" s="203" t="s">
        <v>92</v>
      </c>
      <c r="C11" s="203"/>
      <c r="D11" s="203"/>
      <c r="E11" s="203"/>
      <c r="F11" s="203"/>
      <c r="G11" s="203"/>
      <c r="H11" s="203"/>
      <c r="I11" s="203"/>
      <c r="J11" s="79"/>
      <c r="K11" s="238">
        <v>1.44E-2</v>
      </c>
      <c r="L11" s="239"/>
      <c r="M11" s="239"/>
      <c r="N11" s="239"/>
      <c r="O11" s="240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203" t="s">
        <v>92</v>
      </c>
      <c r="AJ11" s="203"/>
      <c r="AK11" s="203"/>
      <c r="AL11" s="203"/>
      <c r="AM11" s="203"/>
      <c r="AN11" s="203"/>
      <c r="AO11" s="203"/>
      <c r="AP11" s="79"/>
      <c r="AQ11" s="79"/>
      <c r="AR11" s="204">
        <v>7.4999999999999997E-3</v>
      </c>
      <c r="AS11" s="205"/>
      <c r="AT11" s="205"/>
      <c r="AU11" s="205"/>
      <c r="AV11" s="206"/>
      <c r="AX11" s="79"/>
      <c r="AY11" s="79"/>
      <c r="AZ11" s="79"/>
      <c r="BA11" s="79"/>
      <c r="BE11" s="79" t="s">
        <v>7</v>
      </c>
      <c r="BF11" s="79">
        <v>0</v>
      </c>
      <c r="BG11" s="79" t="e">
        <f>+BG9*AS25</f>
        <v>#REF!</v>
      </c>
    </row>
    <row r="12" spans="1:59" ht="8.5500000000000007" customHeight="1" thickTop="1" x14ac:dyDescent="0.3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153"/>
      <c r="L12" s="153"/>
      <c r="M12" s="153"/>
      <c r="N12" s="153"/>
      <c r="O12" s="153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153"/>
      <c r="AR12" s="153"/>
      <c r="AS12" s="153"/>
      <c r="AT12" s="153"/>
      <c r="AU12" s="153"/>
      <c r="AX12" s="79"/>
      <c r="AY12" s="79"/>
      <c r="AZ12" s="79"/>
      <c r="BA12" s="79"/>
    </row>
    <row r="13" spans="1:59" ht="17.25" customHeight="1" x14ac:dyDescent="0.3">
      <c r="A13" s="79"/>
      <c r="B13" s="200" t="s">
        <v>93</v>
      </c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201" t="s">
        <v>93</v>
      </c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154"/>
      <c r="AX13" s="144"/>
      <c r="AY13" s="149"/>
      <c r="AZ13" s="101" t="s">
        <v>69</v>
      </c>
      <c r="BA13" s="144"/>
      <c r="BB13" s="83"/>
    </row>
    <row r="14" spans="1:59" ht="7.05" customHeight="1" x14ac:dyDescent="0.3">
      <c r="A14" s="79"/>
      <c r="B14" s="79"/>
      <c r="C14" s="105"/>
      <c r="D14" s="105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105"/>
      <c r="AJ14" s="105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X14" s="79"/>
      <c r="AY14" s="79"/>
      <c r="AZ14" s="79"/>
      <c r="BA14" s="79"/>
      <c r="BE14" s="105"/>
    </row>
    <row r="15" spans="1:59" ht="14.25" customHeight="1" x14ac:dyDescent="0.3">
      <c r="A15" s="79"/>
      <c r="B15" s="79"/>
      <c r="C15" s="257" t="s">
        <v>112</v>
      </c>
      <c r="D15" s="257"/>
      <c r="E15" s="257"/>
      <c r="F15" s="257"/>
      <c r="G15" s="257"/>
      <c r="H15" s="257"/>
      <c r="I15" s="257"/>
      <c r="J15" s="79"/>
      <c r="K15" s="231">
        <f>+Q6*K9</f>
        <v>110000</v>
      </c>
      <c r="L15" s="232"/>
      <c r="M15" s="232"/>
      <c r="N15" s="232"/>
      <c r="O15" s="233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257" t="s">
        <v>112</v>
      </c>
      <c r="AJ15" s="257"/>
      <c r="AK15" s="257"/>
      <c r="AL15" s="257"/>
      <c r="AM15" s="257"/>
      <c r="AN15" s="257"/>
      <c r="AO15" s="257"/>
      <c r="AP15" s="79"/>
      <c r="AQ15" s="231">
        <f>+AR9*Q6</f>
        <v>112500</v>
      </c>
      <c r="AR15" s="232"/>
      <c r="AS15" s="232"/>
      <c r="AT15" s="232"/>
      <c r="AU15" s="233"/>
      <c r="AX15" s="144"/>
      <c r="AY15" s="155" t="s">
        <v>72</v>
      </c>
      <c r="AZ15" s="156">
        <f>+K11*Q6</f>
        <v>14400</v>
      </c>
      <c r="BA15" s="156">
        <f>+AR11*Q6</f>
        <v>7500</v>
      </c>
      <c r="BB15" s="157"/>
      <c r="BC15" s="157"/>
      <c r="BD15" s="157"/>
      <c r="BE15" s="105"/>
    </row>
    <row r="16" spans="1:59" ht="14.25" customHeight="1" x14ac:dyDescent="0.3">
      <c r="A16" s="79"/>
      <c r="B16" s="158"/>
      <c r="C16" s="105" t="s">
        <v>8</v>
      </c>
      <c r="D16" s="80"/>
      <c r="E16" s="105"/>
      <c r="F16" s="105"/>
      <c r="G16" s="105"/>
      <c r="H16" s="105"/>
      <c r="I16" s="105"/>
      <c r="J16" s="79"/>
      <c r="K16" s="231">
        <f>+Q6*AD27</f>
        <v>45800</v>
      </c>
      <c r="L16" s="232"/>
      <c r="M16" s="232"/>
      <c r="N16" s="232"/>
      <c r="O16" s="233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105" t="s">
        <v>68</v>
      </c>
      <c r="AJ16" s="105"/>
      <c r="AK16" s="105"/>
      <c r="AL16" s="105"/>
      <c r="AM16" s="105"/>
      <c r="AN16" s="105"/>
      <c r="AO16" s="105"/>
      <c r="AP16" s="79"/>
      <c r="AQ16" s="231">
        <f>+Q6*AD27</f>
        <v>45800</v>
      </c>
      <c r="AR16" s="232"/>
      <c r="AS16" s="232"/>
      <c r="AT16" s="232"/>
      <c r="AU16" s="233"/>
      <c r="AV16" s="158"/>
      <c r="AX16" s="144"/>
      <c r="AY16" s="155"/>
      <c r="AZ16" s="156"/>
      <c r="BA16" s="156"/>
      <c r="BB16" s="157"/>
      <c r="BC16" s="157"/>
      <c r="BD16" s="157"/>
      <c r="BE16" s="105"/>
    </row>
    <row r="17" spans="1:60" ht="16.5" customHeight="1" x14ac:dyDescent="0.3">
      <c r="A17" s="79"/>
      <c r="B17" s="159"/>
      <c r="C17" s="257" t="s">
        <v>71</v>
      </c>
      <c r="D17" s="257"/>
      <c r="E17" s="257"/>
      <c r="F17" s="257"/>
      <c r="G17" s="257"/>
      <c r="H17" s="257"/>
      <c r="I17" s="257"/>
      <c r="J17" s="79"/>
      <c r="K17" s="231">
        <f>+(K9-K11-AD27)*Q6</f>
        <v>49800.000000000007</v>
      </c>
      <c r="L17" s="232"/>
      <c r="M17" s="232"/>
      <c r="N17" s="232"/>
      <c r="O17" s="233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257" t="s">
        <v>71</v>
      </c>
      <c r="AJ17" s="257"/>
      <c r="AK17" s="257"/>
      <c r="AL17" s="257"/>
      <c r="AM17" s="257"/>
      <c r="AN17" s="257"/>
      <c r="AO17" s="257"/>
      <c r="AP17" s="79"/>
      <c r="AQ17" s="231">
        <f>+(AR9-AR11-AD27)*Q6</f>
        <v>59200.000000000007</v>
      </c>
      <c r="AR17" s="232"/>
      <c r="AS17" s="232"/>
      <c r="AT17" s="232"/>
      <c r="AU17" s="233"/>
      <c r="AV17" s="159"/>
      <c r="AX17" s="79"/>
      <c r="AY17" s="105" t="s">
        <v>29</v>
      </c>
      <c r="AZ17" s="160">
        <f>+K15-K17-AZ15</f>
        <v>45799.999999999993</v>
      </c>
      <c r="BA17" s="160">
        <f>+AQ15-AQ17-BA15</f>
        <v>45799.999999999993</v>
      </c>
      <c r="BE17" s="105"/>
    </row>
    <row r="18" spans="1:60" ht="16.5" customHeight="1" x14ac:dyDescent="0.3">
      <c r="A18" s="79"/>
      <c r="B18" s="161"/>
      <c r="C18" s="87"/>
      <c r="D18" s="234" t="s">
        <v>90</v>
      </c>
      <c r="E18" s="234"/>
      <c r="F18" s="234"/>
      <c r="G18" s="234"/>
      <c r="H18" s="234"/>
      <c r="I18" s="234"/>
      <c r="J18" s="79"/>
      <c r="K18" s="231">
        <v>0</v>
      </c>
      <c r="L18" s="232"/>
      <c r="M18" s="232"/>
      <c r="N18" s="232"/>
      <c r="O18" s="233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87"/>
      <c r="AJ18" s="234" t="s">
        <v>90</v>
      </c>
      <c r="AK18" s="234"/>
      <c r="AL18" s="234"/>
      <c r="AM18" s="234"/>
      <c r="AN18" s="234"/>
      <c r="AO18" s="234"/>
      <c r="AP18" s="79"/>
      <c r="AQ18" s="235">
        <f>+AQ17*V28</f>
        <v>20720</v>
      </c>
      <c r="AR18" s="236"/>
      <c r="AS18" s="236"/>
      <c r="AT18" s="236"/>
      <c r="AU18" s="237"/>
      <c r="AV18" s="161"/>
      <c r="AX18" s="79"/>
      <c r="AY18" s="105" t="s">
        <v>101</v>
      </c>
      <c r="AZ18" s="160">
        <f>+K17-AZ19-AZ20</f>
        <v>32370.000000000007</v>
      </c>
      <c r="BA18" s="160">
        <f>+AQ17-BA21</f>
        <v>38480.000000000007</v>
      </c>
      <c r="BE18" s="105"/>
    </row>
    <row r="19" spans="1:60" ht="14.25" customHeight="1" thickBot="1" x14ac:dyDescent="0.35">
      <c r="A19" s="79"/>
      <c r="B19" s="162"/>
      <c r="C19" s="87"/>
      <c r="D19" s="234" t="s">
        <v>88</v>
      </c>
      <c r="E19" s="234"/>
      <c r="F19" s="234"/>
      <c r="G19" s="234"/>
      <c r="H19" s="234"/>
      <c r="I19" s="234"/>
      <c r="J19" s="79"/>
      <c r="K19" s="231">
        <f>+Q6*V27</f>
        <v>5000</v>
      </c>
      <c r="L19" s="232"/>
      <c r="M19" s="232"/>
      <c r="N19" s="232"/>
      <c r="O19" s="233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87"/>
      <c r="AJ19" s="234" t="s">
        <v>88</v>
      </c>
      <c r="AK19" s="234"/>
      <c r="AL19" s="234"/>
      <c r="AM19" s="234"/>
      <c r="AN19" s="234"/>
      <c r="AO19" s="234"/>
      <c r="AP19" s="79"/>
      <c r="AQ19" s="231">
        <v>0</v>
      </c>
      <c r="AR19" s="232"/>
      <c r="AS19" s="232"/>
      <c r="AT19" s="232"/>
      <c r="AU19" s="233"/>
      <c r="AV19" s="162"/>
      <c r="AX19" s="79"/>
      <c r="AY19" s="105" t="s">
        <v>102</v>
      </c>
      <c r="AZ19" s="160">
        <f>+K19</f>
        <v>5000</v>
      </c>
      <c r="BA19" s="79"/>
      <c r="BE19" s="146"/>
      <c r="BF19" s="151" t="e">
        <f>+BF6+BF7-#REF!</f>
        <v>#REF!</v>
      </c>
      <c r="BG19" s="151" t="e">
        <f>+BG6+BG7-BG11-#REF!</f>
        <v>#REF!</v>
      </c>
      <c r="BH19" s="79" t="e">
        <f>+BF19/BG19-1</f>
        <v>#REF!</v>
      </c>
    </row>
    <row r="20" spans="1:60" ht="15" customHeight="1" thickBot="1" x14ac:dyDescent="0.35">
      <c r="A20" s="79"/>
      <c r="B20" s="163"/>
      <c r="C20" s="87"/>
      <c r="D20" s="234" t="s">
        <v>89</v>
      </c>
      <c r="E20" s="234"/>
      <c r="F20" s="234"/>
      <c r="G20" s="234"/>
      <c r="H20" s="234"/>
      <c r="I20" s="234"/>
      <c r="J20" s="79"/>
      <c r="K20" s="231">
        <f>(K17*V28)-K19</f>
        <v>12430</v>
      </c>
      <c r="L20" s="232"/>
      <c r="M20" s="232"/>
      <c r="N20" s="232"/>
      <c r="O20" s="233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87"/>
      <c r="AJ20" s="234" t="s">
        <v>89</v>
      </c>
      <c r="AK20" s="234"/>
      <c r="AL20" s="234"/>
      <c r="AM20" s="234"/>
      <c r="AN20" s="234"/>
      <c r="AO20" s="234"/>
      <c r="AP20" s="79"/>
      <c r="AQ20" s="231">
        <v>0</v>
      </c>
      <c r="AR20" s="232"/>
      <c r="AS20" s="232"/>
      <c r="AT20" s="232"/>
      <c r="AU20" s="233"/>
      <c r="AV20" s="164"/>
      <c r="AX20" s="79"/>
      <c r="AY20" s="105" t="s">
        <v>103</v>
      </c>
      <c r="AZ20" s="160">
        <f>+K20</f>
        <v>12430</v>
      </c>
      <c r="BA20" s="79"/>
      <c r="BE20" s="152"/>
    </row>
    <row r="21" spans="1:60" ht="15" customHeight="1" x14ac:dyDescent="0.3">
      <c r="A21" s="79"/>
      <c r="B21" s="79"/>
      <c r="C21" s="241" t="s">
        <v>91</v>
      </c>
      <c r="D21" s="241"/>
      <c r="E21" s="241"/>
      <c r="F21" s="241"/>
      <c r="G21" s="241"/>
      <c r="H21" s="241"/>
      <c r="I21" s="241"/>
      <c r="J21" s="79"/>
      <c r="K21" s="242">
        <f>+K19+K20</f>
        <v>17430</v>
      </c>
      <c r="L21" s="243"/>
      <c r="M21" s="243"/>
      <c r="N21" s="243"/>
      <c r="O21" s="244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241" t="s">
        <v>91</v>
      </c>
      <c r="AJ21" s="241"/>
      <c r="AK21" s="241"/>
      <c r="AL21" s="241"/>
      <c r="AM21" s="241"/>
      <c r="AN21" s="241"/>
      <c r="AO21" s="241"/>
      <c r="AP21" s="79"/>
      <c r="AQ21" s="231">
        <v>0</v>
      </c>
      <c r="AR21" s="232"/>
      <c r="AS21" s="232"/>
      <c r="AT21" s="232"/>
      <c r="AU21" s="233"/>
      <c r="AX21" s="79"/>
      <c r="AY21" s="105" t="s">
        <v>104</v>
      </c>
      <c r="AZ21" s="79"/>
      <c r="BA21" s="160">
        <f>+AQ18</f>
        <v>20720</v>
      </c>
      <c r="BF21" s="165" t="s">
        <v>18</v>
      </c>
      <c r="BG21" s="165" t="s">
        <v>69</v>
      </c>
    </row>
    <row r="22" spans="1:60" ht="25.05" customHeight="1" thickBot="1" x14ac:dyDescent="0.35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X22" s="79"/>
      <c r="AY22" s="79"/>
      <c r="AZ22" s="160">
        <f>+K15</f>
        <v>110000</v>
      </c>
      <c r="BA22" s="160">
        <f>+AQ15</f>
        <v>112500</v>
      </c>
      <c r="BE22" s="79" t="s">
        <v>72</v>
      </c>
      <c r="BF22" s="79" t="e">
        <f>+#REF!</f>
        <v>#REF!</v>
      </c>
      <c r="BG22" s="79" t="e">
        <f>+#REF!</f>
        <v>#REF!</v>
      </c>
    </row>
    <row r="23" spans="1:60" s="79" customFormat="1" ht="15.6" customHeight="1" thickTop="1" thickBot="1" x14ac:dyDescent="0.35">
      <c r="C23" s="227" t="s">
        <v>95</v>
      </c>
      <c r="D23" s="227"/>
      <c r="E23" s="227"/>
      <c r="F23" s="227"/>
      <c r="G23" s="227"/>
      <c r="H23" s="227"/>
      <c r="I23" s="227"/>
      <c r="K23" s="228">
        <f>+K21/K15</f>
        <v>0.15845454545454546</v>
      </c>
      <c r="L23" s="229"/>
      <c r="M23" s="229"/>
      <c r="N23" s="229"/>
      <c r="O23" s="230"/>
      <c r="AI23" s="227" t="s">
        <v>106</v>
      </c>
      <c r="AJ23" s="227"/>
      <c r="AK23" s="227"/>
      <c r="AL23" s="227"/>
      <c r="AM23" s="227"/>
      <c r="AN23" s="227"/>
      <c r="AO23" s="227"/>
      <c r="AQ23" s="245">
        <f>+AQ18/AQ15</f>
        <v>0.18417777777777777</v>
      </c>
      <c r="AR23" s="246"/>
      <c r="AS23" s="246"/>
      <c r="AT23" s="246"/>
      <c r="AU23" s="247"/>
      <c r="AY23" s="155" t="s">
        <v>72</v>
      </c>
      <c r="AZ23" s="166">
        <f>+AZ15/$AZ$22</f>
        <v>0.13090909090909092</v>
      </c>
      <c r="BA23" s="166">
        <f>+BA15/$BA$22</f>
        <v>6.6666666666666666E-2</v>
      </c>
      <c r="BE23" s="105" t="s">
        <v>68</v>
      </c>
      <c r="BF23" s="79">
        <f>+BF8</f>
        <v>0</v>
      </c>
      <c r="BG23" s="79">
        <f>+BG8</f>
        <v>0</v>
      </c>
    </row>
    <row r="24" spans="1:60" s="79" customFormat="1" ht="15.6" thickTop="1" thickBot="1" x14ac:dyDescent="0.35">
      <c r="C24" s="227"/>
      <c r="D24" s="227"/>
      <c r="E24" s="227"/>
      <c r="F24" s="227"/>
      <c r="G24" s="227"/>
      <c r="H24" s="227"/>
      <c r="I24" s="227"/>
      <c r="K24" s="228"/>
      <c r="L24" s="229"/>
      <c r="M24" s="229"/>
      <c r="N24" s="229"/>
      <c r="O24" s="230"/>
      <c r="AI24" s="227"/>
      <c r="AJ24" s="227"/>
      <c r="AK24" s="227"/>
      <c r="AL24" s="227"/>
      <c r="AM24" s="227"/>
      <c r="AN24" s="227"/>
      <c r="AO24" s="227"/>
      <c r="AQ24" s="245"/>
      <c r="AR24" s="246"/>
      <c r="AS24" s="246"/>
      <c r="AT24" s="246"/>
      <c r="AU24" s="247"/>
      <c r="AY24" s="105" t="s">
        <v>29</v>
      </c>
      <c r="AZ24" s="166">
        <f>+AZ17/$AZ$22</f>
        <v>0.41636363636363632</v>
      </c>
      <c r="BA24" s="166">
        <f t="shared" ref="BA24:BA28" si="0">+BA17/$AZ$22</f>
        <v>0.41636363636363632</v>
      </c>
      <c r="BE24" s="105"/>
    </row>
    <row r="25" spans="1:60" ht="15" customHeight="1" thickTop="1" thickBot="1" x14ac:dyDescent="0.35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X25" s="79"/>
      <c r="AY25" s="105" t="s">
        <v>101</v>
      </c>
      <c r="AZ25" s="166">
        <f>+AZ18/$AZ$22</f>
        <v>0.29427272727272735</v>
      </c>
      <c r="BA25" s="166">
        <f t="shared" si="0"/>
        <v>0.34981818181818186</v>
      </c>
      <c r="BE25" s="79" t="s">
        <v>71</v>
      </c>
      <c r="BF25" s="79" t="e">
        <f>+BF9-BF28</f>
        <v>#REF!</v>
      </c>
      <c r="BG25" s="79" t="e">
        <f>+BG9-BF28</f>
        <v>#REF!</v>
      </c>
    </row>
    <row r="26" spans="1:60" s="79" customFormat="1" ht="13.05" customHeight="1" thickTop="1" thickBot="1" x14ac:dyDescent="0.35">
      <c r="C26" s="202" t="s">
        <v>94</v>
      </c>
      <c r="D26" s="202"/>
      <c r="E26" s="202"/>
      <c r="F26" s="202"/>
      <c r="G26" s="202"/>
      <c r="H26" s="202"/>
      <c r="I26" s="202"/>
      <c r="K26" s="228">
        <f>+((K15-K21-(K11*Q6))/Q6)</f>
        <v>7.8170000000000003E-2</v>
      </c>
      <c r="L26" s="229"/>
      <c r="M26" s="229"/>
      <c r="N26" s="229"/>
      <c r="O26" s="230"/>
      <c r="AI26" s="202" t="s">
        <v>98</v>
      </c>
      <c r="AJ26" s="202"/>
      <c r="AK26" s="202"/>
      <c r="AL26" s="202"/>
      <c r="AM26" s="202"/>
      <c r="AN26" s="202"/>
      <c r="AO26" s="202"/>
      <c r="AQ26" s="248">
        <f>+AR9-AR11</f>
        <v>0.10500000000000001</v>
      </c>
      <c r="AR26" s="214"/>
      <c r="AS26" s="214"/>
      <c r="AT26" s="214"/>
      <c r="AU26" s="215"/>
      <c r="AY26" s="105" t="s">
        <v>102</v>
      </c>
      <c r="AZ26" s="166">
        <f>+AZ19/$AZ$22</f>
        <v>4.5454545454545456E-2</v>
      </c>
      <c r="BA26" s="166">
        <f t="shared" si="0"/>
        <v>0</v>
      </c>
      <c r="BE26" s="105" t="s">
        <v>73</v>
      </c>
      <c r="BF26" s="79">
        <v>0</v>
      </c>
      <c r="BG26" s="79">
        <f>+BG6*AS26</f>
        <v>0</v>
      </c>
    </row>
    <row r="27" spans="1:60" s="79" customFormat="1" ht="15" customHeight="1" thickTop="1" thickBot="1" x14ac:dyDescent="0.35">
      <c r="C27" s="202"/>
      <c r="D27" s="202"/>
      <c r="E27" s="202"/>
      <c r="F27" s="202"/>
      <c r="G27" s="202"/>
      <c r="H27" s="202"/>
      <c r="I27" s="202"/>
      <c r="K27" s="228"/>
      <c r="L27" s="229"/>
      <c r="M27" s="229"/>
      <c r="N27" s="229"/>
      <c r="O27" s="230"/>
      <c r="Q27" s="256" t="s">
        <v>99</v>
      </c>
      <c r="R27" s="256"/>
      <c r="S27" s="256"/>
      <c r="T27" s="256"/>
      <c r="U27" s="256"/>
      <c r="V27" s="253">
        <v>5.0000000000000001E-3</v>
      </c>
      <c r="W27" s="254"/>
      <c r="X27" s="255"/>
      <c r="Z27" s="203" t="s">
        <v>8</v>
      </c>
      <c r="AA27" s="203"/>
      <c r="AB27" s="203"/>
      <c r="AC27" s="203"/>
      <c r="AD27" s="249">
        <v>4.58E-2</v>
      </c>
      <c r="AE27" s="250"/>
      <c r="AF27" s="251"/>
      <c r="AI27" s="202"/>
      <c r="AJ27" s="202"/>
      <c r="AK27" s="202"/>
      <c r="AL27" s="202"/>
      <c r="AM27" s="202"/>
      <c r="AN27" s="202"/>
      <c r="AO27" s="202"/>
      <c r="AQ27" s="216"/>
      <c r="AR27" s="214"/>
      <c r="AS27" s="214"/>
      <c r="AT27" s="214"/>
      <c r="AU27" s="215"/>
      <c r="AY27" s="105" t="s">
        <v>103</v>
      </c>
      <c r="AZ27" s="166">
        <f>+AZ20/$AZ$22</f>
        <v>0.113</v>
      </c>
      <c r="BA27" s="166">
        <f t="shared" si="0"/>
        <v>0</v>
      </c>
      <c r="BE27" s="105" t="s">
        <v>75</v>
      </c>
      <c r="BF27" s="79">
        <v>0</v>
      </c>
      <c r="BG27" s="79" t="e">
        <f>+BG11-BG26</f>
        <v>#REF!</v>
      </c>
    </row>
    <row r="28" spans="1:60" s="79" customFormat="1" ht="15" customHeight="1" thickTop="1" thickBot="1" x14ac:dyDescent="0.35">
      <c r="C28" s="105"/>
      <c r="D28" s="105"/>
      <c r="Q28" s="252" t="s">
        <v>100</v>
      </c>
      <c r="R28" s="252"/>
      <c r="S28" s="252"/>
      <c r="T28" s="252"/>
      <c r="U28" s="252"/>
      <c r="V28" s="253">
        <v>0.35</v>
      </c>
      <c r="W28" s="254"/>
      <c r="X28" s="255"/>
      <c r="Z28" s="203"/>
      <c r="AA28" s="203"/>
      <c r="AB28" s="203"/>
      <c r="AC28" s="203"/>
      <c r="AD28" s="249"/>
      <c r="AE28" s="250"/>
      <c r="AF28" s="251"/>
      <c r="AI28" s="105"/>
      <c r="AJ28" s="105"/>
      <c r="AX28" s="89"/>
      <c r="AY28" s="105" t="s">
        <v>104</v>
      </c>
      <c r="AZ28" s="166">
        <f>+AZ21/$AZ$22</f>
        <v>0</v>
      </c>
      <c r="BA28" s="166">
        <f t="shared" si="0"/>
        <v>0.18836363636363637</v>
      </c>
      <c r="BB28" s="90"/>
      <c r="BE28" s="105" t="s">
        <v>74</v>
      </c>
      <c r="BF28" s="79" t="e">
        <f>+BG26+BG27</f>
        <v>#REF!</v>
      </c>
      <c r="BG28" s="79">
        <v>0</v>
      </c>
    </row>
    <row r="29" spans="1:60" s="79" customFormat="1" ht="6.6" customHeight="1" thickTop="1" thickBot="1" x14ac:dyDescent="0.35">
      <c r="C29" s="208" t="s">
        <v>30</v>
      </c>
      <c r="D29" s="202"/>
      <c r="E29" s="202"/>
      <c r="F29" s="202"/>
      <c r="G29" s="202"/>
      <c r="H29" s="202"/>
      <c r="I29" s="202"/>
      <c r="K29" s="209">
        <f>+K15-K21+Q6-(Q6*K11)</f>
        <v>1078170</v>
      </c>
      <c r="L29" s="210"/>
      <c r="M29" s="210"/>
      <c r="N29" s="210"/>
      <c r="O29" s="211"/>
      <c r="AI29" s="208" t="s">
        <v>30</v>
      </c>
      <c r="AJ29" s="202"/>
      <c r="AK29" s="202"/>
      <c r="AL29" s="202"/>
      <c r="AM29" s="202"/>
      <c r="AN29" s="202"/>
      <c r="AO29" s="202"/>
      <c r="AQ29" s="213">
        <f>Q6+AQ15-(AR11*Q6)</f>
        <v>1105000</v>
      </c>
      <c r="AR29" s="214"/>
      <c r="AS29" s="214"/>
      <c r="AT29" s="214"/>
      <c r="AU29" s="215"/>
      <c r="AX29" s="89"/>
      <c r="AY29" s="90"/>
      <c r="AZ29" s="90"/>
      <c r="BA29" s="90"/>
      <c r="BB29" s="90"/>
      <c r="BF29" s="151"/>
      <c r="BG29" s="151"/>
    </row>
    <row r="30" spans="1:60" s="79" customFormat="1" ht="27" customHeight="1" thickTop="1" thickBot="1" x14ac:dyDescent="0.35">
      <c r="C30" s="202"/>
      <c r="D30" s="202"/>
      <c r="E30" s="202"/>
      <c r="F30" s="202"/>
      <c r="G30" s="202"/>
      <c r="H30" s="202"/>
      <c r="I30" s="202"/>
      <c r="K30" s="212"/>
      <c r="L30" s="210"/>
      <c r="M30" s="210"/>
      <c r="N30" s="210"/>
      <c r="O30" s="211"/>
      <c r="Q30" s="217" t="s">
        <v>107</v>
      </c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8"/>
      <c r="AF30" s="219"/>
      <c r="AI30" s="202"/>
      <c r="AJ30" s="202"/>
      <c r="AK30" s="202"/>
      <c r="AL30" s="202"/>
      <c r="AM30" s="202"/>
      <c r="AN30" s="202"/>
      <c r="AO30" s="202"/>
      <c r="AQ30" s="216"/>
      <c r="AR30" s="214"/>
      <c r="AS30" s="214"/>
      <c r="AT30" s="214"/>
      <c r="AU30" s="215"/>
      <c r="AX30" s="80"/>
      <c r="AY30" s="90"/>
      <c r="AZ30" s="90"/>
      <c r="BA30" s="90"/>
      <c r="BB30" s="90"/>
    </row>
    <row r="31" spans="1:60" s="79" customFormat="1" ht="15" customHeight="1" thickTop="1" thickBot="1" x14ac:dyDescent="0.35">
      <c r="C31" s="105"/>
      <c r="D31" s="105"/>
      <c r="AI31" s="105"/>
      <c r="AJ31" s="105"/>
    </row>
    <row r="32" spans="1:60" s="79" customFormat="1" ht="15" customHeight="1" thickTop="1" thickBot="1" x14ac:dyDescent="0.35">
      <c r="C32" s="167" t="s">
        <v>61</v>
      </c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207" t="s">
        <v>111</v>
      </c>
      <c r="AJ32" s="207"/>
      <c r="AK32" s="207"/>
      <c r="AL32" s="207"/>
      <c r="AM32" s="207"/>
      <c r="AN32" s="207"/>
      <c r="AO32" s="207"/>
      <c r="AQ32" s="333">
        <f>+AQ29-K29</f>
        <v>26830</v>
      </c>
      <c r="AR32" s="334"/>
      <c r="AS32" s="334"/>
      <c r="AT32" s="334"/>
      <c r="AU32" s="335"/>
      <c r="AX32" s="80"/>
      <c r="AY32" s="80"/>
      <c r="AZ32" s="80"/>
      <c r="BA32" s="80"/>
    </row>
    <row r="33" spans="1:59" s="79" customFormat="1" ht="15" customHeight="1" thickTop="1" thickBot="1" x14ac:dyDescent="0.35">
      <c r="C33" s="169" t="s">
        <v>60</v>
      </c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0"/>
      <c r="AC33" s="170"/>
      <c r="AD33" s="170"/>
      <c r="AE33" s="170"/>
      <c r="AF33" s="170"/>
      <c r="AG33" s="170"/>
      <c r="AH33" s="170"/>
      <c r="AI33" s="207"/>
      <c r="AJ33" s="207"/>
      <c r="AK33" s="207"/>
      <c r="AL33" s="207"/>
      <c r="AM33" s="207"/>
      <c r="AN33" s="207"/>
      <c r="AO33" s="207"/>
      <c r="AQ33" s="336"/>
      <c r="AR33" s="334"/>
      <c r="AS33" s="334"/>
      <c r="AT33" s="334"/>
      <c r="AU33" s="335"/>
      <c r="AX33" s="80"/>
      <c r="AY33" s="80"/>
      <c r="AZ33" s="80"/>
      <c r="BA33" s="80"/>
    </row>
    <row r="34" spans="1:59" s="79" customFormat="1" ht="15" customHeight="1" thickTop="1" x14ac:dyDescent="0.3">
      <c r="C34" s="169" t="s">
        <v>76</v>
      </c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0"/>
      <c r="AI34" s="170"/>
      <c r="AJ34" s="170"/>
      <c r="AK34" s="170"/>
      <c r="AL34" s="170"/>
      <c r="AM34" s="170"/>
      <c r="AN34" s="170"/>
      <c r="AO34" s="170"/>
      <c r="AP34" s="170"/>
      <c r="AQ34" s="170"/>
      <c r="AR34" s="170"/>
      <c r="AS34" s="170"/>
      <c r="AT34" s="170"/>
      <c r="AU34" s="170"/>
      <c r="AX34" s="80"/>
      <c r="AY34" s="80"/>
      <c r="AZ34" s="80"/>
      <c r="BA34" s="80"/>
    </row>
    <row r="35" spans="1:59" s="79" customFormat="1" ht="15" customHeight="1" x14ac:dyDescent="0.3">
      <c r="AX35" s="80"/>
      <c r="AY35" s="80"/>
      <c r="AZ35" s="80"/>
      <c r="BA35" s="80"/>
    </row>
    <row r="36" spans="1:59" ht="14.25" hidden="1" customHeight="1" x14ac:dyDescent="0.3">
      <c r="A36" s="79"/>
      <c r="B36" s="79"/>
    </row>
    <row r="37" spans="1:59" ht="15" hidden="1" customHeight="1" x14ac:dyDescent="0.3">
      <c r="A37" s="79"/>
      <c r="B37" s="79"/>
      <c r="C37" s="105"/>
      <c r="D37" s="105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105"/>
      <c r="AJ37" s="105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</row>
    <row r="38" spans="1:59" ht="15" hidden="1" customHeight="1" x14ac:dyDescent="0.3">
      <c r="A38" s="79"/>
      <c r="B38" s="79"/>
      <c r="C38" s="105"/>
      <c r="D38" s="105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105"/>
      <c r="AJ38" s="105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</row>
    <row r="39" spans="1:59" ht="14.1" hidden="1" customHeight="1" x14ac:dyDescent="0.3">
      <c r="A39" s="79"/>
      <c r="B39" s="79"/>
      <c r="C39" s="105"/>
      <c r="D39" s="105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105"/>
      <c r="AJ39" s="105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</row>
    <row r="42" spans="1:59" ht="15.75" hidden="1" customHeight="1" x14ac:dyDescent="0.3"/>
    <row r="44" spans="1:59" ht="14.55" hidden="1" customHeight="1" x14ac:dyDescent="0.3">
      <c r="BG44" s="146"/>
    </row>
    <row r="46" spans="1:59" ht="15.75" hidden="1" customHeight="1" x14ac:dyDescent="0.3"/>
    <row r="48" spans="1:59" ht="14.55" hidden="1" customHeight="1" x14ac:dyDescent="0.3">
      <c r="BF48" s="146"/>
    </row>
    <row r="50" ht="15.75" hidden="1" customHeight="1" x14ac:dyDescent="0.3"/>
    <row r="52" ht="28.5" hidden="1" customHeight="1" x14ac:dyDescent="0.3"/>
    <row r="53" ht="15.75" hidden="1" customHeight="1" x14ac:dyDescent="0.3"/>
    <row r="55" ht="26.25" hidden="1" customHeight="1" x14ac:dyDescent="0.3"/>
  </sheetData>
  <mergeCells count="62">
    <mergeCell ref="AI15:AO15"/>
    <mergeCell ref="AQ15:AU15"/>
    <mergeCell ref="AI17:AO17"/>
    <mergeCell ref="D20:I20"/>
    <mergeCell ref="C21:I21"/>
    <mergeCell ref="K15:O15"/>
    <mergeCell ref="K17:O17"/>
    <mergeCell ref="K18:O18"/>
    <mergeCell ref="K19:O19"/>
    <mergeCell ref="K20:O20"/>
    <mergeCell ref="C15:I15"/>
    <mergeCell ref="C17:I17"/>
    <mergeCell ref="D18:I18"/>
    <mergeCell ref="D19:I19"/>
    <mergeCell ref="K16:O16"/>
    <mergeCell ref="AQ16:AU16"/>
    <mergeCell ref="C26:I27"/>
    <mergeCell ref="K26:O27"/>
    <mergeCell ref="AI26:AO27"/>
    <mergeCell ref="AI21:AO21"/>
    <mergeCell ref="AQ21:AU21"/>
    <mergeCell ref="K21:O21"/>
    <mergeCell ref="AI23:AO24"/>
    <mergeCell ref="AQ23:AU24"/>
    <mergeCell ref="AQ26:AU27"/>
    <mergeCell ref="AD27:AF28"/>
    <mergeCell ref="Q28:U28"/>
    <mergeCell ref="V28:X28"/>
    <mergeCell ref="Q27:U27"/>
    <mergeCell ref="V27:X27"/>
    <mergeCell ref="Z27:AC28"/>
    <mergeCell ref="C2:AU3"/>
    <mergeCell ref="Q5:AG5"/>
    <mergeCell ref="Q6:AG6"/>
    <mergeCell ref="C23:I24"/>
    <mergeCell ref="K23:O24"/>
    <mergeCell ref="AQ17:AU17"/>
    <mergeCell ref="AJ18:AO18"/>
    <mergeCell ref="AQ18:AU18"/>
    <mergeCell ref="AJ19:AO19"/>
    <mergeCell ref="AQ19:AU19"/>
    <mergeCell ref="AJ20:AO20"/>
    <mergeCell ref="AQ20:AU20"/>
    <mergeCell ref="K9:O9"/>
    <mergeCell ref="K11:O11"/>
    <mergeCell ref="AI9:AO9"/>
    <mergeCell ref="AI11:AO11"/>
    <mergeCell ref="AI32:AO33"/>
    <mergeCell ref="AQ32:AU33"/>
    <mergeCell ref="C29:I30"/>
    <mergeCell ref="K29:O30"/>
    <mergeCell ref="AI29:AO30"/>
    <mergeCell ref="AQ29:AU30"/>
    <mergeCell ref="Q30:AF30"/>
    <mergeCell ref="B7:O7"/>
    <mergeCell ref="AI7:AV7"/>
    <mergeCell ref="AI13:AV13"/>
    <mergeCell ref="B9:I9"/>
    <mergeCell ref="B11:I11"/>
    <mergeCell ref="AR9:AV9"/>
    <mergeCell ref="AR11:AV11"/>
    <mergeCell ref="B13:O1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7"/>
  <sheetViews>
    <sheetView workbookViewId="0">
      <selection activeCell="D24" sqref="D24"/>
    </sheetView>
  </sheetViews>
  <sheetFormatPr baseColWidth="10" defaultRowHeight="14.4" x14ac:dyDescent="0.3"/>
  <sheetData>
    <row r="3" spans="2:4" x14ac:dyDescent="0.3">
      <c r="B3" s="79"/>
      <c r="C3" s="203" t="s">
        <v>105</v>
      </c>
      <c r="D3" s="203"/>
    </row>
    <row r="4" spans="2:4" x14ac:dyDescent="0.3">
      <c r="B4" s="143"/>
      <c r="C4" s="101" t="s">
        <v>69</v>
      </c>
      <c r="D4" s="144"/>
    </row>
    <row r="5" spans="2:4" x14ac:dyDescent="0.3">
      <c r="B5" s="145" t="s">
        <v>72</v>
      </c>
      <c r="C5" s="147">
        <f>+'Comparativo | AZ vs Trad'!AZ15</f>
        <v>14400</v>
      </c>
      <c r="D5" s="147">
        <f>+'Comparativo | AZ vs Trad'!BA15</f>
        <v>7500</v>
      </c>
    </row>
    <row r="6" spans="2:4" x14ac:dyDescent="0.3">
      <c r="B6" s="105" t="s">
        <v>29</v>
      </c>
      <c r="C6" s="147">
        <f>+'Comparativo | AZ vs Trad'!AZ17</f>
        <v>45799.999999999993</v>
      </c>
      <c r="D6" s="147">
        <f>+'Comparativo | AZ vs Trad'!BA17</f>
        <v>45799.999999999993</v>
      </c>
    </row>
    <row r="7" spans="2:4" x14ac:dyDescent="0.3">
      <c r="B7" s="105" t="s">
        <v>101</v>
      </c>
      <c r="C7" s="147">
        <f>+'Comparativo | AZ vs Trad'!AZ18</f>
        <v>32370.000000000007</v>
      </c>
      <c r="D7" s="147">
        <f>+'Comparativo | AZ vs Trad'!BA18</f>
        <v>38480.000000000007</v>
      </c>
    </row>
    <row r="8" spans="2:4" x14ac:dyDescent="0.3">
      <c r="B8" s="105" t="s">
        <v>102</v>
      </c>
      <c r="C8" s="147">
        <f>+'Comparativo | AZ vs Trad'!AZ19</f>
        <v>5000</v>
      </c>
      <c r="D8" s="147">
        <f>+'Comparativo | AZ vs Trad'!BA19</f>
        <v>0</v>
      </c>
    </row>
    <row r="9" spans="2:4" x14ac:dyDescent="0.3">
      <c r="B9" s="105" t="s">
        <v>103</v>
      </c>
      <c r="C9" s="147">
        <f>+'Comparativo | AZ vs Trad'!AZ20</f>
        <v>12430</v>
      </c>
      <c r="D9" s="147">
        <f>+'Comparativo | AZ vs Trad'!BA20</f>
        <v>0</v>
      </c>
    </row>
    <row r="10" spans="2:4" x14ac:dyDescent="0.3">
      <c r="B10" s="105" t="s">
        <v>104</v>
      </c>
      <c r="C10" s="147">
        <f>+'Comparativo | AZ vs Trad'!AZ21</f>
        <v>0</v>
      </c>
      <c r="D10" s="147">
        <f>+'Comparativo | AZ vs Trad'!BA21</f>
        <v>20720</v>
      </c>
    </row>
    <row r="11" spans="2:4" x14ac:dyDescent="0.3">
      <c r="B11" s="79"/>
      <c r="C11" s="147"/>
      <c r="D11" s="147"/>
    </row>
    <row r="12" spans="2:4" x14ac:dyDescent="0.3">
      <c r="B12" s="145" t="s">
        <v>72</v>
      </c>
      <c r="C12" s="148">
        <f>+'Comparativo | AZ vs Trad'!AZ23</f>
        <v>0.13090909090909092</v>
      </c>
      <c r="D12" s="148">
        <f>+'Comparativo | AZ vs Trad'!BA23</f>
        <v>6.6666666666666666E-2</v>
      </c>
    </row>
    <row r="13" spans="2:4" x14ac:dyDescent="0.3">
      <c r="B13" s="105" t="s">
        <v>29</v>
      </c>
      <c r="C13" s="148">
        <f>+'Comparativo | AZ vs Trad'!AZ24</f>
        <v>0.41636363636363632</v>
      </c>
      <c r="D13" s="148">
        <f>+'Comparativo | AZ vs Trad'!BA24</f>
        <v>0.41636363636363632</v>
      </c>
    </row>
    <row r="14" spans="2:4" x14ac:dyDescent="0.3">
      <c r="B14" s="105" t="s">
        <v>101</v>
      </c>
      <c r="C14" s="148">
        <f>+'Comparativo | AZ vs Trad'!AZ25</f>
        <v>0.29427272727272735</v>
      </c>
      <c r="D14" s="148">
        <f>+'Comparativo | AZ vs Trad'!BA25</f>
        <v>0.34981818181818186</v>
      </c>
    </row>
    <row r="15" spans="2:4" x14ac:dyDescent="0.3">
      <c r="B15" s="105" t="s">
        <v>102</v>
      </c>
      <c r="C15" s="148">
        <f>+'Comparativo | AZ vs Trad'!AZ26</f>
        <v>4.5454545454545456E-2</v>
      </c>
      <c r="D15" s="148">
        <f>+'Comparativo | AZ vs Trad'!BA26</f>
        <v>0</v>
      </c>
    </row>
    <row r="16" spans="2:4" x14ac:dyDescent="0.3">
      <c r="B16" s="105" t="s">
        <v>103</v>
      </c>
      <c r="C16" s="148">
        <f>+'Comparativo | AZ vs Trad'!AZ27</f>
        <v>0.113</v>
      </c>
      <c r="D16" s="148">
        <f>+'Comparativo | AZ vs Trad'!BA27</f>
        <v>0</v>
      </c>
    </row>
    <row r="17" spans="2:4" x14ac:dyDescent="0.3">
      <c r="B17" s="105" t="s">
        <v>104</v>
      </c>
      <c r="C17" s="148">
        <f>+'Comparativo | AZ vs Trad'!AZ28</f>
        <v>0</v>
      </c>
      <c r="D17" s="148">
        <f>+'Comparativo | AZ vs Trad'!BA28</f>
        <v>0.18836363636363637</v>
      </c>
    </row>
  </sheetData>
  <mergeCells count="1"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12"/>
  <sheetViews>
    <sheetView workbookViewId="0">
      <selection activeCell="D17" sqref="D17"/>
    </sheetView>
  </sheetViews>
  <sheetFormatPr baseColWidth="10" defaultColWidth="10.77734375" defaultRowHeight="14.4" x14ac:dyDescent="0.3"/>
  <cols>
    <col min="2" max="2" width="22.44140625" bestFit="1" customWidth="1"/>
    <col min="3" max="4" width="11.77734375" bestFit="1" customWidth="1"/>
  </cols>
  <sheetData>
    <row r="3" spans="2:4" x14ac:dyDescent="0.3">
      <c r="B3" s="104"/>
      <c r="C3" s="80"/>
      <c r="D3" s="80"/>
    </row>
    <row r="4" spans="2:4" x14ac:dyDescent="0.3">
      <c r="B4" s="80"/>
      <c r="C4" s="106"/>
      <c r="D4" s="106" t="s">
        <v>69</v>
      </c>
    </row>
    <row r="5" spans="2:4" x14ac:dyDescent="0.3">
      <c r="B5" s="103" t="s">
        <v>72</v>
      </c>
      <c r="C5" s="79">
        <f>+'Tasa Bruta | BF Vs Imp'!O9</f>
        <v>375000</v>
      </c>
      <c r="D5" s="79">
        <f>+'Tasa Bruta | BF Vs Imp'!P17</f>
        <v>500000</v>
      </c>
    </row>
    <row r="6" spans="2:4" x14ac:dyDescent="0.3">
      <c r="B6" s="105" t="s">
        <v>68</v>
      </c>
      <c r="C6" s="79">
        <f>+'Tasa Bruta | BF Vs Imp'!O18</f>
        <v>2320000</v>
      </c>
      <c r="D6" s="79">
        <f>+'Tasa Bruta | BF Vs Imp'!P18</f>
        <v>2320000</v>
      </c>
    </row>
    <row r="7" spans="2:4" x14ac:dyDescent="0.3">
      <c r="B7" s="105" t="s">
        <v>71</v>
      </c>
      <c r="C7" s="79">
        <f>+'Tasa Bruta | BF Vs Imp'!O19-C5</f>
        <v>1981250</v>
      </c>
      <c r="D7" s="79">
        <f>+'Tasa Bruta | BF Vs Imp'!P19-D5</f>
        <v>1856250</v>
      </c>
    </row>
    <row r="8" spans="2:4" x14ac:dyDescent="0.3">
      <c r="B8" s="105" t="s">
        <v>73</v>
      </c>
      <c r="C8" s="79">
        <v>0</v>
      </c>
      <c r="D8" s="79">
        <f>+'Tasa Bruta | BF Vs Imp'!P20</f>
        <v>250000</v>
      </c>
    </row>
    <row r="9" spans="2:4" x14ac:dyDescent="0.3">
      <c r="B9" s="105" t="s">
        <v>75</v>
      </c>
      <c r="C9" s="79">
        <v>0</v>
      </c>
      <c r="D9" s="79">
        <f>+'Tasa Bruta | BF Vs Imp'!P21</f>
        <v>1018750</v>
      </c>
    </row>
    <row r="10" spans="2:4" x14ac:dyDescent="0.3">
      <c r="B10" s="105" t="s">
        <v>74</v>
      </c>
      <c r="C10" s="79">
        <f>+D8+D9</f>
        <v>1268750</v>
      </c>
      <c r="D10" s="79">
        <v>0</v>
      </c>
    </row>
    <row r="12" spans="2:4" x14ac:dyDescent="0.3">
      <c r="B12" s="105" t="s">
        <v>85</v>
      </c>
      <c r="C12">
        <f>+'Tasa Bruta | BF Vs Imp'!D7</f>
        <v>5945000</v>
      </c>
    </row>
  </sheetData>
  <pageMargins left="0.7" right="0.7" top="0.75" bottom="0.75" header="0.3" footer="0.3"/>
  <pageSetup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  <pageSetUpPr fitToPage="1"/>
  </sheetPr>
  <dimension ref="A1:Q1048576"/>
  <sheetViews>
    <sheetView topLeftCell="G13" zoomScale="150" zoomScaleNormal="150" workbookViewId="0">
      <selection activeCell="G24" sqref="G24"/>
    </sheetView>
  </sheetViews>
  <sheetFormatPr baseColWidth="10" defaultColWidth="0" defaultRowHeight="0" customHeight="1" zeroHeight="1" x14ac:dyDescent="0.3"/>
  <cols>
    <col min="1" max="1" width="2.77734375" style="80" customWidth="1"/>
    <col min="2" max="2" width="10.5546875" style="80" customWidth="1"/>
    <col min="3" max="3" width="12.44140625" style="80" customWidth="1"/>
    <col min="4" max="4" width="16.21875" style="80" customWidth="1"/>
    <col min="5" max="5" width="3.5546875" style="80" customWidth="1"/>
    <col min="6" max="6" width="23.44140625" style="80" customWidth="1"/>
    <col min="7" max="7" width="16.21875" style="80" customWidth="1"/>
    <col min="8" max="8" width="2.77734375" style="80" customWidth="1"/>
    <col min="9" max="10" width="12.44140625" style="80" customWidth="1"/>
    <col min="11" max="11" width="1.77734375" style="80" customWidth="1"/>
    <col min="12" max="13" width="13.21875" style="80" customWidth="1"/>
    <col min="14" max="14" width="2.77734375" style="80" customWidth="1"/>
    <col min="15" max="15" width="7.21875" style="80" hidden="1" customWidth="1"/>
    <col min="16" max="16" width="13.77734375" style="80" hidden="1" customWidth="1"/>
    <col min="17" max="17" width="6.77734375" style="80" hidden="1" customWidth="1"/>
    <col min="18" max="16384" width="0" style="80" hidden="1"/>
  </cols>
  <sheetData>
    <row r="1" spans="1:17" ht="14.25" customHeight="1" x14ac:dyDescent="0.3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7" ht="26.25" customHeight="1" x14ac:dyDescent="0.3">
      <c r="A2" s="79"/>
      <c r="B2" s="262" t="s">
        <v>83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79"/>
    </row>
    <row r="3" spans="1:17" ht="14.4" x14ac:dyDescent="0.3">
      <c r="A3" s="79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79"/>
    </row>
    <row r="4" spans="1:17" ht="14.25" customHeight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P4" s="79"/>
      <c r="Q4" s="79"/>
    </row>
    <row r="5" spans="1:17" ht="19.5" customHeight="1" x14ac:dyDescent="0.2">
      <c r="A5" s="79"/>
      <c r="B5" s="264" t="s">
        <v>66</v>
      </c>
      <c r="C5" s="264"/>
      <c r="D5" s="107">
        <v>50000000</v>
      </c>
      <c r="E5" s="81" t="s">
        <v>56</v>
      </c>
      <c r="F5" s="82"/>
      <c r="G5" s="82"/>
      <c r="H5" s="82"/>
      <c r="I5" s="79"/>
      <c r="J5" s="79"/>
      <c r="K5" s="79"/>
      <c r="L5" s="79"/>
      <c r="M5" s="79"/>
      <c r="N5" s="79"/>
    </row>
    <row r="6" spans="1:17" ht="14.25" customHeight="1" x14ac:dyDescent="0.3">
      <c r="A6" s="79"/>
      <c r="B6" s="83"/>
      <c r="C6" s="84"/>
      <c r="D6" s="84"/>
      <c r="E6" s="82"/>
      <c r="F6" s="82"/>
      <c r="G6" s="82"/>
      <c r="H6" s="82"/>
      <c r="I6" s="79"/>
      <c r="J6" s="79"/>
      <c r="K6" s="79"/>
      <c r="L6" s="79"/>
      <c r="M6" s="79"/>
      <c r="N6" s="79"/>
    </row>
    <row r="7" spans="1:17" ht="16.5" customHeight="1" x14ac:dyDescent="0.2">
      <c r="A7" s="79"/>
      <c r="B7" s="264" t="s">
        <v>46</v>
      </c>
      <c r="C7" s="264"/>
      <c r="D7" s="107">
        <v>0</v>
      </c>
      <c r="E7" s="81" t="str">
        <f>+E5</f>
        <v>mxn</v>
      </c>
      <c r="F7" s="109" t="s">
        <v>54</v>
      </c>
      <c r="G7" s="82"/>
      <c r="H7" s="82"/>
      <c r="I7" s="79"/>
      <c r="J7" s="79"/>
      <c r="K7" s="79"/>
      <c r="L7" s="79"/>
      <c r="M7" s="79"/>
      <c r="N7" s="79"/>
    </row>
    <row r="8" spans="1:17" ht="16.5" customHeight="1" x14ac:dyDescent="0.3">
      <c r="A8" s="79"/>
      <c r="B8" s="264" t="s">
        <v>47</v>
      </c>
      <c r="C8" s="264"/>
      <c r="D8" s="108">
        <v>0</v>
      </c>
      <c r="E8" s="82"/>
      <c r="F8" s="82"/>
      <c r="G8" s="82"/>
      <c r="H8" s="82"/>
      <c r="I8" s="79"/>
      <c r="J8" s="79"/>
      <c r="K8" s="79"/>
      <c r="L8" s="79"/>
      <c r="M8" s="79"/>
      <c r="N8" s="79"/>
    </row>
    <row r="9" spans="1:17" ht="14.25" customHeight="1" x14ac:dyDescent="0.3">
      <c r="A9" s="79"/>
      <c r="B9" s="83"/>
      <c r="C9" s="84"/>
      <c r="D9" s="84"/>
      <c r="E9" s="82"/>
      <c r="F9" s="82"/>
      <c r="G9" s="82"/>
      <c r="H9" s="82"/>
      <c r="I9" s="79"/>
      <c r="J9" s="79"/>
      <c r="K9" s="79"/>
      <c r="L9" s="79"/>
      <c r="M9" s="79"/>
      <c r="N9" s="79"/>
    </row>
    <row r="10" spans="1:17" ht="14.25" customHeight="1" thickBot="1" x14ac:dyDescent="0.35">
      <c r="A10" s="79"/>
      <c r="B10" s="82"/>
      <c r="C10" s="82"/>
      <c r="D10" s="82"/>
      <c r="E10" s="82"/>
      <c r="F10" s="82"/>
      <c r="G10" s="82"/>
      <c r="H10" s="82"/>
      <c r="I10" s="98"/>
      <c r="J10" s="100"/>
      <c r="K10" s="100"/>
      <c r="L10" s="98"/>
      <c r="M10" s="99"/>
      <c r="N10" s="79"/>
      <c r="P10" s="79"/>
      <c r="Q10" s="79"/>
    </row>
    <row r="11" spans="1:17" ht="15" customHeight="1" thickBot="1" x14ac:dyDescent="0.35">
      <c r="A11" s="79"/>
      <c r="B11" s="258" t="s">
        <v>63</v>
      </c>
      <c r="C11" s="259"/>
      <c r="D11" s="260"/>
      <c r="E11" s="82"/>
      <c r="F11" s="258" t="s">
        <v>45</v>
      </c>
      <c r="G11" s="260"/>
      <c r="H11" s="82"/>
      <c r="I11" s="267" t="s">
        <v>1</v>
      </c>
      <c r="J11" s="268"/>
      <c r="K11" s="268"/>
      <c r="L11" s="268"/>
      <c r="M11" s="269"/>
      <c r="N11" s="79"/>
      <c r="P11" s="79"/>
      <c r="Q11" s="79"/>
    </row>
    <row r="12" spans="1:17" ht="15" customHeight="1" x14ac:dyDescent="0.3">
      <c r="A12" s="79"/>
      <c r="B12" s="265" t="s">
        <v>21</v>
      </c>
      <c r="C12" s="266"/>
      <c r="D12" s="73">
        <v>0</v>
      </c>
      <c r="E12" s="82"/>
      <c r="F12" s="110" t="s">
        <v>21</v>
      </c>
      <c r="G12" s="73">
        <v>0</v>
      </c>
      <c r="H12" s="82"/>
      <c r="I12" s="270"/>
      <c r="J12" s="271"/>
      <c r="K12" s="271"/>
      <c r="L12" s="271"/>
      <c r="M12" s="272"/>
      <c r="N12" s="79"/>
      <c r="P12" s="79"/>
      <c r="Q12" s="79"/>
    </row>
    <row r="13" spans="1:17" ht="15" customHeight="1" thickBot="1" x14ac:dyDescent="0.35">
      <c r="A13" s="79"/>
      <c r="B13" s="265" t="s">
        <v>23</v>
      </c>
      <c r="C13" s="266"/>
      <c r="D13" s="74">
        <v>7.0000000000000007E-2</v>
      </c>
      <c r="E13" s="82"/>
      <c r="F13" s="111" t="s">
        <v>23</v>
      </c>
      <c r="G13" s="74">
        <v>1</v>
      </c>
      <c r="H13" s="82"/>
      <c r="I13" s="273"/>
      <c r="J13" s="271"/>
      <c r="K13" s="271"/>
      <c r="L13" s="271"/>
      <c r="M13" s="272"/>
      <c r="N13" s="79"/>
    </row>
    <row r="14" spans="1:17" ht="15" customHeight="1" x14ac:dyDescent="0.3">
      <c r="A14" s="79"/>
      <c r="B14" s="265" t="s">
        <v>25</v>
      </c>
      <c r="C14" s="266"/>
      <c r="D14" s="74">
        <v>0.1</v>
      </c>
      <c r="E14" s="82"/>
      <c r="F14" s="111" t="s">
        <v>25</v>
      </c>
      <c r="G14" s="74">
        <v>0</v>
      </c>
      <c r="H14" s="82"/>
      <c r="I14" s="286" t="s">
        <v>4</v>
      </c>
      <c r="J14" s="278" t="s">
        <v>5</v>
      </c>
      <c r="K14" s="274" t="s">
        <v>57</v>
      </c>
      <c r="L14" s="274"/>
      <c r="M14" s="276" t="s">
        <v>64</v>
      </c>
      <c r="N14" s="79"/>
      <c r="P14" s="79"/>
    </row>
    <row r="15" spans="1:17" ht="15" customHeight="1" thickBot="1" x14ac:dyDescent="0.35">
      <c r="A15" s="79"/>
      <c r="B15" s="280" t="s">
        <v>3</v>
      </c>
      <c r="C15" s="281"/>
      <c r="D15" s="75">
        <v>0</v>
      </c>
      <c r="E15" s="82"/>
      <c r="F15" s="112" t="s">
        <v>3</v>
      </c>
      <c r="G15" s="75">
        <v>0</v>
      </c>
      <c r="H15" s="82"/>
      <c r="I15" s="287"/>
      <c r="J15" s="279"/>
      <c r="K15" s="275"/>
      <c r="L15" s="275"/>
      <c r="M15" s="277"/>
      <c r="N15" s="79"/>
      <c r="P15" s="79"/>
    </row>
    <row r="16" spans="1:17" ht="15" customHeight="1" thickBot="1" x14ac:dyDescent="0.35">
      <c r="A16" s="79"/>
      <c r="B16" s="85"/>
      <c r="C16" s="85"/>
      <c r="D16" s="86"/>
      <c r="E16" s="82"/>
      <c r="F16" s="114" t="str">
        <f>+IF(SUM(G12:G15)&lt;&gt;1,"*Error no suma 100%","")</f>
        <v/>
      </c>
      <c r="G16" s="82"/>
      <c r="H16" s="82"/>
      <c r="I16" s="113">
        <v>1</v>
      </c>
      <c r="J16" s="115">
        <f>+Detalle!O48</f>
        <v>9.0218423551757798E-3</v>
      </c>
      <c r="K16" s="261">
        <f>+Detalle!P48</f>
        <v>475000</v>
      </c>
      <c r="L16" s="261"/>
      <c r="M16" s="116">
        <f>+Detalle!R48</f>
        <v>393750.00000000006</v>
      </c>
      <c r="N16" s="79"/>
      <c r="P16" s="79"/>
    </row>
    <row r="17" spans="1:17" ht="15" customHeight="1" thickBot="1" x14ac:dyDescent="0.35">
      <c r="A17" s="79"/>
      <c r="B17" s="282" t="s">
        <v>6</v>
      </c>
      <c r="C17" s="283"/>
      <c r="D17" s="284"/>
      <c r="E17" s="82"/>
      <c r="F17" s="282" t="s">
        <v>7</v>
      </c>
      <c r="G17" s="284"/>
      <c r="H17" s="82"/>
      <c r="I17" s="113">
        <v>2</v>
      </c>
      <c r="J17" s="115">
        <f>+Detalle!O49</f>
        <v>1.8125078349833013E-2</v>
      </c>
      <c r="K17" s="261">
        <f>+Detalle!P49</f>
        <v>1004862.5</v>
      </c>
      <c r="L17" s="261"/>
      <c r="M17" s="117">
        <f>+Detalle!R49</f>
        <v>812109.37500000012</v>
      </c>
      <c r="N17" s="79"/>
      <c r="P17" s="79"/>
    </row>
    <row r="18" spans="1:17" ht="15" customHeight="1" x14ac:dyDescent="0.3">
      <c r="A18" s="79"/>
      <c r="B18" s="288" t="s">
        <v>8</v>
      </c>
      <c r="C18" s="289"/>
      <c r="D18" s="73">
        <v>0.04</v>
      </c>
      <c r="E18" s="82"/>
      <c r="F18" s="110" t="s">
        <v>9</v>
      </c>
      <c r="G18" s="118">
        <v>0.35</v>
      </c>
      <c r="H18" s="82"/>
      <c r="I18" s="113">
        <v>3</v>
      </c>
      <c r="J18" s="115">
        <f>+Detalle!O50</f>
        <v>2.7310442304556037E-2</v>
      </c>
      <c r="K18" s="261">
        <f>+Detalle!P50</f>
        <v>1594350.6812499985</v>
      </c>
      <c r="L18" s="261"/>
      <c r="M18" s="117">
        <f>+Detalle!R50</f>
        <v>1256616.2109375002</v>
      </c>
      <c r="N18" s="79"/>
      <c r="P18" s="79"/>
    </row>
    <row r="19" spans="1:17" ht="15" customHeight="1" thickBot="1" x14ac:dyDescent="0.35">
      <c r="A19" s="79"/>
      <c r="B19" s="280" t="s">
        <v>10</v>
      </c>
      <c r="C19" s="281"/>
      <c r="D19" s="102">
        <v>0.05</v>
      </c>
      <c r="E19" s="82"/>
      <c r="F19" s="112" t="s">
        <v>11</v>
      </c>
      <c r="G19" s="119">
        <v>0.1</v>
      </c>
      <c r="H19" s="82"/>
      <c r="I19" s="113">
        <v>4</v>
      </c>
      <c r="J19" s="115">
        <f>+Detalle!O51</f>
        <v>3.6578675164853802E-2</v>
      </c>
      <c r="K19" s="261">
        <f>+Detalle!P51</f>
        <v>2248596.1404031292</v>
      </c>
      <c r="L19" s="261"/>
      <c r="M19" s="117">
        <f>+Detalle!R51</f>
        <v>1728904.7241210942</v>
      </c>
      <c r="N19" s="79"/>
      <c r="P19" s="79"/>
    </row>
    <row r="20" spans="1:17" ht="15" customHeight="1" thickBot="1" x14ac:dyDescent="0.35">
      <c r="A20" s="79"/>
      <c r="B20" s="82"/>
      <c r="C20" s="82"/>
      <c r="D20" s="82"/>
      <c r="E20" s="82"/>
      <c r="F20" s="82"/>
      <c r="G20" s="82"/>
      <c r="H20" s="82"/>
      <c r="I20" s="113">
        <v>5</v>
      </c>
      <c r="J20" s="115">
        <f>+Detalle!O52</f>
        <v>4.5930524560928054E-2</v>
      </c>
      <c r="K20" s="261">
        <f>+Detalle!P52</f>
        <v>2973125.6634568051</v>
      </c>
      <c r="L20" s="261"/>
      <c r="M20" s="117">
        <f>+Detalle!R52</f>
        <v>2230711.2693786626</v>
      </c>
      <c r="N20" s="79"/>
      <c r="P20" s="79"/>
    </row>
    <row r="21" spans="1:17" ht="15" customHeight="1" thickBot="1" x14ac:dyDescent="0.35">
      <c r="A21" s="79"/>
      <c r="B21" s="290" t="s">
        <v>12</v>
      </c>
      <c r="C21" s="291"/>
      <c r="D21" s="292"/>
      <c r="E21" s="82"/>
      <c r="F21" s="293" t="s">
        <v>13</v>
      </c>
      <c r="G21" s="294"/>
      <c r="H21" s="82"/>
      <c r="I21" s="113">
        <v>10</v>
      </c>
      <c r="J21" s="115">
        <f>+Detalle!O58</f>
        <v>0.10384029306392817</v>
      </c>
      <c r="K21" s="261">
        <f>+Detalle!P57</f>
        <v>7874917.3337318748</v>
      </c>
      <c r="L21" s="261"/>
      <c r="M21" s="117">
        <f>+Detalle!R57</f>
        <v>5251275.3589689061</v>
      </c>
      <c r="N21" s="79"/>
      <c r="P21" s="79"/>
    </row>
    <row r="22" spans="1:17" ht="15" customHeight="1" x14ac:dyDescent="0.3">
      <c r="A22" s="79"/>
      <c r="B22" s="288" t="s">
        <v>21</v>
      </c>
      <c r="C22" s="289"/>
      <c r="D22" s="73">
        <v>7.4999999999999997E-3</v>
      </c>
      <c r="E22" s="82"/>
      <c r="F22" s="110" t="s">
        <v>21</v>
      </c>
      <c r="G22" s="73">
        <v>0</v>
      </c>
      <c r="H22" s="82"/>
      <c r="I22" s="113">
        <v>15</v>
      </c>
      <c r="J22" s="115">
        <f>+Detalle!O62</f>
        <v>0.14421730857779025</v>
      </c>
      <c r="K22" s="261">
        <f>+Detalle!P62</f>
        <v>15646347.02985093</v>
      </c>
      <c r="L22" s="261"/>
      <c r="M22" s="117">
        <f>+Detalle!R62</f>
        <v>9341364.2667384278</v>
      </c>
      <c r="N22" s="79"/>
      <c r="O22" s="120"/>
      <c r="P22" s="79"/>
      <c r="Q22" s="79"/>
    </row>
    <row r="23" spans="1:17" ht="15" customHeight="1" x14ac:dyDescent="0.3">
      <c r="A23" s="79"/>
      <c r="B23" s="265" t="s">
        <v>23</v>
      </c>
      <c r="C23" s="266"/>
      <c r="D23" s="73">
        <v>7.4999999999999997E-3</v>
      </c>
      <c r="E23" s="82"/>
      <c r="F23" s="111" t="s">
        <v>2</v>
      </c>
      <c r="G23" s="74">
        <v>0.01</v>
      </c>
      <c r="H23" s="82"/>
      <c r="I23" s="113">
        <v>20</v>
      </c>
      <c r="J23" s="115">
        <f>+Detalle!O67</f>
        <v>0.19677180977246111</v>
      </c>
      <c r="K23" s="261">
        <f>+Detalle!P67</f>
        <v>27637598.79404062</v>
      </c>
      <c r="L23" s="261"/>
      <c r="M23" s="117">
        <f>+Detalle!R67</f>
        <v>14879676.574400352</v>
      </c>
      <c r="N23" s="79"/>
      <c r="O23" s="120"/>
      <c r="P23" s="79"/>
      <c r="Q23" s="79"/>
    </row>
    <row r="24" spans="1:17" ht="15" customHeight="1" thickBot="1" x14ac:dyDescent="0.35">
      <c r="A24" s="79"/>
      <c r="B24" s="265" t="s">
        <v>25</v>
      </c>
      <c r="C24" s="266"/>
      <c r="D24" s="74">
        <v>1.2500000000000001E-2</v>
      </c>
      <c r="E24" s="82"/>
      <c r="F24" s="111" t="s">
        <v>25</v>
      </c>
      <c r="G24" s="74">
        <v>0</v>
      </c>
      <c r="H24" s="82"/>
      <c r="I24" s="121">
        <v>25</v>
      </c>
      <c r="J24" s="122">
        <f>+Detalle!O72</f>
        <v>0.25174016677504096</v>
      </c>
      <c r="K24" s="285">
        <f>+Detalle!P72</f>
        <v>45775363.273387492</v>
      </c>
      <c r="L24" s="285"/>
      <c r="M24" s="123">
        <f>+Detalle!R72</f>
        <v>22379000.894449584</v>
      </c>
      <c r="N24" s="79"/>
    </row>
    <row r="25" spans="1:17" ht="15" customHeight="1" thickBot="1" x14ac:dyDescent="0.35">
      <c r="A25" s="79"/>
      <c r="B25" s="280" t="s">
        <v>3</v>
      </c>
      <c r="C25" s="281"/>
      <c r="D25" s="75">
        <v>1.2500000000000001E-2</v>
      </c>
      <c r="E25" s="82"/>
      <c r="F25" s="112" t="s">
        <v>3</v>
      </c>
      <c r="G25" s="75">
        <v>0</v>
      </c>
      <c r="H25" s="82"/>
      <c r="I25" s="89"/>
      <c r="J25" s="90"/>
      <c r="K25" s="90"/>
      <c r="L25" s="90"/>
      <c r="M25" s="90"/>
      <c r="N25" s="79"/>
    </row>
    <row r="26" spans="1:17" ht="7.5" customHeight="1" x14ac:dyDescent="0.3">
      <c r="A26" s="79"/>
      <c r="B26" s="87"/>
      <c r="C26" s="87"/>
      <c r="D26" s="88"/>
      <c r="E26" s="82"/>
      <c r="F26" s="87"/>
      <c r="G26" s="88"/>
      <c r="H26" s="82"/>
      <c r="I26" s="89"/>
      <c r="J26" s="90"/>
      <c r="K26" s="90"/>
      <c r="L26" s="90"/>
      <c r="M26" s="90"/>
      <c r="N26" s="79"/>
    </row>
    <row r="27" spans="1:17" ht="15" customHeight="1" x14ac:dyDescent="0.3">
      <c r="A27" s="79"/>
      <c r="B27" s="124" t="s">
        <v>61</v>
      </c>
      <c r="C27" s="87"/>
      <c r="D27" s="88"/>
      <c r="E27" s="82"/>
      <c r="F27" s="87"/>
      <c r="G27" s="88"/>
      <c r="H27" s="82"/>
      <c r="I27" s="89"/>
      <c r="J27" s="90"/>
      <c r="K27" s="90"/>
      <c r="L27" s="90"/>
      <c r="M27" s="90"/>
      <c r="N27" s="79"/>
    </row>
    <row r="28" spans="1:17" ht="15" customHeight="1" x14ac:dyDescent="0.3">
      <c r="A28" s="79"/>
      <c r="B28" s="124" t="s">
        <v>60</v>
      </c>
      <c r="C28" s="87"/>
      <c r="D28" s="88"/>
      <c r="E28" s="82"/>
      <c r="F28" s="87"/>
      <c r="G28" s="88"/>
      <c r="H28" s="82"/>
      <c r="I28" s="79"/>
      <c r="J28" s="79"/>
      <c r="K28" s="79"/>
      <c r="L28" s="79"/>
      <c r="M28" s="79"/>
      <c r="N28" s="79"/>
    </row>
    <row r="29" spans="1:17" s="79" customFormat="1" ht="14.1" customHeight="1" x14ac:dyDescent="0.3"/>
    <row r="33" spans="16:17" ht="15.75" hidden="1" customHeight="1" x14ac:dyDescent="0.3"/>
    <row r="34" spans="16:17" ht="14.4" hidden="1" x14ac:dyDescent="0.3">
      <c r="Q34" s="91"/>
    </row>
    <row r="37" spans="16:17" ht="15.75" hidden="1" customHeight="1" x14ac:dyDescent="0.3"/>
    <row r="38" spans="16:17" ht="14.4" hidden="1" x14ac:dyDescent="0.3">
      <c r="P38" s="91"/>
    </row>
    <row r="41" spans="16:17" ht="15.75" hidden="1" customHeight="1" x14ac:dyDescent="0.3"/>
    <row r="42" spans="16:17" ht="28.5" hidden="1" customHeight="1" x14ac:dyDescent="0.3"/>
    <row r="44" spans="16:17" ht="15.75" hidden="1" customHeight="1" x14ac:dyDescent="0.3"/>
    <row r="45" spans="16:17" ht="26.25" hidden="1" customHeight="1" x14ac:dyDescent="0.3"/>
    <row r="1048575" spans="7:7" ht="15.75" hidden="1" customHeight="1" x14ac:dyDescent="0.3"/>
    <row r="1048576" spans="7:7" ht="15.75" hidden="1" customHeight="1" x14ac:dyDescent="0.3">
      <c r="G1048576" s="80">
        <v>5</v>
      </c>
    </row>
  </sheetData>
  <sheetProtection algorithmName="SHA-512" hashValue="unMWPBRoTwGj39PQR+JZhEdQw9N+GasRg3d8Zaa6Of+2ng4OBqgiXdIHSqfuPqW80AjFP7XrpU6Q3SbU+KS1KQ==" saltValue="tkuZZMiDaZW69ZRvyk4iFg==" spinCount="100000" sheet="1" objects="1" scenarios="1"/>
  <mergeCells count="34">
    <mergeCell ref="B25:C25"/>
    <mergeCell ref="B18:C18"/>
    <mergeCell ref="B19:C19"/>
    <mergeCell ref="B21:D21"/>
    <mergeCell ref="F21:G21"/>
    <mergeCell ref="B22:C22"/>
    <mergeCell ref="B23:C23"/>
    <mergeCell ref="B24:C24"/>
    <mergeCell ref="K24:L24"/>
    <mergeCell ref="B12:C12"/>
    <mergeCell ref="K20:L20"/>
    <mergeCell ref="K21:L21"/>
    <mergeCell ref="K22:L22"/>
    <mergeCell ref="K23:L23"/>
    <mergeCell ref="I14:I15"/>
    <mergeCell ref="K18:L18"/>
    <mergeCell ref="K19:L19"/>
    <mergeCell ref="F17:G17"/>
    <mergeCell ref="B11:D11"/>
    <mergeCell ref="F11:G11"/>
    <mergeCell ref="K16:L16"/>
    <mergeCell ref="K17:L17"/>
    <mergeCell ref="B2:M3"/>
    <mergeCell ref="B8:C8"/>
    <mergeCell ref="B13:C13"/>
    <mergeCell ref="B5:C5"/>
    <mergeCell ref="B7:C7"/>
    <mergeCell ref="I11:M13"/>
    <mergeCell ref="K14:L15"/>
    <mergeCell ref="M14:M15"/>
    <mergeCell ref="J14:J15"/>
    <mergeCell ref="B14:C14"/>
    <mergeCell ref="B15:C15"/>
    <mergeCell ref="B17:D17"/>
  </mergeCells>
  <dataValidations count="6">
    <dataValidation type="list" allowBlank="1" showInputMessage="1" showErrorMessage="1" sqref="E5 E7" xr:uid="{00000000-0002-0000-0400-000000000000}">
      <formula1>"mxn,usd"</formula1>
    </dataValidation>
    <dataValidation type="decimal" errorStyle="information" allowBlank="1" showInputMessage="1" showErrorMessage="1" errorTitle="Rangos Limitados" error="La tasa debe de estar entre 0% y 6%" sqref="D12" xr:uid="{00000000-0002-0000-0400-000001000000}">
      <formula1>0</formula1>
      <formula2>0.06</formula2>
    </dataValidation>
    <dataValidation type="decimal" errorStyle="information" allowBlank="1" showInputMessage="1" showErrorMessage="1" errorTitle="Rangos Limitados" error="La tasa debe de estar entre 0% y 13%" sqref="D13" xr:uid="{00000000-0002-0000-0400-000002000000}">
      <formula1>0</formula1>
      <formula2>0.13</formula2>
    </dataValidation>
    <dataValidation type="decimal" errorStyle="information" allowBlank="1" showInputMessage="1" showErrorMessage="1" errorTitle="Rangos Limitados" error="La tasa debe de estar entre 0% y 14%" sqref="D14:D15" xr:uid="{00000000-0002-0000-0400-000003000000}">
      <formula1>0</formula1>
      <formula2>0.14</formula2>
    </dataValidation>
    <dataValidation errorStyle="information" allowBlank="1" showInputMessage="1" showErrorMessage="1" errorTitle="Rangos Limitados" error="La tasa debe de estar entre 0% y 10%" sqref="D18" xr:uid="{00000000-0002-0000-0400-000004000000}"/>
    <dataValidation errorStyle="information" allowBlank="1" showInputMessage="1" showErrorMessage="1" errorTitle="Rangos Limitados" error="La tasa debe de estar entre 0% y 20%" sqref="D19" xr:uid="{00000000-0002-0000-0400-000005000000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scale="86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  <pageSetUpPr fitToPage="1"/>
  </sheetPr>
  <dimension ref="A1:XFD96"/>
  <sheetViews>
    <sheetView topLeftCell="I23" zoomScale="90" zoomScaleNormal="90" workbookViewId="0">
      <selection activeCell="N58" sqref="N58"/>
    </sheetView>
  </sheetViews>
  <sheetFormatPr baseColWidth="10" defaultColWidth="0" defaultRowHeight="14.4" zeroHeight="1" x14ac:dyDescent="0.3"/>
  <cols>
    <col min="1" max="1" width="19.44140625" style="3" hidden="1" customWidth="1"/>
    <col min="2" max="2" width="7.21875" style="3" hidden="1" customWidth="1"/>
    <col min="3" max="3" width="6.5546875" style="3" hidden="1" customWidth="1"/>
    <col min="4" max="4" width="1.77734375" style="3" customWidth="1"/>
    <col min="5" max="5" width="7.5546875" style="2" customWidth="1"/>
    <col min="6" max="6" width="17.21875" style="2" customWidth="1"/>
    <col min="7" max="7" width="21.21875" style="2" customWidth="1"/>
    <col min="8" max="8" width="21.21875" style="2" hidden="1" customWidth="1"/>
    <col min="9" max="14" width="21.21875" style="2" customWidth="1"/>
    <col min="15" max="15" width="7.77734375" style="2" customWidth="1"/>
    <col min="16" max="17" width="12.5546875" style="3" hidden="1"/>
    <col min="18" max="18" width="14.77734375" style="3" hidden="1"/>
    <col min="19" max="16383" width="12.5546875" style="3" hidden="1"/>
    <col min="16384" max="16384" width="14.77734375" style="3" hidden="1"/>
  </cols>
  <sheetData>
    <row r="1" spans="1:15" hidden="1" x14ac:dyDescent="0.3">
      <c r="D1" s="2"/>
      <c r="G1" s="295" t="s">
        <v>14</v>
      </c>
      <c r="H1" s="4"/>
      <c r="I1" s="295" t="s">
        <v>0</v>
      </c>
      <c r="L1" s="295" t="s">
        <v>15</v>
      </c>
      <c r="M1" s="295" t="s">
        <v>8</v>
      </c>
    </row>
    <row r="2" spans="1:15" ht="17.25" hidden="1" customHeight="1" x14ac:dyDescent="0.35">
      <c r="A2" s="5" t="s">
        <v>16</v>
      </c>
      <c r="B2" s="6" t="s">
        <v>17</v>
      </c>
      <c r="C2" s="7"/>
      <c r="D2" s="2"/>
      <c r="G2" s="296"/>
      <c r="H2" s="8"/>
      <c r="I2" s="296"/>
      <c r="J2" s="3" t="s">
        <v>18</v>
      </c>
      <c r="K2" s="2" t="s">
        <v>19</v>
      </c>
      <c r="L2" s="296"/>
      <c r="M2" s="296"/>
      <c r="N2" s="9">
        <f>+(G3+L3-K3)*G18*I3</f>
        <v>0</v>
      </c>
      <c r="O2" s="9"/>
    </row>
    <row r="3" spans="1:15" hidden="1" x14ac:dyDescent="0.3">
      <c r="A3" s="10" t="s">
        <v>20</v>
      </c>
      <c r="B3" s="11">
        <f>+[1]Supuestos!D8</f>
        <v>0</v>
      </c>
      <c r="C3" s="11"/>
      <c r="D3" s="2"/>
      <c r="E3" s="12" t="s">
        <v>21</v>
      </c>
      <c r="F3" s="13"/>
      <c r="G3" s="14">
        <f>Supuestos!D12</f>
        <v>0</v>
      </c>
      <c r="H3" s="14"/>
      <c r="I3" s="15">
        <f>Supuestos!G12</f>
        <v>0</v>
      </c>
      <c r="J3" s="16">
        <f>Supuestos!D22</f>
        <v>7.4999999999999997E-3</v>
      </c>
      <c r="K3" s="16">
        <f>Supuestos!G22</f>
        <v>0</v>
      </c>
      <c r="L3" s="14">
        <f>Supuestos!D19</f>
        <v>0.05</v>
      </c>
      <c r="M3" s="14">
        <f>Supuestos!D18</f>
        <v>0.04</v>
      </c>
      <c r="N3" s="2">
        <f>+G18*(G4-K4)*I4</f>
        <v>3000000.0000000005</v>
      </c>
      <c r="O3" s="9"/>
    </row>
    <row r="4" spans="1:15" hidden="1" x14ac:dyDescent="0.3">
      <c r="A4" s="10" t="s">
        <v>22</v>
      </c>
      <c r="B4" s="11">
        <f>+[1]Supuestos!D9</f>
        <v>0.08</v>
      </c>
      <c r="C4" s="11"/>
      <c r="D4" s="2"/>
      <c r="E4" s="12" t="s">
        <v>23</v>
      </c>
      <c r="F4" s="13"/>
      <c r="G4" s="14">
        <f>Supuestos!D13</f>
        <v>7.0000000000000007E-2</v>
      </c>
      <c r="H4" s="14"/>
      <c r="I4" s="15">
        <f>Supuestos!G13</f>
        <v>1</v>
      </c>
      <c r="J4" s="16">
        <f>Supuestos!D23</f>
        <v>7.4999999999999997E-3</v>
      </c>
      <c r="K4" s="16">
        <f>Supuestos!G23</f>
        <v>0.01</v>
      </c>
      <c r="N4" s="3">
        <f>+G18*(G5+L3-K5)*I5</f>
        <v>0</v>
      </c>
      <c r="O4" s="17"/>
    </row>
    <row r="5" spans="1:15" ht="15.6" hidden="1" x14ac:dyDescent="0.3">
      <c r="A5" s="10" t="s">
        <v>24</v>
      </c>
      <c r="B5" s="11">
        <f>+[1]Supuestos!D11</f>
        <v>0</v>
      </c>
      <c r="C5" s="11"/>
      <c r="D5" s="16"/>
      <c r="E5" s="18" t="s">
        <v>25</v>
      </c>
      <c r="F5" s="18"/>
      <c r="G5" s="19">
        <f>+Supuestos!D14</f>
        <v>0.1</v>
      </c>
      <c r="H5" s="19"/>
      <c r="I5" s="20">
        <f>Supuestos!G14</f>
        <v>0</v>
      </c>
      <c r="J5" s="16">
        <f>Supuestos!D24</f>
        <v>1.2500000000000001E-2</v>
      </c>
      <c r="K5" s="16">
        <f>Supuestos!G24</f>
        <v>0</v>
      </c>
      <c r="N5" s="2">
        <f>+G18*(G6-K6)*I6</f>
        <v>0</v>
      </c>
      <c r="O5" s="17"/>
    </row>
    <row r="6" spans="1:15" ht="15.6" hidden="1" x14ac:dyDescent="0.3">
      <c r="A6" s="10"/>
      <c r="B6" s="11"/>
      <c r="C6" s="11"/>
      <c r="D6" s="16"/>
      <c r="E6" s="21" t="s">
        <v>3</v>
      </c>
      <c r="F6" s="21"/>
      <c r="G6" s="22">
        <f>+Supuestos!D15</f>
        <v>0</v>
      </c>
      <c r="H6" s="22"/>
      <c r="I6" s="20">
        <f>Supuestos!G15</f>
        <v>0</v>
      </c>
      <c r="J6" s="16">
        <f>Supuestos!D25</f>
        <v>1.2500000000000001E-2</v>
      </c>
      <c r="K6" s="16">
        <f>Supuestos!G25</f>
        <v>0</v>
      </c>
      <c r="M6" s="23">
        <f>+O49</f>
        <v>9.0218423551757798E-3</v>
      </c>
      <c r="O6" s="3"/>
    </row>
    <row r="7" spans="1:15" ht="15.6" hidden="1" x14ac:dyDescent="0.3">
      <c r="A7" s="10"/>
      <c r="B7" s="11"/>
      <c r="C7" s="11"/>
      <c r="D7" s="16"/>
      <c r="E7" s="24"/>
      <c r="F7" s="24"/>
      <c r="G7" s="25"/>
      <c r="H7" s="25"/>
      <c r="I7" s="26"/>
      <c r="O7" s="3"/>
    </row>
    <row r="8" spans="1:15" ht="15.6" hidden="1" x14ac:dyDescent="0.3">
      <c r="A8" s="10"/>
      <c r="B8" s="11"/>
      <c r="C8" s="11"/>
      <c r="D8" s="16"/>
      <c r="E8" s="24"/>
      <c r="F8" s="24"/>
      <c r="G8" s="25"/>
      <c r="H8" s="25"/>
      <c r="I8" s="26"/>
    </row>
    <row r="9" spans="1:15" ht="15.6" hidden="1" x14ac:dyDescent="0.3">
      <c r="A9" s="10"/>
      <c r="B9" s="11"/>
      <c r="C9" s="11"/>
      <c r="D9" s="16"/>
      <c r="E9" s="24"/>
      <c r="F9" s="24"/>
      <c r="G9" s="25"/>
      <c r="H9" s="25"/>
      <c r="I9" s="26"/>
    </row>
    <row r="10" spans="1:15" ht="15.6" hidden="1" x14ac:dyDescent="0.3">
      <c r="A10" s="10"/>
      <c r="B10" s="11"/>
      <c r="C10" s="11"/>
      <c r="D10" s="16"/>
      <c r="E10" s="24"/>
      <c r="F10" s="24"/>
      <c r="G10" s="25"/>
      <c r="H10" s="25"/>
      <c r="I10" s="26"/>
    </row>
    <row r="11" spans="1:15" ht="15.6" hidden="1" x14ac:dyDescent="0.3">
      <c r="A11" s="10"/>
      <c r="B11" s="11"/>
      <c r="C11" s="11"/>
      <c r="D11" s="16"/>
      <c r="E11" s="24"/>
      <c r="F11" s="24"/>
      <c r="G11" s="25"/>
      <c r="H11" s="25"/>
      <c r="I11" s="26"/>
    </row>
    <row r="12" spans="1:15" ht="15.6" x14ac:dyDescent="0.3">
      <c r="A12" s="10"/>
      <c r="B12" s="11"/>
      <c r="C12" s="11"/>
      <c r="D12" s="16"/>
      <c r="E12" s="24"/>
      <c r="F12" s="24"/>
      <c r="G12" s="25"/>
      <c r="H12" s="25"/>
      <c r="I12" s="26"/>
    </row>
    <row r="13" spans="1:15" ht="15" thickBot="1" x14ac:dyDescent="0.35">
      <c r="B13" s="27"/>
      <c r="C13" s="27"/>
      <c r="D13" s="2"/>
      <c r="E13" s="78" t="s">
        <v>58</v>
      </c>
    </row>
    <row r="14" spans="1:15" ht="28.5" customHeight="1" thickTop="1" thickBot="1" x14ac:dyDescent="0.35">
      <c r="B14" s="27"/>
      <c r="C14" s="27"/>
      <c r="D14" s="2"/>
      <c r="E14" s="297" t="s">
        <v>26</v>
      </c>
      <c r="F14" s="298"/>
      <c r="G14" s="298"/>
      <c r="H14" s="298"/>
      <c r="I14" s="298"/>
      <c r="J14" s="298"/>
      <c r="K14" s="298"/>
      <c r="L14" s="298"/>
      <c r="M14" s="298"/>
      <c r="N14" s="299"/>
    </row>
    <row r="15" spans="1:15" ht="15.75" customHeight="1" thickTop="1" x14ac:dyDescent="0.35">
      <c r="A15" s="5" t="s">
        <v>27</v>
      </c>
      <c r="B15" s="6" t="s">
        <v>17</v>
      </c>
      <c r="C15" s="27"/>
      <c r="D15" s="2"/>
      <c r="E15" s="303" t="s">
        <v>62</v>
      </c>
      <c r="F15" s="311" t="s">
        <v>48</v>
      </c>
      <c r="G15" s="312" t="s">
        <v>28</v>
      </c>
      <c r="H15" s="311" t="s">
        <v>48</v>
      </c>
      <c r="I15" s="314" t="s">
        <v>29</v>
      </c>
      <c r="J15" s="315"/>
      <c r="K15" s="300" t="s">
        <v>7</v>
      </c>
      <c r="L15" s="301"/>
      <c r="M15" s="302"/>
      <c r="N15" s="303" t="s">
        <v>30</v>
      </c>
    </row>
    <row r="16" spans="1:15" ht="15.75" customHeight="1" x14ac:dyDescent="0.3">
      <c r="A16" s="10" t="s">
        <v>8</v>
      </c>
      <c r="B16" s="28">
        <f>+[1]Supuestos!D14</f>
        <v>0.05</v>
      </c>
      <c r="C16" s="27"/>
      <c r="D16" s="2"/>
      <c r="E16" s="303"/>
      <c r="F16" s="312"/>
      <c r="G16" s="312"/>
      <c r="H16" s="312"/>
      <c r="I16" s="316"/>
      <c r="J16" s="317"/>
      <c r="K16" s="304" t="s">
        <v>31</v>
      </c>
      <c r="L16" s="305"/>
      <c r="M16" s="306" t="s">
        <v>32</v>
      </c>
      <c r="N16" s="303"/>
    </row>
    <row r="17" spans="1:14" ht="15" customHeight="1" thickBot="1" x14ac:dyDescent="0.35">
      <c r="A17" s="10" t="s">
        <v>33</v>
      </c>
      <c r="B17" s="28">
        <f>+[1]Supuestos!D15</f>
        <v>0.04</v>
      </c>
      <c r="D17" s="2"/>
      <c r="E17" s="303"/>
      <c r="F17" s="313"/>
      <c r="G17" s="312"/>
      <c r="H17" s="313"/>
      <c r="I17" s="55" t="s">
        <v>34</v>
      </c>
      <c r="J17" s="56" t="s">
        <v>35</v>
      </c>
      <c r="K17" s="55" t="s">
        <v>36</v>
      </c>
      <c r="L17" s="57" t="s">
        <v>37</v>
      </c>
      <c r="M17" s="307"/>
      <c r="N17" s="303"/>
    </row>
    <row r="18" spans="1:14" ht="15" thickTop="1" x14ac:dyDescent="0.3">
      <c r="D18" s="2"/>
      <c r="E18" s="29">
        <v>1</v>
      </c>
      <c r="F18" s="30" t="s">
        <v>49</v>
      </c>
      <c r="G18" s="47">
        <f>Supuestos!D5</f>
        <v>50000000</v>
      </c>
      <c r="H18" s="47"/>
      <c r="I18" s="47">
        <f t="shared" ref="I18:I42" si="0">+(G18*$I$3*($G$3+$L$3-$K$3))+(G18*$I$4*($G$4-$K$4))</f>
        <v>3000000.0000000005</v>
      </c>
      <c r="J18" s="47">
        <f t="shared" ref="J18:J42" si="1">+((G18*$I$5*(($G$5+$L$3-$K$5))))+((G18*$I$6*(($G$6-$K$6))))</f>
        <v>0</v>
      </c>
      <c r="K18" s="47">
        <f t="shared" ref="K18:K42" si="2">+IF($M$3&gt;($G$3+$L$3),0,(($G$3+$L$3-$M$3-$K$3)*$I$3*G18*$B$20))+(IF($M$3&gt;($G$4),0,(($G$4-$M$3-$K$4)*$I$4*G18*$B$20)))</f>
        <v>350000.00000000006</v>
      </c>
      <c r="L18" s="47">
        <f t="shared" ref="L18:L42" si="3">+IF($M$3&gt;($G$5+$L$3),0,(($G$5+$L$3-$M$3-$K$5)*$I$5*G18*$B$21))+(IF($M$3&gt;($G$6),0,(($G$6-$M$3-$K$6)*$I$6*G18*$B$21)))</f>
        <v>0</v>
      </c>
      <c r="M18" s="47">
        <f t="shared" ref="M18:M42" si="4">+K18+L18</f>
        <v>350000.00000000006</v>
      </c>
      <c r="N18" s="48">
        <f t="shared" ref="N18:N42" si="5">+G18+I18+J18-M18</f>
        <v>52650000</v>
      </c>
    </row>
    <row r="19" spans="1:14" ht="15.6" x14ac:dyDescent="0.3">
      <c r="A19" s="5" t="s">
        <v>38</v>
      </c>
      <c r="B19" s="5"/>
      <c r="D19" s="2"/>
      <c r="E19" s="58">
        <v>2</v>
      </c>
      <c r="F19" s="49">
        <f>IF(Supuestos!$D$8-'Tabla Comparativa 10 años'!$E18&gt;0,+Supuestos!$D$7,0)</f>
        <v>0</v>
      </c>
      <c r="G19" s="49">
        <f>+N18+H19+F19</f>
        <v>52650000</v>
      </c>
      <c r="H19" s="49"/>
      <c r="I19" s="49">
        <f t="shared" si="0"/>
        <v>3159000.0000000005</v>
      </c>
      <c r="J19" s="49">
        <f t="shared" si="1"/>
        <v>0</v>
      </c>
      <c r="K19" s="49">
        <f t="shared" si="2"/>
        <v>368550.00000000006</v>
      </c>
      <c r="L19" s="49">
        <f t="shared" si="3"/>
        <v>0</v>
      </c>
      <c r="M19" s="49">
        <f t="shared" si="4"/>
        <v>368550.00000000006</v>
      </c>
      <c r="N19" s="50">
        <f t="shared" si="5"/>
        <v>55440450</v>
      </c>
    </row>
    <row r="20" spans="1:14" x14ac:dyDescent="0.3">
      <c r="A20" s="10" t="s">
        <v>9</v>
      </c>
      <c r="B20" s="32">
        <f>+[1]Supuestos!G14</f>
        <v>0.35</v>
      </c>
      <c r="C20" s="33"/>
      <c r="D20" s="2"/>
      <c r="E20" s="59">
        <v>3</v>
      </c>
      <c r="F20" s="51">
        <f>IF(Supuestos!$D$8-'Tabla Comparativa 10 años'!$E19&gt;0,+Supuestos!$D$7,0)</f>
        <v>0</v>
      </c>
      <c r="G20" s="51">
        <f t="shared" ref="G20:G42" si="6">+N19+H20+F20</f>
        <v>55440450</v>
      </c>
      <c r="H20" s="51"/>
      <c r="I20" s="51">
        <f t="shared" si="0"/>
        <v>3326427.0000000005</v>
      </c>
      <c r="J20" s="51">
        <f t="shared" si="1"/>
        <v>0</v>
      </c>
      <c r="K20" s="51">
        <f t="shared" si="2"/>
        <v>388083.15000000008</v>
      </c>
      <c r="L20" s="51">
        <f t="shared" si="3"/>
        <v>0</v>
      </c>
      <c r="M20" s="51">
        <f t="shared" si="4"/>
        <v>388083.15000000008</v>
      </c>
      <c r="N20" s="52">
        <f t="shared" si="5"/>
        <v>58378793.850000001</v>
      </c>
    </row>
    <row r="21" spans="1:14" x14ac:dyDescent="0.3">
      <c r="A21" s="10" t="s">
        <v>11</v>
      </c>
      <c r="B21" s="32">
        <f>+[1]Supuestos!G15</f>
        <v>0.1</v>
      </c>
      <c r="C21" s="33"/>
      <c r="D21" s="2"/>
      <c r="E21" s="58">
        <v>4</v>
      </c>
      <c r="F21" s="49">
        <f>IF(Supuestos!$D$8-'Tabla Comparativa 10 años'!$E20&gt;0,+Supuestos!$D$7,0)</f>
        <v>0</v>
      </c>
      <c r="G21" s="49">
        <f t="shared" si="6"/>
        <v>58378793.850000001</v>
      </c>
      <c r="H21" s="49"/>
      <c r="I21" s="49">
        <f t="shared" si="0"/>
        <v>3502727.6310000005</v>
      </c>
      <c r="J21" s="49">
        <f t="shared" si="1"/>
        <v>0</v>
      </c>
      <c r="K21" s="49">
        <f t="shared" si="2"/>
        <v>408651.55695000011</v>
      </c>
      <c r="L21" s="49">
        <f t="shared" si="3"/>
        <v>0</v>
      </c>
      <c r="M21" s="49">
        <f t="shared" si="4"/>
        <v>408651.55695000011</v>
      </c>
      <c r="N21" s="50">
        <f t="shared" si="5"/>
        <v>61472869.924049996</v>
      </c>
    </row>
    <row r="22" spans="1:14" x14ac:dyDescent="0.3">
      <c r="D22" s="2"/>
      <c r="E22" s="59">
        <v>5</v>
      </c>
      <c r="F22" s="51">
        <f>IF(Supuestos!$D$8-'Tabla Comparativa 10 años'!$E21&gt;0,+Supuestos!$D$7,0)</f>
        <v>0</v>
      </c>
      <c r="G22" s="51">
        <f t="shared" si="6"/>
        <v>61472869.924049996</v>
      </c>
      <c r="H22" s="51"/>
      <c r="I22" s="51">
        <f t="shared" si="0"/>
        <v>3688372.1954430002</v>
      </c>
      <c r="J22" s="51">
        <f t="shared" si="1"/>
        <v>0</v>
      </c>
      <c r="K22" s="51">
        <f t="shared" si="2"/>
        <v>430310.08946835005</v>
      </c>
      <c r="L22" s="51">
        <f t="shared" si="3"/>
        <v>0</v>
      </c>
      <c r="M22" s="51">
        <f t="shared" si="4"/>
        <v>430310.08946835005</v>
      </c>
      <c r="N22" s="52">
        <f t="shared" si="5"/>
        <v>64730932.03002464</v>
      </c>
    </row>
    <row r="23" spans="1:14" ht="15.6" x14ac:dyDescent="0.3">
      <c r="C23" s="35"/>
      <c r="D23" s="2"/>
      <c r="E23" s="58">
        <v>6</v>
      </c>
      <c r="F23" s="49">
        <f>IF(Supuestos!$D$8-'Tabla Comparativa 10 años'!$E22&gt;0,+Supuestos!$D$7,0)</f>
        <v>0</v>
      </c>
      <c r="G23" s="49">
        <f t="shared" si="6"/>
        <v>64730932.03002464</v>
      </c>
      <c r="H23" s="49"/>
      <c r="I23" s="49">
        <f t="shared" si="0"/>
        <v>3883855.9218014786</v>
      </c>
      <c r="J23" s="49">
        <f t="shared" si="1"/>
        <v>0</v>
      </c>
      <c r="K23" s="49">
        <f t="shared" si="2"/>
        <v>453116.52421017253</v>
      </c>
      <c r="L23" s="49">
        <f t="shared" si="3"/>
        <v>0</v>
      </c>
      <c r="M23" s="49">
        <f t="shared" si="4"/>
        <v>453116.52421017253</v>
      </c>
      <c r="N23" s="50">
        <f t="shared" si="5"/>
        <v>68161671.427615955</v>
      </c>
    </row>
    <row r="24" spans="1:14" x14ac:dyDescent="0.3">
      <c r="D24" s="2"/>
      <c r="E24" s="59">
        <v>7</v>
      </c>
      <c r="F24" s="51">
        <f>IF(Supuestos!$D$8-'Tabla Comparativa 10 años'!$E23&gt;0,+Supuestos!$D$7,0)</f>
        <v>0</v>
      </c>
      <c r="G24" s="51">
        <f t="shared" si="6"/>
        <v>68161671.427615955</v>
      </c>
      <c r="H24" s="51"/>
      <c r="I24" s="51">
        <f t="shared" si="0"/>
        <v>4089700.2856569574</v>
      </c>
      <c r="J24" s="51">
        <f t="shared" si="1"/>
        <v>0</v>
      </c>
      <c r="K24" s="51">
        <f t="shared" si="2"/>
        <v>477131.69999331172</v>
      </c>
      <c r="L24" s="51">
        <f t="shared" si="3"/>
        <v>0</v>
      </c>
      <c r="M24" s="51">
        <f t="shared" si="4"/>
        <v>477131.69999331172</v>
      </c>
      <c r="N24" s="52">
        <f t="shared" si="5"/>
        <v>71774240.013279602</v>
      </c>
    </row>
    <row r="25" spans="1:14" x14ac:dyDescent="0.3">
      <c r="D25" s="2"/>
      <c r="E25" s="58">
        <v>8</v>
      </c>
      <c r="F25" s="49">
        <f>IF(Supuestos!$D$8-'Tabla Comparativa 10 años'!$E24&gt;0,+Supuestos!$D$7,0)</f>
        <v>0</v>
      </c>
      <c r="G25" s="49">
        <f t="shared" si="6"/>
        <v>71774240.013279602</v>
      </c>
      <c r="H25" s="49"/>
      <c r="I25" s="49">
        <f t="shared" si="0"/>
        <v>4306454.4007967766</v>
      </c>
      <c r="J25" s="49">
        <f t="shared" si="1"/>
        <v>0</v>
      </c>
      <c r="K25" s="49">
        <f t="shared" si="2"/>
        <v>502419.68009295728</v>
      </c>
      <c r="L25" s="49">
        <f t="shared" si="3"/>
        <v>0</v>
      </c>
      <c r="M25" s="49">
        <f t="shared" si="4"/>
        <v>502419.68009295728</v>
      </c>
      <c r="N25" s="50">
        <f t="shared" si="5"/>
        <v>75578274.733983412</v>
      </c>
    </row>
    <row r="26" spans="1:14" x14ac:dyDescent="0.3">
      <c r="D26" s="2"/>
      <c r="E26" s="59">
        <v>9</v>
      </c>
      <c r="F26" s="51">
        <f>IF(Supuestos!$D$8-'Tabla Comparativa 10 años'!$E25&gt;0,+Supuestos!$D$7,0)</f>
        <v>0</v>
      </c>
      <c r="G26" s="51">
        <f t="shared" si="6"/>
        <v>75578274.733983412</v>
      </c>
      <c r="H26" s="51"/>
      <c r="I26" s="51">
        <f t="shared" si="0"/>
        <v>4534696.4840390049</v>
      </c>
      <c r="J26" s="51">
        <f t="shared" si="1"/>
        <v>0</v>
      </c>
      <c r="K26" s="51">
        <f t="shared" si="2"/>
        <v>529047.92313788389</v>
      </c>
      <c r="L26" s="51">
        <f t="shared" si="3"/>
        <v>0</v>
      </c>
      <c r="M26" s="51">
        <f t="shared" si="4"/>
        <v>529047.92313788389</v>
      </c>
      <c r="N26" s="52">
        <f t="shared" si="5"/>
        <v>79583923.294884533</v>
      </c>
    </row>
    <row r="27" spans="1:14" ht="15" thickBot="1" x14ac:dyDescent="0.35">
      <c r="D27" s="2"/>
      <c r="E27" s="139">
        <v>10</v>
      </c>
      <c r="F27" s="140">
        <f>IF(Supuestos!$D$8-'Tabla Comparativa 10 años'!$E26&gt;0,+Supuestos!$D$7,0)</f>
        <v>0</v>
      </c>
      <c r="G27" s="140">
        <f t="shared" si="6"/>
        <v>79583923.294884533</v>
      </c>
      <c r="H27" s="140"/>
      <c r="I27" s="140">
        <f t="shared" si="0"/>
        <v>4775035.3976930724</v>
      </c>
      <c r="J27" s="140">
        <f t="shared" si="1"/>
        <v>0</v>
      </c>
      <c r="K27" s="140">
        <f t="shared" si="2"/>
        <v>557087.46306419175</v>
      </c>
      <c r="L27" s="140">
        <f t="shared" si="3"/>
        <v>0</v>
      </c>
      <c r="M27" s="140">
        <f t="shared" si="4"/>
        <v>557087.46306419175</v>
      </c>
      <c r="N27" s="141">
        <f t="shared" si="5"/>
        <v>83801871.229513407</v>
      </c>
    </row>
    <row r="28" spans="1:14" ht="15" hidden="1" thickTop="1" x14ac:dyDescent="0.3">
      <c r="C28" s="36"/>
      <c r="D28" s="2"/>
      <c r="E28" s="66">
        <v>11</v>
      </c>
      <c r="F28" s="67" t="e">
        <f>IF(Supuestos!$D$8-'Tabla Comparativa 10 años'!#REF!&gt;0,+Supuestos!$D$7,0)</f>
        <v>#REF!</v>
      </c>
      <c r="G28" s="67" t="e">
        <f>+#REF!+H28+F28</f>
        <v>#REF!</v>
      </c>
      <c r="H28" s="67"/>
      <c r="I28" s="67" t="e">
        <f t="shared" si="0"/>
        <v>#REF!</v>
      </c>
      <c r="J28" s="67" t="e">
        <f t="shared" si="1"/>
        <v>#REF!</v>
      </c>
      <c r="K28" s="67" t="e">
        <f t="shared" si="2"/>
        <v>#REF!</v>
      </c>
      <c r="L28" s="67" t="e">
        <f t="shared" si="3"/>
        <v>#REF!</v>
      </c>
      <c r="M28" s="67" t="e">
        <f t="shared" si="4"/>
        <v>#REF!</v>
      </c>
      <c r="N28" s="68" t="e">
        <f t="shared" si="5"/>
        <v>#REF!</v>
      </c>
    </row>
    <row r="29" spans="1:14" hidden="1" x14ac:dyDescent="0.3">
      <c r="C29" s="36"/>
      <c r="D29" s="2"/>
      <c r="E29" s="59">
        <v>12</v>
      </c>
      <c r="F29" s="51">
        <f>IF(Supuestos!$D$8-'Tabla Comparativa 10 años'!$E28&gt;0,+Supuestos!$D$7,0)</f>
        <v>0</v>
      </c>
      <c r="G29" s="51" t="e">
        <f t="shared" si="6"/>
        <v>#REF!</v>
      </c>
      <c r="H29" s="51"/>
      <c r="I29" s="51" t="e">
        <f t="shared" si="0"/>
        <v>#REF!</v>
      </c>
      <c r="J29" s="51" t="e">
        <f t="shared" si="1"/>
        <v>#REF!</v>
      </c>
      <c r="K29" s="51" t="e">
        <f t="shared" si="2"/>
        <v>#REF!</v>
      </c>
      <c r="L29" s="51" t="e">
        <f t="shared" si="3"/>
        <v>#REF!</v>
      </c>
      <c r="M29" s="51" t="e">
        <f t="shared" si="4"/>
        <v>#REF!</v>
      </c>
      <c r="N29" s="52" t="e">
        <f t="shared" si="5"/>
        <v>#REF!</v>
      </c>
    </row>
    <row r="30" spans="1:14" hidden="1" x14ac:dyDescent="0.3">
      <c r="C30" s="36"/>
      <c r="D30" s="2"/>
      <c r="E30" s="58">
        <v>13</v>
      </c>
      <c r="F30" s="49">
        <f>IF(Supuestos!$D$8-'Tabla Comparativa 10 años'!$E29&gt;0,+Supuestos!$D$7,0)</f>
        <v>0</v>
      </c>
      <c r="G30" s="49" t="e">
        <f t="shared" si="6"/>
        <v>#REF!</v>
      </c>
      <c r="H30" s="49"/>
      <c r="I30" s="49" t="e">
        <f t="shared" si="0"/>
        <v>#REF!</v>
      </c>
      <c r="J30" s="49" t="e">
        <f t="shared" si="1"/>
        <v>#REF!</v>
      </c>
      <c r="K30" s="49" t="e">
        <f t="shared" si="2"/>
        <v>#REF!</v>
      </c>
      <c r="L30" s="49" t="e">
        <f t="shared" si="3"/>
        <v>#REF!</v>
      </c>
      <c r="M30" s="49" t="e">
        <f t="shared" si="4"/>
        <v>#REF!</v>
      </c>
      <c r="N30" s="50" t="e">
        <f t="shared" si="5"/>
        <v>#REF!</v>
      </c>
    </row>
    <row r="31" spans="1:14" hidden="1" x14ac:dyDescent="0.3">
      <c r="C31" s="36"/>
      <c r="D31" s="2"/>
      <c r="E31" s="59">
        <v>14</v>
      </c>
      <c r="F31" s="51">
        <f>IF(Supuestos!$D$8-'Tabla Comparativa 10 años'!$E30&gt;0,+Supuestos!$D$7,0)</f>
        <v>0</v>
      </c>
      <c r="G31" s="51" t="e">
        <f t="shared" si="6"/>
        <v>#REF!</v>
      </c>
      <c r="H31" s="51"/>
      <c r="I31" s="51" t="e">
        <f t="shared" si="0"/>
        <v>#REF!</v>
      </c>
      <c r="J31" s="51" t="e">
        <f t="shared" si="1"/>
        <v>#REF!</v>
      </c>
      <c r="K31" s="51" t="e">
        <f t="shared" si="2"/>
        <v>#REF!</v>
      </c>
      <c r="L31" s="51" t="e">
        <f t="shared" si="3"/>
        <v>#REF!</v>
      </c>
      <c r="M31" s="51" t="e">
        <f t="shared" si="4"/>
        <v>#REF!</v>
      </c>
      <c r="N31" s="52" t="e">
        <f t="shared" si="5"/>
        <v>#REF!</v>
      </c>
    </row>
    <row r="32" spans="1:14" hidden="1" x14ac:dyDescent="0.3">
      <c r="C32" s="36"/>
      <c r="D32" s="2"/>
      <c r="E32" s="58">
        <v>15</v>
      </c>
      <c r="F32" s="49">
        <f>IF(Supuestos!$D$8-'Tabla Comparativa 10 años'!$E31&gt;0,+Supuestos!$D$7,0)</f>
        <v>0</v>
      </c>
      <c r="G32" s="49" t="e">
        <f t="shared" si="6"/>
        <v>#REF!</v>
      </c>
      <c r="H32" s="49"/>
      <c r="I32" s="49" t="e">
        <f t="shared" si="0"/>
        <v>#REF!</v>
      </c>
      <c r="J32" s="49" t="e">
        <f t="shared" si="1"/>
        <v>#REF!</v>
      </c>
      <c r="K32" s="49" t="e">
        <f t="shared" si="2"/>
        <v>#REF!</v>
      </c>
      <c r="L32" s="49" t="e">
        <f t="shared" si="3"/>
        <v>#REF!</v>
      </c>
      <c r="M32" s="49" t="e">
        <f t="shared" si="4"/>
        <v>#REF!</v>
      </c>
      <c r="N32" s="50" t="e">
        <f t="shared" si="5"/>
        <v>#REF!</v>
      </c>
    </row>
    <row r="33" spans="3:18" hidden="1" x14ac:dyDescent="0.3">
      <c r="C33" s="36"/>
      <c r="D33" s="2"/>
      <c r="E33" s="59">
        <v>16</v>
      </c>
      <c r="F33" s="51">
        <f>IF(Supuestos!$D$8-'Tabla Comparativa 10 años'!$E32&gt;0,+Supuestos!$D$7,0)</f>
        <v>0</v>
      </c>
      <c r="G33" s="51" t="e">
        <f t="shared" si="6"/>
        <v>#REF!</v>
      </c>
      <c r="H33" s="51"/>
      <c r="I33" s="51" t="e">
        <f t="shared" si="0"/>
        <v>#REF!</v>
      </c>
      <c r="J33" s="51" t="e">
        <f t="shared" si="1"/>
        <v>#REF!</v>
      </c>
      <c r="K33" s="51" t="e">
        <f t="shared" si="2"/>
        <v>#REF!</v>
      </c>
      <c r="L33" s="51" t="e">
        <f t="shared" si="3"/>
        <v>#REF!</v>
      </c>
      <c r="M33" s="51" t="e">
        <f t="shared" si="4"/>
        <v>#REF!</v>
      </c>
      <c r="N33" s="52" t="e">
        <f t="shared" si="5"/>
        <v>#REF!</v>
      </c>
    </row>
    <row r="34" spans="3:18" hidden="1" x14ac:dyDescent="0.3">
      <c r="C34" s="36"/>
      <c r="D34" s="2"/>
      <c r="E34" s="58">
        <v>17</v>
      </c>
      <c r="F34" s="49">
        <f>IF(Supuestos!$D$8-'Tabla Comparativa 10 años'!$E33&gt;0,+Supuestos!$D$7,0)</f>
        <v>0</v>
      </c>
      <c r="G34" s="49" t="e">
        <f t="shared" si="6"/>
        <v>#REF!</v>
      </c>
      <c r="H34" s="49"/>
      <c r="I34" s="49" t="e">
        <f t="shared" si="0"/>
        <v>#REF!</v>
      </c>
      <c r="J34" s="49" t="e">
        <f t="shared" si="1"/>
        <v>#REF!</v>
      </c>
      <c r="K34" s="49" t="e">
        <f t="shared" si="2"/>
        <v>#REF!</v>
      </c>
      <c r="L34" s="49" t="e">
        <f t="shared" si="3"/>
        <v>#REF!</v>
      </c>
      <c r="M34" s="49" t="e">
        <f t="shared" si="4"/>
        <v>#REF!</v>
      </c>
      <c r="N34" s="50" t="e">
        <f t="shared" si="5"/>
        <v>#REF!</v>
      </c>
    </row>
    <row r="35" spans="3:18" hidden="1" x14ac:dyDescent="0.3">
      <c r="C35" s="36"/>
      <c r="D35" s="2"/>
      <c r="E35" s="59">
        <v>18</v>
      </c>
      <c r="F35" s="51">
        <f>IF(Supuestos!$D$8-'Tabla Comparativa 10 años'!$E34&gt;0,+Supuestos!$D$7,0)</f>
        <v>0</v>
      </c>
      <c r="G35" s="51" t="e">
        <f t="shared" si="6"/>
        <v>#REF!</v>
      </c>
      <c r="H35" s="51"/>
      <c r="I35" s="51" t="e">
        <f t="shared" si="0"/>
        <v>#REF!</v>
      </c>
      <c r="J35" s="51" t="e">
        <f t="shared" si="1"/>
        <v>#REF!</v>
      </c>
      <c r="K35" s="51" t="e">
        <f t="shared" si="2"/>
        <v>#REF!</v>
      </c>
      <c r="L35" s="51" t="e">
        <f t="shared" si="3"/>
        <v>#REF!</v>
      </c>
      <c r="M35" s="51" t="e">
        <f t="shared" si="4"/>
        <v>#REF!</v>
      </c>
      <c r="N35" s="52" t="e">
        <f t="shared" si="5"/>
        <v>#REF!</v>
      </c>
    </row>
    <row r="36" spans="3:18" hidden="1" x14ac:dyDescent="0.3">
      <c r="C36" s="36"/>
      <c r="D36" s="2"/>
      <c r="E36" s="58">
        <v>19</v>
      </c>
      <c r="F36" s="49">
        <f>IF(Supuestos!$D$8-'Tabla Comparativa 10 años'!$E35&gt;0,+Supuestos!$D$7,0)</f>
        <v>0</v>
      </c>
      <c r="G36" s="49" t="e">
        <f t="shared" si="6"/>
        <v>#REF!</v>
      </c>
      <c r="H36" s="49"/>
      <c r="I36" s="49" t="e">
        <f t="shared" si="0"/>
        <v>#REF!</v>
      </c>
      <c r="J36" s="49" t="e">
        <f t="shared" si="1"/>
        <v>#REF!</v>
      </c>
      <c r="K36" s="49" t="e">
        <f t="shared" si="2"/>
        <v>#REF!</v>
      </c>
      <c r="L36" s="49" t="e">
        <f t="shared" si="3"/>
        <v>#REF!</v>
      </c>
      <c r="M36" s="49" t="e">
        <f t="shared" si="4"/>
        <v>#REF!</v>
      </c>
      <c r="N36" s="50" t="e">
        <f t="shared" si="5"/>
        <v>#REF!</v>
      </c>
    </row>
    <row r="37" spans="3:18" hidden="1" x14ac:dyDescent="0.3">
      <c r="C37" s="36"/>
      <c r="D37" s="2"/>
      <c r="E37" s="59">
        <v>20</v>
      </c>
      <c r="F37" s="51">
        <f>IF(Supuestos!$D$8-'Tabla Comparativa 10 años'!$E36&gt;0,+Supuestos!$D$7,0)</f>
        <v>0</v>
      </c>
      <c r="G37" s="51" t="e">
        <f t="shared" si="6"/>
        <v>#REF!</v>
      </c>
      <c r="H37" s="51"/>
      <c r="I37" s="51" t="e">
        <f t="shared" si="0"/>
        <v>#REF!</v>
      </c>
      <c r="J37" s="51" t="e">
        <f t="shared" si="1"/>
        <v>#REF!</v>
      </c>
      <c r="K37" s="51" t="e">
        <f t="shared" si="2"/>
        <v>#REF!</v>
      </c>
      <c r="L37" s="51" t="e">
        <f t="shared" si="3"/>
        <v>#REF!</v>
      </c>
      <c r="M37" s="51" t="e">
        <f t="shared" si="4"/>
        <v>#REF!</v>
      </c>
      <c r="N37" s="52" t="e">
        <f t="shared" si="5"/>
        <v>#REF!</v>
      </c>
    </row>
    <row r="38" spans="3:18" hidden="1" x14ac:dyDescent="0.3">
      <c r="C38" s="36"/>
      <c r="D38" s="2"/>
      <c r="E38" s="58">
        <v>21</v>
      </c>
      <c r="F38" s="49">
        <f>IF(Supuestos!$D$8-'Tabla Comparativa 10 años'!$E37&gt;0,+Supuestos!$D$7,0)</f>
        <v>0</v>
      </c>
      <c r="G38" s="49" t="e">
        <f t="shared" si="6"/>
        <v>#REF!</v>
      </c>
      <c r="H38" s="49"/>
      <c r="I38" s="49" t="e">
        <f t="shared" si="0"/>
        <v>#REF!</v>
      </c>
      <c r="J38" s="49" t="e">
        <f t="shared" si="1"/>
        <v>#REF!</v>
      </c>
      <c r="K38" s="49" t="e">
        <f t="shared" si="2"/>
        <v>#REF!</v>
      </c>
      <c r="L38" s="49" t="e">
        <f t="shared" si="3"/>
        <v>#REF!</v>
      </c>
      <c r="M38" s="49" t="e">
        <f t="shared" si="4"/>
        <v>#REF!</v>
      </c>
      <c r="N38" s="50" t="e">
        <f t="shared" si="5"/>
        <v>#REF!</v>
      </c>
    </row>
    <row r="39" spans="3:18" hidden="1" x14ac:dyDescent="0.3">
      <c r="C39" s="36"/>
      <c r="D39" s="2"/>
      <c r="E39" s="59">
        <v>22</v>
      </c>
      <c r="F39" s="51">
        <f>IF(Supuestos!$D$8-'Tabla Comparativa 10 años'!$E38&gt;0,+Supuestos!$D$7,0)</f>
        <v>0</v>
      </c>
      <c r="G39" s="51" t="e">
        <f t="shared" si="6"/>
        <v>#REF!</v>
      </c>
      <c r="H39" s="51"/>
      <c r="I39" s="51" t="e">
        <f t="shared" si="0"/>
        <v>#REF!</v>
      </c>
      <c r="J39" s="51" t="e">
        <f t="shared" si="1"/>
        <v>#REF!</v>
      </c>
      <c r="K39" s="51" t="e">
        <f t="shared" si="2"/>
        <v>#REF!</v>
      </c>
      <c r="L39" s="51" t="e">
        <f t="shared" si="3"/>
        <v>#REF!</v>
      </c>
      <c r="M39" s="51" t="e">
        <f t="shared" si="4"/>
        <v>#REF!</v>
      </c>
      <c r="N39" s="52" t="e">
        <f t="shared" si="5"/>
        <v>#REF!</v>
      </c>
    </row>
    <row r="40" spans="3:18" hidden="1" x14ac:dyDescent="0.3">
      <c r="C40" s="36"/>
      <c r="D40" s="2"/>
      <c r="E40" s="58">
        <v>23</v>
      </c>
      <c r="F40" s="49">
        <f>IF(Supuestos!$D$8-'Tabla Comparativa 10 años'!$E39&gt;0,+Supuestos!$D$7,0)</f>
        <v>0</v>
      </c>
      <c r="G40" s="49" t="e">
        <f t="shared" si="6"/>
        <v>#REF!</v>
      </c>
      <c r="H40" s="49"/>
      <c r="I40" s="49" t="e">
        <f t="shared" si="0"/>
        <v>#REF!</v>
      </c>
      <c r="J40" s="49" t="e">
        <f t="shared" si="1"/>
        <v>#REF!</v>
      </c>
      <c r="K40" s="49" t="e">
        <f t="shared" si="2"/>
        <v>#REF!</v>
      </c>
      <c r="L40" s="49" t="e">
        <f t="shared" si="3"/>
        <v>#REF!</v>
      </c>
      <c r="M40" s="49" t="e">
        <f t="shared" si="4"/>
        <v>#REF!</v>
      </c>
      <c r="N40" s="50" t="e">
        <f t="shared" si="5"/>
        <v>#REF!</v>
      </c>
    </row>
    <row r="41" spans="3:18" hidden="1" x14ac:dyDescent="0.3">
      <c r="C41" s="36"/>
      <c r="D41" s="2"/>
      <c r="E41" s="59">
        <v>24</v>
      </c>
      <c r="F41" s="51">
        <f>IF(Supuestos!$D$8-'Tabla Comparativa 10 años'!$E40&gt;0,+Supuestos!$D$7,0)</f>
        <v>0</v>
      </c>
      <c r="G41" s="51" t="e">
        <f t="shared" si="6"/>
        <v>#REF!</v>
      </c>
      <c r="H41" s="51"/>
      <c r="I41" s="51" t="e">
        <f t="shared" si="0"/>
        <v>#REF!</v>
      </c>
      <c r="J41" s="51" t="e">
        <f t="shared" si="1"/>
        <v>#REF!</v>
      </c>
      <c r="K41" s="51" t="e">
        <f t="shared" si="2"/>
        <v>#REF!</v>
      </c>
      <c r="L41" s="51" t="e">
        <f t="shared" si="3"/>
        <v>#REF!</v>
      </c>
      <c r="M41" s="51" t="e">
        <f t="shared" si="4"/>
        <v>#REF!</v>
      </c>
      <c r="N41" s="52" t="e">
        <f t="shared" si="5"/>
        <v>#REF!</v>
      </c>
    </row>
    <row r="42" spans="3:18" ht="15" hidden="1" thickBot="1" x14ac:dyDescent="0.35">
      <c r="C42" s="36"/>
      <c r="D42" s="2"/>
      <c r="E42" s="60">
        <v>25</v>
      </c>
      <c r="F42" s="53">
        <f>IF(Supuestos!$D$8-'Tabla Comparativa 10 años'!$E41&gt;0,+Supuestos!$D$7,0)</f>
        <v>0</v>
      </c>
      <c r="G42" s="53" t="e">
        <f t="shared" si="6"/>
        <v>#REF!</v>
      </c>
      <c r="H42" s="53"/>
      <c r="I42" s="53" t="e">
        <f t="shared" si="0"/>
        <v>#REF!</v>
      </c>
      <c r="J42" s="53" t="e">
        <f t="shared" si="1"/>
        <v>#REF!</v>
      </c>
      <c r="K42" s="53" t="e">
        <f t="shared" si="2"/>
        <v>#REF!</v>
      </c>
      <c r="L42" s="53" t="e">
        <f t="shared" si="3"/>
        <v>#REF!</v>
      </c>
      <c r="M42" s="53" t="e">
        <f t="shared" si="4"/>
        <v>#REF!</v>
      </c>
      <c r="N42" s="54" t="e">
        <f t="shared" si="5"/>
        <v>#REF!</v>
      </c>
    </row>
    <row r="43" spans="3:18" ht="15" thickTop="1" x14ac:dyDescent="0.3">
      <c r="C43" s="36"/>
      <c r="D43" s="2"/>
      <c r="E43" s="77"/>
      <c r="F43" s="125"/>
      <c r="G43" s="125"/>
      <c r="H43" s="125"/>
      <c r="I43" s="125"/>
      <c r="J43" s="125"/>
      <c r="K43" s="125"/>
      <c r="L43" s="125"/>
      <c r="M43" s="125"/>
      <c r="N43" s="125"/>
    </row>
    <row r="44" spans="3:18" ht="15" thickBot="1" x14ac:dyDescent="0.35">
      <c r="C44" s="36"/>
      <c r="D44" s="2"/>
      <c r="E44" s="38"/>
      <c r="F44" s="38"/>
      <c r="G44" s="39"/>
      <c r="H44" s="39"/>
      <c r="I44" s="39"/>
      <c r="J44" s="39"/>
      <c r="K44" s="39"/>
      <c r="L44" s="39"/>
      <c r="M44" s="39"/>
      <c r="N44" s="39"/>
    </row>
    <row r="45" spans="3:18" ht="28.5" customHeight="1" thickTop="1" thickBot="1" x14ac:dyDescent="0.35">
      <c r="D45" s="2"/>
      <c r="E45" s="308" t="s">
        <v>39</v>
      </c>
      <c r="F45" s="309"/>
      <c r="G45" s="309"/>
      <c r="H45" s="309"/>
      <c r="I45" s="309"/>
      <c r="J45" s="309"/>
      <c r="K45" s="309"/>
      <c r="L45" s="309"/>
      <c r="M45" s="309"/>
      <c r="N45" s="310"/>
      <c r="O45" s="318" t="s">
        <v>53</v>
      </c>
      <c r="P45" s="318" t="s">
        <v>51</v>
      </c>
      <c r="Q45" s="318" t="s">
        <v>50</v>
      </c>
      <c r="R45" s="318" t="s">
        <v>55</v>
      </c>
    </row>
    <row r="46" spans="3:18" ht="15" thickTop="1" x14ac:dyDescent="0.3">
      <c r="D46" s="2"/>
      <c r="E46" s="319" t="s">
        <v>62</v>
      </c>
      <c r="F46" s="321" t="s">
        <v>46</v>
      </c>
      <c r="G46" s="321" t="s">
        <v>28</v>
      </c>
      <c r="H46" s="40"/>
      <c r="I46" s="323" t="s">
        <v>29</v>
      </c>
      <c r="J46" s="324"/>
      <c r="K46" s="323" t="s">
        <v>40</v>
      </c>
      <c r="L46" s="327"/>
      <c r="M46" s="324"/>
      <c r="N46" s="319" t="s">
        <v>30</v>
      </c>
      <c r="O46" s="318"/>
      <c r="P46" s="318"/>
      <c r="Q46" s="318"/>
      <c r="R46" s="318"/>
    </row>
    <row r="47" spans="3:18" x14ac:dyDescent="0.3">
      <c r="D47" s="2"/>
      <c r="E47" s="320"/>
      <c r="F47" s="322"/>
      <c r="G47" s="322"/>
      <c r="H47" s="41"/>
      <c r="I47" s="325"/>
      <c r="J47" s="326"/>
      <c r="K47" s="328" t="s">
        <v>31</v>
      </c>
      <c r="L47" s="329"/>
      <c r="M47" s="330" t="s">
        <v>41</v>
      </c>
      <c r="N47" s="320"/>
      <c r="O47" s="318"/>
      <c r="P47" s="318"/>
      <c r="Q47" s="318"/>
      <c r="R47" s="318"/>
    </row>
    <row r="48" spans="3:18" ht="26.25" customHeight="1" thickBot="1" x14ac:dyDescent="0.35">
      <c r="D48" s="2"/>
      <c r="E48" s="320"/>
      <c r="F48" s="322"/>
      <c r="G48" s="322"/>
      <c r="H48" s="41"/>
      <c r="I48" s="61" t="s">
        <v>34</v>
      </c>
      <c r="J48" s="62" t="s">
        <v>35</v>
      </c>
      <c r="K48" s="61" t="s">
        <v>36</v>
      </c>
      <c r="L48" s="63" t="s">
        <v>37</v>
      </c>
      <c r="M48" s="331"/>
      <c r="N48" s="320"/>
      <c r="O48" s="318"/>
      <c r="P48" s="318"/>
      <c r="Q48" s="318"/>
      <c r="R48" s="318"/>
    </row>
    <row r="49" spans="4:19 16384:16384" ht="15.75" customHeight="1" thickTop="1" x14ac:dyDescent="0.3">
      <c r="D49" s="2"/>
      <c r="E49" s="29">
        <v>1</v>
      </c>
      <c r="F49" s="42" t="s">
        <v>49</v>
      </c>
      <c r="G49" s="47">
        <f>G18</f>
        <v>50000000</v>
      </c>
      <c r="H49" s="47"/>
      <c r="I49" s="47">
        <f t="shared" ref="I49:I73" si="7">+(G49*$I$3*($G$3+$L$3-$J$3))+(G49*$I$4*($G$4-$J$4))</f>
        <v>3125000</v>
      </c>
      <c r="J49" s="47">
        <f>+((G49*$I$5*(($G$5+$L$3-$J$5))))+((G49*$I$6*(($G$6-$J$6))))</f>
        <v>0</v>
      </c>
      <c r="K49" s="47">
        <f t="shared" ref="K49:K73" si="8">+IF($M$3&gt;($G$3+$L$3),0,(($G$3+$L$3-$M$3-$J$3)*$I$3*G49*$B$20))+(IF($M$3&gt;($G$4),0,(($G$4-$M$3-$J$4)*$I$4*G49*$B$20)))</f>
        <v>393750.00000000006</v>
      </c>
      <c r="L49" s="47">
        <f t="shared" ref="L49:L73" si="9">+IF($M$3&gt;($G$5+$L$3),0,(($G$5+$L$3-$M$3-$J$5)*$I$5*G49*$B$21))+(IF($M$3&gt;($G$6),0,(($G$6-$M$3-$J$6)*$I$6*G49*$B$21)))</f>
        <v>0</v>
      </c>
      <c r="M49" s="47">
        <f t="shared" ref="M49:M73" si="10">+K49+L49</f>
        <v>393750.00000000006</v>
      </c>
      <c r="N49" s="48">
        <f t="shared" ref="N49:N73" si="11">+G49+I49+J49</f>
        <v>53125000</v>
      </c>
      <c r="O49" s="43">
        <f t="shared" ref="O49:O73" si="12">+(N49/N18)-1</f>
        <v>9.0218423551757798E-3</v>
      </c>
      <c r="P49" s="64">
        <f>+(N49-N18)-M49</f>
        <v>81249.999999999942</v>
      </c>
      <c r="Q49" s="64">
        <f>+M49</f>
        <v>393750.00000000006</v>
      </c>
      <c r="R49" s="65">
        <f t="shared" ref="R49:R73" si="13">+N49-N18</f>
        <v>475000</v>
      </c>
      <c r="S49" s="44">
        <f>+P49+Q49</f>
        <v>475000</v>
      </c>
      <c r="XFD49" s="44">
        <f>+(N49-N18)-M49</f>
        <v>81249.999999999942</v>
      </c>
    </row>
    <row r="50" spans="4:19 16384:16384" ht="15.6" customHeight="1" x14ac:dyDescent="0.3">
      <c r="D50" s="2"/>
      <c r="E50" s="31">
        <v>2</v>
      </c>
      <c r="F50" s="49">
        <f>IF(Supuestos!$D$8-'Tabla Comparativa 10 años'!$E49&gt;0,+Supuestos!$D$7,0)</f>
        <v>0</v>
      </c>
      <c r="G50" s="49">
        <f>+N49+H50+F50</f>
        <v>53125000</v>
      </c>
      <c r="H50" s="49"/>
      <c r="I50" s="49">
        <f t="shared" si="7"/>
        <v>3320312.5</v>
      </c>
      <c r="J50" s="49">
        <f t="shared" ref="J50:J73" si="14">+((G50*$I$5*(($G$5+$L$3-$J$5))))+((G50*$I$6*(($G$6-$J$6))))</f>
        <v>0</v>
      </c>
      <c r="K50" s="49">
        <f t="shared" si="8"/>
        <v>418359.37500000006</v>
      </c>
      <c r="L50" s="49">
        <f t="shared" si="9"/>
        <v>0</v>
      </c>
      <c r="M50" s="49">
        <f t="shared" si="10"/>
        <v>418359.37500000006</v>
      </c>
      <c r="N50" s="50">
        <f t="shared" si="11"/>
        <v>56445312.5</v>
      </c>
      <c r="O50" s="43">
        <f t="shared" si="12"/>
        <v>1.8125078349833013E-2</v>
      </c>
      <c r="P50" s="64">
        <f>+(N50-N19)-(SUM($M$49:M50))</f>
        <v>192753.12499999988</v>
      </c>
      <c r="Q50" s="64">
        <f>+SUM($M$49:M50)</f>
        <v>812109.37500000012</v>
      </c>
      <c r="R50" s="65">
        <f t="shared" si="13"/>
        <v>1004862.5</v>
      </c>
      <c r="S50" s="44">
        <f t="shared" ref="S50:S73" si="15">+P50+Q50</f>
        <v>1004862.5</v>
      </c>
      <c r="XFD50" s="44">
        <f>+(N50-N19)-(SUM($M$49:M50))</f>
        <v>192753.12499999988</v>
      </c>
    </row>
    <row r="51" spans="4:19 16384:16384" x14ac:dyDescent="0.3">
      <c r="D51" s="2"/>
      <c r="E51" s="34">
        <v>3</v>
      </c>
      <c r="F51" s="51">
        <f>IF(Supuestos!$D$8-'Tabla Comparativa 10 años'!$E50&gt;0,+Supuestos!$D$7,0)</f>
        <v>0</v>
      </c>
      <c r="G51" s="51">
        <f t="shared" ref="G51:G73" si="16">+N50+H51+F51</f>
        <v>56445312.5</v>
      </c>
      <c r="H51" s="51"/>
      <c r="I51" s="51">
        <f t="shared" si="7"/>
        <v>3527832.03125</v>
      </c>
      <c r="J51" s="51">
        <f t="shared" si="14"/>
        <v>0</v>
      </c>
      <c r="K51" s="51">
        <f t="shared" si="8"/>
        <v>444506.83593750006</v>
      </c>
      <c r="L51" s="51">
        <f t="shared" si="9"/>
        <v>0</v>
      </c>
      <c r="M51" s="51">
        <f t="shared" si="10"/>
        <v>444506.83593750006</v>
      </c>
      <c r="N51" s="52">
        <f t="shared" si="11"/>
        <v>59973144.53125</v>
      </c>
      <c r="O51" s="43">
        <f t="shared" si="12"/>
        <v>2.7310442304556037E-2</v>
      </c>
      <c r="P51" s="64">
        <f>+(N51-N20)-(SUM($M$49:M51))</f>
        <v>337734.47031249828</v>
      </c>
      <c r="Q51" s="64">
        <f>+SUM($M$49:M51)</f>
        <v>1256616.2109375002</v>
      </c>
      <c r="R51" s="65">
        <f t="shared" si="13"/>
        <v>1594350.6812499985</v>
      </c>
      <c r="S51" s="44">
        <f t="shared" si="15"/>
        <v>1594350.6812499985</v>
      </c>
      <c r="XFD51" s="44">
        <f>+(N51-N20)-(SUM($M$49:M51))</f>
        <v>337734.47031249828</v>
      </c>
    </row>
    <row r="52" spans="4:19 16384:16384" x14ac:dyDescent="0.3">
      <c r="D52" s="2"/>
      <c r="E52" s="31">
        <v>4</v>
      </c>
      <c r="F52" s="49">
        <f>IF(Supuestos!$D$8-'Tabla Comparativa 10 años'!$E51&gt;0,+Supuestos!$D$7,0)</f>
        <v>0</v>
      </c>
      <c r="G52" s="49">
        <f t="shared" si="16"/>
        <v>59973144.53125</v>
      </c>
      <c r="H52" s="49"/>
      <c r="I52" s="49">
        <f t="shared" si="7"/>
        <v>3748321.533203125</v>
      </c>
      <c r="J52" s="49">
        <f t="shared" si="14"/>
        <v>0</v>
      </c>
      <c r="K52" s="49">
        <f t="shared" si="8"/>
        <v>472288.51318359387</v>
      </c>
      <c r="L52" s="49">
        <f t="shared" si="9"/>
        <v>0</v>
      </c>
      <c r="M52" s="49">
        <f t="shared" si="10"/>
        <v>472288.51318359387</v>
      </c>
      <c r="N52" s="50">
        <f t="shared" si="11"/>
        <v>63721466.064453125</v>
      </c>
      <c r="O52" s="43">
        <f t="shared" si="12"/>
        <v>3.6578675164853802E-2</v>
      </c>
      <c r="P52" s="64">
        <f>+(N52-N21)-(SUM($M$49:M52))</f>
        <v>519691.41628203494</v>
      </c>
      <c r="Q52" s="64">
        <f>+SUM($M$49:M52)</f>
        <v>1728904.7241210942</v>
      </c>
      <c r="R52" s="65">
        <f t="shared" si="13"/>
        <v>2248596.1404031292</v>
      </c>
      <c r="S52" s="44">
        <f t="shared" si="15"/>
        <v>2248596.1404031292</v>
      </c>
      <c r="XFD52" s="44">
        <f>+(N52-N21)-(SUM($M$49:M52))</f>
        <v>519691.41628203494</v>
      </c>
    </row>
    <row r="53" spans="4:19 16384:16384" x14ac:dyDescent="0.3">
      <c r="D53" s="2"/>
      <c r="E53" s="34">
        <v>5</v>
      </c>
      <c r="F53" s="51">
        <f>IF(Supuestos!$D$8-'Tabla Comparativa 10 años'!$E52&gt;0,+Supuestos!$D$7,0)</f>
        <v>0</v>
      </c>
      <c r="G53" s="51">
        <f t="shared" si="16"/>
        <v>63721466.064453125</v>
      </c>
      <c r="H53" s="51"/>
      <c r="I53" s="51">
        <f t="shared" si="7"/>
        <v>3982591.6290283203</v>
      </c>
      <c r="J53" s="51">
        <f t="shared" si="14"/>
        <v>0</v>
      </c>
      <c r="K53" s="51">
        <f t="shared" si="8"/>
        <v>501806.54525756848</v>
      </c>
      <c r="L53" s="51">
        <f t="shared" si="9"/>
        <v>0</v>
      </c>
      <c r="M53" s="51">
        <f t="shared" si="10"/>
        <v>501806.54525756848</v>
      </c>
      <c r="N53" s="52">
        <f t="shared" si="11"/>
        <v>67704057.693481445</v>
      </c>
      <c r="O53" s="43">
        <f t="shared" si="12"/>
        <v>4.5930524560928054E-2</v>
      </c>
      <c r="P53" s="64">
        <f>+(N53-N22)-(SUM($M$49:M53))</f>
        <v>742414.39407814248</v>
      </c>
      <c r="Q53" s="64">
        <f>+SUM($M$49:M53)</f>
        <v>2230711.2693786626</v>
      </c>
      <c r="R53" s="65">
        <f t="shared" si="13"/>
        <v>2973125.6634568051</v>
      </c>
      <c r="S53" s="44">
        <f t="shared" si="15"/>
        <v>2973125.6634568051</v>
      </c>
      <c r="XFD53" s="44">
        <f>+(N53-N22)-(SUM($M$49:M53))</f>
        <v>742414.39407814248</v>
      </c>
    </row>
    <row r="54" spans="4:19 16384:16384" x14ac:dyDescent="0.3">
      <c r="D54" s="2"/>
      <c r="E54" s="31">
        <v>6</v>
      </c>
      <c r="F54" s="49">
        <f>IF(Supuestos!$D$8-'Tabla Comparativa 10 años'!$E53&gt;0,+Supuestos!$D$7,0)</f>
        <v>0</v>
      </c>
      <c r="G54" s="49">
        <f t="shared" si="16"/>
        <v>67704057.693481445</v>
      </c>
      <c r="H54" s="49"/>
      <c r="I54" s="49">
        <f t="shared" si="7"/>
        <v>4231503.6058425903</v>
      </c>
      <c r="J54" s="49">
        <f t="shared" si="14"/>
        <v>0</v>
      </c>
      <c r="K54" s="49">
        <f t="shared" si="8"/>
        <v>533169.4543361665</v>
      </c>
      <c r="L54" s="49">
        <f t="shared" si="9"/>
        <v>0</v>
      </c>
      <c r="M54" s="49">
        <f t="shared" si="10"/>
        <v>533169.4543361665</v>
      </c>
      <c r="N54" s="50">
        <f t="shared" si="11"/>
        <v>71935561.299324036</v>
      </c>
      <c r="O54" s="43">
        <f t="shared" si="12"/>
        <v>5.5366744867982653E-2</v>
      </c>
      <c r="P54" s="64">
        <f>+(N54-N23)-(SUM($M$49:M54))</f>
        <v>1010009.1479932512</v>
      </c>
      <c r="Q54" s="64">
        <f>+SUM($M$49:M54)</f>
        <v>2763880.723714829</v>
      </c>
      <c r="R54" s="65">
        <f t="shared" si="13"/>
        <v>3773889.8717080802</v>
      </c>
      <c r="S54" s="44">
        <f t="shared" si="15"/>
        <v>3773889.8717080802</v>
      </c>
      <c r="XFD54" s="44">
        <f>+(N54-N23)-(SUM($M$49:M54))</f>
        <v>1010009.1479932512</v>
      </c>
    </row>
    <row r="55" spans="4:19 16384:16384" x14ac:dyDescent="0.3">
      <c r="D55" s="2"/>
      <c r="E55" s="34">
        <v>7</v>
      </c>
      <c r="F55" s="51">
        <f>IF(Supuestos!$D$8-'Tabla Comparativa 10 años'!$E54&gt;0,+Supuestos!$D$7,0)</f>
        <v>0</v>
      </c>
      <c r="G55" s="51">
        <f t="shared" si="16"/>
        <v>71935561.299324036</v>
      </c>
      <c r="H55" s="51"/>
      <c r="I55" s="51">
        <f t="shared" si="7"/>
        <v>4495972.5812077522</v>
      </c>
      <c r="J55" s="51">
        <f t="shared" si="14"/>
        <v>0</v>
      </c>
      <c r="K55" s="51">
        <f t="shared" si="8"/>
        <v>566492.5452321769</v>
      </c>
      <c r="L55" s="51">
        <f t="shared" si="9"/>
        <v>0</v>
      </c>
      <c r="M55" s="51">
        <f t="shared" si="10"/>
        <v>566492.5452321769</v>
      </c>
      <c r="N55" s="52">
        <f t="shared" si="11"/>
        <v>76431533.880531788</v>
      </c>
      <c r="O55" s="43">
        <f t="shared" si="12"/>
        <v>6.4888097267076672E-2</v>
      </c>
      <c r="P55" s="64">
        <f>+(N55-N24)-(SUM($M$49:M55))</f>
        <v>1326920.5983051802</v>
      </c>
      <c r="Q55" s="64">
        <f>+SUM($M$49:M55)</f>
        <v>3330373.2689470057</v>
      </c>
      <c r="R55" s="65">
        <f t="shared" si="13"/>
        <v>4657293.8672521859</v>
      </c>
      <c r="S55" s="44">
        <f t="shared" si="15"/>
        <v>4657293.8672521859</v>
      </c>
      <c r="XFD55" s="44">
        <f>+(N55-N24)-(SUM($M$49:M55))</f>
        <v>1326920.5983051802</v>
      </c>
    </row>
    <row r="56" spans="4:19 16384:16384" x14ac:dyDescent="0.3">
      <c r="D56" s="2"/>
      <c r="E56" s="31">
        <v>8</v>
      </c>
      <c r="F56" s="49">
        <f>IF(Supuestos!$D$8-'Tabla Comparativa 10 años'!$E55&gt;0,+Supuestos!$D$7,0)</f>
        <v>0</v>
      </c>
      <c r="G56" s="49">
        <f t="shared" si="16"/>
        <v>76431533.880531788</v>
      </c>
      <c r="H56" s="49"/>
      <c r="I56" s="49">
        <f t="shared" si="7"/>
        <v>4776970.8675332367</v>
      </c>
      <c r="J56" s="49">
        <f t="shared" si="14"/>
        <v>0</v>
      </c>
      <c r="K56" s="49">
        <f t="shared" si="8"/>
        <v>601898.32930918795</v>
      </c>
      <c r="L56" s="49">
        <f t="shared" si="9"/>
        <v>0</v>
      </c>
      <c r="M56" s="49">
        <f t="shared" si="10"/>
        <v>601898.32930918795</v>
      </c>
      <c r="N56" s="50">
        <f t="shared" si="11"/>
        <v>81208504.748065025</v>
      </c>
      <c r="O56" s="43">
        <f t="shared" si="12"/>
        <v>7.4495349806523281E-2</v>
      </c>
      <c r="P56" s="64">
        <f>+(N56-N25)-(SUM($M$49:M56))</f>
        <v>1697958.4158254187</v>
      </c>
      <c r="Q56" s="64">
        <f>+SUM($M$49:M56)</f>
        <v>3932271.5982561936</v>
      </c>
      <c r="R56" s="65">
        <f t="shared" si="13"/>
        <v>5630230.0140816122</v>
      </c>
      <c r="S56" s="44">
        <f t="shared" si="15"/>
        <v>5630230.0140816122</v>
      </c>
      <c r="XFD56" s="44">
        <f>+(N56-N25)-(SUM($M$49:M56))</f>
        <v>1697958.4158254187</v>
      </c>
    </row>
    <row r="57" spans="4:19 16384:16384" x14ac:dyDescent="0.3">
      <c r="D57" s="2"/>
      <c r="E57" s="34">
        <v>9</v>
      </c>
      <c r="F57" s="51">
        <f>IF(Supuestos!$D$8-'Tabla Comparativa 10 años'!$E56&gt;0,+Supuestos!$D$7,0)</f>
        <v>0</v>
      </c>
      <c r="G57" s="51">
        <f t="shared" si="16"/>
        <v>81208504.748065025</v>
      </c>
      <c r="H57" s="51"/>
      <c r="I57" s="51">
        <f t="shared" si="7"/>
        <v>5075531.546754064</v>
      </c>
      <c r="J57" s="51">
        <f t="shared" si="14"/>
        <v>0</v>
      </c>
      <c r="K57" s="51">
        <f t="shared" si="8"/>
        <v>639516.97489101219</v>
      </c>
      <c r="L57" s="51">
        <f t="shared" si="9"/>
        <v>0</v>
      </c>
      <c r="M57" s="51">
        <f t="shared" si="10"/>
        <v>639516.97489101219</v>
      </c>
      <c r="N57" s="52">
        <f t="shared" si="11"/>
        <v>86284036.294819087</v>
      </c>
      <c r="O57" s="43">
        <f t="shared" si="12"/>
        <v>8.4189277463847079E-2</v>
      </c>
      <c r="P57" s="64">
        <f>+(N57-N26)-(SUM($M$49:M57))</f>
        <v>2128324.4267873485</v>
      </c>
      <c r="Q57" s="64">
        <f>+SUM($M$49:M57)</f>
        <v>4571788.5731472056</v>
      </c>
      <c r="R57" s="65">
        <f t="shared" si="13"/>
        <v>6700112.9999345541</v>
      </c>
      <c r="S57" s="44">
        <f t="shared" si="15"/>
        <v>6700112.9999345541</v>
      </c>
      <c r="XFD57" s="44">
        <f>+(N57-N26)-(SUM($M$49:M57))</f>
        <v>2128324.4267873485</v>
      </c>
    </row>
    <row r="58" spans="4:19 16384:16384" ht="15" thickBot="1" x14ac:dyDescent="0.35">
      <c r="D58" s="2"/>
      <c r="E58" s="136">
        <v>10</v>
      </c>
      <c r="F58" s="137">
        <f>IF(Supuestos!$D$8-'Tabla Comparativa 10 años'!$E57&gt;0,+Supuestos!$D$7,0)</f>
        <v>0</v>
      </c>
      <c r="G58" s="137">
        <f t="shared" si="16"/>
        <v>86284036.294819087</v>
      </c>
      <c r="H58" s="137"/>
      <c r="I58" s="137">
        <f t="shared" si="7"/>
        <v>5392752.2684261929</v>
      </c>
      <c r="J58" s="137">
        <f t="shared" si="14"/>
        <v>0</v>
      </c>
      <c r="K58" s="137">
        <f t="shared" si="8"/>
        <v>679486.78582170047</v>
      </c>
      <c r="L58" s="137">
        <f t="shared" si="9"/>
        <v>0</v>
      </c>
      <c r="M58" s="137">
        <f t="shared" si="10"/>
        <v>679486.78582170047</v>
      </c>
      <c r="N58" s="138">
        <f t="shared" si="11"/>
        <v>91676788.563245282</v>
      </c>
      <c r="O58" s="43">
        <f t="shared" si="12"/>
        <v>9.3970662208297862E-2</v>
      </c>
      <c r="P58" s="64">
        <f>+(N58-N27)-(SUM($M$49:M58))</f>
        <v>2623641.9747629687</v>
      </c>
      <c r="Q58" s="64">
        <f>+SUM($M$49:M58)</f>
        <v>5251275.3589689061</v>
      </c>
      <c r="R58" s="65">
        <f t="shared" si="13"/>
        <v>7874917.3337318748</v>
      </c>
      <c r="S58" s="44">
        <f t="shared" si="15"/>
        <v>7874917.3337318748</v>
      </c>
      <c r="XFD58" s="44">
        <f>+(N58-N27)-(SUM($M$49:M58))</f>
        <v>2623641.9747629687</v>
      </c>
    </row>
    <row r="59" spans="4:19 16384:16384" ht="15" hidden="1" thickTop="1" x14ac:dyDescent="0.3">
      <c r="D59" s="2"/>
      <c r="E59" s="69">
        <v>11</v>
      </c>
      <c r="F59" s="67" t="e">
        <f>IF(Supuestos!$D$8-'Tabla Comparativa 10 años'!#REF!&gt;0,+Supuestos!$D$7,0)</f>
        <v>#REF!</v>
      </c>
      <c r="G59" s="67" t="e">
        <f>+#REF!+H59+F59</f>
        <v>#REF!</v>
      </c>
      <c r="H59" s="67"/>
      <c r="I59" s="67" t="e">
        <f t="shared" si="7"/>
        <v>#REF!</v>
      </c>
      <c r="J59" s="67" t="e">
        <f t="shared" si="14"/>
        <v>#REF!</v>
      </c>
      <c r="K59" s="67" t="e">
        <f t="shared" si="8"/>
        <v>#REF!</v>
      </c>
      <c r="L59" s="67" t="e">
        <f t="shared" si="9"/>
        <v>#REF!</v>
      </c>
      <c r="M59" s="67" t="e">
        <f t="shared" si="10"/>
        <v>#REF!</v>
      </c>
      <c r="N59" s="68" t="e">
        <f t="shared" si="11"/>
        <v>#REF!</v>
      </c>
      <c r="O59" s="43" t="e">
        <f t="shared" si="12"/>
        <v>#REF!</v>
      </c>
      <c r="P59" s="64" t="e">
        <f>+(N59-N28)-(SUM($M$49:M59))</f>
        <v>#REF!</v>
      </c>
      <c r="Q59" s="64" t="e">
        <f>+SUM($M$49:M59)</f>
        <v>#REF!</v>
      </c>
      <c r="R59" s="65" t="e">
        <f t="shared" si="13"/>
        <v>#REF!</v>
      </c>
      <c r="S59" s="44" t="e">
        <f t="shared" si="15"/>
        <v>#REF!</v>
      </c>
      <c r="XFD59" s="44" t="e">
        <f>+(N59-N28)-(SUM($M$49:M59))</f>
        <v>#REF!</v>
      </c>
    </row>
    <row r="60" spans="4:19 16384:16384" hidden="1" x14ac:dyDescent="0.3">
      <c r="D60" s="2"/>
      <c r="E60" s="34">
        <v>12</v>
      </c>
      <c r="F60" s="51">
        <f>IF(Supuestos!$D$8-'Tabla Comparativa 10 años'!$E59&gt;0,+Supuestos!$D$7,0)</f>
        <v>0</v>
      </c>
      <c r="G60" s="51" t="e">
        <f t="shared" si="16"/>
        <v>#REF!</v>
      </c>
      <c r="H60" s="51"/>
      <c r="I60" s="51" t="e">
        <f t="shared" si="7"/>
        <v>#REF!</v>
      </c>
      <c r="J60" s="51" t="e">
        <f t="shared" si="14"/>
        <v>#REF!</v>
      </c>
      <c r="K60" s="51" t="e">
        <f t="shared" si="8"/>
        <v>#REF!</v>
      </c>
      <c r="L60" s="51" t="e">
        <f t="shared" si="9"/>
        <v>#REF!</v>
      </c>
      <c r="M60" s="51" t="e">
        <f t="shared" si="10"/>
        <v>#REF!</v>
      </c>
      <c r="N60" s="52" t="e">
        <f t="shared" si="11"/>
        <v>#REF!</v>
      </c>
      <c r="O60" s="43" t="e">
        <f t="shared" si="12"/>
        <v>#REF!</v>
      </c>
      <c r="P60" s="64" t="e">
        <f>+(N60-N29)-(SUM($M$49:M60))</f>
        <v>#REF!</v>
      </c>
      <c r="Q60" s="64" t="e">
        <f>+SUM($M$49:M60)</f>
        <v>#REF!</v>
      </c>
      <c r="R60" s="65" t="e">
        <f t="shared" si="13"/>
        <v>#REF!</v>
      </c>
      <c r="S60" s="44" t="e">
        <f t="shared" si="15"/>
        <v>#REF!</v>
      </c>
      <c r="XFD60" s="44" t="e">
        <f>+(N60-N29)-(SUM($M$49:M60))</f>
        <v>#REF!</v>
      </c>
    </row>
    <row r="61" spans="4:19 16384:16384" hidden="1" x14ac:dyDescent="0.3">
      <c r="D61" s="2"/>
      <c r="E61" s="31">
        <v>13</v>
      </c>
      <c r="F61" s="49">
        <f>IF(Supuestos!$D$8-'Tabla Comparativa 10 años'!$E60&gt;0,+Supuestos!$D$7,0)</f>
        <v>0</v>
      </c>
      <c r="G61" s="49" t="e">
        <f t="shared" si="16"/>
        <v>#REF!</v>
      </c>
      <c r="H61" s="49"/>
      <c r="I61" s="49" t="e">
        <f t="shared" si="7"/>
        <v>#REF!</v>
      </c>
      <c r="J61" s="49" t="e">
        <f t="shared" si="14"/>
        <v>#REF!</v>
      </c>
      <c r="K61" s="49" t="e">
        <f t="shared" si="8"/>
        <v>#REF!</v>
      </c>
      <c r="L61" s="49" t="e">
        <f t="shared" si="9"/>
        <v>#REF!</v>
      </c>
      <c r="M61" s="49" t="e">
        <f t="shared" si="10"/>
        <v>#REF!</v>
      </c>
      <c r="N61" s="50" t="e">
        <f t="shared" si="11"/>
        <v>#REF!</v>
      </c>
      <c r="O61" s="43" t="e">
        <f t="shared" si="12"/>
        <v>#REF!</v>
      </c>
      <c r="P61" s="64" t="e">
        <f>+(N61-N30)-(SUM($M$49:M61))</f>
        <v>#REF!</v>
      </c>
      <c r="Q61" s="64" t="e">
        <f>+SUM($M$49:M61)</f>
        <v>#REF!</v>
      </c>
      <c r="R61" s="65" t="e">
        <f t="shared" si="13"/>
        <v>#REF!</v>
      </c>
      <c r="S61" s="44" t="e">
        <f t="shared" si="15"/>
        <v>#REF!</v>
      </c>
      <c r="XFD61" s="44" t="e">
        <f>+(N61-N30)-(SUM($M$49:M61))</f>
        <v>#REF!</v>
      </c>
    </row>
    <row r="62" spans="4:19 16384:16384" hidden="1" x14ac:dyDescent="0.3">
      <c r="D62" s="2"/>
      <c r="E62" s="34">
        <v>14</v>
      </c>
      <c r="F62" s="51">
        <f>IF(Supuestos!$D$8-'Tabla Comparativa 10 años'!$E61&gt;0,+Supuestos!$D$7,0)</f>
        <v>0</v>
      </c>
      <c r="G62" s="51" t="e">
        <f t="shared" si="16"/>
        <v>#REF!</v>
      </c>
      <c r="H62" s="51"/>
      <c r="I62" s="51" t="e">
        <f t="shared" si="7"/>
        <v>#REF!</v>
      </c>
      <c r="J62" s="51" t="e">
        <f t="shared" si="14"/>
        <v>#REF!</v>
      </c>
      <c r="K62" s="51" t="e">
        <f t="shared" si="8"/>
        <v>#REF!</v>
      </c>
      <c r="L62" s="51" t="e">
        <f t="shared" si="9"/>
        <v>#REF!</v>
      </c>
      <c r="M62" s="51" t="e">
        <f t="shared" si="10"/>
        <v>#REF!</v>
      </c>
      <c r="N62" s="52" t="e">
        <f t="shared" si="11"/>
        <v>#REF!</v>
      </c>
      <c r="O62" s="43" t="e">
        <f t="shared" si="12"/>
        <v>#REF!</v>
      </c>
      <c r="P62" s="64" t="e">
        <f>+(N62-N31)-(SUM($M$49:M62))</f>
        <v>#REF!</v>
      </c>
      <c r="Q62" s="64" t="e">
        <f>+SUM($M$49:M62)</f>
        <v>#REF!</v>
      </c>
      <c r="R62" s="65" t="e">
        <f t="shared" si="13"/>
        <v>#REF!</v>
      </c>
      <c r="S62" s="44" t="e">
        <f t="shared" si="15"/>
        <v>#REF!</v>
      </c>
      <c r="XFD62" s="44" t="e">
        <f>+(N62-N31)-(SUM($M$49:M62))</f>
        <v>#REF!</v>
      </c>
    </row>
    <row r="63" spans="4:19 16384:16384" hidden="1" x14ac:dyDescent="0.3">
      <c r="D63" s="2"/>
      <c r="E63" s="31">
        <v>15</v>
      </c>
      <c r="F63" s="49">
        <f>IF(Supuestos!$D$8-'Tabla Comparativa 10 años'!$E62&gt;0,+Supuestos!$D$7,0)</f>
        <v>0</v>
      </c>
      <c r="G63" s="49" t="e">
        <f t="shared" si="16"/>
        <v>#REF!</v>
      </c>
      <c r="H63" s="49"/>
      <c r="I63" s="49" t="e">
        <f t="shared" si="7"/>
        <v>#REF!</v>
      </c>
      <c r="J63" s="49" t="e">
        <f t="shared" si="14"/>
        <v>#REF!</v>
      </c>
      <c r="K63" s="49" t="e">
        <f t="shared" si="8"/>
        <v>#REF!</v>
      </c>
      <c r="L63" s="49" t="e">
        <f t="shared" si="9"/>
        <v>#REF!</v>
      </c>
      <c r="M63" s="49" t="e">
        <f t="shared" si="10"/>
        <v>#REF!</v>
      </c>
      <c r="N63" s="50" t="e">
        <f t="shared" si="11"/>
        <v>#REF!</v>
      </c>
      <c r="O63" s="43" t="e">
        <f t="shared" si="12"/>
        <v>#REF!</v>
      </c>
      <c r="P63" s="64" t="e">
        <f>+(N63-N32)-(SUM($M$49:M63))</f>
        <v>#REF!</v>
      </c>
      <c r="Q63" s="64" t="e">
        <f>+SUM($M$49:M63)</f>
        <v>#REF!</v>
      </c>
      <c r="R63" s="65" t="e">
        <f t="shared" si="13"/>
        <v>#REF!</v>
      </c>
      <c r="S63" s="44" t="e">
        <f t="shared" si="15"/>
        <v>#REF!</v>
      </c>
      <c r="XFD63" s="44" t="e">
        <f>+(N63-N32)-(SUM($M$49:M63))</f>
        <v>#REF!</v>
      </c>
    </row>
    <row r="64" spans="4:19 16384:16384" hidden="1" x14ac:dyDescent="0.3">
      <c r="D64" s="2"/>
      <c r="E64" s="34">
        <v>16</v>
      </c>
      <c r="F64" s="51">
        <f>IF(Supuestos!$D$8-'Tabla Comparativa 10 años'!$E63&gt;0,+Supuestos!$D$7,0)</f>
        <v>0</v>
      </c>
      <c r="G64" s="51" t="e">
        <f t="shared" si="16"/>
        <v>#REF!</v>
      </c>
      <c r="H64" s="51"/>
      <c r="I64" s="51" t="e">
        <f t="shared" si="7"/>
        <v>#REF!</v>
      </c>
      <c r="J64" s="51" t="e">
        <f t="shared" si="14"/>
        <v>#REF!</v>
      </c>
      <c r="K64" s="51" t="e">
        <f t="shared" si="8"/>
        <v>#REF!</v>
      </c>
      <c r="L64" s="51" t="e">
        <f t="shared" si="9"/>
        <v>#REF!</v>
      </c>
      <c r="M64" s="51" t="e">
        <f t="shared" si="10"/>
        <v>#REF!</v>
      </c>
      <c r="N64" s="52" t="e">
        <f t="shared" si="11"/>
        <v>#REF!</v>
      </c>
      <c r="O64" s="43" t="e">
        <f t="shared" si="12"/>
        <v>#REF!</v>
      </c>
      <c r="P64" s="64" t="e">
        <f>+(N64-N33)-(SUM($M$49:M64))</f>
        <v>#REF!</v>
      </c>
      <c r="Q64" s="64" t="e">
        <f>+SUM($M$49:M64)</f>
        <v>#REF!</v>
      </c>
      <c r="R64" s="65" t="e">
        <f t="shared" si="13"/>
        <v>#REF!</v>
      </c>
      <c r="S64" s="44" t="e">
        <f t="shared" si="15"/>
        <v>#REF!</v>
      </c>
      <c r="XFD64" s="44" t="e">
        <f>+(N64-N33)-(SUM($M$49:M64))</f>
        <v>#REF!</v>
      </c>
    </row>
    <row r="65" spans="4:19 16384:16384" hidden="1" x14ac:dyDescent="0.3">
      <c r="D65" s="2"/>
      <c r="E65" s="31">
        <v>17</v>
      </c>
      <c r="F65" s="49">
        <f>IF(Supuestos!$D$8-'Tabla Comparativa 10 años'!$E64&gt;0,+Supuestos!$D$7,0)</f>
        <v>0</v>
      </c>
      <c r="G65" s="49" t="e">
        <f t="shared" si="16"/>
        <v>#REF!</v>
      </c>
      <c r="H65" s="49"/>
      <c r="I65" s="49" t="e">
        <f t="shared" si="7"/>
        <v>#REF!</v>
      </c>
      <c r="J65" s="49" t="e">
        <f t="shared" si="14"/>
        <v>#REF!</v>
      </c>
      <c r="K65" s="49" t="e">
        <f t="shared" si="8"/>
        <v>#REF!</v>
      </c>
      <c r="L65" s="49" t="e">
        <f t="shared" si="9"/>
        <v>#REF!</v>
      </c>
      <c r="M65" s="49" t="e">
        <f t="shared" si="10"/>
        <v>#REF!</v>
      </c>
      <c r="N65" s="50" t="e">
        <f t="shared" si="11"/>
        <v>#REF!</v>
      </c>
      <c r="O65" s="43" t="e">
        <f t="shared" si="12"/>
        <v>#REF!</v>
      </c>
      <c r="P65" s="64" t="e">
        <f>+(N65-N34)-(SUM($M$49:M65))</f>
        <v>#REF!</v>
      </c>
      <c r="Q65" s="64" t="e">
        <f>+SUM($M$49:M65)</f>
        <v>#REF!</v>
      </c>
      <c r="R65" s="65" t="e">
        <f t="shared" si="13"/>
        <v>#REF!</v>
      </c>
      <c r="S65" s="44" t="e">
        <f t="shared" si="15"/>
        <v>#REF!</v>
      </c>
      <c r="XFD65" s="44" t="e">
        <f>+(N65-N34)-(SUM($M$49:M65))</f>
        <v>#REF!</v>
      </c>
    </row>
    <row r="66" spans="4:19 16384:16384" hidden="1" x14ac:dyDescent="0.3">
      <c r="D66" s="2"/>
      <c r="E66" s="34">
        <v>18</v>
      </c>
      <c r="F66" s="51">
        <f>IF(Supuestos!$D$8-'Tabla Comparativa 10 años'!$E65&gt;0,+Supuestos!$D$7,0)</f>
        <v>0</v>
      </c>
      <c r="G66" s="51" t="e">
        <f t="shared" si="16"/>
        <v>#REF!</v>
      </c>
      <c r="H66" s="51"/>
      <c r="I66" s="51" t="e">
        <f t="shared" si="7"/>
        <v>#REF!</v>
      </c>
      <c r="J66" s="51" t="e">
        <f t="shared" si="14"/>
        <v>#REF!</v>
      </c>
      <c r="K66" s="51" t="e">
        <f t="shared" si="8"/>
        <v>#REF!</v>
      </c>
      <c r="L66" s="51" t="e">
        <f t="shared" si="9"/>
        <v>#REF!</v>
      </c>
      <c r="M66" s="51" t="e">
        <f t="shared" si="10"/>
        <v>#REF!</v>
      </c>
      <c r="N66" s="52" t="e">
        <f t="shared" si="11"/>
        <v>#REF!</v>
      </c>
      <c r="O66" s="43" t="e">
        <f t="shared" si="12"/>
        <v>#REF!</v>
      </c>
      <c r="P66" s="64" t="e">
        <f>+(N66-N35)-(SUM($M$49:M66))</f>
        <v>#REF!</v>
      </c>
      <c r="Q66" s="64" t="e">
        <f>+SUM($M$49:M66)</f>
        <v>#REF!</v>
      </c>
      <c r="R66" s="65" t="e">
        <f t="shared" si="13"/>
        <v>#REF!</v>
      </c>
      <c r="S66" s="44" t="e">
        <f t="shared" si="15"/>
        <v>#REF!</v>
      </c>
      <c r="XFD66" s="44" t="e">
        <f>+(N66-N35)-(SUM($M$49:M66))</f>
        <v>#REF!</v>
      </c>
    </row>
    <row r="67" spans="4:19 16384:16384" hidden="1" x14ac:dyDescent="0.3">
      <c r="D67" s="2"/>
      <c r="E67" s="31">
        <v>19</v>
      </c>
      <c r="F67" s="49">
        <f>IF(Supuestos!$D$8-'Tabla Comparativa 10 años'!$E66&gt;0,+Supuestos!$D$7,0)</f>
        <v>0</v>
      </c>
      <c r="G67" s="49" t="e">
        <f t="shared" si="16"/>
        <v>#REF!</v>
      </c>
      <c r="H67" s="49"/>
      <c r="I67" s="49" t="e">
        <f t="shared" si="7"/>
        <v>#REF!</v>
      </c>
      <c r="J67" s="49" t="e">
        <f t="shared" si="14"/>
        <v>#REF!</v>
      </c>
      <c r="K67" s="49" t="e">
        <f t="shared" si="8"/>
        <v>#REF!</v>
      </c>
      <c r="L67" s="49" t="e">
        <f t="shared" si="9"/>
        <v>#REF!</v>
      </c>
      <c r="M67" s="49" t="e">
        <f t="shared" si="10"/>
        <v>#REF!</v>
      </c>
      <c r="N67" s="50" t="e">
        <f t="shared" si="11"/>
        <v>#REF!</v>
      </c>
      <c r="O67" s="43" t="e">
        <f t="shared" si="12"/>
        <v>#REF!</v>
      </c>
      <c r="P67" s="64" t="e">
        <f>+(N67-N36)-(SUM($M$49:M67))</f>
        <v>#REF!</v>
      </c>
      <c r="Q67" s="64" t="e">
        <f>+SUM($M$49:M67)</f>
        <v>#REF!</v>
      </c>
      <c r="R67" s="65" t="e">
        <f t="shared" si="13"/>
        <v>#REF!</v>
      </c>
      <c r="S67" s="44" t="e">
        <f t="shared" si="15"/>
        <v>#REF!</v>
      </c>
      <c r="XFD67" s="44" t="e">
        <f>+(N67-N36)-(SUM($M$49:M67))</f>
        <v>#REF!</v>
      </c>
    </row>
    <row r="68" spans="4:19 16384:16384" hidden="1" x14ac:dyDescent="0.3">
      <c r="D68" s="2"/>
      <c r="E68" s="34">
        <v>20</v>
      </c>
      <c r="F68" s="51">
        <f>IF(Supuestos!$D$8-'Tabla Comparativa 10 años'!$E67&gt;0,+Supuestos!$D$7,0)</f>
        <v>0</v>
      </c>
      <c r="G68" s="51" t="e">
        <f t="shared" si="16"/>
        <v>#REF!</v>
      </c>
      <c r="H68" s="51"/>
      <c r="I68" s="51" t="e">
        <f t="shared" si="7"/>
        <v>#REF!</v>
      </c>
      <c r="J68" s="51" t="e">
        <f t="shared" si="14"/>
        <v>#REF!</v>
      </c>
      <c r="K68" s="51" t="e">
        <f t="shared" si="8"/>
        <v>#REF!</v>
      </c>
      <c r="L68" s="51" t="e">
        <f t="shared" si="9"/>
        <v>#REF!</v>
      </c>
      <c r="M68" s="51" t="e">
        <f t="shared" si="10"/>
        <v>#REF!</v>
      </c>
      <c r="N68" s="52" t="e">
        <f t="shared" si="11"/>
        <v>#REF!</v>
      </c>
      <c r="O68" s="43" t="e">
        <f t="shared" si="12"/>
        <v>#REF!</v>
      </c>
      <c r="P68" s="64" t="e">
        <f>+(N68-N37)-(SUM($M$49:M68))</f>
        <v>#REF!</v>
      </c>
      <c r="Q68" s="64" t="e">
        <f>+SUM($M$49:M68)</f>
        <v>#REF!</v>
      </c>
      <c r="R68" s="65" t="e">
        <f t="shared" si="13"/>
        <v>#REF!</v>
      </c>
      <c r="S68" s="44" t="e">
        <f t="shared" si="15"/>
        <v>#REF!</v>
      </c>
      <c r="XFD68" s="44" t="e">
        <f>+(N68-N37)-(SUM($M$49:M68))</f>
        <v>#REF!</v>
      </c>
    </row>
    <row r="69" spans="4:19 16384:16384" hidden="1" x14ac:dyDescent="0.3">
      <c r="D69" s="2"/>
      <c r="E69" s="31">
        <v>21</v>
      </c>
      <c r="F69" s="49">
        <f>IF(Supuestos!$D$8-'Tabla Comparativa 10 años'!$E68&gt;0,+Supuestos!$D$7,0)</f>
        <v>0</v>
      </c>
      <c r="G69" s="49" t="e">
        <f t="shared" si="16"/>
        <v>#REF!</v>
      </c>
      <c r="H69" s="49"/>
      <c r="I69" s="49" t="e">
        <f t="shared" si="7"/>
        <v>#REF!</v>
      </c>
      <c r="J69" s="49" t="e">
        <f t="shared" si="14"/>
        <v>#REF!</v>
      </c>
      <c r="K69" s="49" t="e">
        <f t="shared" si="8"/>
        <v>#REF!</v>
      </c>
      <c r="L69" s="49" t="e">
        <f t="shared" si="9"/>
        <v>#REF!</v>
      </c>
      <c r="M69" s="49" t="e">
        <f t="shared" si="10"/>
        <v>#REF!</v>
      </c>
      <c r="N69" s="50" t="e">
        <f t="shared" si="11"/>
        <v>#REF!</v>
      </c>
      <c r="O69" s="43" t="e">
        <f t="shared" si="12"/>
        <v>#REF!</v>
      </c>
      <c r="P69" s="64" t="e">
        <f>+(N69-N38)-(SUM($M$49:M69))</f>
        <v>#REF!</v>
      </c>
      <c r="Q69" s="64" t="e">
        <f>+SUM($M$49:M69)</f>
        <v>#REF!</v>
      </c>
      <c r="R69" s="65" t="e">
        <f t="shared" si="13"/>
        <v>#REF!</v>
      </c>
      <c r="S69" s="44" t="e">
        <f t="shared" si="15"/>
        <v>#REF!</v>
      </c>
      <c r="XFD69" s="44" t="e">
        <f>+(N69-N38)-(SUM($M$49:M69))</f>
        <v>#REF!</v>
      </c>
    </row>
    <row r="70" spans="4:19 16384:16384" hidden="1" x14ac:dyDescent="0.3">
      <c r="D70" s="2"/>
      <c r="E70" s="34">
        <v>22</v>
      </c>
      <c r="F70" s="51">
        <f>IF(Supuestos!$D$8-'Tabla Comparativa 10 años'!$E69&gt;0,+Supuestos!$D$7,0)</f>
        <v>0</v>
      </c>
      <c r="G70" s="51" t="e">
        <f t="shared" si="16"/>
        <v>#REF!</v>
      </c>
      <c r="H70" s="51"/>
      <c r="I70" s="51" t="e">
        <f t="shared" si="7"/>
        <v>#REF!</v>
      </c>
      <c r="J70" s="51" t="e">
        <f t="shared" si="14"/>
        <v>#REF!</v>
      </c>
      <c r="K70" s="51" t="e">
        <f t="shared" si="8"/>
        <v>#REF!</v>
      </c>
      <c r="L70" s="51" t="e">
        <f t="shared" si="9"/>
        <v>#REF!</v>
      </c>
      <c r="M70" s="51" t="e">
        <f t="shared" si="10"/>
        <v>#REF!</v>
      </c>
      <c r="N70" s="52" t="e">
        <f t="shared" si="11"/>
        <v>#REF!</v>
      </c>
      <c r="O70" s="43" t="e">
        <f t="shared" si="12"/>
        <v>#REF!</v>
      </c>
      <c r="P70" s="64" t="e">
        <f>+(N70-N39)-(SUM($M$49:M70))</f>
        <v>#REF!</v>
      </c>
      <c r="Q70" s="64" t="e">
        <f>+SUM($M$49:M70)</f>
        <v>#REF!</v>
      </c>
      <c r="R70" s="65" t="e">
        <f t="shared" si="13"/>
        <v>#REF!</v>
      </c>
      <c r="S70" s="44" t="e">
        <f t="shared" si="15"/>
        <v>#REF!</v>
      </c>
      <c r="XFD70" s="44" t="e">
        <f>+(N70-N39)-(SUM($M$49:M70))</f>
        <v>#REF!</v>
      </c>
    </row>
    <row r="71" spans="4:19 16384:16384" hidden="1" x14ac:dyDescent="0.3">
      <c r="D71" s="2"/>
      <c r="E71" s="31">
        <v>23</v>
      </c>
      <c r="F71" s="49">
        <f>IF(Supuestos!$D$8-'Tabla Comparativa 10 años'!$E70&gt;0,+Supuestos!$D$7,0)</f>
        <v>0</v>
      </c>
      <c r="G71" s="49" t="e">
        <f t="shared" si="16"/>
        <v>#REF!</v>
      </c>
      <c r="H71" s="49"/>
      <c r="I71" s="49" t="e">
        <f t="shared" si="7"/>
        <v>#REF!</v>
      </c>
      <c r="J71" s="49" t="e">
        <f t="shared" si="14"/>
        <v>#REF!</v>
      </c>
      <c r="K71" s="49" t="e">
        <f t="shared" si="8"/>
        <v>#REF!</v>
      </c>
      <c r="L71" s="49" t="e">
        <f t="shared" si="9"/>
        <v>#REF!</v>
      </c>
      <c r="M71" s="49" t="e">
        <f t="shared" si="10"/>
        <v>#REF!</v>
      </c>
      <c r="N71" s="50" t="e">
        <f t="shared" si="11"/>
        <v>#REF!</v>
      </c>
      <c r="O71" s="43" t="e">
        <f t="shared" si="12"/>
        <v>#REF!</v>
      </c>
      <c r="P71" s="64" t="e">
        <f>+(N71-N40)-(SUM($M$49:M71))</f>
        <v>#REF!</v>
      </c>
      <c r="Q71" s="64" t="e">
        <f>+SUM($M$49:M71)</f>
        <v>#REF!</v>
      </c>
      <c r="R71" s="65" t="e">
        <f t="shared" si="13"/>
        <v>#REF!</v>
      </c>
      <c r="S71" s="44" t="e">
        <f t="shared" si="15"/>
        <v>#REF!</v>
      </c>
      <c r="XFD71" s="44" t="e">
        <f>+(N71-N40)-(SUM($M$49:M71))</f>
        <v>#REF!</v>
      </c>
    </row>
    <row r="72" spans="4:19 16384:16384" hidden="1" x14ac:dyDescent="0.3">
      <c r="D72" s="2"/>
      <c r="E72" s="34">
        <v>24</v>
      </c>
      <c r="F72" s="51">
        <f>IF(Supuestos!$D$8-'Tabla Comparativa 10 años'!$E71&gt;0,+Supuestos!$D$7,0)</f>
        <v>0</v>
      </c>
      <c r="G72" s="51" t="e">
        <f t="shared" si="16"/>
        <v>#REF!</v>
      </c>
      <c r="H72" s="51"/>
      <c r="I72" s="51" t="e">
        <f t="shared" si="7"/>
        <v>#REF!</v>
      </c>
      <c r="J72" s="51" t="e">
        <f t="shared" si="14"/>
        <v>#REF!</v>
      </c>
      <c r="K72" s="51" t="e">
        <f t="shared" si="8"/>
        <v>#REF!</v>
      </c>
      <c r="L72" s="51" t="e">
        <f t="shared" si="9"/>
        <v>#REF!</v>
      </c>
      <c r="M72" s="51" t="e">
        <f t="shared" si="10"/>
        <v>#REF!</v>
      </c>
      <c r="N72" s="52" t="e">
        <f t="shared" si="11"/>
        <v>#REF!</v>
      </c>
      <c r="O72" s="43" t="e">
        <f t="shared" si="12"/>
        <v>#REF!</v>
      </c>
      <c r="P72" s="64" t="e">
        <f>+(N72-N41)-(SUM($M$49:M72))</f>
        <v>#REF!</v>
      </c>
      <c r="Q72" s="64" t="e">
        <f>+SUM($M$49:M72)</f>
        <v>#REF!</v>
      </c>
      <c r="R72" s="65" t="e">
        <f t="shared" si="13"/>
        <v>#REF!</v>
      </c>
      <c r="S72" s="44" t="e">
        <f t="shared" si="15"/>
        <v>#REF!</v>
      </c>
      <c r="XFD72" s="44" t="e">
        <f>+(N72-N41)-(SUM($M$49:M72))</f>
        <v>#REF!</v>
      </c>
    </row>
    <row r="73" spans="4:19 16384:16384" ht="15" hidden="1" thickBot="1" x14ac:dyDescent="0.35">
      <c r="D73" s="2"/>
      <c r="E73" s="37">
        <v>25</v>
      </c>
      <c r="F73" s="53">
        <f>IF(Supuestos!$D$8-'Tabla Comparativa 10 años'!$E72&gt;0,+Supuestos!$D$7,0)</f>
        <v>0</v>
      </c>
      <c r="G73" s="53" t="e">
        <f t="shared" si="16"/>
        <v>#REF!</v>
      </c>
      <c r="H73" s="53"/>
      <c r="I73" s="53" t="e">
        <f t="shared" si="7"/>
        <v>#REF!</v>
      </c>
      <c r="J73" s="53" t="e">
        <f t="shared" si="14"/>
        <v>#REF!</v>
      </c>
      <c r="K73" s="53" t="e">
        <f t="shared" si="8"/>
        <v>#REF!</v>
      </c>
      <c r="L73" s="53" t="e">
        <f t="shared" si="9"/>
        <v>#REF!</v>
      </c>
      <c r="M73" s="53" t="e">
        <f t="shared" si="10"/>
        <v>#REF!</v>
      </c>
      <c r="N73" s="54" t="e">
        <f t="shared" si="11"/>
        <v>#REF!</v>
      </c>
      <c r="O73" s="43" t="e">
        <f t="shared" si="12"/>
        <v>#REF!</v>
      </c>
      <c r="P73" s="64" t="e">
        <f>+(N73-N42)-(SUM($M$49:M73))</f>
        <v>#REF!</v>
      </c>
      <c r="Q73" s="64" t="e">
        <f>+SUM($M$49:M73)</f>
        <v>#REF!</v>
      </c>
      <c r="R73" s="65" t="e">
        <f t="shared" si="13"/>
        <v>#REF!</v>
      </c>
      <c r="S73" s="44" t="e">
        <f t="shared" si="15"/>
        <v>#REF!</v>
      </c>
      <c r="XFD73" s="44" t="e">
        <f>+(N73-N42)-(SUM($M$49:M73))</f>
        <v>#REF!</v>
      </c>
    </row>
    <row r="74" spans="4:19 16384:16384" ht="15" thickTop="1" x14ac:dyDescent="0.3">
      <c r="D74" s="2"/>
      <c r="E74" s="92" t="s">
        <v>59</v>
      </c>
      <c r="F74" s="38"/>
      <c r="G74" s="39"/>
      <c r="H74" s="39"/>
      <c r="I74" s="39"/>
      <c r="J74" s="39"/>
      <c r="K74" s="39"/>
      <c r="L74" s="39"/>
      <c r="M74" s="39"/>
      <c r="N74" s="39"/>
      <c r="O74" s="45"/>
      <c r="XFD74" s="44"/>
    </row>
    <row r="75" spans="4:19 16384:16384" hidden="1" x14ac:dyDescent="0.3">
      <c r="D75" s="2"/>
      <c r="E75" s="38"/>
      <c r="F75" s="38"/>
      <c r="G75" s="39"/>
      <c r="H75" s="39"/>
      <c r="I75" s="39"/>
      <c r="J75" s="39"/>
      <c r="K75" s="39"/>
      <c r="L75" s="39"/>
      <c r="M75" s="39"/>
      <c r="N75" s="39"/>
      <c r="O75" s="45"/>
    </row>
    <row r="76" spans="4:19 16384:16384" hidden="1" x14ac:dyDescent="0.3">
      <c r="D76" s="2"/>
      <c r="E76" s="38"/>
      <c r="F76" s="38"/>
      <c r="G76" s="39"/>
      <c r="H76" s="39"/>
      <c r="I76" s="39"/>
      <c r="J76" s="39"/>
      <c r="K76" s="39"/>
      <c r="L76" s="39"/>
      <c r="M76" s="39"/>
      <c r="N76" s="39"/>
      <c r="O76" s="45"/>
    </row>
    <row r="77" spans="4:19 16384:16384" hidden="1" x14ac:dyDescent="0.3">
      <c r="D77" s="2"/>
      <c r="E77" s="38"/>
      <c r="F77" s="38"/>
      <c r="G77" s="39"/>
      <c r="H77" s="39"/>
      <c r="I77" s="39"/>
      <c r="J77" s="39"/>
      <c r="K77" s="39"/>
      <c r="L77" s="39"/>
      <c r="M77" s="39"/>
      <c r="N77" s="39"/>
      <c r="O77" s="45"/>
    </row>
    <row r="78" spans="4:19 16384:16384" hidden="1" x14ac:dyDescent="0.3">
      <c r="D78" s="2"/>
      <c r="E78" s="38"/>
      <c r="F78" s="38"/>
      <c r="G78" s="39"/>
      <c r="H78" s="39"/>
      <c r="I78" s="39"/>
      <c r="J78" s="39"/>
      <c r="K78" s="39"/>
      <c r="L78" s="39"/>
      <c r="M78" s="39"/>
      <c r="N78" s="39"/>
      <c r="O78" s="45"/>
    </row>
    <row r="79" spans="4:19 16384:16384" hidden="1" x14ac:dyDescent="0.3">
      <c r="D79" s="2"/>
      <c r="E79" s="38"/>
      <c r="F79" s="38"/>
      <c r="G79" s="39"/>
      <c r="H79" s="39"/>
      <c r="I79" s="39"/>
      <c r="J79" s="39"/>
      <c r="K79" s="39"/>
      <c r="L79" s="39"/>
      <c r="M79" s="39"/>
      <c r="N79" s="39"/>
      <c r="O79" s="45"/>
    </row>
    <row r="80" spans="4:19 16384:16384" hidden="1" x14ac:dyDescent="0.3">
      <c r="D80" s="2"/>
      <c r="E80" s="38"/>
      <c r="F80" s="38"/>
      <c r="G80" s="39"/>
      <c r="H80" s="39"/>
      <c r="I80" s="39"/>
      <c r="J80" s="39"/>
      <c r="K80" s="39"/>
      <c r="L80" s="39"/>
      <c r="M80" s="39"/>
      <c r="N80" s="39"/>
      <c r="O80" s="45"/>
    </row>
    <row r="81" spans="4:15" hidden="1" x14ac:dyDescent="0.3">
      <c r="D81" s="2"/>
      <c r="E81" s="38"/>
      <c r="F81" s="38"/>
      <c r="G81" s="39"/>
      <c r="H81" s="39"/>
      <c r="I81" s="39"/>
      <c r="J81" s="39"/>
      <c r="K81" s="39"/>
      <c r="L81" s="39"/>
      <c r="M81" s="39"/>
      <c r="N81" s="39"/>
      <c r="O81" s="45"/>
    </row>
    <row r="82" spans="4:15" hidden="1" x14ac:dyDescent="0.3">
      <c r="D82" s="2"/>
    </row>
    <row r="90" spans="4:15" hidden="1" x14ac:dyDescent="0.3">
      <c r="O90" s="46"/>
    </row>
    <row r="94" spans="4:15" hidden="1" x14ac:dyDescent="0.3">
      <c r="N94" s="46"/>
    </row>
    <row r="95" spans="4:15" x14ac:dyDescent="0.3"/>
    <row r="96" spans="4:15" x14ac:dyDescent="0.3"/>
  </sheetData>
  <sheetProtection algorithmName="SHA-512" hashValue="yExpfhlPg3BOMyeXJsUyhb7ACXzgoiPwVCveVB1xQuuFAlVAGPVBX9YfNAdCuMG0wrFmXBQH+MIlWgm56MIBXw==" saltValue="EKjCW0+MInmdWXOZMRffgQ==" spinCount="100000" sheet="1" objects="1" scenarios="1"/>
  <protectedRanges>
    <protectedRange sqref="G18:H18" name="Rango2"/>
    <protectedRange sqref="L3:M3 G3:I12" name="Modificables"/>
  </protectedRanges>
  <mergeCells count="27">
    <mergeCell ref="P45:P48"/>
    <mergeCell ref="Q45:Q48"/>
    <mergeCell ref="R45:R48"/>
    <mergeCell ref="E46:E48"/>
    <mergeCell ref="F46:F48"/>
    <mergeCell ref="G46:G48"/>
    <mergeCell ref="I46:J47"/>
    <mergeCell ref="K46:M46"/>
    <mergeCell ref="N46:N48"/>
    <mergeCell ref="K47:L47"/>
    <mergeCell ref="O45:O48"/>
    <mergeCell ref="M47:M48"/>
    <mergeCell ref="K15:M15"/>
    <mergeCell ref="N15:N17"/>
    <mergeCell ref="K16:L16"/>
    <mergeCell ref="M16:M17"/>
    <mergeCell ref="E45:N45"/>
    <mergeCell ref="E15:E17"/>
    <mergeCell ref="F15:F17"/>
    <mergeCell ref="G15:G17"/>
    <mergeCell ref="H15:H17"/>
    <mergeCell ref="I15:J16"/>
    <mergeCell ref="G1:G2"/>
    <mergeCell ref="I1:I2"/>
    <mergeCell ref="L1:L2"/>
    <mergeCell ref="M1:M2"/>
    <mergeCell ref="E14:N1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9" orientation="landscape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  <pageSetUpPr fitToPage="1"/>
  </sheetPr>
  <dimension ref="A1:XFD94"/>
  <sheetViews>
    <sheetView topLeftCell="I52" zoomScale="90" zoomScaleNormal="90" workbookViewId="0">
      <selection activeCell="O73" sqref="O73"/>
    </sheetView>
  </sheetViews>
  <sheetFormatPr baseColWidth="10" defaultColWidth="0" defaultRowHeight="14.4" zeroHeight="1" x14ac:dyDescent="0.3"/>
  <cols>
    <col min="1" max="1" width="19.44140625" style="3" hidden="1" customWidth="1"/>
    <col min="2" max="2" width="7.21875" style="3" hidden="1" customWidth="1"/>
    <col min="3" max="3" width="6.5546875" style="3" hidden="1" customWidth="1"/>
    <col min="4" max="4" width="1.77734375" style="3" customWidth="1"/>
    <col min="5" max="5" width="9.44140625" style="3" customWidth="1"/>
    <col min="6" max="6" width="17.21875" style="3" customWidth="1"/>
    <col min="7" max="7" width="21.21875" style="3" customWidth="1"/>
    <col min="8" max="8" width="21.21875" style="3" hidden="1" customWidth="1"/>
    <col min="9" max="14" width="21.21875" style="3" customWidth="1"/>
    <col min="15" max="15" width="10.77734375" style="3" customWidth="1"/>
    <col min="16" max="17" width="12.5546875" style="3" hidden="1"/>
    <col min="18" max="18" width="14.77734375" style="3" hidden="1"/>
    <col min="19" max="16383" width="12.5546875" style="3" hidden="1"/>
    <col min="16384" max="16384" width="14.77734375" style="3" hidden="1"/>
  </cols>
  <sheetData>
    <row r="1" spans="1:15" hidden="1" x14ac:dyDescent="0.3">
      <c r="D1" s="2"/>
      <c r="E1" s="2"/>
      <c r="F1" s="2"/>
      <c r="G1" s="295" t="s">
        <v>14</v>
      </c>
      <c r="H1" s="4"/>
      <c r="I1" s="295" t="s">
        <v>0</v>
      </c>
      <c r="J1" s="2"/>
      <c r="K1" s="2"/>
      <c r="L1" s="295" t="s">
        <v>15</v>
      </c>
      <c r="M1" s="295" t="s">
        <v>8</v>
      </c>
      <c r="N1" s="2"/>
      <c r="O1" s="2"/>
    </row>
    <row r="2" spans="1:15" ht="17.25" hidden="1" customHeight="1" x14ac:dyDescent="0.35">
      <c r="A2" s="5" t="s">
        <v>16</v>
      </c>
      <c r="B2" s="6" t="s">
        <v>17</v>
      </c>
      <c r="C2" s="7"/>
      <c r="D2" s="2"/>
      <c r="E2" s="2"/>
      <c r="F2" s="2"/>
      <c r="G2" s="296"/>
      <c r="H2" s="8"/>
      <c r="I2" s="296"/>
      <c r="J2" s="3" t="s">
        <v>18</v>
      </c>
      <c r="K2" s="2" t="s">
        <v>19</v>
      </c>
      <c r="L2" s="296"/>
      <c r="M2" s="296"/>
      <c r="N2" s="9">
        <f>+(G3+L3-K3)*G18*I3</f>
        <v>0</v>
      </c>
      <c r="O2" s="9"/>
    </row>
    <row r="3" spans="1:15" hidden="1" x14ac:dyDescent="0.3">
      <c r="A3" s="10" t="s">
        <v>20</v>
      </c>
      <c r="B3" s="11">
        <f>+[1]Supuestos!D8</f>
        <v>0</v>
      </c>
      <c r="C3" s="11"/>
      <c r="D3" s="2"/>
      <c r="E3" s="12" t="s">
        <v>21</v>
      </c>
      <c r="F3" s="13"/>
      <c r="G3" s="14">
        <f>Supuestos!D12</f>
        <v>0</v>
      </c>
      <c r="H3" s="14"/>
      <c r="I3" s="15">
        <f>Supuestos!G12</f>
        <v>0</v>
      </c>
      <c r="J3" s="16">
        <f>Supuestos!D22</f>
        <v>7.4999999999999997E-3</v>
      </c>
      <c r="K3" s="16">
        <f>Supuestos!G22</f>
        <v>0</v>
      </c>
      <c r="L3" s="14">
        <f>Supuestos!D19</f>
        <v>0.05</v>
      </c>
      <c r="M3" s="14">
        <f>Supuestos!D18</f>
        <v>0.04</v>
      </c>
      <c r="N3" s="2">
        <f>+G18*(G4-K4)*I4</f>
        <v>3000000.0000000005</v>
      </c>
      <c r="O3" s="9"/>
    </row>
    <row r="4" spans="1:15" hidden="1" x14ac:dyDescent="0.3">
      <c r="A4" s="10" t="s">
        <v>22</v>
      </c>
      <c r="B4" s="11">
        <f>+[1]Supuestos!D9</f>
        <v>0.08</v>
      </c>
      <c r="C4" s="11"/>
      <c r="D4" s="2"/>
      <c r="E4" s="12" t="s">
        <v>23</v>
      </c>
      <c r="F4" s="13"/>
      <c r="G4" s="14">
        <f>Supuestos!D13</f>
        <v>7.0000000000000007E-2</v>
      </c>
      <c r="H4" s="14"/>
      <c r="I4" s="15">
        <f>Supuestos!G13</f>
        <v>1</v>
      </c>
      <c r="J4" s="16">
        <f>Supuestos!D23</f>
        <v>7.4999999999999997E-3</v>
      </c>
      <c r="K4" s="16">
        <f>Supuestos!G23</f>
        <v>0.01</v>
      </c>
      <c r="L4" s="2"/>
      <c r="M4" s="2"/>
      <c r="N4" s="3">
        <f>+G18*(G5+L3-K5)*I5</f>
        <v>0</v>
      </c>
      <c r="O4" s="17"/>
    </row>
    <row r="5" spans="1:15" ht="15.6" hidden="1" x14ac:dyDescent="0.3">
      <c r="A5" s="10" t="s">
        <v>24</v>
      </c>
      <c r="B5" s="11">
        <f>+[1]Supuestos!D11</f>
        <v>0</v>
      </c>
      <c r="C5" s="11"/>
      <c r="D5" s="16"/>
      <c r="E5" s="18" t="s">
        <v>25</v>
      </c>
      <c r="F5" s="18"/>
      <c r="G5" s="19">
        <f>+Supuestos!D14</f>
        <v>0.1</v>
      </c>
      <c r="H5" s="19"/>
      <c r="I5" s="20">
        <f>Supuestos!G14</f>
        <v>0</v>
      </c>
      <c r="J5" s="16">
        <f>Supuestos!D24</f>
        <v>1.2500000000000001E-2</v>
      </c>
      <c r="K5" s="16">
        <f>Supuestos!G24</f>
        <v>0</v>
      </c>
      <c r="L5" s="2"/>
      <c r="M5" s="2"/>
      <c r="N5" s="2">
        <f>+G18*(G6-K6)*I6</f>
        <v>0</v>
      </c>
      <c r="O5" s="17"/>
    </row>
    <row r="6" spans="1:15" ht="15.6" hidden="1" x14ac:dyDescent="0.3">
      <c r="A6" s="10"/>
      <c r="B6" s="11"/>
      <c r="C6" s="11"/>
      <c r="D6" s="16"/>
      <c r="E6" s="21" t="s">
        <v>3</v>
      </c>
      <c r="F6" s="21"/>
      <c r="G6" s="22">
        <f>+Supuestos!D15</f>
        <v>0</v>
      </c>
      <c r="H6" s="22"/>
      <c r="I6" s="20">
        <f>Supuestos!G15</f>
        <v>0</v>
      </c>
      <c r="J6" s="16">
        <f>Supuestos!D25</f>
        <v>1.2500000000000001E-2</v>
      </c>
      <c r="K6" s="16">
        <f>Supuestos!G25</f>
        <v>0</v>
      </c>
      <c r="L6" s="2"/>
      <c r="M6" s="23">
        <f>+O49</f>
        <v>9.0218423551757798E-3</v>
      </c>
      <c r="N6" s="2"/>
    </row>
    <row r="7" spans="1:15" ht="15.6" hidden="1" x14ac:dyDescent="0.3">
      <c r="A7" s="10"/>
      <c r="B7" s="11"/>
      <c r="C7" s="11"/>
      <c r="D7" s="16"/>
      <c r="E7" s="24"/>
      <c r="F7" s="24"/>
      <c r="G7" s="25"/>
      <c r="H7" s="25"/>
      <c r="I7" s="26"/>
      <c r="J7" s="2"/>
      <c r="K7" s="2"/>
      <c r="L7" s="2"/>
      <c r="M7" s="2"/>
      <c r="N7" s="2"/>
    </row>
    <row r="8" spans="1:15" ht="15.6" hidden="1" x14ac:dyDescent="0.3">
      <c r="A8" s="10"/>
      <c r="B8" s="11"/>
      <c r="C8" s="11"/>
      <c r="D8" s="16"/>
      <c r="E8" s="24"/>
      <c r="F8" s="24"/>
      <c r="G8" s="25"/>
      <c r="H8" s="25"/>
      <c r="I8" s="26"/>
      <c r="J8" s="2"/>
      <c r="K8" s="2"/>
      <c r="L8" s="2"/>
      <c r="M8" s="2"/>
      <c r="N8" s="2"/>
      <c r="O8" s="2"/>
    </row>
    <row r="9" spans="1:15" ht="15.6" hidden="1" x14ac:dyDescent="0.3">
      <c r="A9" s="10"/>
      <c r="B9" s="11"/>
      <c r="C9" s="11"/>
      <c r="D9" s="16"/>
      <c r="E9" s="24"/>
      <c r="F9" s="24"/>
      <c r="G9" s="25"/>
      <c r="H9" s="25"/>
      <c r="I9" s="26"/>
      <c r="J9" s="2"/>
      <c r="K9" s="2"/>
      <c r="L9" s="2"/>
      <c r="M9" s="2"/>
      <c r="N9" s="2"/>
      <c r="O9" s="2"/>
    </row>
    <row r="10" spans="1:15" ht="15.6" hidden="1" x14ac:dyDescent="0.3">
      <c r="A10" s="10"/>
      <c r="B10" s="11"/>
      <c r="C10" s="11"/>
      <c r="D10" s="16"/>
      <c r="E10" s="24"/>
      <c r="F10" s="24"/>
      <c r="G10" s="25"/>
      <c r="H10" s="25"/>
      <c r="I10" s="26"/>
      <c r="J10" s="2"/>
      <c r="K10" s="2"/>
      <c r="L10" s="2"/>
      <c r="M10" s="2"/>
      <c r="N10" s="2"/>
      <c r="O10" s="2"/>
    </row>
    <row r="11" spans="1:15" ht="15.6" hidden="1" x14ac:dyDescent="0.3">
      <c r="A11" s="10"/>
      <c r="B11" s="11"/>
      <c r="C11" s="11"/>
      <c r="D11" s="16"/>
      <c r="E11" s="24"/>
      <c r="F11" s="24"/>
      <c r="G11" s="25"/>
      <c r="H11" s="25"/>
      <c r="I11" s="26"/>
      <c r="J11" s="2"/>
      <c r="K11" s="2"/>
      <c r="L11" s="2"/>
      <c r="M11" s="2"/>
      <c r="N11" s="2"/>
      <c r="O11" s="2"/>
    </row>
    <row r="12" spans="1:15" ht="15.6" x14ac:dyDescent="0.3">
      <c r="A12" s="10"/>
      <c r="B12" s="11"/>
      <c r="C12" s="11"/>
      <c r="D12" s="16"/>
      <c r="E12" s="24"/>
      <c r="F12" s="24"/>
      <c r="G12" s="25"/>
      <c r="H12" s="25"/>
      <c r="I12" s="26"/>
      <c r="J12" s="2"/>
      <c r="K12" s="2"/>
      <c r="L12" s="2"/>
      <c r="M12" s="2"/>
      <c r="N12" s="2"/>
      <c r="O12" s="2"/>
    </row>
    <row r="13" spans="1:15" ht="15" thickBot="1" x14ac:dyDescent="0.35">
      <c r="B13" s="27"/>
      <c r="C13" s="27"/>
      <c r="D13" s="2"/>
      <c r="E13" s="78" t="s">
        <v>58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8.5" customHeight="1" thickTop="1" thickBot="1" x14ac:dyDescent="0.35">
      <c r="B14" s="27"/>
      <c r="C14" s="27"/>
      <c r="D14" s="2"/>
      <c r="E14" s="297" t="s">
        <v>26</v>
      </c>
      <c r="F14" s="298"/>
      <c r="G14" s="298"/>
      <c r="H14" s="298"/>
      <c r="I14" s="298"/>
      <c r="J14" s="298"/>
      <c r="K14" s="298"/>
      <c r="L14" s="298"/>
      <c r="M14" s="298"/>
      <c r="N14" s="299"/>
      <c r="O14" s="2"/>
    </row>
    <row r="15" spans="1:15" ht="15.75" customHeight="1" thickTop="1" x14ac:dyDescent="0.35">
      <c r="A15" s="5" t="s">
        <v>27</v>
      </c>
      <c r="B15" s="6" t="s">
        <v>17</v>
      </c>
      <c r="C15" s="27"/>
      <c r="D15" s="2"/>
      <c r="E15" s="303" t="s">
        <v>62</v>
      </c>
      <c r="F15" s="311" t="s">
        <v>48</v>
      </c>
      <c r="G15" s="312" t="s">
        <v>28</v>
      </c>
      <c r="H15" s="311" t="s">
        <v>48</v>
      </c>
      <c r="I15" s="314" t="s">
        <v>29</v>
      </c>
      <c r="J15" s="315"/>
      <c r="K15" s="300" t="s">
        <v>7</v>
      </c>
      <c r="L15" s="301"/>
      <c r="M15" s="302"/>
      <c r="N15" s="303" t="s">
        <v>30</v>
      </c>
      <c r="O15" s="2"/>
    </row>
    <row r="16" spans="1:15" ht="15.75" customHeight="1" x14ac:dyDescent="0.3">
      <c r="A16" s="10" t="s">
        <v>8</v>
      </c>
      <c r="B16" s="28">
        <f>+[1]Supuestos!D14</f>
        <v>0.05</v>
      </c>
      <c r="C16" s="27"/>
      <c r="D16" s="2"/>
      <c r="E16" s="303"/>
      <c r="F16" s="312"/>
      <c r="G16" s="312"/>
      <c r="H16" s="312"/>
      <c r="I16" s="316"/>
      <c r="J16" s="317"/>
      <c r="K16" s="304" t="s">
        <v>31</v>
      </c>
      <c r="L16" s="305"/>
      <c r="M16" s="306" t="s">
        <v>32</v>
      </c>
      <c r="N16" s="303"/>
      <c r="O16" s="2"/>
    </row>
    <row r="17" spans="1:14" s="2" customFormat="1" ht="15" customHeight="1" thickBot="1" x14ac:dyDescent="0.35">
      <c r="A17" s="10" t="s">
        <v>33</v>
      </c>
      <c r="B17" s="28">
        <f>+[1]Supuestos!D15</f>
        <v>0.04</v>
      </c>
      <c r="C17" s="3"/>
      <c r="E17" s="303"/>
      <c r="F17" s="313"/>
      <c r="G17" s="312"/>
      <c r="H17" s="313"/>
      <c r="I17" s="55" t="s">
        <v>34</v>
      </c>
      <c r="J17" s="56" t="s">
        <v>35</v>
      </c>
      <c r="K17" s="55" t="s">
        <v>36</v>
      </c>
      <c r="L17" s="57" t="s">
        <v>37</v>
      </c>
      <c r="M17" s="307"/>
      <c r="N17" s="303"/>
    </row>
    <row r="18" spans="1:14" s="2" customFormat="1" ht="15" thickTop="1" x14ac:dyDescent="0.3">
      <c r="A18" s="3"/>
      <c r="B18" s="3"/>
      <c r="C18" s="3"/>
      <c r="E18" s="29">
        <v>1</v>
      </c>
      <c r="F18" s="30" t="s">
        <v>49</v>
      </c>
      <c r="G18" s="47">
        <f>Supuestos!D5</f>
        <v>50000000</v>
      </c>
      <c r="H18" s="47"/>
      <c r="I18" s="47">
        <f t="shared" ref="I18:I42" si="0">+(G18*$I$3*($G$3+$L$3-$K$3))+(G18*$I$4*($G$4-$K$4))</f>
        <v>3000000.0000000005</v>
      </c>
      <c r="J18" s="47">
        <f t="shared" ref="J18:J42" si="1">+((G18*$I$5*(($G$5+$L$3-$K$5))))+((G18*$I$6*(($G$6-$K$6))))</f>
        <v>0</v>
      </c>
      <c r="K18" s="47">
        <f t="shared" ref="K18:K42" si="2">+IF($M$3&gt;($G$3+$L$3),0,(($G$3+$L$3-$M$3-$K$3)*$I$3*G18*$B$20))+(IF($M$3&gt;($G$4),0,(($G$4-$M$3-$K$4)*$I$4*G18*$B$20)))</f>
        <v>350000.00000000006</v>
      </c>
      <c r="L18" s="47">
        <f t="shared" ref="L18:L42" si="3">+IF($M$3&gt;($G$5+$L$3),0,(($G$5+$L$3-$M$3-$K$5)*$I$5*G18*$B$21))+(IF($M$3&gt;($G$6),0,(($G$6-$M$3-$K$6)*$I$6*G18*$B$21)))</f>
        <v>0</v>
      </c>
      <c r="M18" s="47">
        <f t="shared" ref="M18:M42" si="4">+K18+L18</f>
        <v>350000.00000000006</v>
      </c>
      <c r="N18" s="48">
        <f t="shared" ref="N18:N42" si="5">+G18+I18+J18-M18</f>
        <v>52650000</v>
      </c>
    </row>
    <row r="19" spans="1:14" s="2" customFormat="1" ht="15.6" x14ac:dyDescent="0.3">
      <c r="A19" s="5" t="s">
        <v>38</v>
      </c>
      <c r="B19" s="5"/>
      <c r="C19" s="3"/>
      <c r="E19" s="58">
        <v>2</v>
      </c>
      <c r="F19" s="49">
        <f>IF(Supuestos!$D$8-'Tabla Comparativa 25 años'!$E18&gt;0,+Supuestos!$D$7,0)</f>
        <v>0</v>
      </c>
      <c r="G19" s="49">
        <f>+N18+H19+F19</f>
        <v>52650000</v>
      </c>
      <c r="H19" s="49"/>
      <c r="I19" s="49">
        <f t="shared" si="0"/>
        <v>3159000.0000000005</v>
      </c>
      <c r="J19" s="49">
        <f t="shared" si="1"/>
        <v>0</v>
      </c>
      <c r="K19" s="49">
        <f t="shared" si="2"/>
        <v>368550.00000000006</v>
      </c>
      <c r="L19" s="49">
        <f t="shared" si="3"/>
        <v>0</v>
      </c>
      <c r="M19" s="49">
        <f t="shared" si="4"/>
        <v>368550.00000000006</v>
      </c>
      <c r="N19" s="50">
        <f t="shared" si="5"/>
        <v>55440450</v>
      </c>
    </row>
    <row r="20" spans="1:14" s="2" customFormat="1" x14ac:dyDescent="0.3">
      <c r="A20" s="10" t="s">
        <v>9</v>
      </c>
      <c r="B20" s="32">
        <f>+[1]Supuestos!G14</f>
        <v>0.35</v>
      </c>
      <c r="C20" s="33"/>
      <c r="E20" s="59">
        <v>3</v>
      </c>
      <c r="F20" s="51">
        <f>IF(Supuestos!$D$8-'Tabla Comparativa 25 años'!$E19&gt;0,+Supuestos!$D$7,0)</f>
        <v>0</v>
      </c>
      <c r="G20" s="51">
        <f t="shared" ref="G20:G42" si="6">+N19+H20+F20</f>
        <v>55440450</v>
      </c>
      <c r="H20" s="51"/>
      <c r="I20" s="51">
        <f t="shared" si="0"/>
        <v>3326427.0000000005</v>
      </c>
      <c r="J20" s="51">
        <f t="shared" si="1"/>
        <v>0</v>
      </c>
      <c r="K20" s="51">
        <f t="shared" si="2"/>
        <v>388083.15000000008</v>
      </c>
      <c r="L20" s="51">
        <f t="shared" si="3"/>
        <v>0</v>
      </c>
      <c r="M20" s="51">
        <f t="shared" si="4"/>
        <v>388083.15000000008</v>
      </c>
      <c r="N20" s="52">
        <f t="shared" si="5"/>
        <v>58378793.850000001</v>
      </c>
    </row>
    <row r="21" spans="1:14" s="2" customFormat="1" x14ac:dyDescent="0.3">
      <c r="A21" s="10" t="s">
        <v>11</v>
      </c>
      <c r="B21" s="32">
        <f>+[1]Supuestos!G15</f>
        <v>0.1</v>
      </c>
      <c r="C21" s="33"/>
      <c r="E21" s="58">
        <v>4</v>
      </c>
      <c r="F21" s="49">
        <f>IF(Supuestos!$D$8-'Tabla Comparativa 25 años'!$E20&gt;0,+Supuestos!$D$7,0)</f>
        <v>0</v>
      </c>
      <c r="G21" s="49">
        <f t="shared" si="6"/>
        <v>58378793.850000001</v>
      </c>
      <c r="H21" s="49"/>
      <c r="I21" s="49">
        <f t="shared" si="0"/>
        <v>3502727.6310000005</v>
      </c>
      <c r="J21" s="49">
        <f t="shared" si="1"/>
        <v>0</v>
      </c>
      <c r="K21" s="49">
        <f t="shared" si="2"/>
        <v>408651.55695000011</v>
      </c>
      <c r="L21" s="49">
        <f t="shared" si="3"/>
        <v>0</v>
      </c>
      <c r="M21" s="49">
        <f t="shared" si="4"/>
        <v>408651.55695000011</v>
      </c>
      <c r="N21" s="50">
        <f t="shared" si="5"/>
        <v>61472869.924049996</v>
      </c>
    </row>
    <row r="22" spans="1:14" s="2" customFormat="1" x14ac:dyDescent="0.3">
      <c r="A22" s="3"/>
      <c r="B22" s="3"/>
      <c r="C22" s="3"/>
      <c r="E22" s="59">
        <v>5</v>
      </c>
      <c r="F22" s="51">
        <f>IF(Supuestos!$D$8-'Tabla Comparativa 25 años'!$E21&gt;0,+Supuestos!$D$7,0)</f>
        <v>0</v>
      </c>
      <c r="G22" s="51">
        <f t="shared" si="6"/>
        <v>61472869.924049996</v>
      </c>
      <c r="H22" s="51"/>
      <c r="I22" s="51">
        <f t="shared" si="0"/>
        <v>3688372.1954430002</v>
      </c>
      <c r="J22" s="51">
        <f t="shared" si="1"/>
        <v>0</v>
      </c>
      <c r="K22" s="51">
        <f t="shared" si="2"/>
        <v>430310.08946835005</v>
      </c>
      <c r="L22" s="51">
        <f t="shared" si="3"/>
        <v>0</v>
      </c>
      <c r="M22" s="51">
        <f t="shared" si="4"/>
        <v>430310.08946835005</v>
      </c>
      <c r="N22" s="52">
        <f t="shared" si="5"/>
        <v>64730932.03002464</v>
      </c>
    </row>
    <row r="23" spans="1:14" s="2" customFormat="1" ht="15.6" x14ac:dyDescent="0.3">
      <c r="A23" s="3"/>
      <c r="B23" s="3"/>
      <c r="C23" s="35"/>
      <c r="E23" s="58">
        <v>6</v>
      </c>
      <c r="F23" s="49">
        <f>IF(Supuestos!$D$8-'Tabla Comparativa 25 años'!$E22&gt;0,+Supuestos!$D$7,0)</f>
        <v>0</v>
      </c>
      <c r="G23" s="49">
        <f t="shared" si="6"/>
        <v>64730932.03002464</v>
      </c>
      <c r="H23" s="49"/>
      <c r="I23" s="49">
        <f t="shared" si="0"/>
        <v>3883855.9218014786</v>
      </c>
      <c r="J23" s="49">
        <f t="shared" si="1"/>
        <v>0</v>
      </c>
      <c r="K23" s="49">
        <f t="shared" si="2"/>
        <v>453116.52421017253</v>
      </c>
      <c r="L23" s="49">
        <f t="shared" si="3"/>
        <v>0</v>
      </c>
      <c r="M23" s="49">
        <f t="shared" si="4"/>
        <v>453116.52421017253</v>
      </c>
      <c r="N23" s="50">
        <f t="shared" si="5"/>
        <v>68161671.427615955</v>
      </c>
    </row>
    <row r="24" spans="1:14" s="2" customFormat="1" x14ac:dyDescent="0.3">
      <c r="A24" s="3"/>
      <c r="B24" s="3"/>
      <c r="C24" s="3"/>
      <c r="E24" s="59">
        <v>7</v>
      </c>
      <c r="F24" s="51">
        <f>IF(Supuestos!$D$8-'Tabla Comparativa 25 años'!$E23&gt;0,+Supuestos!$D$7,0)</f>
        <v>0</v>
      </c>
      <c r="G24" s="51">
        <f t="shared" si="6"/>
        <v>68161671.427615955</v>
      </c>
      <c r="H24" s="51"/>
      <c r="I24" s="51">
        <f t="shared" si="0"/>
        <v>4089700.2856569574</v>
      </c>
      <c r="J24" s="51">
        <f t="shared" si="1"/>
        <v>0</v>
      </c>
      <c r="K24" s="51">
        <f t="shared" si="2"/>
        <v>477131.69999331172</v>
      </c>
      <c r="L24" s="51">
        <f t="shared" si="3"/>
        <v>0</v>
      </c>
      <c r="M24" s="51">
        <f t="shared" si="4"/>
        <v>477131.69999331172</v>
      </c>
      <c r="N24" s="52">
        <f t="shared" si="5"/>
        <v>71774240.013279602</v>
      </c>
    </row>
    <row r="25" spans="1:14" s="2" customFormat="1" x14ac:dyDescent="0.3">
      <c r="A25" s="3"/>
      <c r="B25" s="3"/>
      <c r="C25" s="3"/>
      <c r="E25" s="58">
        <v>8</v>
      </c>
      <c r="F25" s="49">
        <f>IF(Supuestos!$D$8-'Tabla Comparativa 25 años'!$E24&gt;0,+Supuestos!$D$7,0)</f>
        <v>0</v>
      </c>
      <c r="G25" s="49">
        <f t="shared" si="6"/>
        <v>71774240.013279602</v>
      </c>
      <c r="H25" s="49"/>
      <c r="I25" s="49">
        <f t="shared" si="0"/>
        <v>4306454.4007967766</v>
      </c>
      <c r="J25" s="49">
        <f t="shared" si="1"/>
        <v>0</v>
      </c>
      <c r="K25" s="49">
        <f t="shared" si="2"/>
        <v>502419.68009295728</v>
      </c>
      <c r="L25" s="49">
        <f t="shared" si="3"/>
        <v>0</v>
      </c>
      <c r="M25" s="49">
        <f t="shared" si="4"/>
        <v>502419.68009295728</v>
      </c>
      <c r="N25" s="50">
        <f t="shared" si="5"/>
        <v>75578274.733983412</v>
      </c>
    </row>
    <row r="26" spans="1:14" s="2" customFormat="1" x14ac:dyDescent="0.3">
      <c r="A26" s="3"/>
      <c r="B26" s="3"/>
      <c r="C26" s="3"/>
      <c r="E26" s="59">
        <v>9</v>
      </c>
      <c r="F26" s="51">
        <f>IF(Supuestos!$D$8-'Tabla Comparativa 25 años'!$E25&gt;0,+Supuestos!$D$7,0)</f>
        <v>0</v>
      </c>
      <c r="G26" s="51">
        <f t="shared" si="6"/>
        <v>75578274.733983412</v>
      </c>
      <c r="H26" s="51"/>
      <c r="I26" s="51">
        <f t="shared" si="0"/>
        <v>4534696.4840390049</v>
      </c>
      <c r="J26" s="51">
        <f t="shared" si="1"/>
        <v>0</v>
      </c>
      <c r="K26" s="51">
        <f t="shared" si="2"/>
        <v>529047.92313788389</v>
      </c>
      <c r="L26" s="51">
        <f t="shared" si="3"/>
        <v>0</v>
      </c>
      <c r="M26" s="51">
        <f t="shared" si="4"/>
        <v>529047.92313788389</v>
      </c>
      <c r="N26" s="52">
        <f t="shared" si="5"/>
        <v>79583923.294884533</v>
      </c>
    </row>
    <row r="27" spans="1:14" s="2" customFormat="1" x14ac:dyDescent="0.3">
      <c r="A27" s="3"/>
      <c r="B27" s="3"/>
      <c r="C27" s="3"/>
      <c r="E27" s="58">
        <v>10</v>
      </c>
      <c r="F27" s="49">
        <f>IF(Supuestos!$D$8-'Tabla Comparativa 25 años'!$E26&gt;0,+Supuestos!$D$7,0)</f>
        <v>0</v>
      </c>
      <c r="G27" s="49">
        <f t="shared" si="6"/>
        <v>79583923.294884533</v>
      </c>
      <c r="H27" s="49"/>
      <c r="I27" s="49">
        <f t="shared" si="0"/>
        <v>4775035.3976930724</v>
      </c>
      <c r="J27" s="49">
        <f t="shared" si="1"/>
        <v>0</v>
      </c>
      <c r="K27" s="49">
        <f t="shared" si="2"/>
        <v>557087.46306419175</v>
      </c>
      <c r="L27" s="49">
        <f t="shared" si="3"/>
        <v>0</v>
      </c>
      <c r="M27" s="49">
        <f t="shared" si="4"/>
        <v>557087.46306419175</v>
      </c>
      <c r="N27" s="50">
        <f t="shared" si="5"/>
        <v>83801871.229513407</v>
      </c>
    </row>
    <row r="28" spans="1:14" s="2" customFormat="1" x14ac:dyDescent="0.3">
      <c r="A28" s="3"/>
      <c r="B28" s="3"/>
      <c r="C28" s="36"/>
      <c r="E28" s="59">
        <v>11</v>
      </c>
      <c r="F28" s="51">
        <f>IF(Supuestos!$D$8-'Tabla Comparativa 25 años'!$E27&gt;0,+Supuestos!$D$7,0)</f>
        <v>0</v>
      </c>
      <c r="G28" s="51">
        <f t="shared" si="6"/>
        <v>83801871.229513407</v>
      </c>
      <c r="H28" s="51"/>
      <c r="I28" s="51">
        <f t="shared" si="0"/>
        <v>5028112.2737708045</v>
      </c>
      <c r="J28" s="51">
        <f t="shared" si="1"/>
        <v>0</v>
      </c>
      <c r="K28" s="51">
        <f t="shared" si="2"/>
        <v>586613.09860659391</v>
      </c>
      <c r="L28" s="51">
        <f t="shared" si="3"/>
        <v>0</v>
      </c>
      <c r="M28" s="51">
        <f t="shared" si="4"/>
        <v>586613.09860659391</v>
      </c>
      <c r="N28" s="52">
        <f t="shared" si="5"/>
        <v>88243370.404677629</v>
      </c>
    </row>
    <row r="29" spans="1:14" s="2" customFormat="1" x14ac:dyDescent="0.3">
      <c r="A29" s="3"/>
      <c r="B29" s="3"/>
      <c r="C29" s="36"/>
      <c r="E29" s="58">
        <v>12</v>
      </c>
      <c r="F29" s="49">
        <f>IF(Supuestos!$D$8-'Tabla Comparativa 25 años'!$E28&gt;0,+Supuestos!$D$7,0)</f>
        <v>0</v>
      </c>
      <c r="G29" s="49">
        <f t="shared" si="6"/>
        <v>88243370.404677629</v>
      </c>
      <c r="H29" s="49"/>
      <c r="I29" s="49">
        <f t="shared" si="0"/>
        <v>5294602.2242806582</v>
      </c>
      <c r="J29" s="49">
        <f t="shared" si="1"/>
        <v>0</v>
      </c>
      <c r="K29" s="49">
        <f t="shared" si="2"/>
        <v>617703.59283274354</v>
      </c>
      <c r="L29" s="49">
        <f t="shared" si="3"/>
        <v>0</v>
      </c>
      <c r="M29" s="49">
        <f t="shared" si="4"/>
        <v>617703.59283274354</v>
      </c>
      <c r="N29" s="50">
        <f t="shared" si="5"/>
        <v>92920269.036125541</v>
      </c>
    </row>
    <row r="30" spans="1:14" s="2" customFormat="1" x14ac:dyDescent="0.3">
      <c r="A30" s="3"/>
      <c r="B30" s="3"/>
      <c r="C30" s="36"/>
      <c r="E30" s="59">
        <v>13</v>
      </c>
      <c r="F30" s="51">
        <f>IF(Supuestos!$D$8-'Tabla Comparativa 25 años'!$E29&gt;0,+Supuestos!$D$7,0)</f>
        <v>0</v>
      </c>
      <c r="G30" s="51">
        <f t="shared" si="6"/>
        <v>92920269.036125541</v>
      </c>
      <c r="H30" s="51"/>
      <c r="I30" s="51">
        <f t="shared" si="0"/>
        <v>5575216.1421675328</v>
      </c>
      <c r="J30" s="51">
        <f t="shared" si="1"/>
        <v>0</v>
      </c>
      <c r="K30" s="51">
        <f t="shared" si="2"/>
        <v>650441.88325287879</v>
      </c>
      <c r="L30" s="51">
        <f t="shared" si="3"/>
        <v>0</v>
      </c>
      <c r="M30" s="51">
        <f t="shared" si="4"/>
        <v>650441.88325287879</v>
      </c>
      <c r="N30" s="52">
        <f t="shared" si="5"/>
        <v>97845043.295040205</v>
      </c>
    </row>
    <row r="31" spans="1:14" s="2" customFormat="1" x14ac:dyDescent="0.3">
      <c r="A31" s="3"/>
      <c r="B31" s="3"/>
      <c r="C31" s="36"/>
      <c r="E31" s="58">
        <v>14</v>
      </c>
      <c r="F31" s="49">
        <f>IF(Supuestos!$D$8-'Tabla Comparativa 25 años'!$E30&gt;0,+Supuestos!$D$7,0)</f>
        <v>0</v>
      </c>
      <c r="G31" s="49">
        <f t="shared" si="6"/>
        <v>97845043.295040205</v>
      </c>
      <c r="H31" s="49"/>
      <c r="I31" s="49">
        <f t="shared" si="0"/>
        <v>5870702.5977024129</v>
      </c>
      <c r="J31" s="49">
        <f t="shared" si="1"/>
        <v>0</v>
      </c>
      <c r="K31" s="49">
        <f t="shared" si="2"/>
        <v>684915.30306528159</v>
      </c>
      <c r="L31" s="49">
        <f t="shared" si="3"/>
        <v>0</v>
      </c>
      <c r="M31" s="49">
        <f t="shared" si="4"/>
        <v>684915.30306528159</v>
      </c>
      <c r="N31" s="50">
        <f t="shared" si="5"/>
        <v>103030830.58967733</v>
      </c>
    </row>
    <row r="32" spans="1:14" s="2" customFormat="1" x14ac:dyDescent="0.3">
      <c r="A32" s="3"/>
      <c r="B32" s="3"/>
      <c r="C32" s="36"/>
      <c r="E32" s="59">
        <v>15</v>
      </c>
      <c r="F32" s="51">
        <f>IF(Supuestos!$D$8-'Tabla Comparativa 25 años'!$E31&gt;0,+Supuestos!$D$7,0)</f>
        <v>0</v>
      </c>
      <c r="G32" s="51">
        <f t="shared" si="6"/>
        <v>103030830.58967733</v>
      </c>
      <c r="H32" s="51"/>
      <c r="I32" s="51">
        <f t="shared" si="0"/>
        <v>6181849.8353806408</v>
      </c>
      <c r="J32" s="51">
        <f t="shared" si="1"/>
        <v>0</v>
      </c>
      <c r="K32" s="51">
        <f t="shared" si="2"/>
        <v>721215.8141277415</v>
      </c>
      <c r="L32" s="51">
        <f t="shared" si="3"/>
        <v>0</v>
      </c>
      <c r="M32" s="51">
        <f t="shared" si="4"/>
        <v>721215.8141277415</v>
      </c>
      <c r="N32" s="52">
        <f t="shared" si="5"/>
        <v>108491464.61093023</v>
      </c>
    </row>
    <row r="33" spans="3:18" x14ac:dyDescent="0.3">
      <c r="C33" s="36"/>
      <c r="D33" s="2"/>
      <c r="E33" s="58">
        <v>16</v>
      </c>
      <c r="F33" s="49">
        <f>IF(Supuestos!$D$8-'Tabla Comparativa 25 años'!$E32&gt;0,+Supuestos!$D$7,0)</f>
        <v>0</v>
      </c>
      <c r="G33" s="49">
        <f t="shared" si="6"/>
        <v>108491464.61093023</v>
      </c>
      <c r="H33" s="49"/>
      <c r="I33" s="49">
        <f t="shared" si="0"/>
        <v>6509487.8766558142</v>
      </c>
      <c r="J33" s="49">
        <f t="shared" si="1"/>
        <v>0</v>
      </c>
      <c r="K33" s="49">
        <f t="shared" si="2"/>
        <v>759440.25227651175</v>
      </c>
      <c r="L33" s="49">
        <f t="shared" si="3"/>
        <v>0</v>
      </c>
      <c r="M33" s="49">
        <f t="shared" si="4"/>
        <v>759440.25227651175</v>
      </c>
      <c r="N33" s="50">
        <f t="shared" si="5"/>
        <v>114241512.23530954</v>
      </c>
      <c r="O33" s="2"/>
    </row>
    <row r="34" spans="3:18" x14ac:dyDescent="0.3">
      <c r="C34" s="36"/>
      <c r="D34" s="2"/>
      <c r="E34" s="59">
        <v>17</v>
      </c>
      <c r="F34" s="51">
        <f>IF(Supuestos!$D$8-'Tabla Comparativa 25 años'!$E33&gt;0,+Supuestos!$D$7,0)</f>
        <v>0</v>
      </c>
      <c r="G34" s="51">
        <f t="shared" si="6"/>
        <v>114241512.23530954</v>
      </c>
      <c r="H34" s="51"/>
      <c r="I34" s="51">
        <f t="shared" si="0"/>
        <v>6854490.7341185734</v>
      </c>
      <c r="J34" s="51">
        <f t="shared" si="1"/>
        <v>0</v>
      </c>
      <c r="K34" s="51">
        <f t="shared" si="2"/>
        <v>799690.58564716682</v>
      </c>
      <c r="L34" s="51">
        <f t="shared" si="3"/>
        <v>0</v>
      </c>
      <c r="M34" s="51">
        <f t="shared" si="4"/>
        <v>799690.58564716682</v>
      </c>
      <c r="N34" s="52">
        <f t="shared" si="5"/>
        <v>120296312.38378096</v>
      </c>
      <c r="O34" s="2"/>
    </row>
    <row r="35" spans="3:18" x14ac:dyDescent="0.3">
      <c r="C35" s="36"/>
      <c r="D35" s="2"/>
      <c r="E35" s="58">
        <v>18</v>
      </c>
      <c r="F35" s="49">
        <f>IF(Supuestos!$D$8-'Tabla Comparativa 25 años'!$E34&gt;0,+Supuestos!$D$7,0)</f>
        <v>0</v>
      </c>
      <c r="G35" s="49">
        <f t="shared" si="6"/>
        <v>120296312.38378096</v>
      </c>
      <c r="H35" s="49"/>
      <c r="I35" s="49">
        <f t="shared" si="0"/>
        <v>7217778.7430268582</v>
      </c>
      <c r="J35" s="49">
        <f t="shared" si="1"/>
        <v>0</v>
      </c>
      <c r="K35" s="49">
        <f t="shared" si="2"/>
        <v>842074.1866864668</v>
      </c>
      <c r="L35" s="49">
        <f t="shared" si="3"/>
        <v>0</v>
      </c>
      <c r="M35" s="49">
        <f t="shared" si="4"/>
        <v>842074.1866864668</v>
      </c>
      <c r="N35" s="50">
        <f t="shared" si="5"/>
        <v>126672016.94012134</v>
      </c>
      <c r="O35" s="2"/>
    </row>
    <row r="36" spans="3:18" x14ac:dyDescent="0.3">
      <c r="C36" s="36"/>
      <c r="D36" s="2"/>
      <c r="E36" s="59">
        <v>19</v>
      </c>
      <c r="F36" s="51">
        <f>IF(Supuestos!$D$8-'Tabla Comparativa 25 años'!$E35&gt;0,+Supuestos!$D$7,0)</f>
        <v>0</v>
      </c>
      <c r="G36" s="51">
        <f t="shared" si="6"/>
        <v>126672016.94012134</v>
      </c>
      <c r="H36" s="51"/>
      <c r="I36" s="51">
        <f t="shared" si="0"/>
        <v>7600321.0164072812</v>
      </c>
      <c r="J36" s="51">
        <f t="shared" si="1"/>
        <v>0</v>
      </c>
      <c r="K36" s="51">
        <f t="shared" si="2"/>
        <v>886704.11858084938</v>
      </c>
      <c r="L36" s="51">
        <f t="shared" si="3"/>
        <v>0</v>
      </c>
      <c r="M36" s="51">
        <f t="shared" si="4"/>
        <v>886704.11858084938</v>
      </c>
      <c r="N36" s="52">
        <f t="shared" si="5"/>
        <v>133385633.83794776</v>
      </c>
      <c r="O36" s="2"/>
    </row>
    <row r="37" spans="3:18" x14ac:dyDescent="0.3">
      <c r="C37" s="36"/>
      <c r="D37" s="2"/>
      <c r="E37" s="58">
        <v>20</v>
      </c>
      <c r="F37" s="49">
        <f>IF(Supuestos!$D$8-'Tabla Comparativa 25 años'!$E36&gt;0,+Supuestos!$D$7,0)</f>
        <v>0</v>
      </c>
      <c r="G37" s="49">
        <f t="shared" si="6"/>
        <v>133385633.83794776</v>
      </c>
      <c r="H37" s="49"/>
      <c r="I37" s="49">
        <f t="shared" si="0"/>
        <v>8003138.0302768657</v>
      </c>
      <c r="J37" s="49">
        <f t="shared" si="1"/>
        <v>0</v>
      </c>
      <c r="K37" s="49">
        <f t="shared" si="2"/>
        <v>933699.4368656344</v>
      </c>
      <c r="L37" s="49">
        <f t="shared" si="3"/>
        <v>0</v>
      </c>
      <c r="M37" s="49">
        <f t="shared" si="4"/>
        <v>933699.4368656344</v>
      </c>
      <c r="N37" s="50">
        <f t="shared" si="5"/>
        <v>140455072.43135899</v>
      </c>
      <c r="O37" s="2"/>
    </row>
    <row r="38" spans="3:18" x14ac:dyDescent="0.3">
      <c r="C38" s="36"/>
      <c r="D38" s="2"/>
      <c r="E38" s="59">
        <v>21</v>
      </c>
      <c r="F38" s="51">
        <f>IF(Supuestos!$D$8-'Tabla Comparativa 25 años'!$E37&gt;0,+Supuestos!$D$7,0)</f>
        <v>0</v>
      </c>
      <c r="G38" s="51">
        <f t="shared" si="6"/>
        <v>140455072.43135899</v>
      </c>
      <c r="H38" s="51"/>
      <c r="I38" s="51">
        <f t="shared" si="0"/>
        <v>8427304.3458815403</v>
      </c>
      <c r="J38" s="51">
        <f t="shared" si="1"/>
        <v>0</v>
      </c>
      <c r="K38" s="51">
        <f t="shared" si="2"/>
        <v>983185.50701951305</v>
      </c>
      <c r="L38" s="51">
        <f t="shared" si="3"/>
        <v>0</v>
      </c>
      <c r="M38" s="51">
        <f t="shared" si="4"/>
        <v>983185.50701951305</v>
      </c>
      <c r="N38" s="52">
        <f t="shared" si="5"/>
        <v>147899191.27022102</v>
      </c>
      <c r="O38" s="2"/>
    </row>
    <row r="39" spans="3:18" x14ac:dyDescent="0.3">
      <c r="C39" s="36"/>
      <c r="D39" s="2"/>
      <c r="E39" s="58">
        <v>22</v>
      </c>
      <c r="F39" s="49">
        <f>IF(Supuestos!$D$8-'Tabla Comparativa 25 años'!$E38&gt;0,+Supuestos!$D$7,0)</f>
        <v>0</v>
      </c>
      <c r="G39" s="49">
        <f t="shared" si="6"/>
        <v>147899191.27022102</v>
      </c>
      <c r="H39" s="49"/>
      <c r="I39" s="49">
        <f t="shared" si="0"/>
        <v>8873951.4762132615</v>
      </c>
      <c r="J39" s="49">
        <f t="shared" si="1"/>
        <v>0</v>
      </c>
      <c r="K39" s="49">
        <f t="shared" si="2"/>
        <v>1035294.3388915473</v>
      </c>
      <c r="L39" s="49">
        <f t="shared" si="3"/>
        <v>0</v>
      </c>
      <c r="M39" s="49">
        <f t="shared" si="4"/>
        <v>1035294.3388915473</v>
      </c>
      <c r="N39" s="50">
        <f t="shared" si="5"/>
        <v>155737848.40754274</v>
      </c>
      <c r="O39" s="2"/>
    </row>
    <row r="40" spans="3:18" x14ac:dyDescent="0.3">
      <c r="C40" s="36"/>
      <c r="D40" s="2"/>
      <c r="E40" s="59">
        <v>23</v>
      </c>
      <c r="F40" s="51">
        <f>IF(Supuestos!$D$8-'Tabla Comparativa 25 años'!$E39&gt;0,+Supuestos!$D$7,0)</f>
        <v>0</v>
      </c>
      <c r="G40" s="51">
        <f t="shared" si="6"/>
        <v>155737848.40754274</v>
      </c>
      <c r="H40" s="51"/>
      <c r="I40" s="51">
        <f t="shared" si="0"/>
        <v>9344270.9044525642</v>
      </c>
      <c r="J40" s="51">
        <f t="shared" si="1"/>
        <v>0</v>
      </c>
      <c r="K40" s="51">
        <f t="shared" si="2"/>
        <v>1090164.9388527994</v>
      </c>
      <c r="L40" s="51">
        <f t="shared" si="3"/>
        <v>0</v>
      </c>
      <c r="M40" s="51">
        <f t="shared" si="4"/>
        <v>1090164.9388527994</v>
      </c>
      <c r="N40" s="52">
        <f t="shared" si="5"/>
        <v>163991954.37314251</v>
      </c>
      <c r="O40" s="2"/>
    </row>
    <row r="41" spans="3:18" x14ac:dyDescent="0.3">
      <c r="C41" s="36"/>
      <c r="D41" s="2"/>
      <c r="E41" s="58">
        <v>24</v>
      </c>
      <c r="F41" s="49">
        <f>IF(Supuestos!$D$8-'Tabla Comparativa 25 años'!$E40&gt;0,+Supuestos!$D$7,0)</f>
        <v>0</v>
      </c>
      <c r="G41" s="49">
        <f t="shared" si="6"/>
        <v>163991954.37314251</v>
      </c>
      <c r="H41" s="49"/>
      <c r="I41" s="49">
        <f t="shared" si="0"/>
        <v>9839517.2623885516</v>
      </c>
      <c r="J41" s="49">
        <f t="shared" si="1"/>
        <v>0</v>
      </c>
      <c r="K41" s="49">
        <f t="shared" si="2"/>
        <v>1147943.6806119976</v>
      </c>
      <c r="L41" s="49">
        <f t="shared" si="3"/>
        <v>0</v>
      </c>
      <c r="M41" s="49">
        <f t="shared" si="4"/>
        <v>1147943.6806119976</v>
      </c>
      <c r="N41" s="50">
        <f t="shared" si="5"/>
        <v>172683527.95491907</v>
      </c>
      <c r="O41" s="2"/>
    </row>
    <row r="42" spans="3:18" ht="15" thickBot="1" x14ac:dyDescent="0.35">
      <c r="C42" s="36"/>
      <c r="D42" s="2"/>
      <c r="E42" s="142">
        <v>25</v>
      </c>
      <c r="F42" s="71">
        <f>IF(Supuestos!$D$8-'Tabla Comparativa 25 años'!$E41&gt;0,+Supuestos!$D$7,0)</f>
        <v>0</v>
      </c>
      <c r="G42" s="71">
        <f t="shared" si="6"/>
        <v>172683527.95491907</v>
      </c>
      <c r="H42" s="71"/>
      <c r="I42" s="71">
        <f t="shared" si="0"/>
        <v>10361011.677295145</v>
      </c>
      <c r="J42" s="71">
        <f t="shared" si="1"/>
        <v>0</v>
      </c>
      <c r="K42" s="71">
        <f t="shared" si="2"/>
        <v>1208784.6956844337</v>
      </c>
      <c r="L42" s="71">
        <f t="shared" si="3"/>
        <v>0</v>
      </c>
      <c r="M42" s="71">
        <f t="shared" si="4"/>
        <v>1208784.6956844337</v>
      </c>
      <c r="N42" s="72">
        <f t="shared" si="5"/>
        <v>181835754.93652979</v>
      </c>
      <c r="O42" s="2"/>
    </row>
    <row r="43" spans="3:18" ht="15" thickTop="1" x14ac:dyDescent="0.3">
      <c r="C43" s="36"/>
      <c r="D43" s="2"/>
      <c r="E43" s="77"/>
      <c r="F43" s="125"/>
      <c r="G43" s="125"/>
      <c r="H43" s="125"/>
      <c r="I43" s="125"/>
      <c r="J43" s="125"/>
      <c r="K43" s="125"/>
      <c r="L43" s="125"/>
      <c r="M43" s="125"/>
      <c r="N43" s="125"/>
      <c r="O43" s="2"/>
    </row>
    <row r="44" spans="3:18" ht="15" thickBot="1" x14ac:dyDescent="0.35">
      <c r="C44" s="36"/>
      <c r="D44" s="2"/>
      <c r="E44" s="38"/>
      <c r="F44" s="38"/>
      <c r="G44" s="39"/>
      <c r="H44" s="39"/>
      <c r="I44" s="39"/>
      <c r="J44" s="39"/>
      <c r="K44" s="39"/>
      <c r="L44" s="39"/>
      <c r="M44" s="39"/>
      <c r="N44" s="39"/>
      <c r="O44" s="2"/>
    </row>
    <row r="45" spans="3:18" ht="28.5" customHeight="1" thickTop="1" thickBot="1" x14ac:dyDescent="0.35">
      <c r="D45" s="2"/>
      <c r="E45" s="308" t="s">
        <v>39</v>
      </c>
      <c r="F45" s="309"/>
      <c r="G45" s="309"/>
      <c r="H45" s="309"/>
      <c r="I45" s="309"/>
      <c r="J45" s="309"/>
      <c r="K45" s="309"/>
      <c r="L45" s="309"/>
      <c r="M45" s="309"/>
      <c r="N45" s="310"/>
      <c r="O45" s="318" t="s">
        <v>53</v>
      </c>
      <c r="P45" s="318" t="s">
        <v>51</v>
      </c>
      <c r="Q45" s="318" t="s">
        <v>50</v>
      </c>
      <c r="R45" s="318" t="s">
        <v>55</v>
      </c>
    </row>
    <row r="46" spans="3:18" ht="15" thickTop="1" x14ac:dyDescent="0.3">
      <c r="D46" s="2"/>
      <c r="E46" s="319" t="s">
        <v>62</v>
      </c>
      <c r="F46" s="321" t="s">
        <v>46</v>
      </c>
      <c r="G46" s="321" t="s">
        <v>28</v>
      </c>
      <c r="H46" s="40"/>
      <c r="I46" s="323" t="s">
        <v>29</v>
      </c>
      <c r="J46" s="324"/>
      <c r="K46" s="323" t="s">
        <v>40</v>
      </c>
      <c r="L46" s="327"/>
      <c r="M46" s="324"/>
      <c r="N46" s="319" t="s">
        <v>30</v>
      </c>
      <c r="O46" s="318"/>
      <c r="P46" s="318"/>
      <c r="Q46" s="318"/>
      <c r="R46" s="318"/>
    </row>
    <row r="47" spans="3:18" x14ac:dyDescent="0.3">
      <c r="D47" s="2"/>
      <c r="E47" s="320"/>
      <c r="F47" s="322"/>
      <c r="G47" s="322"/>
      <c r="H47" s="41"/>
      <c r="I47" s="325"/>
      <c r="J47" s="326"/>
      <c r="K47" s="328" t="s">
        <v>31</v>
      </c>
      <c r="L47" s="329"/>
      <c r="M47" s="330" t="s">
        <v>41</v>
      </c>
      <c r="N47" s="320"/>
      <c r="O47" s="318"/>
      <c r="P47" s="318"/>
      <c r="Q47" s="318"/>
      <c r="R47" s="318"/>
    </row>
    <row r="48" spans="3:18" ht="26.25" customHeight="1" thickBot="1" x14ac:dyDescent="0.35">
      <c r="D48" s="2"/>
      <c r="E48" s="320"/>
      <c r="F48" s="322"/>
      <c r="G48" s="322"/>
      <c r="H48" s="41"/>
      <c r="I48" s="61" t="s">
        <v>34</v>
      </c>
      <c r="J48" s="62" t="s">
        <v>35</v>
      </c>
      <c r="K48" s="61" t="s">
        <v>36</v>
      </c>
      <c r="L48" s="63" t="s">
        <v>37</v>
      </c>
      <c r="M48" s="331"/>
      <c r="N48" s="320"/>
      <c r="O48" s="318"/>
      <c r="P48" s="318"/>
      <c r="Q48" s="318"/>
      <c r="R48" s="318"/>
    </row>
    <row r="49" spans="4:19 16384:16384" ht="15.75" customHeight="1" thickTop="1" x14ac:dyDescent="0.3">
      <c r="D49" s="2"/>
      <c r="E49" s="29">
        <v>1</v>
      </c>
      <c r="F49" s="42" t="s">
        <v>49</v>
      </c>
      <c r="G49" s="47">
        <f>G18</f>
        <v>50000000</v>
      </c>
      <c r="H49" s="47"/>
      <c r="I49" s="47">
        <f t="shared" ref="I49:I73" si="7">+(G49*$I$3*($G$3+$L$3-$J$3))+(G49*$I$4*($G$4-$J$4))</f>
        <v>3125000</v>
      </c>
      <c r="J49" s="47">
        <f t="shared" ref="J49:J73" si="8">+((G49*$I$5*(($G$5+$L$3-$J$5))))+((G49*$I$6*(($G$6-$J$6))))</f>
        <v>0</v>
      </c>
      <c r="K49" s="47">
        <f t="shared" ref="K49:K73" si="9">+IF($M$3&gt;($G$3+$L$3),0,(($G$3+$L$3-$M$3-$J$3)*$I$3*G49*$B$20))+(IF($M$3&gt;($G$4),0,(($G$4-$M$3-$J$4)*$I$4*G49*$B$20)))</f>
        <v>393750.00000000006</v>
      </c>
      <c r="L49" s="47">
        <f t="shared" ref="L49:L73" si="10">+IF($M$3&gt;($G$5+$L$3),0,(($G$5+$L$3-$M$3-$J$5)*$I$5*G49*$B$21))+(IF($M$3&gt;($G$6),0,(($G$6-$M$3-$J$6)*$I$6*G49*$B$21)))</f>
        <v>0</v>
      </c>
      <c r="M49" s="47">
        <f t="shared" ref="M49:M73" si="11">+K49+L49</f>
        <v>393750.00000000006</v>
      </c>
      <c r="N49" s="48">
        <f t="shared" ref="N49:N73" si="12">+G49+I49+J49</f>
        <v>53125000</v>
      </c>
      <c r="O49" s="43">
        <f t="shared" ref="O49:O73" si="13">+(N49/N18)-1</f>
        <v>9.0218423551757798E-3</v>
      </c>
      <c r="P49" s="64">
        <f>+(N49-N18)-M49</f>
        <v>81249.999999999942</v>
      </c>
      <c r="Q49" s="64">
        <f>+M49</f>
        <v>393750.00000000006</v>
      </c>
      <c r="R49" s="65">
        <f t="shared" ref="R49:R73" si="14">+N49-N18</f>
        <v>475000</v>
      </c>
      <c r="S49" s="44">
        <f>+P49+Q49</f>
        <v>475000</v>
      </c>
      <c r="XFD49" s="44">
        <f>+(N49-N18)-M49</f>
        <v>81249.999999999942</v>
      </c>
    </row>
    <row r="50" spans="4:19 16384:16384" ht="15.6" customHeight="1" x14ac:dyDescent="0.3">
      <c r="D50" s="2"/>
      <c r="E50" s="31">
        <v>2</v>
      </c>
      <c r="F50" s="49">
        <f>IF(Supuestos!$D$8-'Tabla Comparativa 25 años'!$E49&gt;0,+Supuestos!$D$7,0)</f>
        <v>0</v>
      </c>
      <c r="G50" s="49">
        <f>+N49+H50+F50</f>
        <v>53125000</v>
      </c>
      <c r="H50" s="49"/>
      <c r="I50" s="49">
        <f t="shared" si="7"/>
        <v>3320312.5</v>
      </c>
      <c r="J50" s="49">
        <f t="shared" si="8"/>
        <v>0</v>
      </c>
      <c r="K50" s="49">
        <f t="shared" si="9"/>
        <v>418359.37500000006</v>
      </c>
      <c r="L50" s="49">
        <f t="shared" si="10"/>
        <v>0</v>
      </c>
      <c r="M50" s="49">
        <f t="shared" si="11"/>
        <v>418359.37500000006</v>
      </c>
      <c r="N50" s="50">
        <f t="shared" si="12"/>
        <v>56445312.5</v>
      </c>
      <c r="O50" s="43">
        <f t="shared" si="13"/>
        <v>1.8125078349833013E-2</v>
      </c>
      <c r="P50" s="64">
        <f>+(N50-N19)-(SUM($M$49:M50))</f>
        <v>192753.12499999988</v>
      </c>
      <c r="Q50" s="64">
        <f>+SUM($M$49:M50)</f>
        <v>812109.37500000012</v>
      </c>
      <c r="R50" s="65">
        <f t="shared" si="14"/>
        <v>1004862.5</v>
      </c>
      <c r="S50" s="44">
        <f t="shared" ref="S50:S73" si="15">+P50+Q50</f>
        <v>1004862.5</v>
      </c>
      <c r="XFD50" s="44">
        <f>+(N50-N19)-(SUM($M$49:M50))</f>
        <v>192753.12499999988</v>
      </c>
    </row>
    <row r="51" spans="4:19 16384:16384" x14ac:dyDescent="0.3">
      <c r="D51" s="2"/>
      <c r="E51" s="34">
        <v>3</v>
      </c>
      <c r="F51" s="51">
        <f>IF(Supuestos!$D$8-'Tabla Comparativa 25 años'!$E50&gt;0,+Supuestos!$D$7,0)</f>
        <v>0</v>
      </c>
      <c r="G51" s="51">
        <f t="shared" ref="G51:G73" si="16">+N50+H51+F51</f>
        <v>56445312.5</v>
      </c>
      <c r="H51" s="51"/>
      <c r="I51" s="51">
        <f t="shared" si="7"/>
        <v>3527832.03125</v>
      </c>
      <c r="J51" s="51">
        <f t="shared" si="8"/>
        <v>0</v>
      </c>
      <c r="K51" s="51">
        <f t="shared" si="9"/>
        <v>444506.83593750006</v>
      </c>
      <c r="L51" s="51">
        <f t="shared" si="10"/>
        <v>0</v>
      </c>
      <c r="M51" s="51">
        <f t="shared" si="11"/>
        <v>444506.83593750006</v>
      </c>
      <c r="N51" s="52">
        <f t="shared" si="12"/>
        <v>59973144.53125</v>
      </c>
      <c r="O51" s="43">
        <f t="shared" si="13"/>
        <v>2.7310442304556037E-2</v>
      </c>
      <c r="P51" s="64">
        <f>+(N51-N20)-(SUM($M$49:M51))</f>
        <v>337734.47031249828</v>
      </c>
      <c r="Q51" s="64">
        <f>+SUM($M$49:M51)</f>
        <v>1256616.2109375002</v>
      </c>
      <c r="R51" s="65">
        <f t="shared" si="14"/>
        <v>1594350.6812499985</v>
      </c>
      <c r="S51" s="44">
        <f t="shared" si="15"/>
        <v>1594350.6812499985</v>
      </c>
      <c r="XFD51" s="44">
        <f>+(N51-N20)-(SUM($M$49:M51))</f>
        <v>337734.47031249828</v>
      </c>
    </row>
    <row r="52" spans="4:19 16384:16384" x14ac:dyDescent="0.3">
      <c r="D52" s="2"/>
      <c r="E52" s="31">
        <v>4</v>
      </c>
      <c r="F52" s="49">
        <f>IF(Supuestos!$D$8-'Tabla Comparativa 25 años'!$E51&gt;0,+Supuestos!$D$7,0)</f>
        <v>0</v>
      </c>
      <c r="G52" s="49">
        <f t="shared" si="16"/>
        <v>59973144.53125</v>
      </c>
      <c r="H52" s="49"/>
      <c r="I52" s="49">
        <f t="shared" si="7"/>
        <v>3748321.533203125</v>
      </c>
      <c r="J52" s="49">
        <f t="shared" si="8"/>
        <v>0</v>
      </c>
      <c r="K52" s="49">
        <f t="shared" si="9"/>
        <v>472288.51318359387</v>
      </c>
      <c r="L52" s="49">
        <f t="shared" si="10"/>
        <v>0</v>
      </c>
      <c r="M52" s="49">
        <f t="shared" si="11"/>
        <v>472288.51318359387</v>
      </c>
      <c r="N52" s="50">
        <f t="shared" si="12"/>
        <v>63721466.064453125</v>
      </c>
      <c r="O52" s="43">
        <f t="shared" si="13"/>
        <v>3.6578675164853802E-2</v>
      </c>
      <c r="P52" s="64">
        <f>+(N52-N21)-(SUM($M$49:M52))</f>
        <v>519691.41628203494</v>
      </c>
      <c r="Q52" s="64">
        <f>+SUM($M$49:M52)</f>
        <v>1728904.7241210942</v>
      </c>
      <c r="R52" s="65">
        <f t="shared" si="14"/>
        <v>2248596.1404031292</v>
      </c>
      <c r="S52" s="44">
        <f t="shared" si="15"/>
        <v>2248596.1404031292</v>
      </c>
      <c r="XFD52" s="44">
        <f>+(N52-N21)-(SUM($M$49:M52))</f>
        <v>519691.41628203494</v>
      </c>
    </row>
    <row r="53" spans="4:19 16384:16384" x14ac:dyDescent="0.3">
      <c r="D53" s="2"/>
      <c r="E53" s="34">
        <v>5</v>
      </c>
      <c r="F53" s="51">
        <f>IF(Supuestos!$D$8-'Tabla Comparativa 25 años'!$E52&gt;0,+Supuestos!$D$7,0)</f>
        <v>0</v>
      </c>
      <c r="G53" s="51">
        <f t="shared" si="16"/>
        <v>63721466.064453125</v>
      </c>
      <c r="H53" s="51"/>
      <c r="I53" s="51">
        <f t="shared" si="7"/>
        <v>3982591.6290283203</v>
      </c>
      <c r="J53" s="51">
        <f t="shared" si="8"/>
        <v>0</v>
      </c>
      <c r="K53" s="51">
        <f t="shared" si="9"/>
        <v>501806.54525756848</v>
      </c>
      <c r="L53" s="51">
        <f t="shared" si="10"/>
        <v>0</v>
      </c>
      <c r="M53" s="51">
        <f t="shared" si="11"/>
        <v>501806.54525756848</v>
      </c>
      <c r="N53" s="52">
        <f t="shared" si="12"/>
        <v>67704057.693481445</v>
      </c>
      <c r="O53" s="43">
        <f t="shared" si="13"/>
        <v>4.5930524560928054E-2</v>
      </c>
      <c r="P53" s="64">
        <f>+(N53-N22)-(SUM($M$49:M53))</f>
        <v>742414.39407814248</v>
      </c>
      <c r="Q53" s="64">
        <f>+SUM($M$49:M53)</f>
        <v>2230711.2693786626</v>
      </c>
      <c r="R53" s="65">
        <f t="shared" si="14"/>
        <v>2973125.6634568051</v>
      </c>
      <c r="S53" s="44">
        <f t="shared" si="15"/>
        <v>2973125.6634568051</v>
      </c>
      <c r="XFD53" s="44">
        <f>+(N53-N22)-(SUM($M$49:M53))</f>
        <v>742414.39407814248</v>
      </c>
    </row>
    <row r="54" spans="4:19 16384:16384" x14ac:dyDescent="0.3">
      <c r="D54" s="2"/>
      <c r="E54" s="31">
        <v>6</v>
      </c>
      <c r="F54" s="49">
        <f>IF(Supuestos!$D$8-'Tabla Comparativa 25 años'!$E53&gt;0,+Supuestos!$D$7,0)</f>
        <v>0</v>
      </c>
      <c r="G54" s="49">
        <f t="shared" si="16"/>
        <v>67704057.693481445</v>
      </c>
      <c r="H54" s="49"/>
      <c r="I54" s="49">
        <f t="shared" si="7"/>
        <v>4231503.6058425903</v>
      </c>
      <c r="J54" s="49">
        <f t="shared" si="8"/>
        <v>0</v>
      </c>
      <c r="K54" s="49">
        <f t="shared" si="9"/>
        <v>533169.4543361665</v>
      </c>
      <c r="L54" s="49">
        <f t="shared" si="10"/>
        <v>0</v>
      </c>
      <c r="M54" s="49">
        <f t="shared" si="11"/>
        <v>533169.4543361665</v>
      </c>
      <c r="N54" s="50">
        <f t="shared" si="12"/>
        <v>71935561.299324036</v>
      </c>
      <c r="O54" s="43">
        <f t="shared" si="13"/>
        <v>5.5366744867982653E-2</v>
      </c>
      <c r="P54" s="64">
        <f>+(N54-N23)-(SUM($M$49:M54))</f>
        <v>1010009.1479932512</v>
      </c>
      <c r="Q54" s="64">
        <f>+SUM($M$49:M54)</f>
        <v>2763880.723714829</v>
      </c>
      <c r="R54" s="65">
        <f t="shared" si="14"/>
        <v>3773889.8717080802</v>
      </c>
      <c r="S54" s="44">
        <f t="shared" si="15"/>
        <v>3773889.8717080802</v>
      </c>
      <c r="XFD54" s="44">
        <f>+(N54-N23)-(SUM($M$49:M54))</f>
        <v>1010009.1479932512</v>
      </c>
    </row>
    <row r="55" spans="4:19 16384:16384" x14ac:dyDescent="0.3">
      <c r="D55" s="2"/>
      <c r="E55" s="34">
        <v>7</v>
      </c>
      <c r="F55" s="51">
        <f>IF(Supuestos!$D$8-'Tabla Comparativa 25 años'!$E54&gt;0,+Supuestos!$D$7,0)</f>
        <v>0</v>
      </c>
      <c r="G55" s="51">
        <f t="shared" si="16"/>
        <v>71935561.299324036</v>
      </c>
      <c r="H55" s="51"/>
      <c r="I55" s="51">
        <f t="shared" si="7"/>
        <v>4495972.5812077522</v>
      </c>
      <c r="J55" s="51">
        <f t="shared" si="8"/>
        <v>0</v>
      </c>
      <c r="K55" s="51">
        <f t="shared" si="9"/>
        <v>566492.5452321769</v>
      </c>
      <c r="L55" s="51">
        <f t="shared" si="10"/>
        <v>0</v>
      </c>
      <c r="M55" s="51">
        <f t="shared" si="11"/>
        <v>566492.5452321769</v>
      </c>
      <c r="N55" s="52">
        <f t="shared" si="12"/>
        <v>76431533.880531788</v>
      </c>
      <c r="O55" s="43">
        <f t="shared" si="13"/>
        <v>6.4888097267076672E-2</v>
      </c>
      <c r="P55" s="64">
        <f>+(N55-N24)-(SUM($M$49:M55))</f>
        <v>1326920.5983051802</v>
      </c>
      <c r="Q55" s="64">
        <f>+SUM($M$49:M55)</f>
        <v>3330373.2689470057</v>
      </c>
      <c r="R55" s="65">
        <f t="shared" si="14"/>
        <v>4657293.8672521859</v>
      </c>
      <c r="S55" s="44">
        <f t="shared" si="15"/>
        <v>4657293.8672521859</v>
      </c>
      <c r="XFD55" s="44">
        <f>+(N55-N24)-(SUM($M$49:M55))</f>
        <v>1326920.5983051802</v>
      </c>
    </row>
    <row r="56" spans="4:19 16384:16384" x14ac:dyDescent="0.3">
      <c r="D56" s="2"/>
      <c r="E56" s="31">
        <v>8</v>
      </c>
      <c r="F56" s="49">
        <f>IF(Supuestos!$D$8-'Tabla Comparativa 25 años'!$E55&gt;0,+Supuestos!$D$7,0)</f>
        <v>0</v>
      </c>
      <c r="G56" s="49">
        <f t="shared" si="16"/>
        <v>76431533.880531788</v>
      </c>
      <c r="H56" s="49"/>
      <c r="I56" s="49">
        <f t="shared" si="7"/>
        <v>4776970.8675332367</v>
      </c>
      <c r="J56" s="49">
        <f t="shared" si="8"/>
        <v>0</v>
      </c>
      <c r="K56" s="49">
        <f t="shared" si="9"/>
        <v>601898.32930918795</v>
      </c>
      <c r="L56" s="49">
        <f t="shared" si="10"/>
        <v>0</v>
      </c>
      <c r="M56" s="49">
        <f t="shared" si="11"/>
        <v>601898.32930918795</v>
      </c>
      <c r="N56" s="50">
        <f t="shared" si="12"/>
        <v>81208504.748065025</v>
      </c>
      <c r="O56" s="43">
        <f t="shared" si="13"/>
        <v>7.4495349806523281E-2</v>
      </c>
      <c r="P56" s="64">
        <f>+(N56-N25)-(SUM($M$49:M56))</f>
        <v>1697958.4158254187</v>
      </c>
      <c r="Q56" s="64">
        <f>+SUM($M$49:M56)</f>
        <v>3932271.5982561936</v>
      </c>
      <c r="R56" s="65">
        <f t="shared" si="14"/>
        <v>5630230.0140816122</v>
      </c>
      <c r="S56" s="44">
        <f t="shared" si="15"/>
        <v>5630230.0140816122</v>
      </c>
      <c r="XFD56" s="44">
        <f>+(N56-N25)-(SUM($M$49:M56))</f>
        <v>1697958.4158254187</v>
      </c>
    </row>
    <row r="57" spans="4:19 16384:16384" x14ac:dyDescent="0.3">
      <c r="D57" s="2"/>
      <c r="E57" s="34">
        <v>9</v>
      </c>
      <c r="F57" s="51">
        <f>IF(Supuestos!$D$8-'Tabla Comparativa 25 años'!$E56&gt;0,+Supuestos!$D$7,0)</f>
        <v>0</v>
      </c>
      <c r="G57" s="51">
        <f t="shared" si="16"/>
        <v>81208504.748065025</v>
      </c>
      <c r="H57" s="51"/>
      <c r="I57" s="51">
        <f t="shared" si="7"/>
        <v>5075531.546754064</v>
      </c>
      <c r="J57" s="51">
        <f t="shared" si="8"/>
        <v>0</v>
      </c>
      <c r="K57" s="51">
        <f t="shared" si="9"/>
        <v>639516.97489101219</v>
      </c>
      <c r="L57" s="51">
        <f t="shared" si="10"/>
        <v>0</v>
      </c>
      <c r="M57" s="51">
        <f t="shared" si="11"/>
        <v>639516.97489101219</v>
      </c>
      <c r="N57" s="52">
        <f t="shared" si="12"/>
        <v>86284036.294819087</v>
      </c>
      <c r="O57" s="43">
        <f t="shared" si="13"/>
        <v>8.4189277463847079E-2</v>
      </c>
      <c r="P57" s="64">
        <f>+(N57-N26)-(SUM($M$49:M57))</f>
        <v>2128324.4267873485</v>
      </c>
      <c r="Q57" s="64">
        <f>+SUM($M$49:M57)</f>
        <v>4571788.5731472056</v>
      </c>
      <c r="R57" s="65">
        <f t="shared" si="14"/>
        <v>6700112.9999345541</v>
      </c>
      <c r="S57" s="44">
        <f t="shared" si="15"/>
        <v>6700112.9999345541</v>
      </c>
      <c r="XFD57" s="44">
        <f>+(N57-N26)-(SUM($M$49:M57))</f>
        <v>2128324.4267873485</v>
      </c>
    </row>
    <row r="58" spans="4:19 16384:16384" x14ac:dyDescent="0.3">
      <c r="D58" s="2"/>
      <c r="E58" s="31">
        <v>10</v>
      </c>
      <c r="F58" s="49">
        <f>IF(Supuestos!$D$8-'Tabla Comparativa 25 años'!$E57&gt;0,+Supuestos!$D$7,0)</f>
        <v>0</v>
      </c>
      <c r="G58" s="49">
        <f t="shared" si="16"/>
        <v>86284036.294819087</v>
      </c>
      <c r="H58" s="49"/>
      <c r="I58" s="49">
        <f t="shared" si="7"/>
        <v>5392752.2684261929</v>
      </c>
      <c r="J58" s="49">
        <f t="shared" si="8"/>
        <v>0</v>
      </c>
      <c r="K58" s="49">
        <f t="shared" si="9"/>
        <v>679486.78582170047</v>
      </c>
      <c r="L58" s="49">
        <f t="shared" si="10"/>
        <v>0</v>
      </c>
      <c r="M58" s="49">
        <f t="shared" si="11"/>
        <v>679486.78582170047</v>
      </c>
      <c r="N58" s="50">
        <f t="shared" si="12"/>
        <v>91676788.563245282</v>
      </c>
      <c r="O58" s="43">
        <f t="shared" si="13"/>
        <v>9.3970662208297862E-2</v>
      </c>
      <c r="P58" s="64">
        <f>+(N58-N27)-(SUM($M$49:M58))</f>
        <v>2623641.9747629687</v>
      </c>
      <c r="Q58" s="64">
        <f>+SUM($M$49:M58)</f>
        <v>5251275.3589689061</v>
      </c>
      <c r="R58" s="65">
        <f t="shared" si="14"/>
        <v>7874917.3337318748</v>
      </c>
      <c r="S58" s="44">
        <f t="shared" si="15"/>
        <v>7874917.3337318748</v>
      </c>
      <c r="XFD58" s="44">
        <f>+(N58-N27)-(SUM($M$49:M58))</f>
        <v>2623641.9747629687</v>
      </c>
    </row>
    <row r="59" spans="4:19 16384:16384" x14ac:dyDescent="0.3">
      <c r="D59" s="2"/>
      <c r="E59" s="34">
        <v>11</v>
      </c>
      <c r="F59" s="51">
        <f>IF(Supuestos!$D$8-'Tabla Comparativa 25 años'!$E58&gt;0,+Supuestos!$D$7,0)</f>
        <v>0</v>
      </c>
      <c r="G59" s="51">
        <f t="shared" si="16"/>
        <v>91676788.563245282</v>
      </c>
      <c r="H59" s="51"/>
      <c r="I59" s="51">
        <f t="shared" si="7"/>
        <v>5729799.2852028301</v>
      </c>
      <c r="J59" s="51">
        <f t="shared" si="8"/>
        <v>0</v>
      </c>
      <c r="K59" s="51">
        <f t="shared" si="9"/>
        <v>721954.70993555675</v>
      </c>
      <c r="L59" s="51">
        <f t="shared" si="10"/>
        <v>0</v>
      </c>
      <c r="M59" s="51">
        <f t="shared" si="11"/>
        <v>721954.70993555675</v>
      </c>
      <c r="N59" s="52">
        <f t="shared" si="12"/>
        <v>97406587.848448113</v>
      </c>
      <c r="O59" s="43">
        <f t="shared" si="13"/>
        <v>0.10384029306392817</v>
      </c>
      <c r="P59" s="64">
        <f>+(N59-N28)-(SUM($M$49:M59))</f>
        <v>3189987.3748660199</v>
      </c>
      <c r="Q59" s="64">
        <f>+SUM($M$49:M59)</f>
        <v>5973230.0689044632</v>
      </c>
      <c r="R59" s="65">
        <f t="shared" si="14"/>
        <v>9163217.4437704831</v>
      </c>
      <c r="S59" s="44">
        <f t="shared" si="15"/>
        <v>9163217.4437704831</v>
      </c>
      <c r="XFD59" s="44">
        <f>+(N59-N28)-(SUM($M$49:M59))</f>
        <v>3189987.3748660199</v>
      </c>
    </row>
    <row r="60" spans="4:19 16384:16384" x14ac:dyDescent="0.3">
      <c r="D60" s="2"/>
      <c r="E60" s="31">
        <v>12</v>
      </c>
      <c r="F60" s="49">
        <f>IF(Supuestos!$D$8-'Tabla Comparativa 25 años'!$E59&gt;0,+Supuestos!$D$7,0)</f>
        <v>0</v>
      </c>
      <c r="G60" s="49">
        <f t="shared" si="16"/>
        <v>97406587.848448113</v>
      </c>
      <c r="H60" s="49"/>
      <c r="I60" s="49">
        <f t="shared" si="7"/>
        <v>6087911.740528007</v>
      </c>
      <c r="J60" s="49">
        <f t="shared" si="8"/>
        <v>0</v>
      </c>
      <c r="K60" s="49">
        <f t="shared" si="9"/>
        <v>767076.87930652895</v>
      </c>
      <c r="L60" s="49">
        <f t="shared" si="10"/>
        <v>0</v>
      </c>
      <c r="M60" s="49">
        <f t="shared" si="11"/>
        <v>767076.87930652895</v>
      </c>
      <c r="N60" s="50">
        <f t="shared" si="12"/>
        <v>103494499.58897611</v>
      </c>
      <c r="O60" s="43">
        <f t="shared" si="13"/>
        <v>0.1137989661732417</v>
      </c>
      <c r="P60" s="64">
        <f>+(N60-N29)-(SUM($M$49:M60))</f>
        <v>3833923.6046395823</v>
      </c>
      <c r="Q60" s="64">
        <f>+SUM($M$49:M60)</f>
        <v>6740306.9482109919</v>
      </c>
      <c r="R60" s="65">
        <f t="shared" si="14"/>
        <v>10574230.552850574</v>
      </c>
      <c r="S60" s="44">
        <f t="shared" si="15"/>
        <v>10574230.552850574</v>
      </c>
      <c r="XFD60" s="44">
        <f>+(N60-N29)-(SUM($M$49:M60))</f>
        <v>3833923.6046395823</v>
      </c>
    </row>
    <row r="61" spans="4:19 16384:16384" x14ac:dyDescent="0.3">
      <c r="D61" s="2"/>
      <c r="E61" s="34">
        <v>13</v>
      </c>
      <c r="F61" s="51">
        <f>IF(Supuestos!$D$8-'Tabla Comparativa 25 años'!$E60&gt;0,+Supuestos!$D$7,0)</f>
        <v>0</v>
      </c>
      <c r="G61" s="51">
        <f t="shared" si="16"/>
        <v>103494499.58897611</v>
      </c>
      <c r="H61" s="51"/>
      <c r="I61" s="51">
        <f t="shared" si="7"/>
        <v>6468406.2243110072</v>
      </c>
      <c r="J61" s="51">
        <f t="shared" si="8"/>
        <v>0</v>
      </c>
      <c r="K61" s="51">
        <f t="shared" si="9"/>
        <v>815019.18426318699</v>
      </c>
      <c r="L61" s="51">
        <f t="shared" si="10"/>
        <v>0</v>
      </c>
      <c r="M61" s="51">
        <f t="shared" si="11"/>
        <v>815019.18426318699</v>
      </c>
      <c r="N61" s="52">
        <f t="shared" si="12"/>
        <v>109962905.81328712</v>
      </c>
      <c r="O61" s="43">
        <f t="shared" si="13"/>
        <v>0.12384748486141439</v>
      </c>
      <c r="P61" s="64">
        <f>+(N61-N30)-(SUM($M$49:M61))</f>
        <v>4562536.3857727405</v>
      </c>
      <c r="Q61" s="64">
        <f>+SUM($M$49:M61)</f>
        <v>7555326.1324741784</v>
      </c>
      <c r="R61" s="65">
        <f t="shared" si="14"/>
        <v>12117862.518246919</v>
      </c>
      <c r="S61" s="44">
        <f t="shared" si="15"/>
        <v>12117862.518246919</v>
      </c>
      <c r="XFD61" s="44">
        <f>+(N61-N30)-(SUM($M$49:M61))</f>
        <v>4562536.3857727405</v>
      </c>
    </row>
    <row r="62" spans="4:19 16384:16384" x14ac:dyDescent="0.3">
      <c r="D62" s="2"/>
      <c r="E62" s="31">
        <v>14</v>
      </c>
      <c r="F62" s="49">
        <f>IF(Supuestos!$D$8-'Tabla Comparativa 25 años'!$E61&gt;0,+Supuestos!$D$7,0)</f>
        <v>0</v>
      </c>
      <c r="G62" s="49">
        <f t="shared" si="16"/>
        <v>109962905.81328712</v>
      </c>
      <c r="H62" s="49"/>
      <c r="I62" s="49">
        <f t="shared" si="7"/>
        <v>6872681.6133304453</v>
      </c>
      <c r="J62" s="49">
        <f t="shared" si="8"/>
        <v>0</v>
      </c>
      <c r="K62" s="49">
        <f t="shared" si="9"/>
        <v>865957.88327963627</v>
      </c>
      <c r="L62" s="49">
        <f t="shared" si="10"/>
        <v>0</v>
      </c>
      <c r="M62" s="49">
        <f t="shared" si="11"/>
        <v>865957.88327963627</v>
      </c>
      <c r="N62" s="50">
        <f t="shared" si="12"/>
        <v>116835587.42661756</v>
      </c>
      <c r="O62" s="43">
        <f t="shared" si="13"/>
        <v>0.13398665970109458</v>
      </c>
      <c r="P62" s="64">
        <f>+(N62-N31)-(SUM($M$49:M62))</f>
        <v>5383472.821186414</v>
      </c>
      <c r="Q62" s="64">
        <f>+SUM($M$49:M62)</f>
        <v>8421284.015753815</v>
      </c>
      <c r="R62" s="65">
        <f t="shared" si="14"/>
        <v>13804756.836940229</v>
      </c>
      <c r="S62" s="44">
        <f t="shared" si="15"/>
        <v>13804756.836940229</v>
      </c>
      <c r="XFD62" s="44">
        <f>+(N62-N31)-(SUM($M$49:M62))</f>
        <v>5383472.821186414</v>
      </c>
    </row>
    <row r="63" spans="4:19 16384:16384" x14ac:dyDescent="0.3">
      <c r="D63" s="2"/>
      <c r="E63" s="34">
        <v>15</v>
      </c>
      <c r="F63" s="51">
        <f>IF(Supuestos!$D$8-'Tabla Comparativa 25 años'!$E62&gt;0,+Supuestos!$D$7,0)</f>
        <v>0</v>
      </c>
      <c r="G63" s="51">
        <f t="shared" si="16"/>
        <v>116835587.42661756</v>
      </c>
      <c r="H63" s="51"/>
      <c r="I63" s="51">
        <f t="shared" si="7"/>
        <v>7302224.2141635977</v>
      </c>
      <c r="J63" s="51">
        <f t="shared" si="8"/>
        <v>0</v>
      </c>
      <c r="K63" s="51">
        <f t="shared" si="9"/>
        <v>920080.25098461355</v>
      </c>
      <c r="L63" s="51">
        <f t="shared" si="10"/>
        <v>0</v>
      </c>
      <c r="M63" s="51">
        <f t="shared" si="11"/>
        <v>920080.25098461355</v>
      </c>
      <c r="N63" s="52">
        <f t="shared" si="12"/>
        <v>124137811.64078116</v>
      </c>
      <c r="O63" s="43">
        <f t="shared" si="13"/>
        <v>0.14421730857779025</v>
      </c>
      <c r="P63" s="64">
        <f>+(N63-N32)-(SUM($M$49:M63))</f>
        <v>6304982.7631125022</v>
      </c>
      <c r="Q63" s="64">
        <f>+SUM($M$49:M63)</f>
        <v>9341364.2667384278</v>
      </c>
      <c r="R63" s="65">
        <f t="shared" si="14"/>
        <v>15646347.02985093</v>
      </c>
      <c r="S63" s="44">
        <f t="shared" si="15"/>
        <v>15646347.02985093</v>
      </c>
      <c r="XFD63" s="44">
        <f>+(N63-N32)-(SUM($M$49:M63))</f>
        <v>6304982.7631125022</v>
      </c>
    </row>
    <row r="64" spans="4:19 16384:16384" x14ac:dyDescent="0.3">
      <c r="D64" s="2"/>
      <c r="E64" s="31">
        <v>16</v>
      </c>
      <c r="F64" s="49">
        <f>IF(Supuestos!$D$8-'Tabla Comparativa 25 años'!$E63&gt;0,+Supuestos!$D$7,0)</f>
        <v>0</v>
      </c>
      <c r="G64" s="49">
        <f t="shared" si="16"/>
        <v>124137811.64078116</v>
      </c>
      <c r="H64" s="49"/>
      <c r="I64" s="49">
        <f t="shared" si="7"/>
        <v>7758613.2275488228</v>
      </c>
      <c r="J64" s="49">
        <f t="shared" si="8"/>
        <v>0</v>
      </c>
      <c r="K64" s="49">
        <f t="shared" si="9"/>
        <v>977585.26667115197</v>
      </c>
      <c r="L64" s="49">
        <f t="shared" si="10"/>
        <v>0</v>
      </c>
      <c r="M64" s="49">
        <f t="shared" si="11"/>
        <v>977585.26667115197</v>
      </c>
      <c r="N64" s="50">
        <f t="shared" si="12"/>
        <v>131896424.86832999</v>
      </c>
      <c r="O64" s="43">
        <f t="shared" si="13"/>
        <v>0.15454025675584249</v>
      </c>
      <c r="P64" s="64">
        <f>+(N64-N33)-(SUM($M$49:M64))</f>
        <v>7335963.0996108651</v>
      </c>
      <c r="Q64" s="64">
        <f>+SUM($M$49:M64)</f>
        <v>10318949.533409581</v>
      </c>
      <c r="R64" s="65">
        <f t="shared" si="14"/>
        <v>17654912.633020446</v>
      </c>
      <c r="S64" s="44">
        <f t="shared" si="15"/>
        <v>17654912.633020446</v>
      </c>
      <c r="XFD64" s="44">
        <f>+(N64-N33)-(SUM($M$49:M64))</f>
        <v>7335963.0996108651</v>
      </c>
    </row>
    <row r="65" spans="4:19 16384:16384" x14ac:dyDescent="0.3">
      <c r="D65" s="2"/>
      <c r="E65" s="34">
        <v>17</v>
      </c>
      <c r="F65" s="51">
        <f>IF(Supuestos!$D$8-'Tabla Comparativa 25 años'!$E64&gt;0,+Supuestos!$D$7,0)</f>
        <v>0</v>
      </c>
      <c r="G65" s="51">
        <f t="shared" si="16"/>
        <v>131896424.86832999</v>
      </c>
      <c r="H65" s="51"/>
      <c r="I65" s="51">
        <f t="shared" si="7"/>
        <v>8243526.5542706242</v>
      </c>
      <c r="J65" s="51">
        <f t="shared" si="8"/>
        <v>0</v>
      </c>
      <c r="K65" s="51">
        <f t="shared" si="9"/>
        <v>1038684.3458380989</v>
      </c>
      <c r="L65" s="51">
        <f t="shared" si="10"/>
        <v>0</v>
      </c>
      <c r="M65" s="51">
        <f t="shared" si="11"/>
        <v>1038684.3458380989</v>
      </c>
      <c r="N65" s="52">
        <f t="shared" si="12"/>
        <v>140139951.4226006</v>
      </c>
      <c r="O65" s="43">
        <f t="shared" si="13"/>
        <v>0.16495633694499756</v>
      </c>
      <c r="P65" s="64">
        <f>+(N65-N34)-(SUM($M$49:M65))</f>
        <v>8486005.1595719606</v>
      </c>
      <c r="Q65" s="64">
        <f>+SUM($M$49:M65)</f>
        <v>11357633.87924768</v>
      </c>
      <c r="R65" s="65">
        <f t="shared" si="14"/>
        <v>19843639.038819641</v>
      </c>
      <c r="S65" s="44">
        <f t="shared" si="15"/>
        <v>19843639.038819641</v>
      </c>
      <c r="XFD65" s="44">
        <f>+(N65-N34)-(SUM($M$49:M65))</f>
        <v>8486005.1595719606</v>
      </c>
    </row>
    <row r="66" spans="4:19 16384:16384" x14ac:dyDescent="0.3">
      <c r="D66" s="2"/>
      <c r="E66" s="31">
        <v>18</v>
      </c>
      <c r="F66" s="49">
        <f>IF(Supuestos!$D$8-'Tabla Comparativa 25 años'!$E65&gt;0,+Supuestos!$D$7,0)</f>
        <v>0</v>
      </c>
      <c r="G66" s="49">
        <f t="shared" si="16"/>
        <v>140139951.4226006</v>
      </c>
      <c r="H66" s="49"/>
      <c r="I66" s="49">
        <f t="shared" si="7"/>
        <v>8758746.9639125373</v>
      </c>
      <c r="J66" s="49">
        <f t="shared" si="8"/>
        <v>0</v>
      </c>
      <c r="K66" s="49">
        <f t="shared" si="9"/>
        <v>1103602.11745298</v>
      </c>
      <c r="L66" s="49">
        <f t="shared" si="10"/>
        <v>0</v>
      </c>
      <c r="M66" s="49">
        <f t="shared" si="11"/>
        <v>1103602.11745298</v>
      </c>
      <c r="N66" s="50">
        <f t="shared" si="12"/>
        <v>148898698.38651314</v>
      </c>
      <c r="O66" s="43">
        <f t="shared" si="13"/>
        <v>0.1754663893675783</v>
      </c>
      <c r="P66" s="64">
        <f>+(N66-N35)-(SUM($M$49:M66))</f>
        <v>9765445.4496911466</v>
      </c>
      <c r="Q66" s="64">
        <f>+SUM($M$49:M66)</f>
        <v>12461235.996700659</v>
      </c>
      <c r="R66" s="65">
        <f t="shared" si="14"/>
        <v>22226681.446391806</v>
      </c>
      <c r="S66" s="44">
        <f t="shared" si="15"/>
        <v>22226681.446391806</v>
      </c>
      <c r="XFD66" s="44">
        <f>+(N66-N35)-(SUM($M$49:M66))</f>
        <v>9765445.4496911466</v>
      </c>
    </row>
    <row r="67" spans="4:19 16384:16384" x14ac:dyDescent="0.3">
      <c r="D67" s="2"/>
      <c r="E67" s="34">
        <v>19</v>
      </c>
      <c r="F67" s="51">
        <f>IF(Supuestos!$D$8-'Tabla Comparativa 25 años'!$E66&gt;0,+Supuestos!$D$7,0)</f>
        <v>0</v>
      </c>
      <c r="G67" s="51">
        <f t="shared" si="16"/>
        <v>148898698.38651314</v>
      </c>
      <c r="H67" s="51"/>
      <c r="I67" s="51">
        <f t="shared" si="7"/>
        <v>9306168.6491570715</v>
      </c>
      <c r="J67" s="51">
        <f t="shared" si="8"/>
        <v>0</v>
      </c>
      <c r="K67" s="51">
        <f t="shared" si="9"/>
        <v>1172577.2497937912</v>
      </c>
      <c r="L67" s="51">
        <f t="shared" si="10"/>
        <v>0</v>
      </c>
      <c r="M67" s="51">
        <f t="shared" si="11"/>
        <v>1172577.2497937912</v>
      </c>
      <c r="N67" s="52">
        <f t="shared" si="12"/>
        <v>158204867.03567022</v>
      </c>
      <c r="O67" s="43">
        <f t="shared" si="13"/>
        <v>0.18607126182626033</v>
      </c>
      <c r="P67" s="64">
        <f>+(N67-N36)-(SUM($M$49:M67))</f>
        <v>11185419.951228015</v>
      </c>
      <c r="Q67" s="64">
        <f>+SUM($M$49:M67)</f>
        <v>13633813.24649445</v>
      </c>
      <c r="R67" s="65">
        <f t="shared" si="14"/>
        <v>24819233.197722465</v>
      </c>
      <c r="S67" s="44">
        <f t="shared" si="15"/>
        <v>24819233.197722465</v>
      </c>
      <c r="XFD67" s="44">
        <f>+(N67-N36)-(SUM($M$49:M67))</f>
        <v>11185419.951228015</v>
      </c>
    </row>
    <row r="68" spans="4:19 16384:16384" x14ac:dyDescent="0.3">
      <c r="D68" s="2"/>
      <c r="E68" s="31">
        <v>20</v>
      </c>
      <c r="F68" s="49">
        <f>IF(Supuestos!$D$8-'Tabla Comparativa 25 años'!$E67&gt;0,+Supuestos!$D$7,0)</f>
        <v>0</v>
      </c>
      <c r="G68" s="49">
        <f t="shared" si="16"/>
        <v>158204867.03567022</v>
      </c>
      <c r="H68" s="49"/>
      <c r="I68" s="49">
        <f t="shared" si="7"/>
        <v>9887804.1897293888</v>
      </c>
      <c r="J68" s="49">
        <f t="shared" si="8"/>
        <v>0</v>
      </c>
      <c r="K68" s="49">
        <f t="shared" si="9"/>
        <v>1245863.3279059033</v>
      </c>
      <c r="L68" s="49">
        <f t="shared" si="10"/>
        <v>0</v>
      </c>
      <c r="M68" s="49">
        <f t="shared" si="11"/>
        <v>1245863.3279059033</v>
      </c>
      <c r="N68" s="50">
        <f t="shared" si="12"/>
        <v>168092671.22539961</v>
      </c>
      <c r="O68" s="43">
        <f t="shared" si="13"/>
        <v>0.19677180977246111</v>
      </c>
      <c r="P68" s="64">
        <f>+(N68-N37)-(SUM($M$49:M68))</f>
        <v>12757922.219640268</v>
      </c>
      <c r="Q68" s="64">
        <f>+SUM($M$49:M68)</f>
        <v>14879676.574400352</v>
      </c>
      <c r="R68" s="65">
        <f t="shared" si="14"/>
        <v>27637598.79404062</v>
      </c>
      <c r="S68" s="44">
        <f t="shared" si="15"/>
        <v>27637598.79404062</v>
      </c>
      <c r="XFD68" s="44">
        <f>+(N68-N37)-(SUM($M$49:M68))</f>
        <v>12757922.219640268</v>
      </c>
    </row>
    <row r="69" spans="4:19 16384:16384" x14ac:dyDescent="0.3">
      <c r="D69" s="2"/>
      <c r="E69" s="34">
        <v>21</v>
      </c>
      <c r="F69" s="51">
        <f>IF(Supuestos!$D$8-'Tabla Comparativa 25 años'!$E68&gt;0,+Supuestos!$D$7,0)</f>
        <v>0</v>
      </c>
      <c r="G69" s="51">
        <f t="shared" si="16"/>
        <v>168092671.22539961</v>
      </c>
      <c r="H69" s="51"/>
      <c r="I69" s="51">
        <f t="shared" si="7"/>
        <v>10505791.951587476</v>
      </c>
      <c r="J69" s="51">
        <f t="shared" si="8"/>
        <v>0</v>
      </c>
      <c r="K69" s="51">
        <f t="shared" si="9"/>
        <v>1323729.7859000224</v>
      </c>
      <c r="L69" s="51">
        <f t="shared" si="10"/>
        <v>0</v>
      </c>
      <c r="M69" s="51">
        <f t="shared" si="11"/>
        <v>1323729.7859000224</v>
      </c>
      <c r="N69" s="52">
        <f t="shared" si="12"/>
        <v>178598463.17698708</v>
      </c>
      <c r="O69" s="43">
        <f t="shared" si="13"/>
        <v>0.20756889637534659</v>
      </c>
      <c r="P69" s="64">
        <f>+(N69-N38)-(SUM($M$49:M69))</f>
        <v>14495865.546465682</v>
      </c>
      <c r="Q69" s="64">
        <f>+SUM($M$49:M69)</f>
        <v>16203406.360300375</v>
      </c>
      <c r="R69" s="65">
        <f t="shared" si="14"/>
        <v>30699271.906766057</v>
      </c>
      <c r="S69" s="44">
        <f t="shared" si="15"/>
        <v>30699271.906766057</v>
      </c>
      <c r="XFD69" s="44">
        <f>+(N69-N38)-(SUM($M$49:M69))</f>
        <v>14495865.546465682</v>
      </c>
    </row>
    <row r="70" spans="4:19 16384:16384" x14ac:dyDescent="0.3">
      <c r="D70" s="2"/>
      <c r="E70" s="31">
        <v>22</v>
      </c>
      <c r="F70" s="49">
        <f>IF(Supuestos!$D$8-'Tabla Comparativa 25 años'!$E69&gt;0,+Supuestos!$D$7,0)</f>
        <v>0</v>
      </c>
      <c r="G70" s="49">
        <f t="shared" si="16"/>
        <v>178598463.17698708</v>
      </c>
      <c r="H70" s="49"/>
      <c r="I70" s="49">
        <f t="shared" si="7"/>
        <v>11162403.948561693</v>
      </c>
      <c r="J70" s="49">
        <f t="shared" si="8"/>
        <v>0</v>
      </c>
      <c r="K70" s="49">
        <f t="shared" si="9"/>
        <v>1406462.8975187736</v>
      </c>
      <c r="L70" s="49">
        <f t="shared" si="10"/>
        <v>0</v>
      </c>
      <c r="M70" s="49">
        <f t="shared" si="11"/>
        <v>1406462.8975187736</v>
      </c>
      <c r="N70" s="50">
        <f t="shared" si="12"/>
        <v>189760867.12554878</v>
      </c>
      <c r="O70" s="43">
        <f t="shared" si="13"/>
        <v>0.21846339259145831</v>
      </c>
      <c r="P70" s="64">
        <f>+(N70-N39)-(SUM($M$49:M70))</f>
        <v>16413149.460186895</v>
      </c>
      <c r="Q70" s="64">
        <f>+SUM($M$49:M70)</f>
        <v>17609869.25781915</v>
      </c>
      <c r="R70" s="65">
        <f t="shared" si="14"/>
        <v>34023018.718006045</v>
      </c>
      <c r="S70" s="44">
        <f t="shared" si="15"/>
        <v>34023018.718006045</v>
      </c>
      <c r="XFD70" s="44">
        <f>+(N70-N39)-(SUM($M$49:M70))</f>
        <v>16413149.460186895</v>
      </c>
    </row>
    <row r="71" spans="4:19 16384:16384" x14ac:dyDescent="0.3">
      <c r="D71" s="2"/>
      <c r="E71" s="34">
        <v>23</v>
      </c>
      <c r="F71" s="51">
        <f>IF(Supuestos!$D$8-'Tabla Comparativa 25 años'!$E70&gt;0,+Supuestos!$D$7,0)</f>
        <v>0</v>
      </c>
      <c r="G71" s="51">
        <f t="shared" si="16"/>
        <v>189760867.12554878</v>
      </c>
      <c r="H71" s="51"/>
      <c r="I71" s="51">
        <f t="shared" si="7"/>
        <v>11860054.195346799</v>
      </c>
      <c r="J71" s="51">
        <f t="shared" si="8"/>
        <v>0</v>
      </c>
      <c r="K71" s="51">
        <f t="shared" si="9"/>
        <v>1494366.8286136971</v>
      </c>
      <c r="L71" s="51">
        <f t="shared" si="10"/>
        <v>0</v>
      </c>
      <c r="M71" s="51">
        <f t="shared" si="11"/>
        <v>1494366.8286136971</v>
      </c>
      <c r="N71" s="52">
        <f t="shared" si="12"/>
        <v>201620921.32089558</v>
      </c>
      <c r="O71" s="43">
        <f t="shared" si="13"/>
        <v>0.22945617723497103</v>
      </c>
      <c r="P71" s="64">
        <f>+(N71-N40)-(SUM($M$49:M71))</f>
        <v>18524730.861320224</v>
      </c>
      <c r="Q71" s="64">
        <f>+SUM($M$49:M71)</f>
        <v>19104236.086432848</v>
      </c>
      <c r="R71" s="65">
        <f t="shared" si="14"/>
        <v>37628966.947753072</v>
      </c>
      <c r="S71" s="44">
        <f t="shared" si="15"/>
        <v>37628966.947753072</v>
      </c>
      <c r="XFD71" s="44">
        <f>+(N71-N40)-(SUM($M$49:M71))</f>
        <v>18524730.861320224</v>
      </c>
    </row>
    <row r="72" spans="4:19 16384:16384" x14ac:dyDescent="0.3">
      <c r="D72" s="2"/>
      <c r="E72" s="31">
        <v>24</v>
      </c>
      <c r="F72" s="49">
        <f>IF(Supuestos!$D$8-'Tabla Comparativa 25 años'!$E71&gt;0,+Supuestos!$D$7,0)</f>
        <v>0</v>
      </c>
      <c r="G72" s="49">
        <f t="shared" si="16"/>
        <v>201620921.32089558</v>
      </c>
      <c r="H72" s="49"/>
      <c r="I72" s="49">
        <f t="shared" si="7"/>
        <v>12601307.582555974</v>
      </c>
      <c r="J72" s="49">
        <f t="shared" si="8"/>
        <v>0</v>
      </c>
      <c r="K72" s="49">
        <f t="shared" si="9"/>
        <v>1587764.755402053</v>
      </c>
      <c r="L72" s="49">
        <f t="shared" si="10"/>
        <v>0</v>
      </c>
      <c r="M72" s="49">
        <f t="shared" si="11"/>
        <v>1587764.755402053</v>
      </c>
      <c r="N72" s="50">
        <f t="shared" si="12"/>
        <v>214222228.90345156</v>
      </c>
      <c r="O72" s="43">
        <f t="shared" si="13"/>
        <v>0.2405481370485818</v>
      </c>
      <c r="P72" s="64">
        <f>+(N72-N41)-(SUM($M$49:M72))</f>
        <v>20846700.106697589</v>
      </c>
      <c r="Q72" s="64">
        <f>+SUM($M$49:M72)</f>
        <v>20692000.841834903</v>
      </c>
      <c r="R72" s="65">
        <f t="shared" si="14"/>
        <v>41538700.948532492</v>
      </c>
      <c r="S72" s="44">
        <f t="shared" si="15"/>
        <v>41538700.948532492</v>
      </c>
      <c r="XFD72" s="44">
        <f>+(N72-N41)-(SUM($M$49:M72))</f>
        <v>20846700.106697589</v>
      </c>
    </row>
    <row r="73" spans="4:19 16384:16384" ht="15" thickBot="1" x14ac:dyDescent="0.35">
      <c r="D73" s="2"/>
      <c r="E73" s="70">
        <v>25</v>
      </c>
      <c r="F73" s="71">
        <f>IF(Supuestos!$D$8-'Tabla Comparativa 25 años'!$E72&gt;0,+Supuestos!$D$7,0)</f>
        <v>0</v>
      </c>
      <c r="G73" s="71">
        <f t="shared" si="16"/>
        <v>214222228.90345156</v>
      </c>
      <c r="H73" s="71"/>
      <c r="I73" s="71">
        <f t="shared" si="7"/>
        <v>13388889.306465723</v>
      </c>
      <c r="J73" s="71">
        <f t="shared" si="8"/>
        <v>0</v>
      </c>
      <c r="K73" s="71">
        <f t="shared" si="9"/>
        <v>1687000.0526146812</v>
      </c>
      <c r="L73" s="71">
        <f t="shared" si="10"/>
        <v>0</v>
      </c>
      <c r="M73" s="71">
        <f t="shared" si="11"/>
        <v>1687000.0526146812</v>
      </c>
      <c r="N73" s="72">
        <f t="shared" si="12"/>
        <v>227611118.20991728</v>
      </c>
      <c r="O73" s="43">
        <f t="shared" si="13"/>
        <v>0.25174016677504096</v>
      </c>
      <c r="P73" s="64">
        <f>+(N73-N42)-(SUM($M$49:M73))</f>
        <v>23396362.378937908</v>
      </c>
      <c r="Q73" s="64">
        <f>+SUM($M$49:M73)</f>
        <v>22379000.894449584</v>
      </c>
      <c r="R73" s="65">
        <f t="shared" si="14"/>
        <v>45775363.273387492</v>
      </c>
      <c r="S73" s="44">
        <f t="shared" si="15"/>
        <v>45775363.273387492</v>
      </c>
      <c r="XFD73" s="44">
        <f>+(N73-N42)-(SUM($M$49:M73))</f>
        <v>23396362.378937908</v>
      </c>
    </row>
    <row r="74" spans="4:19 16384:16384" ht="15" thickTop="1" x14ac:dyDescent="0.3">
      <c r="D74" s="2"/>
      <c r="E74" s="93" t="s">
        <v>59</v>
      </c>
      <c r="F74" s="38"/>
      <c r="G74" s="39"/>
      <c r="H74" s="39"/>
      <c r="I74" s="39"/>
      <c r="J74" s="39"/>
      <c r="K74" s="39"/>
      <c r="L74" s="39"/>
      <c r="M74" s="39"/>
      <c r="N74" s="39"/>
      <c r="O74" s="45"/>
      <c r="XFD74" s="44"/>
    </row>
    <row r="75" spans="4:19 16384:16384" hidden="1" x14ac:dyDescent="0.3">
      <c r="E75" s="94"/>
      <c r="F75" s="94"/>
      <c r="G75" s="95"/>
      <c r="H75" s="95"/>
      <c r="I75" s="95"/>
      <c r="J75" s="95"/>
      <c r="K75" s="95"/>
      <c r="L75" s="95"/>
      <c r="M75" s="95"/>
      <c r="N75" s="95"/>
      <c r="O75" s="96"/>
    </row>
    <row r="76" spans="4:19 16384:16384" hidden="1" x14ac:dyDescent="0.3">
      <c r="E76" s="94"/>
      <c r="F76" s="94"/>
      <c r="G76" s="95"/>
      <c r="H76" s="95"/>
      <c r="I76" s="95"/>
      <c r="J76" s="95"/>
      <c r="K76" s="95"/>
      <c r="L76" s="95"/>
      <c r="M76" s="95"/>
      <c r="N76" s="95"/>
      <c r="O76" s="96"/>
    </row>
    <row r="77" spans="4:19 16384:16384" hidden="1" x14ac:dyDescent="0.3">
      <c r="E77" s="94"/>
      <c r="F77" s="94"/>
      <c r="G77" s="95"/>
      <c r="H77" s="95"/>
      <c r="I77" s="95"/>
      <c r="J77" s="95"/>
      <c r="K77" s="95"/>
      <c r="L77" s="95"/>
      <c r="M77" s="95"/>
      <c r="N77" s="95"/>
      <c r="O77" s="96"/>
    </row>
    <row r="78" spans="4:19 16384:16384" hidden="1" x14ac:dyDescent="0.3">
      <c r="E78" s="94"/>
      <c r="F78" s="94"/>
      <c r="G78" s="95"/>
      <c r="H78" s="95"/>
      <c r="I78" s="95"/>
      <c r="J78" s="95"/>
      <c r="K78" s="95"/>
      <c r="L78" s="95"/>
      <c r="M78" s="95"/>
      <c r="N78" s="95"/>
      <c r="O78" s="96"/>
    </row>
    <row r="79" spans="4:19 16384:16384" hidden="1" x14ac:dyDescent="0.3">
      <c r="E79" s="94"/>
      <c r="F79" s="94"/>
      <c r="G79" s="95"/>
      <c r="H79" s="95"/>
      <c r="I79" s="95"/>
      <c r="J79" s="95"/>
      <c r="K79" s="95"/>
      <c r="L79" s="95"/>
      <c r="M79" s="95"/>
      <c r="N79" s="95"/>
      <c r="O79" s="96"/>
    </row>
    <row r="80" spans="4:19 16384:16384" hidden="1" x14ac:dyDescent="0.3">
      <c r="E80" s="94"/>
      <c r="F80" s="94"/>
      <c r="G80" s="95"/>
      <c r="H80" s="95"/>
      <c r="I80" s="95"/>
      <c r="J80" s="95"/>
      <c r="K80" s="95"/>
      <c r="L80" s="95"/>
      <c r="M80" s="95"/>
      <c r="N80" s="95"/>
      <c r="O80" s="96"/>
    </row>
    <row r="81" spans="5:15" hidden="1" x14ac:dyDescent="0.3">
      <c r="E81" s="94"/>
      <c r="F81" s="94"/>
      <c r="G81" s="95"/>
      <c r="H81" s="95"/>
      <c r="I81" s="95"/>
      <c r="J81" s="95"/>
      <c r="K81" s="95"/>
      <c r="L81" s="95"/>
      <c r="M81" s="95"/>
      <c r="N81" s="95"/>
      <c r="O81" s="96"/>
    </row>
    <row r="90" spans="5:15" hidden="1" x14ac:dyDescent="0.3">
      <c r="O90" s="97"/>
    </row>
    <row r="94" spans="5:15" hidden="1" x14ac:dyDescent="0.3">
      <c r="N94" s="97"/>
    </row>
  </sheetData>
  <sheetProtection algorithmName="SHA-512" hashValue="AsDESbN4emHUArzKFwY50OdKT4w5SAFXM2xk9vATF2WodoE/oz+Uc9bf8FN1oq+hm5rXE3C/y3KRKYezU4zQVA==" saltValue="MSHY5kw1eN/B5AGyIWxvkA==" spinCount="100000" sheet="1" objects="1" scenarios="1"/>
  <protectedRanges>
    <protectedRange sqref="G18:H18" name="Rango2"/>
    <protectedRange sqref="L3:M3 G3:I12" name="Modificables"/>
  </protectedRanges>
  <mergeCells count="27">
    <mergeCell ref="P45:P48"/>
    <mergeCell ref="Q45:Q48"/>
    <mergeCell ref="R45:R48"/>
    <mergeCell ref="E46:E48"/>
    <mergeCell ref="F46:F48"/>
    <mergeCell ref="G46:G48"/>
    <mergeCell ref="I46:J47"/>
    <mergeCell ref="K46:M46"/>
    <mergeCell ref="N46:N48"/>
    <mergeCell ref="K47:L47"/>
    <mergeCell ref="O45:O48"/>
    <mergeCell ref="M47:M48"/>
    <mergeCell ref="K15:M15"/>
    <mergeCell ref="N15:N17"/>
    <mergeCell ref="K16:L16"/>
    <mergeCell ref="M16:M17"/>
    <mergeCell ref="E45:N45"/>
    <mergeCell ref="E15:E17"/>
    <mergeCell ref="F15:F17"/>
    <mergeCell ref="G15:G17"/>
    <mergeCell ref="H15:H17"/>
    <mergeCell ref="I15:J16"/>
    <mergeCell ref="G1:G2"/>
    <mergeCell ref="I1:I2"/>
    <mergeCell ref="L1:L2"/>
    <mergeCell ref="M1:M2"/>
    <mergeCell ref="E14:N1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3" orientation="landscape" horizontalDpi="4294967292" r:id="rId1"/>
  <rowBreaks count="1" manualBreakCount="1">
    <brk id="43" min="3" max="1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  <pageSetUpPr fitToPage="1"/>
  </sheetPr>
  <dimension ref="A1:O44"/>
  <sheetViews>
    <sheetView zoomScale="70" zoomScaleNormal="70" workbookViewId="0">
      <selection activeCell="M74" sqref="M74"/>
    </sheetView>
  </sheetViews>
  <sheetFormatPr baseColWidth="10" defaultColWidth="0" defaultRowHeight="15.75" customHeight="1" zeroHeight="1" x14ac:dyDescent="0.3"/>
  <cols>
    <col min="1" max="2" width="3.21875" style="127" customWidth="1"/>
    <col min="3" max="3" width="12.5546875" style="127" customWidth="1"/>
    <col min="4" max="5" width="15.44140625" style="127" bestFit="1" customWidth="1"/>
    <col min="6" max="6" width="13" style="127" bestFit="1" customWidth="1"/>
    <col min="7" max="7" width="2.21875" style="127" customWidth="1"/>
    <col min="8" max="14" width="12.5546875" style="127" customWidth="1"/>
    <col min="15" max="15" width="5.21875" style="127" customWidth="1"/>
    <col min="16" max="16384" width="12.5546875" style="1" hidden="1"/>
  </cols>
  <sheetData>
    <row r="1" spans="1:15" ht="15.6" x14ac:dyDescent="0.3"/>
    <row r="2" spans="1:15" ht="15.6" x14ac:dyDescent="0.3"/>
    <row r="3" spans="1:15" ht="33" customHeight="1" x14ac:dyDescent="0.3">
      <c r="D3" s="127" t="s">
        <v>43</v>
      </c>
      <c r="E3" s="127" t="s">
        <v>44</v>
      </c>
      <c r="F3" s="127" t="s">
        <v>42</v>
      </c>
      <c r="G3" s="128"/>
      <c r="H3" s="128"/>
      <c r="I3" s="128"/>
      <c r="J3" s="128"/>
      <c r="K3" s="128"/>
      <c r="L3" s="128"/>
      <c r="M3" s="128"/>
      <c r="N3" s="128"/>
      <c r="O3" s="128"/>
    </row>
    <row r="4" spans="1:15" ht="33" customHeight="1" x14ac:dyDescent="0.3">
      <c r="C4" s="127">
        <f>Detalle!E18</f>
        <v>1</v>
      </c>
      <c r="D4" s="129">
        <f>Detalle!N18</f>
        <v>52650000</v>
      </c>
      <c r="E4" s="129">
        <f>Detalle!N48</f>
        <v>53125000</v>
      </c>
      <c r="F4" s="129">
        <f>Detalle!M48</f>
        <v>393750.00000000006</v>
      </c>
      <c r="G4" s="128"/>
      <c r="H4" s="128"/>
      <c r="I4" s="128"/>
      <c r="J4" s="128"/>
      <c r="K4" s="128"/>
      <c r="L4" s="128"/>
      <c r="M4" s="128"/>
      <c r="N4" s="128"/>
      <c r="O4" s="128"/>
    </row>
    <row r="5" spans="1:15" ht="33" customHeight="1" x14ac:dyDescent="0.3">
      <c r="C5" s="127">
        <f>Detalle!E19</f>
        <v>2</v>
      </c>
      <c r="D5" s="129">
        <f>Detalle!N19</f>
        <v>55440450</v>
      </c>
      <c r="E5" s="129">
        <f>Detalle!N49</f>
        <v>56445312.5</v>
      </c>
      <c r="F5" s="129">
        <f>Detalle!M49</f>
        <v>418359.37500000006</v>
      </c>
      <c r="G5" s="128"/>
      <c r="H5" s="128"/>
      <c r="I5" s="128"/>
      <c r="J5" s="128"/>
      <c r="K5" s="128"/>
      <c r="L5" s="128"/>
      <c r="M5" s="128"/>
      <c r="N5" s="128"/>
      <c r="O5" s="128"/>
    </row>
    <row r="6" spans="1:15" ht="33" customHeight="1" x14ac:dyDescent="0.3">
      <c r="C6" s="127">
        <f>Detalle!E20</f>
        <v>3</v>
      </c>
      <c r="D6" s="129">
        <f>Detalle!N20</f>
        <v>58378793.850000001</v>
      </c>
      <c r="E6" s="129">
        <f>Detalle!N50</f>
        <v>59973144.53125</v>
      </c>
      <c r="F6" s="129">
        <f>Detalle!M50</f>
        <v>444506.83593750006</v>
      </c>
      <c r="G6" s="128"/>
      <c r="H6" s="128"/>
      <c r="I6" s="128"/>
      <c r="J6" s="128"/>
      <c r="K6" s="128"/>
      <c r="L6" s="128"/>
      <c r="M6" s="128"/>
      <c r="N6" s="128"/>
      <c r="O6" s="128"/>
    </row>
    <row r="7" spans="1:15" ht="33" customHeight="1" x14ac:dyDescent="0.3">
      <c r="C7" s="127">
        <f>Detalle!E21</f>
        <v>4</v>
      </c>
      <c r="D7" s="129">
        <f>Detalle!N21</f>
        <v>61472869.924049996</v>
      </c>
      <c r="E7" s="129">
        <f>Detalle!N51</f>
        <v>63721466.064453125</v>
      </c>
      <c r="F7" s="129">
        <f>Detalle!M51</f>
        <v>472288.51318359387</v>
      </c>
      <c r="G7" s="128"/>
      <c r="H7" s="128"/>
      <c r="I7" s="128"/>
      <c r="J7" s="128"/>
      <c r="K7" s="128"/>
      <c r="L7" s="128"/>
      <c r="M7" s="128"/>
      <c r="N7" s="128"/>
      <c r="O7" s="128"/>
    </row>
    <row r="8" spans="1:15" ht="33" customHeight="1" x14ac:dyDescent="0.3">
      <c r="C8" s="127">
        <f>Detalle!E22</f>
        <v>5</v>
      </c>
      <c r="D8" s="129">
        <f>Detalle!N22</f>
        <v>64730932.03002464</v>
      </c>
      <c r="E8" s="129">
        <f>Detalle!N52</f>
        <v>67704057.693481445</v>
      </c>
      <c r="F8" s="129">
        <f>Detalle!M52</f>
        <v>501806.54525756848</v>
      </c>
      <c r="G8" s="128"/>
      <c r="H8" s="128"/>
      <c r="I8" s="128"/>
      <c r="J8" s="128"/>
      <c r="K8" s="128"/>
      <c r="L8" s="128"/>
      <c r="M8" s="128"/>
      <c r="N8" s="128"/>
      <c r="O8" s="128"/>
    </row>
    <row r="9" spans="1:15" ht="33" customHeight="1" x14ac:dyDescent="0.3">
      <c r="C9" s="127">
        <f>Detalle!E23</f>
        <v>6</v>
      </c>
      <c r="D9" s="129">
        <f>Detalle!N23</f>
        <v>68161671.427615955</v>
      </c>
      <c r="E9" s="129">
        <f>Detalle!N53</f>
        <v>71935561.299324036</v>
      </c>
      <c r="F9" s="129">
        <f>Detalle!M53</f>
        <v>533169.4543361665</v>
      </c>
      <c r="G9" s="128"/>
      <c r="H9" s="128"/>
      <c r="I9" s="128"/>
      <c r="J9" s="128"/>
      <c r="K9" s="128"/>
      <c r="L9" s="128"/>
      <c r="M9" s="128"/>
      <c r="N9" s="128"/>
      <c r="O9" s="128"/>
    </row>
    <row r="10" spans="1:15" ht="33" customHeight="1" x14ac:dyDescent="0.3">
      <c r="C10" s="127">
        <f>Detalle!E24</f>
        <v>7</v>
      </c>
      <c r="D10" s="129">
        <f>Detalle!N24</f>
        <v>71774240.013279602</v>
      </c>
      <c r="E10" s="129">
        <f>Detalle!N54</f>
        <v>76431533.880531788</v>
      </c>
      <c r="F10" s="129">
        <f>Detalle!M54</f>
        <v>566492.5452321769</v>
      </c>
      <c r="G10" s="128"/>
      <c r="H10" s="128"/>
      <c r="I10" s="128"/>
      <c r="J10" s="128"/>
      <c r="K10" s="128"/>
      <c r="L10" s="128"/>
      <c r="M10" s="128"/>
      <c r="N10" s="128"/>
      <c r="O10" s="128"/>
    </row>
    <row r="11" spans="1:15" ht="33" customHeight="1" x14ac:dyDescent="0.3">
      <c r="A11" s="131"/>
      <c r="B11" s="131"/>
      <c r="C11" s="131">
        <f>Detalle!E25</f>
        <v>8</v>
      </c>
      <c r="D11" s="132">
        <f>Detalle!N25</f>
        <v>75578274.733983412</v>
      </c>
      <c r="E11" s="132">
        <f>Detalle!N55</f>
        <v>81208504.748065025</v>
      </c>
      <c r="F11" s="132">
        <f>Detalle!M55</f>
        <v>601898.32930918795</v>
      </c>
      <c r="G11" s="131"/>
      <c r="H11" s="131"/>
      <c r="I11" s="131"/>
      <c r="J11" s="131"/>
      <c r="K11" s="131"/>
      <c r="L11" s="131"/>
      <c r="M11" s="131"/>
      <c r="N11" s="131"/>
      <c r="O11" s="131"/>
    </row>
    <row r="12" spans="1:15" ht="33" customHeight="1" x14ac:dyDescent="0.3">
      <c r="A12" s="131"/>
      <c r="B12" s="131"/>
      <c r="C12" s="131">
        <f>Detalle!E26</f>
        <v>9</v>
      </c>
      <c r="D12" s="132">
        <f>Detalle!N26</f>
        <v>79583923.294884533</v>
      </c>
      <c r="E12" s="132">
        <f>Detalle!N56</f>
        <v>86284036.294819087</v>
      </c>
      <c r="F12" s="132">
        <f>Detalle!M56</f>
        <v>639516.97489101219</v>
      </c>
      <c r="G12" s="131"/>
      <c r="H12" s="131"/>
      <c r="I12" s="131"/>
      <c r="J12" s="131"/>
      <c r="K12" s="131"/>
      <c r="L12" s="131"/>
      <c r="M12" s="131"/>
      <c r="N12" s="131"/>
      <c r="O12" s="131"/>
    </row>
    <row r="13" spans="1:15" ht="33" customHeight="1" x14ac:dyDescent="0.3">
      <c r="A13" s="131"/>
      <c r="B13" s="131"/>
      <c r="C13" s="131">
        <f>Detalle!E27</f>
        <v>10</v>
      </c>
      <c r="D13" s="132">
        <f>Detalle!N27</f>
        <v>83801871.229513407</v>
      </c>
      <c r="E13" s="132">
        <f>Detalle!N57</f>
        <v>91676788.563245282</v>
      </c>
      <c r="F13" s="132">
        <f>Detalle!M57</f>
        <v>679486.78582170047</v>
      </c>
      <c r="G13" s="131"/>
      <c r="H13" s="131"/>
      <c r="I13" s="131"/>
      <c r="J13" s="131"/>
      <c r="K13" s="131"/>
      <c r="L13" s="131"/>
      <c r="M13" s="131"/>
      <c r="N13" s="131"/>
      <c r="O13" s="131"/>
    </row>
    <row r="14" spans="1:15" ht="33" customHeight="1" x14ac:dyDescent="0.3">
      <c r="A14" s="131"/>
      <c r="B14" s="131"/>
      <c r="C14" s="131">
        <f>Detalle!E28</f>
        <v>11</v>
      </c>
      <c r="D14" s="132">
        <f>Detalle!N28</f>
        <v>88243370.404677629</v>
      </c>
      <c r="E14" s="132">
        <f>Detalle!N58</f>
        <v>97406587.848448113</v>
      </c>
      <c r="F14" s="132">
        <f>Detalle!M58</f>
        <v>721954.70993555675</v>
      </c>
      <c r="G14" s="131"/>
      <c r="H14" s="131"/>
      <c r="I14" s="131"/>
      <c r="J14" s="131"/>
      <c r="K14" s="131"/>
      <c r="L14" s="131"/>
      <c r="M14" s="131"/>
      <c r="N14" s="131"/>
      <c r="O14" s="131"/>
    </row>
    <row r="15" spans="1:15" ht="33" customHeight="1" x14ac:dyDescent="0.3">
      <c r="A15" s="131"/>
      <c r="B15" s="131"/>
      <c r="C15" s="131">
        <f>Detalle!E29</f>
        <v>12</v>
      </c>
      <c r="D15" s="132">
        <f>Detalle!N29</f>
        <v>92920269.036125541</v>
      </c>
      <c r="E15" s="132">
        <f>Detalle!N59</f>
        <v>103494499.58897611</v>
      </c>
      <c r="F15" s="132">
        <f>Detalle!M59</f>
        <v>767076.87930652895</v>
      </c>
      <c r="G15" s="131"/>
      <c r="H15" s="131"/>
      <c r="I15" s="131"/>
      <c r="J15" s="131"/>
      <c r="K15" s="131"/>
      <c r="L15" s="131"/>
      <c r="M15" s="131"/>
      <c r="N15" s="131"/>
      <c r="O15" s="131"/>
    </row>
    <row r="16" spans="1:15" ht="33" customHeight="1" x14ac:dyDescent="0.3">
      <c r="C16" s="127">
        <f>Detalle!E30</f>
        <v>13</v>
      </c>
      <c r="D16" s="129">
        <f>Detalle!N30</f>
        <v>97845043.295040205</v>
      </c>
      <c r="E16" s="129">
        <f>Detalle!N60</f>
        <v>109962905.81328712</v>
      </c>
      <c r="F16" s="129">
        <f>Detalle!M60</f>
        <v>815019.18426318699</v>
      </c>
      <c r="G16" s="128"/>
      <c r="H16" s="128"/>
      <c r="I16" s="128"/>
      <c r="J16" s="128"/>
      <c r="K16" s="128"/>
      <c r="L16" s="128"/>
      <c r="M16" s="128"/>
      <c r="N16" s="128"/>
      <c r="O16" s="128"/>
    </row>
    <row r="17" spans="3:15" ht="33" customHeight="1" x14ac:dyDescent="0.3">
      <c r="C17" s="127">
        <f>Detalle!E31</f>
        <v>14</v>
      </c>
      <c r="D17" s="129">
        <f>Detalle!N31</f>
        <v>103030830.58967733</v>
      </c>
      <c r="E17" s="129">
        <f>Detalle!N61</f>
        <v>116835587.42661756</v>
      </c>
      <c r="F17" s="129">
        <f>Detalle!M61</f>
        <v>865957.88327963627</v>
      </c>
      <c r="G17" s="128"/>
      <c r="H17" s="128"/>
      <c r="I17" s="128"/>
      <c r="J17" s="128"/>
      <c r="K17" s="128"/>
      <c r="L17" s="128"/>
      <c r="M17" s="128"/>
      <c r="N17" s="128"/>
      <c r="O17" s="128"/>
    </row>
    <row r="18" spans="3:15" ht="33" customHeight="1" x14ac:dyDescent="0.3">
      <c r="C18" s="127">
        <f>Detalle!E32</f>
        <v>15</v>
      </c>
      <c r="D18" s="129">
        <f>Detalle!N32</f>
        <v>108491464.61093023</v>
      </c>
      <c r="E18" s="129">
        <f>Detalle!N62</f>
        <v>124137811.64078116</v>
      </c>
      <c r="F18" s="129">
        <f>Detalle!M62</f>
        <v>920080.25098461355</v>
      </c>
      <c r="G18" s="128"/>
      <c r="H18" s="128"/>
      <c r="I18" s="128"/>
      <c r="J18" s="128"/>
      <c r="K18" s="128"/>
      <c r="L18" s="128"/>
      <c r="M18" s="128"/>
      <c r="N18" s="128"/>
      <c r="O18" s="128"/>
    </row>
    <row r="19" spans="3:15" ht="33" customHeight="1" x14ac:dyDescent="0.3">
      <c r="C19" s="127">
        <f>Detalle!E33</f>
        <v>16</v>
      </c>
      <c r="D19" s="129">
        <f>Detalle!N33</f>
        <v>114241512.23530954</v>
      </c>
      <c r="E19" s="129">
        <f>Detalle!N63</f>
        <v>131896424.86832999</v>
      </c>
      <c r="F19" s="129">
        <f>Detalle!M63</f>
        <v>977585.26667115197</v>
      </c>
      <c r="G19" s="128"/>
      <c r="H19" s="128"/>
      <c r="I19" s="128"/>
      <c r="J19" s="128"/>
      <c r="K19" s="128"/>
      <c r="L19" s="128"/>
      <c r="M19" s="128"/>
      <c r="N19" s="128"/>
      <c r="O19" s="128"/>
    </row>
    <row r="20" spans="3:15" ht="33" customHeight="1" x14ac:dyDescent="0.3">
      <c r="C20" s="127">
        <f>Detalle!E34</f>
        <v>17</v>
      </c>
      <c r="D20" s="129">
        <f>Detalle!N34</f>
        <v>120296312.38378096</v>
      </c>
      <c r="E20" s="129">
        <f>Detalle!N64</f>
        <v>140139951.4226006</v>
      </c>
      <c r="F20" s="129">
        <f>Detalle!M64</f>
        <v>1038684.3458380989</v>
      </c>
      <c r="G20" s="128"/>
      <c r="H20" s="128"/>
      <c r="I20" s="128"/>
      <c r="J20" s="128"/>
      <c r="K20" s="128"/>
      <c r="L20" s="128"/>
      <c r="M20" s="128"/>
      <c r="N20" s="128"/>
      <c r="O20" s="128"/>
    </row>
    <row r="21" spans="3:15" ht="33" customHeight="1" x14ac:dyDescent="0.3">
      <c r="C21" s="127">
        <f>Detalle!E35</f>
        <v>18</v>
      </c>
      <c r="D21" s="129">
        <f>Detalle!N35</f>
        <v>126672016.94012134</v>
      </c>
      <c r="E21" s="129">
        <f>Detalle!N65</f>
        <v>148898698.38651314</v>
      </c>
      <c r="F21" s="129">
        <f>Detalle!M65</f>
        <v>1103602.11745298</v>
      </c>
      <c r="G21" s="128"/>
      <c r="H21" s="128"/>
      <c r="I21" s="128"/>
      <c r="J21" s="128"/>
      <c r="K21" s="128"/>
      <c r="L21" s="128"/>
      <c r="M21" s="128"/>
      <c r="N21" s="128"/>
      <c r="O21" s="128"/>
    </row>
    <row r="22" spans="3:15" ht="33" customHeight="1" x14ac:dyDescent="0.3">
      <c r="C22" s="127">
        <f>Detalle!E36</f>
        <v>19</v>
      </c>
      <c r="D22" s="129">
        <f>Detalle!N36</f>
        <v>133385633.83794776</v>
      </c>
      <c r="E22" s="129">
        <f>Detalle!N66</f>
        <v>158204867.03567022</v>
      </c>
      <c r="F22" s="129">
        <f>Detalle!M66</f>
        <v>1172577.2497937912</v>
      </c>
      <c r="G22" s="128"/>
      <c r="H22" s="128"/>
      <c r="I22" s="128"/>
      <c r="J22" s="128"/>
      <c r="K22" s="128"/>
      <c r="L22" s="128"/>
      <c r="M22" s="128"/>
      <c r="N22" s="128"/>
      <c r="O22" s="128"/>
    </row>
    <row r="23" spans="3:15" ht="33" customHeight="1" x14ac:dyDescent="0.3">
      <c r="C23" s="127">
        <f>Detalle!E37</f>
        <v>20</v>
      </c>
      <c r="D23" s="129">
        <f>Detalle!N37</f>
        <v>140455072.43135899</v>
      </c>
      <c r="E23" s="129">
        <f>Detalle!N67</f>
        <v>168092671.22539961</v>
      </c>
      <c r="F23" s="129">
        <f>Detalle!M67</f>
        <v>1245863.3279059033</v>
      </c>
      <c r="G23" s="128"/>
      <c r="H23" s="128"/>
      <c r="I23" s="128"/>
      <c r="J23" s="128"/>
      <c r="K23" s="128"/>
      <c r="L23" s="128"/>
      <c r="M23" s="128"/>
      <c r="N23" s="128"/>
      <c r="O23" s="128"/>
    </row>
    <row r="24" spans="3:15" ht="33" customHeight="1" x14ac:dyDescent="0.3">
      <c r="C24" s="127">
        <f>Detalle!E38</f>
        <v>21</v>
      </c>
      <c r="D24" s="129">
        <f>Detalle!N38</f>
        <v>147899191.27022102</v>
      </c>
      <c r="E24" s="129">
        <f>Detalle!N68</f>
        <v>178598463.17698708</v>
      </c>
      <c r="F24" s="129">
        <f>Detalle!M68</f>
        <v>1323729.7859000224</v>
      </c>
      <c r="G24" s="128"/>
      <c r="H24" s="128"/>
      <c r="I24" s="128"/>
      <c r="J24" s="128"/>
      <c r="K24" s="128"/>
      <c r="L24" s="128"/>
      <c r="M24" s="128"/>
      <c r="N24" s="128"/>
      <c r="O24" s="128"/>
    </row>
    <row r="25" spans="3:15" ht="33" customHeight="1" x14ac:dyDescent="0.3">
      <c r="C25" s="127">
        <f>Detalle!E39</f>
        <v>22</v>
      </c>
      <c r="D25" s="129">
        <f>Detalle!N39</f>
        <v>155737848.40754274</v>
      </c>
      <c r="E25" s="129">
        <f>Detalle!N69</f>
        <v>189760867.12554878</v>
      </c>
      <c r="F25" s="129">
        <f>Detalle!M69</f>
        <v>1406462.8975187736</v>
      </c>
      <c r="G25" s="128"/>
      <c r="H25" s="128"/>
      <c r="I25" s="128"/>
      <c r="J25" s="128"/>
      <c r="K25" s="128"/>
      <c r="L25" s="128"/>
      <c r="M25" s="128"/>
      <c r="N25" s="128"/>
      <c r="O25" s="128"/>
    </row>
    <row r="26" spans="3:15" ht="33" customHeight="1" x14ac:dyDescent="0.3">
      <c r="C26" s="127">
        <f>Detalle!E40</f>
        <v>23</v>
      </c>
      <c r="D26" s="129">
        <f>Detalle!N40</f>
        <v>163991954.37314251</v>
      </c>
      <c r="E26" s="129">
        <f>Detalle!N70</f>
        <v>201620921.32089558</v>
      </c>
      <c r="F26" s="129">
        <f>Detalle!M70</f>
        <v>1494366.8286136971</v>
      </c>
      <c r="G26" s="128"/>
      <c r="H26" s="128"/>
      <c r="I26" s="128"/>
      <c r="J26" s="128"/>
      <c r="K26" s="128"/>
      <c r="L26" s="128"/>
      <c r="M26" s="128"/>
      <c r="N26" s="128"/>
      <c r="O26" s="128"/>
    </row>
    <row r="27" spans="3:15" ht="33" customHeight="1" x14ac:dyDescent="0.3">
      <c r="C27" s="127">
        <f>Detalle!E41</f>
        <v>24</v>
      </c>
      <c r="D27" s="129">
        <f>Detalle!N41</f>
        <v>172683527.95491907</v>
      </c>
      <c r="E27" s="129">
        <f>Detalle!N71</f>
        <v>214222228.90345156</v>
      </c>
      <c r="F27" s="129">
        <f>Detalle!M71</f>
        <v>1587764.755402053</v>
      </c>
      <c r="G27" s="128"/>
      <c r="H27" s="128"/>
      <c r="I27" s="128"/>
      <c r="J27" s="128"/>
      <c r="K27" s="128"/>
      <c r="L27" s="128"/>
      <c r="M27" s="128"/>
      <c r="N27" s="128"/>
      <c r="O27" s="128"/>
    </row>
    <row r="28" spans="3:15" ht="33" customHeight="1" x14ac:dyDescent="0.3">
      <c r="C28" s="127">
        <f>Detalle!E42</f>
        <v>25</v>
      </c>
      <c r="D28" s="129">
        <f>Detalle!N42</f>
        <v>181835754.93652979</v>
      </c>
      <c r="E28" s="129">
        <f>Detalle!N72</f>
        <v>227611118.20991728</v>
      </c>
      <c r="F28" s="129">
        <f>Detalle!M72</f>
        <v>1687000.0526146812</v>
      </c>
      <c r="G28" s="128"/>
      <c r="H28" s="128"/>
      <c r="I28" s="128"/>
      <c r="J28" s="128"/>
      <c r="K28" s="128"/>
      <c r="L28" s="128"/>
      <c r="M28" s="128"/>
      <c r="N28" s="128"/>
      <c r="O28" s="128"/>
    </row>
    <row r="29" spans="3:15" ht="33" customHeight="1" x14ac:dyDescent="0.3">
      <c r="C29" s="127" t="e">
        <f>Detalle!#REF!</f>
        <v>#REF!</v>
      </c>
      <c r="D29" s="129" t="e">
        <f>Detalle!#REF!</f>
        <v>#REF!</v>
      </c>
      <c r="E29" s="129" t="e">
        <f>Detalle!#REF!</f>
        <v>#REF!</v>
      </c>
      <c r="F29" s="129" t="e">
        <f>Detalle!#REF!</f>
        <v>#REF!</v>
      </c>
      <c r="G29" s="128"/>
      <c r="H29" s="128"/>
      <c r="I29" s="128"/>
      <c r="J29" s="128"/>
      <c r="K29" s="128"/>
      <c r="L29" s="128"/>
      <c r="M29" s="128"/>
      <c r="N29" s="128"/>
      <c r="O29" s="128"/>
    </row>
    <row r="30" spans="3:15" ht="15.6" x14ac:dyDescent="0.3">
      <c r="D30" s="130"/>
      <c r="E30" s="130"/>
      <c r="F30" s="130"/>
    </row>
    <row r="31" spans="3:15" ht="15.6" hidden="1" x14ac:dyDescent="0.3">
      <c r="D31" s="130"/>
      <c r="E31" s="130"/>
      <c r="F31" s="130"/>
    </row>
    <row r="32" spans="3:15" ht="15.6" hidden="1" x14ac:dyDescent="0.3">
      <c r="D32" s="130"/>
      <c r="E32" s="130"/>
      <c r="F32" s="130"/>
    </row>
    <row r="33" spans="4:6" ht="15.6" hidden="1" x14ac:dyDescent="0.3">
      <c r="D33" s="130"/>
      <c r="E33" s="130"/>
      <c r="F33" s="130"/>
    </row>
    <row r="34" spans="4:6" ht="15.6" hidden="1" x14ac:dyDescent="0.3">
      <c r="D34" s="130"/>
      <c r="E34" s="130"/>
      <c r="F34" s="130"/>
    </row>
    <row r="35" spans="4:6" ht="15.6" hidden="1" x14ac:dyDescent="0.3">
      <c r="D35" s="130"/>
      <c r="E35" s="130"/>
      <c r="F35" s="130"/>
    </row>
    <row r="36" spans="4:6" ht="15.6" hidden="1" x14ac:dyDescent="0.3">
      <c r="D36" s="130"/>
      <c r="E36" s="130"/>
      <c r="F36" s="130"/>
    </row>
    <row r="37" spans="4:6" ht="15.6" hidden="1" x14ac:dyDescent="0.3">
      <c r="D37" s="130"/>
      <c r="E37" s="130"/>
      <c r="F37" s="130"/>
    </row>
    <row r="38" spans="4:6" ht="15.6" hidden="1" x14ac:dyDescent="0.3">
      <c r="D38" s="130"/>
      <c r="E38" s="130"/>
      <c r="F38" s="130"/>
    </row>
    <row r="39" spans="4:6" ht="15.6" hidden="1" x14ac:dyDescent="0.3">
      <c r="D39" s="130"/>
      <c r="E39" s="130"/>
      <c r="F39" s="130"/>
    </row>
    <row r="40" spans="4:6" ht="15.6" hidden="1" x14ac:dyDescent="0.3">
      <c r="D40" s="130"/>
      <c r="E40" s="130"/>
      <c r="F40" s="130"/>
    </row>
    <row r="41" spans="4:6" ht="15.6" hidden="1" x14ac:dyDescent="0.3">
      <c r="D41" s="130"/>
      <c r="E41" s="130"/>
      <c r="F41" s="130"/>
    </row>
    <row r="42" spans="4:6" ht="15.6" hidden="1" x14ac:dyDescent="0.3">
      <c r="D42" s="130"/>
      <c r="E42" s="130"/>
      <c r="F42" s="130"/>
    </row>
    <row r="43" spans="4:6" ht="15.6" hidden="1" x14ac:dyDescent="0.3">
      <c r="D43" s="130"/>
      <c r="E43" s="130"/>
      <c r="F43" s="130"/>
    </row>
    <row r="44" spans="4:6" ht="15.6" hidden="1" x14ac:dyDescent="0.3">
      <c r="D44" s="130"/>
      <c r="E44" s="130"/>
      <c r="F44" s="130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57" orientation="landscape" horizontalDpi="4294967292" r:id="rId1"/>
  <rowBreaks count="1" manualBreakCount="1">
    <brk id="15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  <pageSetUpPr fitToPage="1"/>
  </sheetPr>
  <dimension ref="A1:O44"/>
  <sheetViews>
    <sheetView zoomScale="70" zoomScaleNormal="70" zoomScaleSheetLayoutView="80" workbookViewId="0">
      <selection activeCell="M74" sqref="M74"/>
    </sheetView>
  </sheetViews>
  <sheetFormatPr baseColWidth="10" defaultColWidth="0" defaultRowHeight="15.75" customHeight="1" zeroHeight="1" x14ac:dyDescent="0.3"/>
  <cols>
    <col min="1" max="2" width="3.21875" style="127" customWidth="1"/>
    <col min="3" max="3" width="12.5546875" style="127" customWidth="1"/>
    <col min="4" max="5" width="15.44140625" style="127" bestFit="1" customWidth="1"/>
    <col min="6" max="6" width="13" style="127" bestFit="1" customWidth="1"/>
    <col min="7" max="7" width="2.21875" style="127" customWidth="1"/>
    <col min="8" max="14" width="12.5546875" style="127" customWidth="1"/>
    <col min="15" max="15" width="3.21875" style="127" customWidth="1"/>
    <col min="16" max="16384" width="12.5546875" style="127" hidden="1"/>
  </cols>
  <sheetData>
    <row r="1" spans="3:15" ht="15.6" x14ac:dyDescent="0.3"/>
    <row r="2" spans="3:15" ht="15.6" x14ac:dyDescent="0.3"/>
    <row r="3" spans="3:15" ht="33" customHeight="1" x14ac:dyDescent="0.3">
      <c r="D3" s="127" t="s">
        <v>43</v>
      </c>
      <c r="E3" s="127" t="s">
        <v>44</v>
      </c>
      <c r="F3" s="127" t="s">
        <v>42</v>
      </c>
      <c r="G3" s="128"/>
      <c r="H3" s="128"/>
      <c r="I3" s="128"/>
      <c r="J3" s="128"/>
      <c r="K3" s="128"/>
      <c r="L3" s="128"/>
      <c r="M3" s="128"/>
      <c r="N3" s="128"/>
      <c r="O3" s="128"/>
    </row>
    <row r="4" spans="3:15" ht="33" customHeight="1" x14ac:dyDescent="0.3">
      <c r="C4" s="127">
        <f>Detalle!E18</f>
        <v>1</v>
      </c>
      <c r="D4" s="129">
        <f>Detalle!N18</f>
        <v>52650000</v>
      </c>
      <c r="E4" s="129">
        <f>Detalle!N48</f>
        <v>53125000</v>
      </c>
      <c r="F4" s="129">
        <f>Detalle!M48</f>
        <v>393750.00000000006</v>
      </c>
      <c r="G4" s="128"/>
      <c r="H4" s="128"/>
      <c r="I4" s="128"/>
      <c r="J4" s="128"/>
      <c r="K4" s="128"/>
      <c r="L4" s="128"/>
      <c r="M4" s="128"/>
      <c r="N4" s="128"/>
      <c r="O4" s="128"/>
    </row>
    <row r="5" spans="3:15" ht="33" customHeight="1" x14ac:dyDescent="0.3">
      <c r="C5" s="127">
        <f>Detalle!E19</f>
        <v>2</v>
      </c>
      <c r="D5" s="129">
        <f>Detalle!N19</f>
        <v>55440450</v>
      </c>
      <c r="E5" s="129">
        <f>Detalle!N49</f>
        <v>56445312.5</v>
      </c>
      <c r="F5" s="129">
        <f>Detalle!M49</f>
        <v>418359.37500000006</v>
      </c>
      <c r="G5" s="128"/>
      <c r="H5" s="128"/>
      <c r="I5" s="128"/>
      <c r="J5" s="128"/>
      <c r="K5" s="128"/>
      <c r="L5" s="128"/>
      <c r="M5" s="128"/>
      <c r="N5" s="128"/>
      <c r="O5" s="128"/>
    </row>
    <row r="6" spans="3:15" ht="33" customHeight="1" x14ac:dyDescent="0.3">
      <c r="C6" s="127">
        <f>Detalle!E20</f>
        <v>3</v>
      </c>
      <c r="D6" s="129">
        <f>Detalle!N20</f>
        <v>58378793.850000001</v>
      </c>
      <c r="E6" s="129">
        <f>Detalle!N50</f>
        <v>59973144.53125</v>
      </c>
      <c r="F6" s="129">
        <f>Detalle!M50</f>
        <v>444506.83593750006</v>
      </c>
      <c r="G6" s="128"/>
      <c r="H6" s="128"/>
      <c r="I6" s="128"/>
      <c r="J6" s="128"/>
      <c r="K6" s="128"/>
      <c r="L6" s="128"/>
      <c r="M6" s="128"/>
      <c r="N6" s="128"/>
      <c r="O6" s="128"/>
    </row>
    <row r="7" spans="3:15" ht="33" customHeight="1" x14ac:dyDescent="0.3">
      <c r="C7" s="127">
        <f>Detalle!E21</f>
        <v>4</v>
      </c>
      <c r="D7" s="129">
        <f>Detalle!N21</f>
        <v>61472869.924049996</v>
      </c>
      <c r="E7" s="129">
        <f>Detalle!N51</f>
        <v>63721466.064453125</v>
      </c>
      <c r="F7" s="129">
        <f>Detalle!M51</f>
        <v>472288.51318359387</v>
      </c>
      <c r="G7" s="128"/>
      <c r="H7" s="128"/>
      <c r="I7" s="128"/>
      <c r="J7" s="128"/>
      <c r="K7" s="128"/>
      <c r="L7" s="128"/>
      <c r="M7" s="128"/>
      <c r="N7" s="128"/>
      <c r="O7" s="128"/>
    </row>
    <row r="8" spans="3:15" ht="33" customHeight="1" x14ac:dyDescent="0.3">
      <c r="C8" s="127">
        <f>Detalle!E22</f>
        <v>5</v>
      </c>
      <c r="D8" s="129">
        <f>Detalle!N22</f>
        <v>64730932.03002464</v>
      </c>
      <c r="E8" s="129">
        <f>Detalle!N52</f>
        <v>67704057.693481445</v>
      </c>
      <c r="F8" s="129">
        <f>Detalle!M52</f>
        <v>501806.54525756848</v>
      </c>
      <c r="G8" s="128"/>
      <c r="H8" s="128"/>
      <c r="I8" s="128"/>
      <c r="J8" s="128"/>
      <c r="K8" s="128"/>
      <c r="L8" s="128"/>
      <c r="M8" s="128"/>
      <c r="N8" s="128"/>
      <c r="O8" s="128"/>
    </row>
    <row r="9" spans="3:15" ht="33" customHeight="1" x14ac:dyDescent="0.3">
      <c r="C9" s="127">
        <f>Detalle!E23</f>
        <v>6</v>
      </c>
      <c r="D9" s="129">
        <f>Detalle!N23</f>
        <v>68161671.427615955</v>
      </c>
      <c r="E9" s="129">
        <f>Detalle!N53</f>
        <v>71935561.299324036</v>
      </c>
      <c r="F9" s="129">
        <f>Detalle!M53</f>
        <v>533169.4543361665</v>
      </c>
      <c r="G9" s="128"/>
      <c r="H9" s="128"/>
      <c r="I9" s="128"/>
      <c r="J9" s="128"/>
      <c r="K9" s="128"/>
      <c r="L9" s="128"/>
      <c r="M9" s="128"/>
      <c r="N9" s="128"/>
      <c r="O9" s="128"/>
    </row>
    <row r="10" spans="3:15" ht="33" customHeight="1" x14ac:dyDescent="0.3">
      <c r="C10" s="127">
        <f>Detalle!E24</f>
        <v>7</v>
      </c>
      <c r="D10" s="129">
        <f>Detalle!N24</f>
        <v>71774240.013279602</v>
      </c>
      <c r="E10" s="129">
        <f>Detalle!N54</f>
        <v>76431533.880531788</v>
      </c>
      <c r="F10" s="129">
        <f>Detalle!M54</f>
        <v>566492.5452321769</v>
      </c>
      <c r="G10" s="128"/>
      <c r="H10" s="128"/>
      <c r="I10" s="128"/>
      <c r="J10" s="128"/>
      <c r="K10" s="128"/>
      <c r="L10" s="128"/>
      <c r="M10" s="128"/>
      <c r="N10" s="128"/>
      <c r="O10" s="128"/>
    </row>
    <row r="11" spans="3:15" ht="33" customHeight="1" x14ac:dyDescent="0.3">
      <c r="C11" s="127">
        <f>Detalle!E25</f>
        <v>8</v>
      </c>
      <c r="D11" s="129">
        <f>Detalle!N25</f>
        <v>75578274.733983412</v>
      </c>
      <c r="E11" s="129">
        <f>Detalle!N55</f>
        <v>81208504.748065025</v>
      </c>
      <c r="F11" s="129">
        <f>Detalle!M55</f>
        <v>601898.32930918795</v>
      </c>
      <c r="G11" s="128"/>
      <c r="H11" s="128"/>
      <c r="I11" s="128"/>
      <c r="J11" s="128"/>
      <c r="K11" s="128"/>
      <c r="L11" s="128"/>
      <c r="M11" s="128"/>
      <c r="N11" s="128"/>
      <c r="O11" s="128"/>
    </row>
    <row r="12" spans="3:15" ht="33" customHeight="1" x14ac:dyDescent="0.3">
      <c r="C12" s="127">
        <f>Detalle!E26</f>
        <v>9</v>
      </c>
      <c r="D12" s="129">
        <f>Detalle!N26</f>
        <v>79583923.294884533</v>
      </c>
      <c r="E12" s="129">
        <f>Detalle!N56</f>
        <v>86284036.294819087</v>
      </c>
      <c r="F12" s="129">
        <f>Detalle!M56</f>
        <v>639516.97489101219</v>
      </c>
      <c r="G12" s="128"/>
      <c r="H12" s="128"/>
      <c r="I12" s="128"/>
      <c r="J12" s="128"/>
      <c r="K12" s="128"/>
      <c r="L12" s="128"/>
      <c r="M12" s="128"/>
      <c r="N12" s="128"/>
      <c r="O12" s="128"/>
    </row>
    <row r="13" spans="3:15" ht="33" customHeight="1" x14ac:dyDescent="0.3">
      <c r="C13" s="131">
        <f>Detalle!E27</f>
        <v>10</v>
      </c>
      <c r="D13" s="132">
        <f>Detalle!N27</f>
        <v>83801871.229513407</v>
      </c>
      <c r="E13" s="132">
        <f>Detalle!N57</f>
        <v>91676788.563245282</v>
      </c>
      <c r="F13" s="132">
        <f>Detalle!M57</f>
        <v>679486.78582170047</v>
      </c>
      <c r="G13" s="131"/>
      <c r="H13" s="131"/>
      <c r="I13" s="131"/>
      <c r="J13" s="131"/>
      <c r="K13" s="131"/>
      <c r="L13" s="131"/>
      <c r="M13" s="131"/>
      <c r="N13" s="131"/>
      <c r="O13" s="128"/>
    </row>
    <row r="14" spans="3:15" ht="33" customHeight="1" x14ac:dyDescent="0.3">
      <c r="C14" s="131">
        <f>Detalle!E28</f>
        <v>11</v>
      </c>
      <c r="D14" s="132">
        <f>Detalle!N28</f>
        <v>88243370.404677629</v>
      </c>
      <c r="E14" s="132">
        <f>Detalle!N58</f>
        <v>97406587.848448113</v>
      </c>
      <c r="F14" s="132">
        <f>Detalle!M58</f>
        <v>721954.70993555675</v>
      </c>
      <c r="G14" s="131"/>
      <c r="H14" s="131"/>
      <c r="I14" s="131"/>
      <c r="J14" s="131"/>
      <c r="K14" s="131"/>
      <c r="L14" s="131"/>
      <c r="M14" s="131"/>
      <c r="N14" s="131"/>
      <c r="O14" s="128"/>
    </row>
    <row r="15" spans="3:15" ht="33" customHeight="1" x14ac:dyDescent="0.3">
      <c r="C15" s="131">
        <f>Detalle!E29</f>
        <v>12</v>
      </c>
      <c r="D15" s="132">
        <f>Detalle!N29</f>
        <v>92920269.036125541</v>
      </c>
      <c r="E15" s="132">
        <f>Detalle!N59</f>
        <v>103494499.58897611</v>
      </c>
      <c r="F15" s="132">
        <f>Detalle!M59</f>
        <v>767076.87930652895</v>
      </c>
      <c r="G15" s="131"/>
      <c r="H15" s="131"/>
      <c r="I15" s="131"/>
      <c r="J15" s="131"/>
      <c r="K15" s="131"/>
      <c r="L15" s="131"/>
      <c r="M15" s="131"/>
      <c r="N15" s="131"/>
      <c r="O15" s="128"/>
    </row>
    <row r="16" spans="3:15" ht="33" customHeight="1" x14ac:dyDescent="0.3">
      <c r="C16" s="127">
        <f>Detalle!E30</f>
        <v>13</v>
      </c>
      <c r="D16" s="129">
        <f>Detalle!N30</f>
        <v>97845043.295040205</v>
      </c>
      <c r="E16" s="129">
        <f>Detalle!N60</f>
        <v>109962905.81328712</v>
      </c>
      <c r="F16" s="129">
        <f>Detalle!M60</f>
        <v>815019.18426318699</v>
      </c>
      <c r="G16" s="128"/>
      <c r="H16" s="128"/>
      <c r="I16" s="128"/>
      <c r="J16" s="128"/>
      <c r="K16" s="128"/>
      <c r="L16" s="128"/>
      <c r="M16" s="128"/>
      <c r="N16" s="128"/>
      <c r="O16" s="128"/>
    </row>
    <row r="17" spans="3:15" ht="33" customHeight="1" x14ac:dyDescent="0.3">
      <c r="C17" s="127">
        <f>Detalle!E31</f>
        <v>14</v>
      </c>
      <c r="D17" s="129">
        <f>Detalle!N31</f>
        <v>103030830.58967733</v>
      </c>
      <c r="E17" s="129">
        <f>Detalle!N61</f>
        <v>116835587.42661756</v>
      </c>
      <c r="F17" s="129">
        <f>Detalle!M61</f>
        <v>865957.88327963627</v>
      </c>
      <c r="G17" s="128"/>
      <c r="H17" s="128"/>
      <c r="I17" s="128"/>
      <c r="J17" s="128"/>
      <c r="K17" s="128"/>
      <c r="L17" s="128"/>
      <c r="M17" s="128"/>
      <c r="N17" s="128"/>
      <c r="O17" s="128"/>
    </row>
    <row r="18" spans="3:15" ht="33" customHeight="1" x14ac:dyDescent="0.3">
      <c r="C18" s="127">
        <f>Detalle!E32</f>
        <v>15</v>
      </c>
      <c r="D18" s="129">
        <f>Detalle!N32</f>
        <v>108491464.61093023</v>
      </c>
      <c r="E18" s="129">
        <f>Detalle!N62</f>
        <v>124137811.64078116</v>
      </c>
      <c r="F18" s="129">
        <f>Detalle!M62</f>
        <v>920080.25098461355</v>
      </c>
      <c r="G18" s="128"/>
      <c r="H18" s="128"/>
      <c r="I18" s="128"/>
      <c r="J18" s="128"/>
      <c r="K18" s="128"/>
      <c r="L18" s="128"/>
      <c r="M18" s="128"/>
      <c r="N18" s="128"/>
      <c r="O18" s="128"/>
    </row>
    <row r="19" spans="3:15" ht="33" customHeight="1" x14ac:dyDescent="0.3">
      <c r="C19" s="127">
        <f>Detalle!E33</f>
        <v>16</v>
      </c>
      <c r="D19" s="129">
        <f>Detalle!N33</f>
        <v>114241512.23530954</v>
      </c>
      <c r="E19" s="129">
        <f>Detalle!N63</f>
        <v>131896424.86832999</v>
      </c>
      <c r="F19" s="129">
        <f>Detalle!M63</f>
        <v>977585.26667115197</v>
      </c>
      <c r="G19" s="128"/>
      <c r="H19" s="128"/>
      <c r="I19" s="128"/>
      <c r="J19" s="128"/>
      <c r="K19" s="128"/>
      <c r="L19" s="128"/>
      <c r="M19" s="128"/>
      <c r="N19" s="128"/>
      <c r="O19" s="128"/>
    </row>
    <row r="20" spans="3:15" ht="33" customHeight="1" x14ac:dyDescent="0.3">
      <c r="C20" s="127">
        <f>Detalle!E34</f>
        <v>17</v>
      </c>
      <c r="D20" s="129">
        <f>Detalle!N34</f>
        <v>120296312.38378096</v>
      </c>
      <c r="E20" s="129">
        <f>Detalle!N64</f>
        <v>140139951.4226006</v>
      </c>
      <c r="F20" s="129">
        <f>Detalle!M64</f>
        <v>1038684.3458380989</v>
      </c>
      <c r="G20" s="128"/>
      <c r="H20" s="128"/>
      <c r="I20" s="128"/>
      <c r="J20" s="128"/>
      <c r="K20" s="128"/>
      <c r="L20" s="128"/>
      <c r="M20" s="128"/>
      <c r="N20" s="128"/>
      <c r="O20" s="128"/>
    </row>
    <row r="21" spans="3:15" ht="33" customHeight="1" x14ac:dyDescent="0.3">
      <c r="C21" s="127">
        <f>Detalle!E35</f>
        <v>18</v>
      </c>
      <c r="D21" s="129">
        <f>Detalle!N35</f>
        <v>126672016.94012134</v>
      </c>
      <c r="E21" s="129">
        <f>Detalle!N65</f>
        <v>148898698.38651314</v>
      </c>
      <c r="F21" s="129">
        <f>Detalle!M65</f>
        <v>1103602.11745298</v>
      </c>
      <c r="G21" s="128"/>
      <c r="H21" s="128"/>
      <c r="I21" s="128"/>
      <c r="J21" s="128"/>
      <c r="K21" s="128"/>
      <c r="L21" s="128"/>
      <c r="M21" s="128"/>
      <c r="N21" s="128"/>
      <c r="O21" s="128"/>
    </row>
    <row r="22" spans="3:15" ht="33" customHeight="1" x14ac:dyDescent="0.3">
      <c r="C22" s="127">
        <f>Detalle!E36</f>
        <v>19</v>
      </c>
      <c r="D22" s="129">
        <f>Detalle!N36</f>
        <v>133385633.83794776</v>
      </c>
      <c r="E22" s="129">
        <f>Detalle!N66</f>
        <v>158204867.03567022</v>
      </c>
      <c r="F22" s="129">
        <f>Detalle!M66</f>
        <v>1172577.2497937912</v>
      </c>
      <c r="G22" s="128"/>
      <c r="H22" s="128"/>
      <c r="I22" s="128"/>
      <c r="J22" s="128"/>
      <c r="K22" s="128"/>
      <c r="L22" s="128"/>
      <c r="M22" s="128"/>
      <c r="N22" s="128"/>
      <c r="O22" s="128"/>
    </row>
    <row r="23" spans="3:15" ht="33" customHeight="1" x14ac:dyDescent="0.3">
      <c r="C23" s="127">
        <f>Detalle!E37</f>
        <v>20</v>
      </c>
      <c r="D23" s="129">
        <f>Detalle!N37</f>
        <v>140455072.43135899</v>
      </c>
      <c r="E23" s="129">
        <f>Detalle!N67</f>
        <v>168092671.22539961</v>
      </c>
      <c r="F23" s="129">
        <f>Detalle!M67</f>
        <v>1245863.3279059033</v>
      </c>
      <c r="G23" s="128"/>
      <c r="H23" s="128"/>
      <c r="I23" s="128"/>
      <c r="J23" s="128"/>
      <c r="K23" s="128"/>
      <c r="L23" s="128"/>
      <c r="M23" s="128"/>
      <c r="N23" s="128"/>
      <c r="O23" s="128"/>
    </row>
    <row r="24" spans="3:15" ht="33" customHeight="1" x14ac:dyDescent="0.3">
      <c r="C24" s="127">
        <f>Detalle!E38</f>
        <v>21</v>
      </c>
      <c r="D24" s="129">
        <f>Detalle!N38</f>
        <v>147899191.27022102</v>
      </c>
      <c r="E24" s="129">
        <f>Detalle!N68</f>
        <v>178598463.17698708</v>
      </c>
      <c r="F24" s="129">
        <f>Detalle!M68</f>
        <v>1323729.7859000224</v>
      </c>
      <c r="G24" s="128"/>
      <c r="H24" s="128"/>
      <c r="I24" s="128"/>
      <c r="J24" s="128"/>
      <c r="K24" s="128"/>
      <c r="L24" s="128"/>
      <c r="M24" s="128"/>
      <c r="N24" s="128"/>
      <c r="O24" s="128"/>
    </row>
    <row r="25" spans="3:15" ht="33" customHeight="1" x14ac:dyDescent="0.3">
      <c r="C25" s="127">
        <f>Detalle!E39</f>
        <v>22</v>
      </c>
      <c r="D25" s="129">
        <f>Detalle!N39</f>
        <v>155737848.40754274</v>
      </c>
      <c r="E25" s="129">
        <f>Detalle!N69</f>
        <v>189760867.12554878</v>
      </c>
      <c r="F25" s="129">
        <f>Detalle!M69</f>
        <v>1406462.8975187736</v>
      </c>
      <c r="G25" s="128"/>
      <c r="H25" s="128"/>
      <c r="I25" s="128"/>
      <c r="J25" s="128"/>
      <c r="K25" s="128"/>
      <c r="L25" s="128"/>
      <c r="M25" s="128"/>
      <c r="N25" s="128"/>
      <c r="O25" s="128"/>
    </row>
    <row r="26" spans="3:15" ht="33" customHeight="1" x14ac:dyDescent="0.3">
      <c r="C26" s="127">
        <f>Detalle!E40</f>
        <v>23</v>
      </c>
      <c r="D26" s="129">
        <f>Detalle!N40</f>
        <v>163991954.37314251</v>
      </c>
      <c r="E26" s="129">
        <f>Detalle!N70</f>
        <v>201620921.32089558</v>
      </c>
      <c r="F26" s="129">
        <f>Detalle!M70</f>
        <v>1494366.8286136971</v>
      </c>
      <c r="G26" s="128"/>
      <c r="H26" s="128"/>
      <c r="I26" s="128"/>
      <c r="J26" s="128"/>
      <c r="K26" s="128"/>
      <c r="L26" s="128"/>
      <c r="M26" s="128"/>
      <c r="N26" s="128"/>
      <c r="O26" s="128"/>
    </row>
    <row r="27" spans="3:15" ht="33" customHeight="1" x14ac:dyDescent="0.3">
      <c r="C27" s="127">
        <f>Detalle!E41</f>
        <v>24</v>
      </c>
      <c r="D27" s="129">
        <f>Detalle!N41</f>
        <v>172683527.95491907</v>
      </c>
      <c r="E27" s="129">
        <f>Detalle!N71</f>
        <v>214222228.90345156</v>
      </c>
      <c r="F27" s="129">
        <f>Detalle!M71</f>
        <v>1587764.755402053</v>
      </c>
      <c r="G27" s="128"/>
      <c r="H27" s="128"/>
      <c r="I27" s="128"/>
      <c r="J27" s="128"/>
      <c r="K27" s="128"/>
      <c r="L27" s="128"/>
      <c r="M27" s="128"/>
      <c r="N27" s="128"/>
      <c r="O27" s="128"/>
    </row>
    <row r="28" spans="3:15" ht="33" customHeight="1" x14ac:dyDescent="0.3">
      <c r="C28" s="127">
        <f>Detalle!E42</f>
        <v>25</v>
      </c>
      <c r="D28" s="129">
        <f>Detalle!N42</f>
        <v>181835754.93652979</v>
      </c>
      <c r="E28" s="129">
        <f>Detalle!N72</f>
        <v>227611118.20991728</v>
      </c>
      <c r="F28" s="129">
        <f>Detalle!M72</f>
        <v>1687000.0526146812</v>
      </c>
      <c r="G28" s="128"/>
      <c r="H28" s="128"/>
      <c r="I28" s="128"/>
      <c r="J28" s="128"/>
      <c r="K28" s="128"/>
      <c r="L28" s="128"/>
      <c r="M28" s="128"/>
      <c r="N28" s="128"/>
      <c r="O28" s="128"/>
    </row>
    <row r="29" spans="3:15" ht="33" customHeight="1" x14ac:dyDescent="0.3">
      <c r="C29" s="127" t="e">
        <f>Detalle!#REF!</f>
        <v>#REF!</v>
      </c>
      <c r="D29" s="129" t="e">
        <f>Detalle!#REF!</f>
        <v>#REF!</v>
      </c>
      <c r="E29" s="129" t="e">
        <f>Detalle!#REF!</f>
        <v>#REF!</v>
      </c>
      <c r="F29" s="129" t="e">
        <f>Detalle!#REF!</f>
        <v>#REF!</v>
      </c>
      <c r="G29" s="128"/>
      <c r="H29" s="128"/>
      <c r="I29" s="128"/>
      <c r="J29" s="128"/>
      <c r="K29" s="128"/>
      <c r="L29" s="128"/>
      <c r="M29" s="128"/>
      <c r="N29" s="128"/>
      <c r="O29" s="128"/>
    </row>
    <row r="30" spans="3:15" ht="15.6" x14ac:dyDescent="0.3">
      <c r="D30" s="130"/>
      <c r="E30" s="130"/>
      <c r="F30" s="130"/>
    </row>
    <row r="31" spans="3:15" ht="15.6" hidden="1" x14ac:dyDescent="0.3">
      <c r="D31" s="130"/>
      <c r="E31" s="130"/>
      <c r="F31" s="130"/>
    </row>
    <row r="32" spans="3:15" ht="15.6" hidden="1" x14ac:dyDescent="0.3">
      <c r="D32" s="130"/>
      <c r="E32" s="130"/>
      <c r="F32" s="130"/>
    </row>
    <row r="33" spans="4:6" ht="15.6" hidden="1" x14ac:dyDescent="0.3">
      <c r="D33" s="130"/>
      <c r="E33" s="130"/>
      <c r="F33" s="130"/>
    </row>
    <row r="34" spans="4:6" ht="15.6" hidden="1" x14ac:dyDescent="0.3">
      <c r="D34" s="130"/>
      <c r="E34" s="130"/>
      <c r="F34" s="130"/>
    </row>
    <row r="35" spans="4:6" ht="15.6" hidden="1" x14ac:dyDescent="0.3">
      <c r="D35" s="130"/>
      <c r="E35" s="130"/>
      <c r="F35" s="130"/>
    </row>
    <row r="36" spans="4:6" ht="15.6" hidden="1" x14ac:dyDescent="0.3">
      <c r="D36" s="130"/>
      <c r="E36" s="130"/>
      <c r="F36" s="130"/>
    </row>
    <row r="37" spans="4:6" ht="15.6" hidden="1" x14ac:dyDescent="0.3">
      <c r="D37" s="130"/>
      <c r="E37" s="130"/>
      <c r="F37" s="130"/>
    </row>
    <row r="38" spans="4:6" ht="15.6" hidden="1" x14ac:dyDescent="0.3">
      <c r="D38" s="130"/>
      <c r="E38" s="130"/>
      <c r="F38" s="130"/>
    </row>
    <row r="39" spans="4:6" ht="15.6" hidden="1" x14ac:dyDescent="0.3">
      <c r="D39" s="130"/>
      <c r="E39" s="130"/>
      <c r="F39" s="130"/>
    </row>
    <row r="40" spans="4:6" ht="15.6" hidden="1" x14ac:dyDescent="0.3">
      <c r="D40" s="130"/>
      <c r="E40" s="130"/>
      <c r="F40" s="130"/>
    </row>
    <row r="41" spans="4:6" ht="15.6" hidden="1" x14ac:dyDescent="0.3">
      <c r="D41" s="130"/>
      <c r="E41" s="130"/>
      <c r="F41" s="130"/>
    </row>
    <row r="42" spans="4:6" ht="15.6" hidden="1" x14ac:dyDescent="0.3">
      <c r="D42" s="130"/>
      <c r="E42" s="130"/>
      <c r="F42" s="130"/>
    </row>
    <row r="43" spans="4:6" ht="15.6" hidden="1" x14ac:dyDescent="0.3">
      <c r="D43" s="130"/>
      <c r="E43" s="130"/>
      <c r="F43" s="130"/>
    </row>
    <row r="44" spans="4:6" ht="15.6" hidden="1" x14ac:dyDescent="0.3">
      <c r="D44" s="130"/>
      <c r="E44" s="130"/>
      <c r="F44" s="130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79" fitToHeight="0" orientation="landscape" horizontalDpi="4294967292" r:id="rId1"/>
  <rowBreaks count="1" manualBreakCount="1">
    <brk id="15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FC95"/>
  <sheetViews>
    <sheetView topLeftCell="E43" zoomScale="80" zoomScaleNormal="80" workbookViewId="0">
      <selection activeCell="P57" sqref="P57"/>
    </sheetView>
  </sheetViews>
  <sheetFormatPr baseColWidth="10" defaultColWidth="0" defaultRowHeight="14.4" zeroHeight="1" x14ac:dyDescent="0.3"/>
  <cols>
    <col min="1" max="1" width="19.44140625" style="3" hidden="1" customWidth="1"/>
    <col min="2" max="2" width="7.21875" style="3" hidden="1" customWidth="1"/>
    <col min="3" max="3" width="6.5546875" style="3" hidden="1" customWidth="1"/>
    <col min="4" max="4" width="1.77734375" style="3" customWidth="1"/>
    <col min="5" max="5" width="7.5546875" style="2" customWidth="1"/>
    <col min="6" max="6" width="17.21875" style="2" customWidth="1"/>
    <col min="7" max="7" width="21.21875" style="2" customWidth="1"/>
    <col min="8" max="8" width="21.21875" style="2" hidden="1" customWidth="1"/>
    <col min="9" max="14" width="21.21875" style="2" customWidth="1"/>
    <col min="15" max="15" width="9.21875" style="2" customWidth="1"/>
    <col min="16" max="16" width="14.77734375" style="2" customWidth="1"/>
    <col min="17" max="17" width="14.44140625" style="2" customWidth="1"/>
    <col min="18" max="18" width="14.77734375" style="2" customWidth="1"/>
    <col min="19" max="16382" width="12.5546875" style="3" hidden="1"/>
    <col min="16383" max="16384" width="14.77734375" style="3" hidden="1"/>
  </cols>
  <sheetData>
    <row r="1" spans="1:18" hidden="1" x14ac:dyDescent="0.3">
      <c r="D1" s="2"/>
      <c r="G1" s="295" t="s">
        <v>14</v>
      </c>
      <c r="H1" s="4"/>
      <c r="I1" s="295" t="s">
        <v>0</v>
      </c>
      <c r="L1" s="295" t="s">
        <v>15</v>
      </c>
      <c r="M1" s="295" t="s">
        <v>8</v>
      </c>
      <c r="P1" s="3"/>
      <c r="Q1" s="3"/>
      <c r="R1" s="3"/>
    </row>
    <row r="2" spans="1:18" ht="17.25" hidden="1" customHeight="1" x14ac:dyDescent="0.35">
      <c r="A2" s="5" t="s">
        <v>16</v>
      </c>
      <c r="B2" s="6" t="s">
        <v>17</v>
      </c>
      <c r="C2" s="7"/>
      <c r="D2" s="2"/>
      <c r="G2" s="296"/>
      <c r="H2" s="8"/>
      <c r="I2" s="296"/>
      <c r="J2" s="3" t="s">
        <v>18</v>
      </c>
      <c r="K2" s="2" t="s">
        <v>19</v>
      </c>
      <c r="L2" s="296"/>
      <c r="M2" s="296"/>
      <c r="N2" s="9">
        <f>+(G3+L3-K3)*G18*I3</f>
        <v>0</v>
      </c>
      <c r="O2" s="9"/>
      <c r="P2" s="3"/>
      <c r="Q2" s="3"/>
      <c r="R2" s="3"/>
    </row>
    <row r="3" spans="1:18" hidden="1" x14ac:dyDescent="0.3">
      <c r="A3" s="10" t="s">
        <v>20</v>
      </c>
      <c r="B3" s="11">
        <v>0</v>
      </c>
      <c r="C3" s="11"/>
      <c r="D3" s="2"/>
      <c r="E3" s="12" t="s">
        <v>21</v>
      </c>
      <c r="F3" s="13"/>
      <c r="G3" s="14">
        <f>Supuestos!D12</f>
        <v>0</v>
      </c>
      <c r="H3" s="14"/>
      <c r="I3" s="15">
        <f>Supuestos!G12</f>
        <v>0</v>
      </c>
      <c r="J3" s="16">
        <f>Supuestos!D22</f>
        <v>7.4999999999999997E-3</v>
      </c>
      <c r="K3" s="16">
        <f>Supuestos!G22</f>
        <v>0</v>
      </c>
      <c r="L3" s="14">
        <f>Supuestos!D19</f>
        <v>0.05</v>
      </c>
      <c r="M3" s="14">
        <f>Supuestos!D18</f>
        <v>0.04</v>
      </c>
      <c r="N3" s="2">
        <f>+G18*(G4-K4)*I4</f>
        <v>3000000.0000000005</v>
      </c>
      <c r="O3" s="9"/>
      <c r="P3" s="3"/>
      <c r="Q3" s="3"/>
      <c r="R3" s="3"/>
    </row>
    <row r="4" spans="1:18" hidden="1" x14ac:dyDescent="0.3">
      <c r="A4" s="10" t="s">
        <v>22</v>
      </c>
      <c r="B4" s="11">
        <v>0.08</v>
      </c>
      <c r="C4" s="11"/>
      <c r="D4" s="2"/>
      <c r="E4" s="12" t="s">
        <v>23</v>
      </c>
      <c r="F4" s="13"/>
      <c r="G4" s="14">
        <f>Supuestos!D13</f>
        <v>7.0000000000000007E-2</v>
      </c>
      <c r="H4" s="14"/>
      <c r="I4" s="15">
        <f>Supuestos!G13</f>
        <v>1</v>
      </c>
      <c r="J4" s="16">
        <f>Supuestos!D23</f>
        <v>7.4999999999999997E-3</v>
      </c>
      <c r="K4" s="16">
        <f>Supuestos!G23</f>
        <v>0.01</v>
      </c>
      <c r="N4" s="3">
        <f>+G18*(G5+L3-K5)*I5</f>
        <v>0</v>
      </c>
      <c r="O4" s="17"/>
      <c r="P4" s="3"/>
      <c r="Q4" s="3"/>
      <c r="R4" s="3"/>
    </row>
    <row r="5" spans="1:18" ht="15.6" hidden="1" x14ac:dyDescent="0.3">
      <c r="A5" s="10" t="s">
        <v>24</v>
      </c>
      <c r="B5" s="11">
        <v>0</v>
      </c>
      <c r="C5" s="11"/>
      <c r="D5" s="16"/>
      <c r="E5" s="18" t="s">
        <v>25</v>
      </c>
      <c r="F5" s="18"/>
      <c r="G5" s="19">
        <f>Supuestos!D15</f>
        <v>0</v>
      </c>
      <c r="H5" s="19"/>
      <c r="I5" s="20">
        <f>Supuestos!G14</f>
        <v>0</v>
      </c>
      <c r="J5" s="16">
        <f>Supuestos!D24</f>
        <v>1.2500000000000001E-2</v>
      </c>
      <c r="K5" s="16">
        <f>Supuestos!G24</f>
        <v>0</v>
      </c>
      <c r="N5" s="2">
        <f>+G18*(G6-K6)*I6</f>
        <v>0</v>
      </c>
      <c r="O5" s="17"/>
      <c r="P5" s="3"/>
      <c r="Q5" s="3"/>
      <c r="R5" s="3"/>
    </row>
    <row r="6" spans="1:18" ht="15.6" hidden="1" x14ac:dyDescent="0.3">
      <c r="A6" s="10"/>
      <c r="B6" s="11"/>
      <c r="C6" s="11"/>
      <c r="D6" s="16"/>
      <c r="E6" s="21" t="s">
        <v>3</v>
      </c>
      <c r="F6" s="21"/>
      <c r="G6" s="22">
        <f>Supuestos!D14</f>
        <v>0.1</v>
      </c>
      <c r="H6" s="22"/>
      <c r="I6" s="20">
        <f>Supuestos!G15</f>
        <v>0</v>
      </c>
      <c r="J6" s="16">
        <f>Supuestos!D25</f>
        <v>1.2500000000000001E-2</v>
      </c>
      <c r="K6" s="16">
        <f>Supuestos!G25</f>
        <v>0</v>
      </c>
      <c r="M6" s="23">
        <f>+O48</f>
        <v>9.0218423551757798E-3</v>
      </c>
      <c r="O6" s="3"/>
      <c r="P6" s="3"/>
      <c r="Q6" s="3"/>
      <c r="R6" s="3"/>
    </row>
    <row r="7" spans="1:18" ht="15.6" hidden="1" x14ac:dyDescent="0.3">
      <c r="A7" s="10"/>
      <c r="B7" s="11"/>
      <c r="C7" s="11"/>
      <c r="D7" s="16"/>
      <c r="E7" s="24"/>
      <c r="F7" s="24"/>
      <c r="G7" s="25"/>
      <c r="H7" s="25"/>
      <c r="I7" s="26"/>
      <c r="O7" s="3"/>
      <c r="P7" s="3"/>
      <c r="Q7" s="3"/>
      <c r="R7" s="3"/>
    </row>
    <row r="8" spans="1:18" ht="15.6" hidden="1" x14ac:dyDescent="0.3">
      <c r="A8" s="10"/>
      <c r="B8" s="11"/>
      <c r="C8" s="11"/>
      <c r="D8" s="16"/>
      <c r="E8" s="24"/>
      <c r="F8" s="24"/>
      <c r="G8" s="25"/>
      <c r="H8" s="25"/>
      <c r="I8" s="26"/>
      <c r="P8" s="3"/>
      <c r="Q8" s="3"/>
      <c r="R8" s="3"/>
    </row>
    <row r="9" spans="1:18" ht="15.6" hidden="1" x14ac:dyDescent="0.3">
      <c r="A9" s="10"/>
      <c r="B9" s="11"/>
      <c r="C9" s="11"/>
      <c r="D9" s="16"/>
      <c r="E9" s="24"/>
      <c r="F9" s="24"/>
      <c r="G9" s="25"/>
      <c r="H9" s="25"/>
      <c r="I9" s="26"/>
      <c r="P9" s="3"/>
      <c r="Q9" s="3"/>
      <c r="R9" s="3"/>
    </row>
    <row r="10" spans="1:18" ht="15.6" hidden="1" x14ac:dyDescent="0.3">
      <c r="A10" s="10"/>
      <c r="B10" s="11"/>
      <c r="C10" s="11"/>
      <c r="D10" s="16"/>
      <c r="E10" s="24"/>
      <c r="F10" s="24"/>
      <c r="G10" s="25"/>
      <c r="H10" s="25"/>
      <c r="I10" s="26"/>
      <c r="P10" s="3"/>
      <c r="Q10" s="3"/>
      <c r="R10" s="3"/>
    </row>
    <row r="11" spans="1:18" ht="15.6" hidden="1" x14ac:dyDescent="0.3">
      <c r="A11" s="10"/>
      <c r="B11" s="11"/>
      <c r="C11" s="11"/>
      <c r="D11" s="16"/>
      <c r="E11" s="24"/>
      <c r="F11" s="24"/>
      <c r="G11" s="25"/>
      <c r="H11" s="25"/>
      <c r="I11" s="26"/>
      <c r="P11" s="3"/>
      <c r="Q11" s="3"/>
      <c r="R11" s="3"/>
    </row>
    <row r="12" spans="1:18" ht="15.6" x14ac:dyDescent="0.3">
      <c r="A12" s="10"/>
      <c r="B12" s="11"/>
      <c r="C12" s="11"/>
      <c r="D12" s="16"/>
      <c r="E12" s="24"/>
      <c r="F12" s="24"/>
      <c r="G12" s="25"/>
      <c r="H12" s="25"/>
      <c r="I12" s="26"/>
    </row>
    <row r="13" spans="1:18" ht="15" thickBot="1" x14ac:dyDescent="0.35">
      <c r="B13" s="27"/>
      <c r="C13" s="27"/>
      <c r="D13" s="2"/>
      <c r="E13" s="78" t="s">
        <v>58</v>
      </c>
    </row>
    <row r="14" spans="1:18" ht="28.5" customHeight="1" thickTop="1" thickBot="1" x14ac:dyDescent="0.35">
      <c r="B14" s="27"/>
      <c r="C14" s="27"/>
      <c r="D14" s="2"/>
      <c r="E14" s="297" t="s">
        <v>26</v>
      </c>
      <c r="F14" s="298"/>
      <c r="G14" s="298"/>
      <c r="H14" s="298"/>
      <c r="I14" s="298"/>
      <c r="J14" s="298"/>
      <c r="K14" s="298"/>
      <c r="L14" s="298"/>
      <c r="M14" s="298"/>
      <c r="N14" s="299"/>
    </row>
    <row r="15" spans="1:18" ht="15.75" customHeight="1" thickTop="1" x14ac:dyDescent="0.35">
      <c r="A15" s="5" t="s">
        <v>27</v>
      </c>
      <c r="B15" s="6" t="s">
        <v>17</v>
      </c>
      <c r="C15" s="27"/>
      <c r="D15" s="2"/>
      <c r="E15" s="312" t="s">
        <v>4</v>
      </c>
      <c r="F15" s="311" t="s">
        <v>48</v>
      </c>
      <c r="G15" s="312" t="s">
        <v>28</v>
      </c>
      <c r="H15" s="311" t="s">
        <v>48</v>
      </c>
      <c r="I15" s="314" t="s">
        <v>29</v>
      </c>
      <c r="J15" s="315"/>
      <c r="K15" s="300" t="s">
        <v>7</v>
      </c>
      <c r="L15" s="301"/>
      <c r="M15" s="302"/>
      <c r="N15" s="303" t="s">
        <v>30</v>
      </c>
    </row>
    <row r="16" spans="1:18" ht="15.75" customHeight="1" x14ac:dyDescent="0.3">
      <c r="A16" s="10" t="s">
        <v>8</v>
      </c>
      <c r="B16" s="28">
        <v>0.05</v>
      </c>
      <c r="C16" s="27"/>
      <c r="D16" s="2"/>
      <c r="E16" s="312"/>
      <c r="F16" s="312"/>
      <c r="G16" s="312"/>
      <c r="H16" s="312"/>
      <c r="I16" s="316"/>
      <c r="J16" s="317"/>
      <c r="K16" s="304" t="s">
        <v>31</v>
      </c>
      <c r="L16" s="305"/>
      <c r="M16" s="306" t="s">
        <v>32</v>
      </c>
      <c r="N16" s="303"/>
    </row>
    <row r="17" spans="1:14" ht="15" customHeight="1" thickBot="1" x14ac:dyDescent="0.35">
      <c r="A17" s="10" t="s">
        <v>33</v>
      </c>
      <c r="B17" s="28">
        <v>0.04</v>
      </c>
      <c r="D17" s="2"/>
      <c r="E17" s="312"/>
      <c r="F17" s="313"/>
      <c r="G17" s="312"/>
      <c r="H17" s="313"/>
      <c r="I17" s="55" t="s">
        <v>34</v>
      </c>
      <c r="J17" s="56" t="s">
        <v>35</v>
      </c>
      <c r="K17" s="55" t="s">
        <v>36</v>
      </c>
      <c r="L17" s="57" t="s">
        <v>37</v>
      </c>
      <c r="M17" s="307"/>
      <c r="N17" s="303"/>
    </row>
    <row r="18" spans="1:14" ht="15" thickTop="1" x14ac:dyDescent="0.3">
      <c r="D18" s="2"/>
      <c r="E18" s="29">
        <v>1</v>
      </c>
      <c r="F18" s="30" t="s">
        <v>49</v>
      </c>
      <c r="G18" s="47">
        <f>Supuestos!D5</f>
        <v>50000000</v>
      </c>
      <c r="H18" s="47"/>
      <c r="I18" s="47">
        <f>+(G18*$I$3*($G$3+$L$3-$K$3))+(G18*$I$4*($G$4-$K$4))</f>
        <v>3000000.0000000005</v>
      </c>
      <c r="J18" s="47">
        <f t="shared" ref="J18:J42" si="0">+((G18*$I$5*(($G$5+$L$3-$K$5))))+((G18*$I$6*(($G$6-$K$6))))</f>
        <v>0</v>
      </c>
      <c r="K18" s="47">
        <f t="shared" ref="K18:K42" si="1">+IF($M$3&gt;($G$3+$L$3),0,(($G$3+$L$3-$M$3-$K$3)*$I$3*G18*$B$20))+(IF($M$3&gt;($G$4),0,(($G$4-$M$3-$K$4)*$I$4*G18*$B$20)))</f>
        <v>350000.00000000006</v>
      </c>
      <c r="L18" s="47">
        <f t="shared" ref="L18:L42" si="2">+IF($M$3&gt;($G$5+$L$3),0,(($G$5+$L$3-$M$3-$K$5)*$I$5*G18*$B$21))+(IF($M$3&gt;($G$6),0,(($G$6-$M$3-$K$6)*$I$6*G18*$B$21)))</f>
        <v>0</v>
      </c>
      <c r="M18" s="47">
        <f t="shared" ref="M18:M42" si="3">+K18+L18</f>
        <v>350000.00000000006</v>
      </c>
      <c r="N18" s="48">
        <f t="shared" ref="N18:N42" si="4">+G18+I18+J18-M18</f>
        <v>52650000</v>
      </c>
    </row>
    <row r="19" spans="1:14" ht="15.6" x14ac:dyDescent="0.3">
      <c r="A19" s="5" t="s">
        <v>38</v>
      </c>
      <c r="B19" s="5"/>
      <c r="D19" s="2"/>
      <c r="E19" s="58">
        <v>2</v>
      </c>
      <c r="F19" s="49">
        <f>IF(Supuestos!$D$8-Detalle!$E18&gt;0,+Supuestos!$D$7,0)</f>
        <v>0</v>
      </c>
      <c r="G19" s="49">
        <f>+N18+H19+F19</f>
        <v>52650000</v>
      </c>
      <c r="H19" s="49"/>
      <c r="I19" s="49">
        <f t="shared" ref="I19:I42" si="5">+(G19*$I$3*($G$3+$L$3-$K$3))+(G19*$I$4*($G$4-$K$4))</f>
        <v>3159000.0000000005</v>
      </c>
      <c r="J19" s="49">
        <f t="shared" si="0"/>
        <v>0</v>
      </c>
      <c r="K19" s="49">
        <f t="shared" si="1"/>
        <v>368550.00000000006</v>
      </c>
      <c r="L19" s="49">
        <f t="shared" si="2"/>
        <v>0</v>
      </c>
      <c r="M19" s="49">
        <f t="shared" si="3"/>
        <v>368550.00000000006</v>
      </c>
      <c r="N19" s="50">
        <f t="shared" si="4"/>
        <v>55440450</v>
      </c>
    </row>
    <row r="20" spans="1:14" x14ac:dyDescent="0.3">
      <c r="A20" s="10" t="s">
        <v>9</v>
      </c>
      <c r="B20" s="32">
        <v>0.35</v>
      </c>
      <c r="C20" s="33"/>
      <c r="D20" s="2"/>
      <c r="E20" s="59">
        <v>3</v>
      </c>
      <c r="F20" s="51">
        <f>IF(Supuestos!$D$8-Detalle!$E19&gt;0,+Supuestos!$D$7,0)</f>
        <v>0</v>
      </c>
      <c r="G20" s="51">
        <f t="shared" ref="G20:G42" si="6">+N19+H20+F20</f>
        <v>55440450</v>
      </c>
      <c r="H20" s="51"/>
      <c r="I20" s="51">
        <f t="shared" si="5"/>
        <v>3326427.0000000005</v>
      </c>
      <c r="J20" s="51">
        <f t="shared" si="0"/>
        <v>0</v>
      </c>
      <c r="K20" s="51">
        <f t="shared" si="1"/>
        <v>388083.15000000008</v>
      </c>
      <c r="L20" s="51">
        <f t="shared" si="2"/>
        <v>0</v>
      </c>
      <c r="M20" s="51">
        <f t="shared" si="3"/>
        <v>388083.15000000008</v>
      </c>
      <c r="N20" s="52">
        <f t="shared" si="4"/>
        <v>58378793.850000001</v>
      </c>
    </row>
    <row r="21" spans="1:14" x14ac:dyDescent="0.3">
      <c r="A21" s="10" t="s">
        <v>11</v>
      </c>
      <c r="B21" s="32">
        <v>0.1</v>
      </c>
      <c r="C21" s="33"/>
      <c r="D21" s="2"/>
      <c r="E21" s="58">
        <v>4</v>
      </c>
      <c r="F21" s="49">
        <f>IF(Supuestos!$D$8-Detalle!$E20&gt;0,+Supuestos!$D$7,0)</f>
        <v>0</v>
      </c>
      <c r="G21" s="49">
        <f t="shared" si="6"/>
        <v>58378793.850000001</v>
      </c>
      <c r="H21" s="49"/>
      <c r="I21" s="49">
        <f t="shared" si="5"/>
        <v>3502727.6310000005</v>
      </c>
      <c r="J21" s="49">
        <f t="shared" si="0"/>
        <v>0</v>
      </c>
      <c r="K21" s="49">
        <f t="shared" si="1"/>
        <v>408651.55695000011</v>
      </c>
      <c r="L21" s="49">
        <f t="shared" si="2"/>
        <v>0</v>
      </c>
      <c r="M21" s="49">
        <f t="shared" si="3"/>
        <v>408651.55695000011</v>
      </c>
      <c r="N21" s="50">
        <f t="shared" si="4"/>
        <v>61472869.924049996</v>
      </c>
    </row>
    <row r="22" spans="1:14" x14ac:dyDescent="0.3">
      <c r="D22" s="2"/>
      <c r="E22" s="59">
        <v>5</v>
      </c>
      <c r="F22" s="51">
        <f>IF(Supuestos!$D$8-Detalle!$E21&gt;0,+Supuestos!$D$7,0)</f>
        <v>0</v>
      </c>
      <c r="G22" s="51">
        <f t="shared" si="6"/>
        <v>61472869.924049996</v>
      </c>
      <c r="H22" s="51"/>
      <c r="I22" s="51">
        <f t="shared" si="5"/>
        <v>3688372.1954430002</v>
      </c>
      <c r="J22" s="51">
        <f t="shared" si="0"/>
        <v>0</v>
      </c>
      <c r="K22" s="51">
        <f t="shared" si="1"/>
        <v>430310.08946835005</v>
      </c>
      <c r="L22" s="51">
        <f t="shared" si="2"/>
        <v>0</v>
      </c>
      <c r="M22" s="51">
        <f t="shared" si="3"/>
        <v>430310.08946835005</v>
      </c>
      <c r="N22" s="52">
        <f t="shared" si="4"/>
        <v>64730932.03002464</v>
      </c>
    </row>
    <row r="23" spans="1:14" ht="15.6" x14ac:dyDescent="0.3">
      <c r="C23" s="35"/>
      <c r="D23" s="2"/>
      <c r="E23" s="58">
        <v>6</v>
      </c>
      <c r="F23" s="49">
        <f>IF(Supuestos!$D$8-Detalle!$E22&gt;0,+Supuestos!$D$7,0)</f>
        <v>0</v>
      </c>
      <c r="G23" s="49">
        <f t="shared" si="6"/>
        <v>64730932.03002464</v>
      </c>
      <c r="H23" s="49"/>
      <c r="I23" s="49">
        <f t="shared" si="5"/>
        <v>3883855.9218014786</v>
      </c>
      <c r="J23" s="49">
        <f t="shared" si="0"/>
        <v>0</v>
      </c>
      <c r="K23" s="49">
        <f t="shared" si="1"/>
        <v>453116.52421017253</v>
      </c>
      <c r="L23" s="49">
        <f t="shared" si="2"/>
        <v>0</v>
      </c>
      <c r="M23" s="49">
        <f t="shared" si="3"/>
        <v>453116.52421017253</v>
      </c>
      <c r="N23" s="50">
        <f t="shared" si="4"/>
        <v>68161671.427615955</v>
      </c>
    </row>
    <row r="24" spans="1:14" x14ac:dyDescent="0.3">
      <c r="D24" s="2"/>
      <c r="E24" s="59">
        <v>7</v>
      </c>
      <c r="F24" s="51">
        <f>IF(Supuestos!$D$8-Detalle!$E23&gt;0,+Supuestos!$D$7,0)</f>
        <v>0</v>
      </c>
      <c r="G24" s="51">
        <f t="shared" si="6"/>
        <v>68161671.427615955</v>
      </c>
      <c r="H24" s="51"/>
      <c r="I24" s="51">
        <f t="shared" si="5"/>
        <v>4089700.2856569574</v>
      </c>
      <c r="J24" s="51">
        <f t="shared" si="0"/>
        <v>0</v>
      </c>
      <c r="K24" s="51">
        <f t="shared" si="1"/>
        <v>477131.69999331172</v>
      </c>
      <c r="L24" s="51">
        <f t="shared" si="2"/>
        <v>0</v>
      </c>
      <c r="M24" s="51">
        <f t="shared" si="3"/>
        <v>477131.69999331172</v>
      </c>
      <c r="N24" s="52">
        <f t="shared" si="4"/>
        <v>71774240.013279602</v>
      </c>
    </row>
    <row r="25" spans="1:14" x14ac:dyDescent="0.3">
      <c r="D25" s="2"/>
      <c r="E25" s="58">
        <v>8</v>
      </c>
      <c r="F25" s="49">
        <f>IF(Supuestos!$D$8-Detalle!$E24&gt;0,+Supuestos!$D$7,0)</f>
        <v>0</v>
      </c>
      <c r="G25" s="49">
        <f t="shared" si="6"/>
        <v>71774240.013279602</v>
      </c>
      <c r="H25" s="49"/>
      <c r="I25" s="49">
        <f t="shared" si="5"/>
        <v>4306454.4007967766</v>
      </c>
      <c r="J25" s="49">
        <f t="shared" si="0"/>
        <v>0</v>
      </c>
      <c r="K25" s="49">
        <f t="shared" si="1"/>
        <v>502419.68009295728</v>
      </c>
      <c r="L25" s="49">
        <f t="shared" si="2"/>
        <v>0</v>
      </c>
      <c r="M25" s="49">
        <f t="shared" si="3"/>
        <v>502419.68009295728</v>
      </c>
      <c r="N25" s="50">
        <f t="shared" si="4"/>
        <v>75578274.733983412</v>
      </c>
    </row>
    <row r="26" spans="1:14" x14ac:dyDescent="0.3">
      <c r="D26" s="2"/>
      <c r="E26" s="59">
        <v>9</v>
      </c>
      <c r="F26" s="51">
        <f>IF(Supuestos!$D$8-Detalle!$E25&gt;0,+Supuestos!$D$7,0)</f>
        <v>0</v>
      </c>
      <c r="G26" s="51">
        <f t="shared" si="6"/>
        <v>75578274.733983412</v>
      </c>
      <c r="H26" s="51"/>
      <c r="I26" s="51">
        <f t="shared" si="5"/>
        <v>4534696.4840390049</v>
      </c>
      <c r="J26" s="51">
        <f t="shared" si="0"/>
        <v>0</v>
      </c>
      <c r="K26" s="51">
        <f t="shared" si="1"/>
        <v>529047.92313788389</v>
      </c>
      <c r="L26" s="51">
        <f t="shared" si="2"/>
        <v>0</v>
      </c>
      <c r="M26" s="51">
        <f t="shared" si="3"/>
        <v>529047.92313788389</v>
      </c>
      <c r="N26" s="52">
        <f t="shared" si="4"/>
        <v>79583923.294884533</v>
      </c>
    </row>
    <row r="27" spans="1:14" x14ac:dyDescent="0.3">
      <c r="D27" s="2"/>
      <c r="E27" s="58">
        <v>10</v>
      </c>
      <c r="F27" s="49">
        <f>IF(Supuestos!$D$8-Detalle!$E26&gt;0,+Supuestos!$D$7,0)</f>
        <v>0</v>
      </c>
      <c r="G27" s="49">
        <f t="shared" si="6"/>
        <v>79583923.294884533</v>
      </c>
      <c r="H27" s="49"/>
      <c r="I27" s="49">
        <f t="shared" si="5"/>
        <v>4775035.3976930724</v>
      </c>
      <c r="J27" s="49">
        <f t="shared" si="0"/>
        <v>0</v>
      </c>
      <c r="K27" s="49">
        <f t="shared" si="1"/>
        <v>557087.46306419175</v>
      </c>
      <c r="L27" s="49">
        <f t="shared" si="2"/>
        <v>0</v>
      </c>
      <c r="M27" s="49">
        <f t="shared" si="3"/>
        <v>557087.46306419175</v>
      </c>
      <c r="N27" s="50">
        <f t="shared" si="4"/>
        <v>83801871.229513407</v>
      </c>
    </row>
    <row r="28" spans="1:14" x14ac:dyDescent="0.3">
      <c r="C28" s="36"/>
      <c r="D28" s="2"/>
      <c r="E28" s="59">
        <v>11</v>
      </c>
      <c r="F28" s="51">
        <f>IF(Supuestos!$D$8-Detalle!$E27&gt;0,+Supuestos!$D$7,0)</f>
        <v>0</v>
      </c>
      <c r="G28" s="51">
        <f t="shared" si="6"/>
        <v>83801871.229513407</v>
      </c>
      <c r="H28" s="51"/>
      <c r="I28" s="51">
        <f t="shared" si="5"/>
        <v>5028112.2737708045</v>
      </c>
      <c r="J28" s="51">
        <f t="shared" si="0"/>
        <v>0</v>
      </c>
      <c r="K28" s="51">
        <f t="shared" si="1"/>
        <v>586613.09860659391</v>
      </c>
      <c r="L28" s="51">
        <f t="shared" si="2"/>
        <v>0</v>
      </c>
      <c r="M28" s="51">
        <f t="shared" si="3"/>
        <v>586613.09860659391</v>
      </c>
      <c r="N28" s="52">
        <f t="shared" si="4"/>
        <v>88243370.404677629</v>
      </c>
    </row>
    <row r="29" spans="1:14" x14ac:dyDescent="0.3">
      <c r="C29" s="36"/>
      <c r="D29" s="2"/>
      <c r="E29" s="58">
        <v>12</v>
      </c>
      <c r="F29" s="49">
        <f>IF(Supuestos!$D$8-Detalle!$E28&gt;0,+Supuestos!$D$7,0)</f>
        <v>0</v>
      </c>
      <c r="G29" s="49">
        <f t="shared" si="6"/>
        <v>88243370.404677629</v>
      </c>
      <c r="H29" s="49"/>
      <c r="I29" s="49">
        <f t="shared" si="5"/>
        <v>5294602.2242806582</v>
      </c>
      <c r="J29" s="49">
        <f t="shared" si="0"/>
        <v>0</v>
      </c>
      <c r="K29" s="49">
        <f t="shared" si="1"/>
        <v>617703.59283274354</v>
      </c>
      <c r="L29" s="49">
        <f t="shared" si="2"/>
        <v>0</v>
      </c>
      <c r="M29" s="49">
        <f t="shared" si="3"/>
        <v>617703.59283274354</v>
      </c>
      <c r="N29" s="50">
        <f t="shared" si="4"/>
        <v>92920269.036125541</v>
      </c>
    </row>
    <row r="30" spans="1:14" x14ac:dyDescent="0.3">
      <c r="C30" s="36"/>
      <c r="D30" s="2"/>
      <c r="E30" s="59">
        <v>13</v>
      </c>
      <c r="F30" s="51">
        <f>IF(Supuestos!$D$8-Detalle!$E29&gt;0,+Supuestos!$D$7,0)</f>
        <v>0</v>
      </c>
      <c r="G30" s="51">
        <f t="shared" si="6"/>
        <v>92920269.036125541</v>
      </c>
      <c r="H30" s="51"/>
      <c r="I30" s="51">
        <f t="shared" si="5"/>
        <v>5575216.1421675328</v>
      </c>
      <c r="J30" s="51">
        <f t="shared" si="0"/>
        <v>0</v>
      </c>
      <c r="K30" s="51">
        <f t="shared" si="1"/>
        <v>650441.88325287879</v>
      </c>
      <c r="L30" s="51">
        <f t="shared" si="2"/>
        <v>0</v>
      </c>
      <c r="M30" s="51">
        <f t="shared" si="3"/>
        <v>650441.88325287879</v>
      </c>
      <c r="N30" s="52">
        <f t="shared" si="4"/>
        <v>97845043.295040205</v>
      </c>
    </row>
    <row r="31" spans="1:14" x14ac:dyDescent="0.3">
      <c r="C31" s="36"/>
      <c r="D31" s="2"/>
      <c r="E31" s="58">
        <v>14</v>
      </c>
      <c r="F31" s="49">
        <f>IF(Supuestos!$D$8-Detalle!$E30&gt;0,+Supuestos!$D$7,0)</f>
        <v>0</v>
      </c>
      <c r="G31" s="49">
        <f t="shared" si="6"/>
        <v>97845043.295040205</v>
      </c>
      <c r="H31" s="49"/>
      <c r="I31" s="49">
        <f t="shared" si="5"/>
        <v>5870702.5977024129</v>
      </c>
      <c r="J31" s="49">
        <f t="shared" si="0"/>
        <v>0</v>
      </c>
      <c r="K31" s="49">
        <f t="shared" si="1"/>
        <v>684915.30306528159</v>
      </c>
      <c r="L31" s="49">
        <f t="shared" si="2"/>
        <v>0</v>
      </c>
      <c r="M31" s="49">
        <f t="shared" si="3"/>
        <v>684915.30306528159</v>
      </c>
      <c r="N31" s="50">
        <f t="shared" si="4"/>
        <v>103030830.58967733</v>
      </c>
    </row>
    <row r="32" spans="1:14" x14ac:dyDescent="0.3">
      <c r="C32" s="36"/>
      <c r="D32" s="2"/>
      <c r="E32" s="59">
        <v>15</v>
      </c>
      <c r="F32" s="51">
        <f>IF(Supuestos!$D$8-Detalle!$E31&gt;0,+Supuestos!$D$7,0)</f>
        <v>0</v>
      </c>
      <c r="G32" s="51">
        <f t="shared" si="6"/>
        <v>103030830.58967733</v>
      </c>
      <c r="H32" s="51"/>
      <c r="I32" s="51">
        <f t="shared" si="5"/>
        <v>6181849.8353806408</v>
      </c>
      <c r="J32" s="51">
        <f t="shared" si="0"/>
        <v>0</v>
      </c>
      <c r="K32" s="51">
        <f t="shared" si="1"/>
        <v>721215.8141277415</v>
      </c>
      <c r="L32" s="51">
        <f t="shared" si="2"/>
        <v>0</v>
      </c>
      <c r="M32" s="51">
        <f t="shared" si="3"/>
        <v>721215.8141277415</v>
      </c>
      <c r="N32" s="52">
        <f t="shared" si="4"/>
        <v>108491464.61093023</v>
      </c>
    </row>
    <row r="33" spans="3:18 16383:16383" x14ac:dyDescent="0.3">
      <c r="C33" s="36"/>
      <c r="D33" s="2"/>
      <c r="E33" s="58">
        <v>16</v>
      </c>
      <c r="F33" s="49">
        <f>IF(Supuestos!$D$8-Detalle!$E32&gt;0,+Supuestos!$D$7,0)</f>
        <v>0</v>
      </c>
      <c r="G33" s="49">
        <f t="shared" si="6"/>
        <v>108491464.61093023</v>
      </c>
      <c r="H33" s="49"/>
      <c r="I33" s="49">
        <f t="shared" si="5"/>
        <v>6509487.8766558142</v>
      </c>
      <c r="J33" s="49">
        <f t="shared" si="0"/>
        <v>0</v>
      </c>
      <c r="K33" s="49">
        <f t="shared" si="1"/>
        <v>759440.25227651175</v>
      </c>
      <c r="L33" s="49">
        <f t="shared" si="2"/>
        <v>0</v>
      </c>
      <c r="M33" s="49">
        <f t="shared" si="3"/>
        <v>759440.25227651175</v>
      </c>
      <c r="N33" s="50">
        <f t="shared" si="4"/>
        <v>114241512.23530954</v>
      </c>
    </row>
    <row r="34" spans="3:18 16383:16383" x14ac:dyDescent="0.3">
      <c r="C34" s="36"/>
      <c r="D34" s="2"/>
      <c r="E34" s="59">
        <v>17</v>
      </c>
      <c r="F34" s="51">
        <f>IF(Supuestos!$D$8-Detalle!$E33&gt;0,+Supuestos!$D$7,0)</f>
        <v>0</v>
      </c>
      <c r="G34" s="51">
        <f t="shared" si="6"/>
        <v>114241512.23530954</v>
      </c>
      <c r="H34" s="51"/>
      <c r="I34" s="51">
        <f t="shared" si="5"/>
        <v>6854490.7341185734</v>
      </c>
      <c r="J34" s="51">
        <f t="shared" si="0"/>
        <v>0</v>
      </c>
      <c r="K34" s="51">
        <f t="shared" si="1"/>
        <v>799690.58564716682</v>
      </c>
      <c r="L34" s="51">
        <f t="shared" si="2"/>
        <v>0</v>
      </c>
      <c r="M34" s="51">
        <f t="shared" si="3"/>
        <v>799690.58564716682</v>
      </c>
      <c r="N34" s="52">
        <f t="shared" si="4"/>
        <v>120296312.38378096</v>
      </c>
    </row>
    <row r="35" spans="3:18 16383:16383" x14ac:dyDescent="0.3">
      <c r="C35" s="36"/>
      <c r="D35" s="2"/>
      <c r="E35" s="58">
        <v>18</v>
      </c>
      <c r="F35" s="49">
        <f>IF(Supuestos!$D$8-Detalle!$E34&gt;0,+Supuestos!$D$7,0)</f>
        <v>0</v>
      </c>
      <c r="G35" s="49">
        <f t="shared" si="6"/>
        <v>120296312.38378096</v>
      </c>
      <c r="H35" s="49"/>
      <c r="I35" s="49">
        <f t="shared" si="5"/>
        <v>7217778.7430268582</v>
      </c>
      <c r="J35" s="49">
        <f t="shared" si="0"/>
        <v>0</v>
      </c>
      <c r="K35" s="49">
        <f t="shared" si="1"/>
        <v>842074.1866864668</v>
      </c>
      <c r="L35" s="49">
        <f t="shared" si="2"/>
        <v>0</v>
      </c>
      <c r="M35" s="49">
        <f t="shared" si="3"/>
        <v>842074.1866864668</v>
      </c>
      <c r="N35" s="50">
        <f t="shared" si="4"/>
        <v>126672016.94012134</v>
      </c>
    </row>
    <row r="36" spans="3:18 16383:16383" x14ac:dyDescent="0.3">
      <c r="C36" s="36"/>
      <c r="D36" s="2"/>
      <c r="E36" s="59">
        <v>19</v>
      </c>
      <c r="F36" s="51">
        <f>IF(Supuestos!$D$8-Detalle!$E35&gt;0,+Supuestos!$D$7,0)</f>
        <v>0</v>
      </c>
      <c r="G36" s="51">
        <f t="shared" si="6"/>
        <v>126672016.94012134</v>
      </c>
      <c r="H36" s="51"/>
      <c r="I36" s="51">
        <f t="shared" si="5"/>
        <v>7600321.0164072812</v>
      </c>
      <c r="J36" s="51">
        <f t="shared" si="0"/>
        <v>0</v>
      </c>
      <c r="K36" s="51">
        <f t="shared" si="1"/>
        <v>886704.11858084938</v>
      </c>
      <c r="L36" s="51">
        <f t="shared" si="2"/>
        <v>0</v>
      </c>
      <c r="M36" s="51">
        <f t="shared" si="3"/>
        <v>886704.11858084938</v>
      </c>
      <c r="N36" s="52">
        <f t="shared" si="4"/>
        <v>133385633.83794776</v>
      </c>
    </row>
    <row r="37" spans="3:18 16383:16383" x14ac:dyDescent="0.3">
      <c r="C37" s="36"/>
      <c r="D37" s="2"/>
      <c r="E37" s="58">
        <v>20</v>
      </c>
      <c r="F37" s="49">
        <f>IF(Supuestos!$D$8-Detalle!$E36&gt;0,+Supuestos!$D$7,0)</f>
        <v>0</v>
      </c>
      <c r="G37" s="49">
        <f t="shared" si="6"/>
        <v>133385633.83794776</v>
      </c>
      <c r="H37" s="49"/>
      <c r="I37" s="49">
        <f t="shared" si="5"/>
        <v>8003138.0302768657</v>
      </c>
      <c r="J37" s="49">
        <f t="shared" si="0"/>
        <v>0</v>
      </c>
      <c r="K37" s="49">
        <f t="shared" si="1"/>
        <v>933699.4368656344</v>
      </c>
      <c r="L37" s="49">
        <f t="shared" si="2"/>
        <v>0</v>
      </c>
      <c r="M37" s="49">
        <f t="shared" si="3"/>
        <v>933699.4368656344</v>
      </c>
      <c r="N37" s="50">
        <f t="shared" si="4"/>
        <v>140455072.43135899</v>
      </c>
    </row>
    <row r="38" spans="3:18 16383:16383" x14ac:dyDescent="0.3">
      <c r="C38" s="36"/>
      <c r="D38" s="2"/>
      <c r="E38" s="59">
        <v>21</v>
      </c>
      <c r="F38" s="51">
        <f>IF(Supuestos!$D$8-Detalle!$E37&gt;0,+Supuestos!$D$7,0)</f>
        <v>0</v>
      </c>
      <c r="G38" s="51">
        <f t="shared" si="6"/>
        <v>140455072.43135899</v>
      </c>
      <c r="H38" s="51"/>
      <c r="I38" s="51">
        <f t="shared" si="5"/>
        <v>8427304.3458815403</v>
      </c>
      <c r="J38" s="51">
        <f t="shared" si="0"/>
        <v>0</v>
      </c>
      <c r="K38" s="51">
        <f t="shared" si="1"/>
        <v>983185.50701951305</v>
      </c>
      <c r="L38" s="51">
        <f t="shared" si="2"/>
        <v>0</v>
      </c>
      <c r="M38" s="51">
        <f t="shared" si="3"/>
        <v>983185.50701951305</v>
      </c>
      <c r="N38" s="52">
        <f t="shared" si="4"/>
        <v>147899191.27022102</v>
      </c>
    </row>
    <row r="39" spans="3:18 16383:16383" x14ac:dyDescent="0.3">
      <c r="C39" s="36"/>
      <c r="D39" s="2"/>
      <c r="E39" s="58">
        <v>22</v>
      </c>
      <c r="F39" s="49">
        <f>IF(Supuestos!$D$8-Detalle!$E38&gt;0,+Supuestos!$D$7,0)</f>
        <v>0</v>
      </c>
      <c r="G39" s="49">
        <f t="shared" si="6"/>
        <v>147899191.27022102</v>
      </c>
      <c r="H39" s="49"/>
      <c r="I39" s="49">
        <f t="shared" si="5"/>
        <v>8873951.4762132615</v>
      </c>
      <c r="J39" s="49">
        <f t="shared" si="0"/>
        <v>0</v>
      </c>
      <c r="K39" s="49">
        <f t="shared" si="1"/>
        <v>1035294.3388915473</v>
      </c>
      <c r="L39" s="49">
        <f t="shared" si="2"/>
        <v>0</v>
      </c>
      <c r="M39" s="49">
        <f t="shared" si="3"/>
        <v>1035294.3388915473</v>
      </c>
      <c r="N39" s="50">
        <f t="shared" si="4"/>
        <v>155737848.40754274</v>
      </c>
    </row>
    <row r="40" spans="3:18 16383:16383" x14ac:dyDescent="0.3">
      <c r="C40" s="36"/>
      <c r="D40" s="2"/>
      <c r="E40" s="59">
        <v>23</v>
      </c>
      <c r="F40" s="51">
        <f>IF(Supuestos!$D$8-Detalle!$E39&gt;0,+Supuestos!$D$7,0)</f>
        <v>0</v>
      </c>
      <c r="G40" s="51">
        <f t="shared" si="6"/>
        <v>155737848.40754274</v>
      </c>
      <c r="H40" s="51"/>
      <c r="I40" s="51">
        <f t="shared" si="5"/>
        <v>9344270.9044525642</v>
      </c>
      <c r="J40" s="51">
        <f t="shared" si="0"/>
        <v>0</v>
      </c>
      <c r="K40" s="51">
        <f t="shared" si="1"/>
        <v>1090164.9388527994</v>
      </c>
      <c r="L40" s="51">
        <f t="shared" si="2"/>
        <v>0</v>
      </c>
      <c r="M40" s="51">
        <f t="shared" si="3"/>
        <v>1090164.9388527994</v>
      </c>
      <c r="N40" s="52">
        <f t="shared" si="4"/>
        <v>163991954.37314251</v>
      </c>
    </row>
    <row r="41" spans="3:18 16383:16383" x14ac:dyDescent="0.3">
      <c r="C41" s="36"/>
      <c r="D41" s="2"/>
      <c r="E41" s="58">
        <v>24</v>
      </c>
      <c r="F41" s="49">
        <f>IF(Supuestos!$D$8-Detalle!$E40&gt;0,+Supuestos!$D$7,0)</f>
        <v>0</v>
      </c>
      <c r="G41" s="49">
        <f t="shared" si="6"/>
        <v>163991954.37314251</v>
      </c>
      <c r="H41" s="49"/>
      <c r="I41" s="49">
        <f t="shared" si="5"/>
        <v>9839517.2623885516</v>
      </c>
      <c r="J41" s="49">
        <f t="shared" si="0"/>
        <v>0</v>
      </c>
      <c r="K41" s="49">
        <f t="shared" si="1"/>
        <v>1147943.6806119976</v>
      </c>
      <c r="L41" s="49">
        <f t="shared" si="2"/>
        <v>0</v>
      </c>
      <c r="M41" s="49">
        <f t="shared" si="3"/>
        <v>1147943.6806119976</v>
      </c>
      <c r="N41" s="50">
        <f t="shared" si="4"/>
        <v>172683527.95491907</v>
      </c>
    </row>
    <row r="42" spans="3:18 16383:16383" ht="15" thickBot="1" x14ac:dyDescent="0.35">
      <c r="C42" s="36"/>
      <c r="D42" s="2"/>
      <c r="E42" s="133">
        <v>25</v>
      </c>
      <c r="F42" s="134">
        <f>IF(Supuestos!$D$8-Detalle!$E41&gt;0,+Supuestos!$D$7,0)</f>
        <v>0</v>
      </c>
      <c r="G42" s="134">
        <f t="shared" si="6"/>
        <v>172683527.95491907</v>
      </c>
      <c r="H42" s="134"/>
      <c r="I42" s="134">
        <f t="shared" si="5"/>
        <v>10361011.677295145</v>
      </c>
      <c r="J42" s="134">
        <f t="shared" si="0"/>
        <v>0</v>
      </c>
      <c r="K42" s="134">
        <f t="shared" si="1"/>
        <v>1208784.6956844337</v>
      </c>
      <c r="L42" s="134">
        <f t="shared" si="2"/>
        <v>0</v>
      </c>
      <c r="M42" s="134">
        <f t="shared" si="3"/>
        <v>1208784.6956844337</v>
      </c>
      <c r="N42" s="135">
        <f t="shared" si="4"/>
        <v>181835754.93652979</v>
      </c>
    </row>
    <row r="43" spans="3:18 16383:16383" ht="15" thickBot="1" x14ac:dyDescent="0.35">
      <c r="C43" s="36"/>
      <c r="D43" s="2"/>
      <c r="E43" s="38"/>
      <c r="F43" s="38"/>
      <c r="G43" s="39"/>
      <c r="H43" s="39"/>
      <c r="I43" s="39"/>
      <c r="J43" s="39"/>
      <c r="K43" s="39"/>
      <c r="L43" s="39"/>
      <c r="M43" s="39"/>
      <c r="N43" s="39"/>
    </row>
    <row r="44" spans="3:18 16383:16383" ht="28.5" customHeight="1" thickTop="1" thickBot="1" x14ac:dyDescent="0.35">
      <c r="D44" s="2"/>
      <c r="E44" s="308" t="s">
        <v>39</v>
      </c>
      <c r="F44" s="309"/>
      <c r="G44" s="309"/>
      <c r="H44" s="309"/>
      <c r="I44" s="309"/>
      <c r="J44" s="309"/>
      <c r="K44" s="309"/>
      <c r="L44" s="309"/>
      <c r="M44" s="309"/>
      <c r="N44" s="310"/>
      <c r="O44" s="332" t="s">
        <v>53</v>
      </c>
      <c r="P44" s="332" t="s">
        <v>57</v>
      </c>
      <c r="Q44" s="318" t="s">
        <v>51</v>
      </c>
      <c r="R44" s="318" t="s">
        <v>50</v>
      </c>
    </row>
    <row r="45" spans="3:18 16383:16383" ht="15" thickTop="1" x14ac:dyDescent="0.3">
      <c r="D45" s="2"/>
      <c r="E45" s="321" t="s">
        <v>4</v>
      </c>
      <c r="F45" s="321" t="s">
        <v>46</v>
      </c>
      <c r="G45" s="321" t="s">
        <v>28</v>
      </c>
      <c r="H45" s="40"/>
      <c r="I45" s="323" t="s">
        <v>29</v>
      </c>
      <c r="J45" s="324"/>
      <c r="K45" s="323" t="s">
        <v>40</v>
      </c>
      <c r="L45" s="327"/>
      <c r="M45" s="324"/>
      <c r="N45" s="319" t="s">
        <v>30</v>
      </c>
      <c r="O45" s="332"/>
      <c r="P45" s="332"/>
      <c r="Q45" s="318"/>
      <c r="R45" s="318"/>
    </row>
    <row r="46" spans="3:18 16383:16383" x14ac:dyDescent="0.3">
      <c r="D46" s="2"/>
      <c r="E46" s="322"/>
      <c r="F46" s="322"/>
      <c r="G46" s="322"/>
      <c r="H46" s="41"/>
      <c r="I46" s="325"/>
      <c r="J46" s="326"/>
      <c r="K46" s="328" t="s">
        <v>31</v>
      </c>
      <c r="L46" s="329"/>
      <c r="M46" s="330" t="s">
        <v>41</v>
      </c>
      <c r="N46" s="320"/>
      <c r="O46" s="332"/>
      <c r="P46" s="332"/>
      <c r="Q46" s="318"/>
      <c r="R46" s="318"/>
    </row>
    <row r="47" spans="3:18 16383:16383" ht="26.25" customHeight="1" thickBot="1" x14ac:dyDescent="0.35">
      <c r="D47" s="2"/>
      <c r="E47" s="322"/>
      <c r="F47" s="322"/>
      <c r="G47" s="322"/>
      <c r="H47" s="41"/>
      <c r="I47" s="61" t="s">
        <v>34</v>
      </c>
      <c r="J47" s="62" t="s">
        <v>35</v>
      </c>
      <c r="K47" s="61" t="s">
        <v>36</v>
      </c>
      <c r="L47" s="63" t="s">
        <v>37</v>
      </c>
      <c r="M47" s="331"/>
      <c r="N47" s="320"/>
      <c r="O47" s="332"/>
      <c r="P47" s="332"/>
      <c r="Q47" s="318"/>
      <c r="R47" s="318"/>
    </row>
    <row r="48" spans="3:18 16383:16383" ht="15.75" customHeight="1" thickTop="1" x14ac:dyDescent="0.3">
      <c r="D48" s="2"/>
      <c r="E48" s="29">
        <v>1</v>
      </c>
      <c r="F48" s="42" t="s">
        <v>49</v>
      </c>
      <c r="G48" s="47">
        <f>G18</f>
        <v>50000000</v>
      </c>
      <c r="H48" s="47"/>
      <c r="I48" s="47">
        <f t="shared" ref="I48:I72" si="7">+(G48*$I$3*($G$3+$L$3-$J$3))+(G48*$I$4*($G$4-$J$4))</f>
        <v>3125000</v>
      </c>
      <c r="J48" s="47">
        <f t="shared" ref="J48:J72" si="8">+((G48*$I$5*(($G$5+$L$3-$J$5))))+((G48*$I$6*(($G$6-$J$6))))</f>
        <v>0</v>
      </c>
      <c r="K48" s="47">
        <f t="shared" ref="K48:K72" si="9">+IF($M$3&gt;($G$3+$L$3),0,(($G$3+$L$3-$M$3-$J$3)*$I$3*G48*$B$20))+(IF($M$3&gt;($G$4),0,(($G$4-$M$3-$J$4)*$I$4*G48*$B$20)))</f>
        <v>393750.00000000006</v>
      </c>
      <c r="L48" s="47">
        <f t="shared" ref="L48:L72" si="10">+IF($M$3&gt;($G$5+$L$3),0,(($G$5+$L$3-$M$3-$J$5)*$I$5*G48*$B$21))+(IF($M$3&gt;($G$6),0,(($G$6-$M$3-$J$6)*$I$6*G48*$B$21)))</f>
        <v>0</v>
      </c>
      <c r="M48" s="47">
        <f t="shared" ref="M48:M72" si="11">+K48+L48</f>
        <v>393750.00000000006</v>
      </c>
      <c r="N48" s="48">
        <f t="shared" ref="N48:N72" si="12">+G48+I48+J48</f>
        <v>53125000</v>
      </c>
      <c r="O48" s="43">
        <f t="shared" ref="O48:O72" si="13">+(N48/N18)-1</f>
        <v>9.0218423551757798E-3</v>
      </c>
      <c r="P48" s="77">
        <f t="shared" ref="P48:P72" si="14">+N48-N18</f>
        <v>475000</v>
      </c>
      <c r="Q48" s="76">
        <f>+(N48-N18)-M48</f>
        <v>81249.999999999942</v>
      </c>
      <c r="R48" s="76">
        <f>+M48</f>
        <v>393750.00000000006</v>
      </c>
      <c r="XFC48" s="44">
        <f>+(N48-N18)-M48</f>
        <v>81249.999999999942</v>
      </c>
    </row>
    <row r="49" spans="4:18 16383:16383" ht="15.6" customHeight="1" x14ac:dyDescent="0.3">
      <c r="D49" s="2"/>
      <c r="E49" s="31">
        <v>2</v>
      </c>
      <c r="F49" s="49">
        <f>IF(Supuestos!$D$8-Detalle!$E48&gt;0,+Supuestos!$D$7,0)</f>
        <v>0</v>
      </c>
      <c r="G49" s="49">
        <f>+N48+H49+F49</f>
        <v>53125000</v>
      </c>
      <c r="H49" s="49"/>
      <c r="I49" s="49">
        <f t="shared" si="7"/>
        <v>3320312.5</v>
      </c>
      <c r="J49" s="49">
        <f t="shared" si="8"/>
        <v>0</v>
      </c>
      <c r="K49" s="49">
        <f t="shared" si="9"/>
        <v>418359.37500000006</v>
      </c>
      <c r="L49" s="49">
        <f t="shared" si="10"/>
        <v>0</v>
      </c>
      <c r="M49" s="49">
        <f t="shared" si="11"/>
        <v>418359.37500000006</v>
      </c>
      <c r="N49" s="50">
        <f t="shared" si="12"/>
        <v>56445312.5</v>
      </c>
      <c r="O49" s="43">
        <f t="shared" si="13"/>
        <v>1.8125078349833013E-2</v>
      </c>
      <c r="P49" s="77">
        <f t="shared" si="14"/>
        <v>1004862.5</v>
      </c>
      <c r="Q49" s="76">
        <f>+(N49-N19)-(SUM($M$48:M49))</f>
        <v>192753.12499999988</v>
      </c>
      <c r="R49" s="76">
        <f>+SUM($M$48:M49)</f>
        <v>812109.37500000012</v>
      </c>
      <c r="XFC49" s="44">
        <f>+(N49-N19)-(SUM($M$48:M49))</f>
        <v>192753.12499999988</v>
      </c>
    </row>
    <row r="50" spans="4:18 16383:16383" x14ac:dyDescent="0.3">
      <c r="D50" s="2"/>
      <c r="E50" s="34">
        <v>3</v>
      </c>
      <c r="F50" s="51">
        <f>IF(Supuestos!$D$8-Detalle!$E49&gt;0,+Supuestos!$D$7,0)</f>
        <v>0</v>
      </c>
      <c r="G50" s="51">
        <f t="shared" ref="G50:G72" si="15">+N49+H50+F50</f>
        <v>56445312.5</v>
      </c>
      <c r="H50" s="51"/>
      <c r="I50" s="51">
        <f t="shared" si="7"/>
        <v>3527832.03125</v>
      </c>
      <c r="J50" s="51">
        <f t="shared" si="8"/>
        <v>0</v>
      </c>
      <c r="K50" s="51">
        <f t="shared" si="9"/>
        <v>444506.83593750006</v>
      </c>
      <c r="L50" s="51">
        <f t="shared" si="10"/>
        <v>0</v>
      </c>
      <c r="M50" s="51">
        <f t="shared" si="11"/>
        <v>444506.83593750006</v>
      </c>
      <c r="N50" s="52">
        <f t="shared" si="12"/>
        <v>59973144.53125</v>
      </c>
      <c r="O50" s="43">
        <f t="shared" si="13"/>
        <v>2.7310442304556037E-2</v>
      </c>
      <c r="P50" s="77">
        <f t="shared" si="14"/>
        <v>1594350.6812499985</v>
      </c>
      <c r="Q50" s="76">
        <f>+(N50-N20)-(SUM($M$48:M50))</f>
        <v>337734.47031249828</v>
      </c>
      <c r="R50" s="76">
        <f>+SUM($M$48:M50)</f>
        <v>1256616.2109375002</v>
      </c>
      <c r="XFC50" s="44">
        <f>+(N50-N20)-(SUM($M$48:M50))</f>
        <v>337734.47031249828</v>
      </c>
    </row>
    <row r="51" spans="4:18 16383:16383" x14ac:dyDescent="0.3">
      <c r="D51" s="2"/>
      <c r="E51" s="31">
        <v>4</v>
      </c>
      <c r="F51" s="49">
        <f>IF(Supuestos!$D$8-Detalle!$E50&gt;0,+Supuestos!$D$7,0)</f>
        <v>0</v>
      </c>
      <c r="G51" s="49">
        <f t="shared" si="15"/>
        <v>59973144.53125</v>
      </c>
      <c r="H51" s="49"/>
      <c r="I51" s="49">
        <f t="shared" si="7"/>
        <v>3748321.533203125</v>
      </c>
      <c r="J51" s="49">
        <f t="shared" si="8"/>
        <v>0</v>
      </c>
      <c r="K51" s="49">
        <f t="shared" si="9"/>
        <v>472288.51318359387</v>
      </c>
      <c r="L51" s="49">
        <f t="shared" si="10"/>
        <v>0</v>
      </c>
      <c r="M51" s="49">
        <f t="shared" si="11"/>
        <v>472288.51318359387</v>
      </c>
      <c r="N51" s="50">
        <f t="shared" si="12"/>
        <v>63721466.064453125</v>
      </c>
      <c r="O51" s="43">
        <f t="shared" si="13"/>
        <v>3.6578675164853802E-2</v>
      </c>
      <c r="P51" s="77">
        <f t="shared" si="14"/>
        <v>2248596.1404031292</v>
      </c>
      <c r="Q51" s="76">
        <f>+(N51-N21)-(SUM($M$48:M51))</f>
        <v>519691.41628203494</v>
      </c>
      <c r="R51" s="76">
        <f>+SUM($M$48:M51)</f>
        <v>1728904.7241210942</v>
      </c>
      <c r="XFC51" s="44">
        <f>+(N51-N21)-(SUM($M$48:M51))</f>
        <v>519691.41628203494</v>
      </c>
    </row>
    <row r="52" spans="4:18 16383:16383" x14ac:dyDescent="0.3">
      <c r="D52" s="2"/>
      <c r="E52" s="34">
        <v>5</v>
      </c>
      <c r="F52" s="51">
        <f>IF(Supuestos!$D$8-Detalle!$E51&gt;0,+Supuestos!$D$7,0)</f>
        <v>0</v>
      </c>
      <c r="G52" s="51">
        <f t="shared" si="15"/>
        <v>63721466.064453125</v>
      </c>
      <c r="H52" s="51"/>
      <c r="I52" s="51">
        <f>+(G52*$I$3*($G$3+$L$3-$J$3))+(G52*$I$4*($G$4-$J$4))</f>
        <v>3982591.6290283203</v>
      </c>
      <c r="J52" s="51">
        <f t="shared" si="8"/>
        <v>0</v>
      </c>
      <c r="K52" s="51">
        <f t="shared" si="9"/>
        <v>501806.54525756848</v>
      </c>
      <c r="L52" s="51">
        <f t="shared" si="10"/>
        <v>0</v>
      </c>
      <c r="M52" s="51">
        <f t="shared" si="11"/>
        <v>501806.54525756848</v>
      </c>
      <c r="N52" s="52">
        <f t="shared" si="12"/>
        <v>67704057.693481445</v>
      </c>
      <c r="O52" s="43">
        <f t="shared" si="13"/>
        <v>4.5930524560928054E-2</v>
      </c>
      <c r="P52" s="77">
        <f t="shared" si="14"/>
        <v>2973125.6634568051</v>
      </c>
      <c r="Q52" s="76">
        <f>+(N52-N22)-(SUM($M$48:M52))</f>
        <v>742414.39407814248</v>
      </c>
      <c r="R52" s="76">
        <f>+SUM($M$48:M52)</f>
        <v>2230711.2693786626</v>
      </c>
      <c r="XFC52" s="44">
        <f>+(N52-N22)-(SUM($M$48:M52))</f>
        <v>742414.39407814248</v>
      </c>
    </row>
    <row r="53" spans="4:18 16383:16383" x14ac:dyDescent="0.3">
      <c r="D53" s="2"/>
      <c r="E53" s="31">
        <v>6</v>
      </c>
      <c r="F53" s="49">
        <f>IF(Supuestos!$D$8-Detalle!$E52&gt;0,+Supuestos!$D$7,0)</f>
        <v>0</v>
      </c>
      <c r="G53" s="49">
        <f t="shared" si="15"/>
        <v>67704057.693481445</v>
      </c>
      <c r="H53" s="49"/>
      <c r="I53" s="49">
        <f t="shared" si="7"/>
        <v>4231503.6058425903</v>
      </c>
      <c r="J53" s="49">
        <f t="shared" si="8"/>
        <v>0</v>
      </c>
      <c r="K53" s="49">
        <f t="shared" si="9"/>
        <v>533169.4543361665</v>
      </c>
      <c r="L53" s="49">
        <f t="shared" si="10"/>
        <v>0</v>
      </c>
      <c r="M53" s="49">
        <f t="shared" si="11"/>
        <v>533169.4543361665</v>
      </c>
      <c r="N53" s="50">
        <f t="shared" si="12"/>
        <v>71935561.299324036</v>
      </c>
      <c r="O53" s="43">
        <f t="shared" si="13"/>
        <v>5.5366744867982653E-2</v>
      </c>
      <c r="P53" s="77">
        <f t="shared" si="14"/>
        <v>3773889.8717080802</v>
      </c>
      <c r="Q53" s="76">
        <f>+(N53-N23)-(SUM($M$48:M53))</f>
        <v>1010009.1479932512</v>
      </c>
      <c r="R53" s="76">
        <f>+SUM($M$48:M53)</f>
        <v>2763880.723714829</v>
      </c>
      <c r="XFC53" s="44">
        <f>+(N53-N23)-(SUM($M$48:M53))</f>
        <v>1010009.1479932512</v>
      </c>
    </row>
    <row r="54" spans="4:18 16383:16383" x14ac:dyDescent="0.3">
      <c r="D54" s="2"/>
      <c r="E54" s="34">
        <v>7</v>
      </c>
      <c r="F54" s="51">
        <f>IF(Supuestos!$D$8-Detalle!$E53&gt;0,+Supuestos!$D$7,0)</f>
        <v>0</v>
      </c>
      <c r="G54" s="51">
        <f t="shared" si="15"/>
        <v>71935561.299324036</v>
      </c>
      <c r="H54" s="51"/>
      <c r="I54" s="51">
        <f t="shared" si="7"/>
        <v>4495972.5812077522</v>
      </c>
      <c r="J54" s="51">
        <f t="shared" si="8"/>
        <v>0</v>
      </c>
      <c r="K54" s="51">
        <f t="shared" si="9"/>
        <v>566492.5452321769</v>
      </c>
      <c r="L54" s="51">
        <f t="shared" si="10"/>
        <v>0</v>
      </c>
      <c r="M54" s="51">
        <f t="shared" si="11"/>
        <v>566492.5452321769</v>
      </c>
      <c r="N54" s="52">
        <f t="shared" si="12"/>
        <v>76431533.880531788</v>
      </c>
      <c r="O54" s="43">
        <f t="shared" si="13"/>
        <v>6.4888097267076672E-2</v>
      </c>
      <c r="P54" s="77">
        <f t="shared" si="14"/>
        <v>4657293.8672521859</v>
      </c>
      <c r="Q54" s="76">
        <f>+(N54-N24)-(SUM($M$48:M54))</f>
        <v>1326920.5983051802</v>
      </c>
      <c r="R54" s="76">
        <f>+SUM($M$48:M54)</f>
        <v>3330373.2689470057</v>
      </c>
      <c r="XFC54" s="44">
        <f>+(N54-N24)-(SUM($M$48:M54))</f>
        <v>1326920.5983051802</v>
      </c>
    </row>
    <row r="55" spans="4:18 16383:16383" x14ac:dyDescent="0.3">
      <c r="D55" s="2"/>
      <c r="E55" s="31">
        <v>8</v>
      </c>
      <c r="F55" s="49">
        <f>IF(Supuestos!$D$8-Detalle!$E54&gt;0,+Supuestos!$D$7,0)</f>
        <v>0</v>
      </c>
      <c r="G55" s="49">
        <f t="shared" si="15"/>
        <v>76431533.880531788</v>
      </c>
      <c r="H55" s="49"/>
      <c r="I55" s="49">
        <f t="shared" si="7"/>
        <v>4776970.8675332367</v>
      </c>
      <c r="J55" s="49">
        <f t="shared" si="8"/>
        <v>0</v>
      </c>
      <c r="K55" s="49">
        <f t="shared" si="9"/>
        <v>601898.32930918795</v>
      </c>
      <c r="L55" s="49">
        <f t="shared" si="10"/>
        <v>0</v>
      </c>
      <c r="M55" s="49">
        <f t="shared" si="11"/>
        <v>601898.32930918795</v>
      </c>
      <c r="N55" s="50">
        <f t="shared" si="12"/>
        <v>81208504.748065025</v>
      </c>
      <c r="O55" s="43">
        <f t="shared" si="13"/>
        <v>7.4495349806523281E-2</v>
      </c>
      <c r="P55" s="77">
        <f t="shared" si="14"/>
        <v>5630230.0140816122</v>
      </c>
      <c r="Q55" s="76">
        <f>+(N55-N25)-(SUM($M$48:M55))</f>
        <v>1697958.4158254187</v>
      </c>
      <c r="R55" s="76">
        <f>+SUM($M$48:M55)</f>
        <v>3932271.5982561936</v>
      </c>
      <c r="XFC55" s="44">
        <f>+(N55-N25)-(SUM($M$48:M55))</f>
        <v>1697958.4158254187</v>
      </c>
    </row>
    <row r="56" spans="4:18 16383:16383" x14ac:dyDescent="0.3">
      <c r="D56" s="2"/>
      <c r="E56" s="34">
        <v>9</v>
      </c>
      <c r="F56" s="51">
        <f>IF(Supuestos!$D$8-Detalle!$E55&gt;0,+Supuestos!$D$7,0)</f>
        <v>0</v>
      </c>
      <c r="G56" s="51">
        <f t="shared" si="15"/>
        <v>81208504.748065025</v>
      </c>
      <c r="H56" s="51"/>
      <c r="I56" s="51">
        <f t="shared" si="7"/>
        <v>5075531.546754064</v>
      </c>
      <c r="J56" s="51">
        <f t="shared" si="8"/>
        <v>0</v>
      </c>
      <c r="K56" s="51">
        <f t="shared" si="9"/>
        <v>639516.97489101219</v>
      </c>
      <c r="L56" s="51">
        <f t="shared" si="10"/>
        <v>0</v>
      </c>
      <c r="M56" s="51">
        <f t="shared" si="11"/>
        <v>639516.97489101219</v>
      </c>
      <c r="N56" s="52">
        <f t="shared" si="12"/>
        <v>86284036.294819087</v>
      </c>
      <c r="O56" s="43">
        <f t="shared" si="13"/>
        <v>8.4189277463847079E-2</v>
      </c>
      <c r="P56" s="77">
        <f t="shared" si="14"/>
        <v>6700112.9999345541</v>
      </c>
      <c r="Q56" s="76">
        <f>+(N56-N26)-(SUM($M$48:M56))</f>
        <v>2128324.4267873485</v>
      </c>
      <c r="R56" s="76">
        <f>+SUM($M$48:M56)</f>
        <v>4571788.5731472056</v>
      </c>
      <c r="XFC56" s="44">
        <f>+(N56-N26)-(SUM($M$48:M56))</f>
        <v>2128324.4267873485</v>
      </c>
    </row>
    <row r="57" spans="4:18 16383:16383" x14ac:dyDescent="0.3">
      <c r="D57" s="2"/>
      <c r="E57" s="31">
        <v>10</v>
      </c>
      <c r="F57" s="49">
        <f>IF(Supuestos!$D$8-Detalle!$E56&gt;0,+Supuestos!$D$7,0)</f>
        <v>0</v>
      </c>
      <c r="G57" s="49">
        <f t="shared" si="15"/>
        <v>86284036.294819087</v>
      </c>
      <c r="H57" s="49"/>
      <c r="I57" s="49">
        <f t="shared" si="7"/>
        <v>5392752.2684261929</v>
      </c>
      <c r="J57" s="49">
        <f t="shared" si="8"/>
        <v>0</v>
      </c>
      <c r="K57" s="49">
        <f t="shared" si="9"/>
        <v>679486.78582170047</v>
      </c>
      <c r="L57" s="49">
        <f t="shared" si="10"/>
        <v>0</v>
      </c>
      <c r="M57" s="49">
        <f t="shared" si="11"/>
        <v>679486.78582170047</v>
      </c>
      <c r="N57" s="50">
        <f t="shared" si="12"/>
        <v>91676788.563245282</v>
      </c>
      <c r="O57" s="43">
        <f t="shared" si="13"/>
        <v>9.3970662208297862E-2</v>
      </c>
      <c r="P57" s="77">
        <f t="shared" si="14"/>
        <v>7874917.3337318748</v>
      </c>
      <c r="Q57" s="76">
        <f>+(N57-N27)-(SUM($M$48:M57))</f>
        <v>2623641.9747629687</v>
      </c>
      <c r="R57" s="76">
        <f>+SUM($M$48:M57)</f>
        <v>5251275.3589689061</v>
      </c>
      <c r="XFC57" s="44">
        <f>+(N57-N27)-(SUM($M$48:M57))</f>
        <v>2623641.9747629687</v>
      </c>
    </row>
    <row r="58" spans="4:18 16383:16383" x14ac:dyDescent="0.3">
      <c r="D58" s="2"/>
      <c r="E58" s="34">
        <v>11</v>
      </c>
      <c r="F58" s="51">
        <f>IF(Supuestos!$D$8-Detalle!$E57&gt;0,+Supuestos!$D$7,0)</f>
        <v>0</v>
      </c>
      <c r="G58" s="51">
        <f t="shared" si="15"/>
        <v>91676788.563245282</v>
      </c>
      <c r="H58" s="51"/>
      <c r="I58" s="51">
        <f t="shared" si="7"/>
        <v>5729799.2852028301</v>
      </c>
      <c r="J58" s="51">
        <f t="shared" si="8"/>
        <v>0</v>
      </c>
      <c r="K58" s="51">
        <f t="shared" si="9"/>
        <v>721954.70993555675</v>
      </c>
      <c r="L58" s="51">
        <f t="shared" si="10"/>
        <v>0</v>
      </c>
      <c r="M58" s="51">
        <f t="shared" si="11"/>
        <v>721954.70993555675</v>
      </c>
      <c r="N58" s="52">
        <f t="shared" si="12"/>
        <v>97406587.848448113</v>
      </c>
      <c r="O58" s="43">
        <f t="shared" si="13"/>
        <v>0.10384029306392817</v>
      </c>
      <c r="P58" s="77">
        <f t="shared" si="14"/>
        <v>9163217.4437704831</v>
      </c>
      <c r="Q58" s="76">
        <f>+(N58-N28)-(SUM($M$48:M58))</f>
        <v>3189987.3748660199</v>
      </c>
      <c r="R58" s="76">
        <f>+SUM($M$48:M58)</f>
        <v>5973230.0689044632</v>
      </c>
      <c r="XFC58" s="44">
        <f>+(N58-N28)-(SUM($M$48:M58))</f>
        <v>3189987.3748660199</v>
      </c>
    </row>
    <row r="59" spans="4:18 16383:16383" x14ac:dyDescent="0.3">
      <c r="D59" s="2"/>
      <c r="E59" s="31">
        <v>12</v>
      </c>
      <c r="F59" s="49">
        <f>IF(Supuestos!$D$8-Detalle!$E58&gt;0,+Supuestos!$D$7,0)</f>
        <v>0</v>
      </c>
      <c r="G59" s="49">
        <f t="shared" si="15"/>
        <v>97406587.848448113</v>
      </c>
      <c r="H59" s="49"/>
      <c r="I59" s="49">
        <f t="shared" si="7"/>
        <v>6087911.740528007</v>
      </c>
      <c r="J59" s="49">
        <f t="shared" si="8"/>
        <v>0</v>
      </c>
      <c r="K59" s="49">
        <f t="shared" si="9"/>
        <v>767076.87930652895</v>
      </c>
      <c r="L59" s="49">
        <f t="shared" si="10"/>
        <v>0</v>
      </c>
      <c r="M59" s="49">
        <f t="shared" si="11"/>
        <v>767076.87930652895</v>
      </c>
      <c r="N59" s="50">
        <f t="shared" si="12"/>
        <v>103494499.58897611</v>
      </c>
      <c r="O59" s="43">
        <f t="shared" si="13"/>
        <v>0.1137989661732417</v>
      </c>
      <c r="P59" s="77">
        <f t="shared" si="14"/>
        <v>10574230.552850574</v>
      </c>
      <c r="Q59" s="76">
        <f>+(N59-N29)-(SUM($M$48:M59))</f>
        <v>3833923.6046395823</v>
      </c>
      <c r="R59" s="76">
        <f>+SUM($M$48:M59)</f>
        <v>6740306.9482109919</v>
      </c>
      <c r="XFC59" s="44">
        <f>+(N59-N29)-(SUM($M$48:M59))</f>
        <v>3833923.6046395823</v>
      </c>
    </row>
    <row r="60" spans="4:18 16383:16383" x14ac:dyDescent="0.3">
      <c r="D60" s="2"/>
      <c r="E60" s="34">
        <v>13</v>
      </c>
      <c r="F60" s="51">
        <f>IF(Supuestos!$D$8-Detalle!$E59&gt;0,+Supuestos!$D$7,0)</f>
        <v>0</v>
      </c>
      <c r="G60" s="51">
        <f t="shared" si="15"/>
        <v>103494499.58897611</v>
      </c>
      <c r="H60" s="51"/>
      <c r="I60" s="51">
        <f t="shared" si="7"/>
        <v>6468406.2243110072</v>
      </c>
      <c r="J60" s="51">
        <f t="shared" si="8"/>
        <v>0</v>
      </c>
      <c r="K60" s="51">
        <f t="shared" si="9"/>
        <v>815019.18426318699</v>
      </c>
      <c r="L60" s="51">
        <f t="shared" si="10"/>
        <v>0</v>
      </c>
      <c r="M60" s="51">
        <f t="shared" si="11"/>
        <v>815019.18426318699</v>
      </c>
      <c r="N60" s="52">
        <f t="shared" si="12"/>
        <v>109962905.81328712</v>
      </c>
      <c r="O60" s="43">
        <f t="shared" si="13"/>
        <v>0.12384748486141439</v>
      </c>
      <c r="P60" s="77">
        <f t="shared" si="14"/>
        <v>12117862.518246919</v>
      </c>
      <c r="Q60" s="76">
        <f>+(N60-N30)-(SUM($M$48:M60))</f>
        <v>4562536.3857727405</v>
      </c>
      <c r="R60" s="76">
        <f>+SUM($M$48:M60)</f>
        <v>7555326.1324741784</v>
      </c>
      <c r="XFC60" s="44">
        <f>+(N60-N30)-(SUM($M$48:M60))</f>
        <v>4562536.3857727405</v>
      </c>
    </row>
    <row r="61" spans="4:18 16383:16383" x14ac:dyDescent="0.3">
      <c r="D61" s="2"/>
      <c r="E61" s="31">
        <v>14</v>
      </c>
      <c r="F61" s="49">
        <f>IF(Supuestos!$D$8-Detalle!$E60&gt;0,+Supuestos!$D$7,0)</f>
        <v>0</v>
      </c>
      <c r="G61" s="49">
        <f t="shared" si="15"/>
        <v>109962905.81328712</v>
      </c>
      <c r="H61" s="49"/>
      <c r="I61" s="49">
        <f t="shared" si="7"/>
        <v>6872681.6133304453</v>
      </c>
      <c r="J61" s="49">
        <f t="shared" si="8"/>
        <v>0</v>
      </c>
      <c r="K61" s="49">
        <f t="shared" si="9"/>
        <v>865957.88327963627</v>
      </c>
      <c r="L61" s="49">
        <f t="shared" si="10"/>
        <v>0</v>
      </c>
      <c r="M61" s="49">
        <f t="shared" si="11"/>
        <v>865957.88327963627</v>
      </c>
      <c r="N61" s="50">
        <f t="shared" si="12"/>
        <v>116835587.42661756</v>
      </c>
      <c r="O61" s="43">
        <f t="shared" si="13"/>
        <v>0.13398665970109458</v>
      </c>
      <c r="P61" s="77">
        <f t="shared" si="14"/>
        <v>13804756.836940229</v>
      </c>
      <c r="Q61" s="76">
        <f>+(N61-N31)-(SUM($M$48:M61))</f>
        <v>5383472.821186414</v>
      </c>
      <c r="R61" s="76">
        <f>+SUM($M$48:M61)</f>
        <v>8421284.015753815</v>
      </c>
      <c r="XFC61" s="44">
        <f>+(N61-N31)-(SUM($M$48:M61))</f>
        <v>5383472.821186414</v>
      </c>
    </row>
    <row r="62" spans="4:18 16383:16383" x14ac:dyDescent="0.3">
      <c r="D62" s="2"/>
      <c r="E62" s="34">
        <v>15</v>
      </c>
      <c r="F62" s="51">
        <f>IF(Supuestos!$D$8-Detalle!$E61&gt;0,+Supuestos!$D$7,0)</f>
        <v>0</v>
      </c>
      <c r="G62" s="51">
        <f t="shared" si="15"/>
        <v>116835587.42661756</v>
      </c>
      <c r="H62" s="51"/>
      <c r="I62" s="51">
        <f t="shared" si="7"/>
        <v>7302224.2141635977</v>
      </c>
      <c r="J62" s="51">
        <f t="shared" si="8"/>
        <v>0</v>
      </c>
      <c r="K62" s="51">
        <f t="shared" si="9"/>
        <v>920080.25098461355</v>
      </c>
      <c r="L62" s="51">
        <f t="shared" si="10"/>
        <v>0</v>
      </c>
      <c r="M62" s="51">
        <f t="shared" si="11"/>
        <v>920080.25098461355</v>
      </c>
      <c r="N62" s="52">
        <f t="shared" si="12"/>
        <v>124137811.64078116</v>
      </c>
      <c r="O62" s="43">
        <f t="shared" si="13"/>
        <v>0.14421730857779025</v>
      </c>
      <c r="P62" s="77">
        <f t="shared" si="14"/>
        <v>15646347.02985093</v>
      </c>
      <c r="Q62" s="76">
        <f>+(N62-N32)-(SUM($M$48:M62))</f>
        <v>6304982.7631125022</v>
      </c>
      <c r="R62" s="76">
        <f>+SUM($M$48:M62)</f>
        <v>9341364.2667384278</v>
      </c>
      <c r="XFC62" s="44">
        <f>+(N62-N32)-(SUM($M$48:M62))</f>
        <v>6304982.7631125022</v>
      </c>
    </row>
    <row r="63" spans="4:18 16383:16383" x14ac:dyDescent="0.3">
      <c r="D63" s="2"/>
      <c r="E63" s="31">
        <v>16</v>
      </c>
      <c r="F63" s="49">
        <f>IF(Supuestos!$D$8-Detalle!$E62&gt;0,+Supuestos!$D$7,0)</f>
        <v>0</v>
      </c>
      <c r="G63" s="49">
        <f t="shared" si="15"/>
        <v>124137811.64078116</v>
      </c>
      <c r="H63" s="49"/>
      <c r="I63" s="49">
        <f t="shared" si="7"/>
        <v>7758613.2275488228</v>
      </c>
      <c r="J63" s="49">
        <f t="shared" si="8"/>
        <v>0</v>
      </c>
      <c r="K63" s="49">
        <f t="shared" si="9"/>
        <v>977585.26667115197</v>
      </c>
      <c r="L63" s="49">
        <f t="shared" si="10"/>
        <v>0</v>
      </c>
      <c r="M63" s="49">
        <f t="shared" si="11"/>
        <v>977585.26667115197</v>
      </c>
      <c r="N63" s="50">
        <f t="shared" si="12"/>
        <v>131896424.86832999</v>
      </c>
      <c r="O63" s="43">
        <f t="shared" si="13"/>
        <v>0.15454025675584249</v>
      </c>
      <c r="P63" s="77">
        <f t="shared" si="14"/>
        <v>17654912.633020446</v>
      </c>
      <c r="Q63" s="76">
        <f>+(N63-N33)-(SUM($M$48:M63))</f>
        <v>7335963.0996108651</v>
      </c>
      <c r="R63" s="76">
        <f>+SUM($M$48:M63)</f>
        <v>10318949.533409581</v>
      </c>
      <c r="XFC63" s="44">
        <f>+(N63-N33)-(SUM($M$48:M63))</f>
        <v>7335963.0996108651</v>
      </c>
    </row>
    <row r="64" spans="4:18 16383:16383" x14ac:dyDescent="0.3">
      <c r="D64" s="2"/>
      <c r="E64" s="34">
        <v>17</v>
      </c>
      <c r="F64" s="51">
        <f>IF(Supuestos!$D$8-Detalle!$E63&gt;0,+Supuestos!$D$7,0)</f>
        <v>0</v>
      </c>
      <c r="G64" s="51">
        <f t="shared" si="15"/>
        <v>131896424.86832999</v>
      </c>
      <c r="H64" s="51"/>
      <c r="I64" s="51">
        <f t="shared" si="7"/>
        <v>8243526.5542706242</v>
      </c>
      <c r="J64" s="51">
        <f t="shared" si="8"/>
        <v>0</v>
      </c>
      <c r="K64" s="51">
        <f t="shared" si="9"/>
        <v>1038684.3458380989</v>
      </c>
      <c r="L64" s="51">
        <f t="shared" si="10"/>
        <v>0</v>
      </c>
      <c r="M64" s="51">
        <f t="shared" si="11"/>
        <v>1038684.3458380989</v>
      </c>
      <c r="N64" s="52">
        <f t="shared" si="12"/>
        <v>140139951.4226006</v>
      </c>
      <c r="O64" s="43">
        <f t="shared" si="13"/>
        <v>0.16495633694499756</v>
      </c>
      <c r="P64" s="77">
        <f t="shared" si="14"/>
        <v>19843639.038819641</v>
      </c>
      <c r="Q64" s="76">
        <f>+(N64-N34)-(SUM($M$48:M64))</f>
        <v>8486005.1595719606</v>
      </c>
      <c r="R64" s="76">
        <f>+SUM($M$48:M64)</f>
        <v>11357633.87924768</v>
      </c>
      <c r="XFC64" s="44">
        <f>+(N64-N34)-(SUM($M$48:M64))</f>
        <v>8486005.1595719606</v>
      </c>
    </row>
    <row r="65" spans="4:18 16383:16383" x14ac:dyDescent="0.3">
      <c r="D65" s="2"/>
      <c r="E65" s="31">
        <v>18</v>
      </c>
      <c r="F65" s="49">
        <f>IF(Supuestos!$D$8-Detalle!$E64&gt;0,+Supuestos!$D$7,0)</f>
        <v>0</v>
      </c>
      <c r="G65" s="49">
        <f t="shared" si="15"/>
        <v>140139951.4226006</v>
      </c>
      <c r="H65" s="49"/>
      <c r="I65" s="49">
        <f t="shared" si="7"/>
        <v>8758746.9639125373</v>
      </c>
      <c r="J65" s="49">
        <f t="shared" si="8"/>
        <v>0</v>
      </c>
      <c r="K65" s="49">
        <f t="shared" si="9"/>
        <v>1103602.11745298</v>
      </c>
      <c r="L65" s="49">
        <f t="shared" si="10"/>
        <v>0</v>
      </c>
      <c r="M65" s="49">
        <f t="shared" si="11"/>
        <v>1103602.11745298</v>
      </c>
      <c r="N65" s="50">
        <f t="shared" si="12"/>
        <v>148898698.38651314</v>
      </c>
      <c r="O65" s="43">
        <f t="shared" si="13"/>
        <v>0.1754663893675783</v>
      </c>
      <c r="P65" s="77">
        <f t="shared" si="14"/>
        <v>22226681.446391806</v>
      </c>
      <c r="Q65" s="76">
        <f>+(N65-N35)-(SUM($M$48:M65))</f>
        <v>9765445.4496911466</v>
      </c>
      <c r="R65" s="76">
        <f>+SUM($M$48:M65)</f>
        <v>12461235.996700659</v>
      </c>
      <c r="XFC65" s="44">
        <f>+(N65-N35)-(SUM($M$48:M65))</f>
        <v>9765445.4496911466</v>
      </c>
    </row>
    <row r="66" spans="4:18 16383:16383" x14ac:dyDescent="0.3">
      <c r="D66" s="2"/>
      <c r="E66" s="34">
        <v>19</v>
      </c>
      <c r="F66" s="51">
        <f>IF(Supuestos!$D$8-Detalle!$E65&gt;0,+Supuestos!$D$7,0)</f>
        <v>0</v>
      </c>
      <c r="G66" s="51">
        <f t="shared" si="15"/>
        <v>148898698.38651314</v>
      </c>
      <c r="H66" s="51"/>
      <c r="I66" s="51">
        <f t="shared" si="7"/>
        <v>9306168.6491570715</v>
      </c>
      <c r="J66" s="51">
        <f t="shared" si="8"/>
        <v>0</v>
      </c>
      <c r="K66" s="51">
        <f t="shared" si="9"/>
        <v>1172577.2497937912</v>
      </c>
      <c r="L66" s="51">
        <f t="shared" si="10"/>
        <v>0</v>
      </c>
      <c r="M66" s="51">
        <f t="shared" si="11"/>
        <v>1172577.2497937912</v>
      </c>
      <c r="N66" s="52">
        <f t="shared" si="12"/>
        <v>158204867.03567022</v>
      </c>
      <c r="O66" s="43">
        <f t="shared" si="13"/>
        <v>0.18607126182626033</v>
      </c>
      <c r="P66" s="77">
        <f t="shared" si="14"/>
        <v>24819233.197722465</v>
      </c>
      <c r="Q66" s="76">
        <f>+(N66-N36)-(SUM($M$48:M66))</f>
        <v>11185419.951228015</v>
      </c>
      <c r="R66" s="76">
        <f>+SUM($M$48:M66)</f>
        <v>13633813.24649445</v>
      </c>
      <c r="XFC66" s="44">
        <f>+(N66-N36)-(SUM($M$48:M66))</f>
        <v>11185419.951228015</v>
      </c>
    </row>
    <row r="67" spans="4:18 16383:16383" x14ac:dyDescent="0.3">
      <c r="D67" s="2"/>
      <c r="E67" s="31">
        <v>20</v>
      </c>
      <c r="F67" s="49">
        <f>IF(Supuestos!$D$8-Detalle!$E66&gt;0,+Supuestos!$D$7,0)</f>
        <v>0</v>
      </c>
      <c r="G67" s="49">
        <f t="shared" si="15"/>
        <v>158204867.03567022</v>
      </c>
      <c r="H67" s="49"/>
      <c r="I67" s="49">
        <f t="shared" si="7"/>
        <v>9887804.1897293888</v>
      </c>
      <c r="J67" s="49">
        <f t="shared" si="8"/>
        <v>0</v>
      </c>
      <c r="K67" s="49">
        <f t="shared" si="9"/>
        <v>1245863.3279059033</v>
      </c>
      <c r="L67" s="49">
        <f t="shared" si="10"/>
        <v>0</v>
      </c>
      <c r="M67" s="49">
        <f t="shared" si="11"/>
        <v>1245863.3279059033</v>
      </c>
      <c r="N67" s="50">
        <f t="shared" si="12"/>
        <v>168092671.22539961</v>
      </c>
      <c r="O67" s="43">
        <f t="shared" si="13"/>
        <v>0.19677180977246111</v>
      </c>
      <c r="P67" s="77">
        <f t="shared" si="14"/>
        <v>27637598.79404062</v>
      </c>
      <c r="Q67" s="76">
        <f>+(N67-N37)-(SUM($M$48:M67))</f>
        <v>12757922.219640268</v>
      </c>
      <c r="R67" s="76">
        <f>+SUM($M$48:M67)</f>
        <v>14879676.574400352</v>
      </c>
      <c r="XFC67" s="44">
        <f>+(N67-N37)-(SUM($M$48:M67))</f>
        <v>12757922.219640268</v>
      </c>
    </row>
    <row r="68" spans="4:18 16383:16383" x14ac:dyDescent="0.3">
      <c r="D68" s="2"/>
      <c r="E68" s="34">
        <v>21</v>
      </c>
      <c r="F68" s="51">
        <f>IF(Supuestos!$D$8-Detalle!$E67&gt;0,+Supuestos!$D$7,0)</f>
        <v>0</v>
      </c>
      <c r="G68" s="51">
        <f t="shared" si="15"/>
        <v>168092671.22539961</v>
      </c>
      <c r="H68" s="51"/>
      <c r="I68" s="51">
        <f t="shared" si="7"/>
        <v>10505791.951587476</v>
      </c>
      <c r="J68" s="51">
        <f t="shared" si="8"/>
        <v>0</v>
      </c>
      <c r="K68" s="51">
        <f t="shared" si="9"/>
        <v>1323729.7859000224</v>
      </c>
      <c r="L68" s="51">
        <f t="shared" si="10"/>
        <v>0</v>
      </c>
      <c r="M68" s="51">
        <f t="shared" si="11"/>
        <v>1323729.7859000224</v>
      </c>
      <c r="N68" s="52">
        <f t="shared" si="12"/>
        <v>178598463.17698708</v>
      </c>
      <c r="O68" s="43">
        <f t="shared" si="13"/>
        <v>0.20756889637534659</v>
      </c>
      <c r="P68" s="77">
        <f t="shared" si="14"/>
        <v>30699271.906766057</v>
      </c>
      <c r="Q68" s="76">
        <f>+(N68-N38)-(SUM($M$48:M68))</f>
        <v>14495865.546465682</v>
      </c>
      <c r="R68" s="76">
        <f>+SUM($M$48:M68)</f>
        <v>16203406.360300375</v>
      </c>
      <c r="XFC68" s="44">
        <f>+(N68-N38)-(SUM($M$48:M68))</f>
        <v>14495865.546465682</v>
      </c>
    </row>
    <row r="69" spans="4:18 16383:16383" x14ac:dyDescent="0.3">
      <c r="D69" s="2"/>
      <c r="E69" s="31">
        <v>22</v>
      </c>
      <c r="F69" s="49">
        <f>IF(Supuestos!$D$8-Detalle!$E68&gt;0,+Supuestos!$D$7,0)</f>
        <v>0</v>
      </c>
      <c r="G69" s="49">
        <f t="shared" si="15"/>
        <v>178598463.17698708</v>
      </c>
      <c r="H69" s="49"/>
      <c r="I69" s="49">
        <f t="shared" si="7"/>
        <v>11162403.948561693</v>
      </c>
      <c r="J69" s="49">
        <f t="shared" si="8"/>
        <v>0</v>
      </c>
      <c r="K69" s="49">
        <f t="shared" si="9"/>
        <v>1406462.8975187736</v>
      </c>
      <c r="L69" s="49">
        <f t="shared" si="10"/>
        <v>0</v>
      </c>
      <c r="M69" s="49">
        <f t="shared" si="11"/>
        <v>1406462.8975187736</v>
      </c>
      <c r="N69" s="50">
        <f t="shared" si="12"/>
        <v>189760867.12554878</v>
      </c>
      <c r="O69" s="43">
        <f t="shared" si="13"/>
        <v>0.21846339259145831</v>
      </c>
      <c r="P69" s="77">
        <f t="shared" si="14"/>
        <v>34023018.718006045</v>
      </c>
      <c r="Q69" s="76">
        <f>+(N69-N39)-(SUM($M$48:M69))</f>
        <v>16413149.460186895</v>
      </c>
      <c r="R69" s="76">
        <f>+SUM($M$48:M69)</f>
        <v>17609869.25781915</v>
      </c>
      <c r="XFC69" s="44">
        <f>+(N69-N39)-(SUM($M$48:M69))</f>
        <v>16413149.460186895</v>
      </c>
    </row>
    <row r="70" spans="4:18 16383:16383" x14ac:dyDescent="0.3">
      <c r="D70" s="2"/>
      <c r="E70" s="34">
        <v>23</v>
      </c>
      <c r="F70" s="51">
        <f>IF(Supuestos!$D$8-Detalle!$E69&gt;0,+Supuestos!$D$7,0)</f>
        <v>0</v>
      </c>
      <c r="G70" s="51">
        <f t="shared" si="15"/>
        <v>189760867.12554878</v>
      </c>
      <c r="H70" s="51"/>
      <c r="I70" s="51">
        <f t="shared" si="7"/>
        <v>11860054.195346799</v>
      </c>
      <c r="J70" s="51">
        <f t="shared" si="8"/>
        <v>0</v>
      </c>
      <c r="K70" s="51">
        <f t="shared" si="9"/>
        <v>1494366.8286136971</v>
      </c>
      <c r="L70" s="51">
        <f t="shared" si="10"/>
        <v>0</v>
      </c>
      <c r="M70" s="51">
        <f t="shared" si="11"/>
        <v>1494366.8286136971</v>
      </c>
      <c r="N70" s="52">
        <f t="shared" si="12"/>
        <v>201620921.32089558</v>
      </c>
      <c r="O70" s="43">
        <f t="shared" si="13"/>
        <v>0.22945617723497103</v>
      </c>
      <c r="P70" s="77">
        <f t="shared" si="14"/>
        <v>37628966.947753072</v>
      </c>
      <c r="Q70" s="76">
        <f>+(N70-N40)-(SUM($M$48:M70))</f>
        <v>18524730.861320224</v>
      </c>
      <c r="R70" s="76">
        <f>+SUM($M$48:M70)</f>
        <v>19104236.086432848</v>
      </c>
      <c r="XFC70" s="44">
        <f>+(N70-N40)-(SUM($M$48:M70))</f>
        <v>18524730.861320224</v>
      </c>
    </row>
    <row r="71" spans="4:18 16383:16383" x14ac:dyDescent="0.3">
      <c r="D71" s="2"/>
      <c r="E71" s="31">
        <v>24</v>
      </c>
      <c r="F71" s="49">
        <f>IF(Supuestos!$D$8-Detalle!$E70&gt;0,+Supuestos!$D$7,0)</f>
        <v>0</v>
      </c>
      <c r="G71" s="49">
        <f t="shared" si="15"/>
        <v>201620921.32089558</v>
      </c>
      <c r="H71" s="49"/>
      <c r="I71" s="49">
        <f t="shared" si="7"/>
        <v>12601307.582555974</v>
      </c>
      <c r="J71" s="49">
        <f t="shared" si="8"/>
        <v>0</v>
      </c>
      <c r="K71" s="49">
        <f t="shared" si="9"/>
        <v>1587764.755402053</v>
      </c>
      <c r="L71" s="49">
        <f t="shared" si="10"/>
        <v>0</v>
      </c>
      <c r="M71" s="49">
        <f t="shared" si="11"/>
        <v>1587764.755402053</v>
      </c>
      <c r="N71" s="50">
        <f t="shared" si="12"/>
        <v>214222228.90345156</v>
      </c>
      <c r="O71" s="43">
        <f t="shared" si="13"/>
        <v>0.2405481370485818</v>
      </c>
      <c r="P71" s="77">
        <f t="shared" si="14"/>
        <v>41538700.948532492</v>
      </c>
      <c r="Q71" s="76">
        <f>+(N71-N41)-(SUM($M$48:M71))</f>
        <v>20846700.106697589</v>
      </c>
      <c r="R71" s="76">
        <f>+SUM($M$48:M71)</f>
        <v>20692000.841834903</v>
      </c>
      <c r="XFC71" s="44">
        <f>+(N71-N41)-(SUM($M$48:M71))</f>
        <v>20846700.106697589</v>
      </c>
    </row>
    <row r="72" spans="4:18 16383:16383" x14ac:dyDescent="0.3">
      <c r="D72" s="2"/>
      <c r="E72" s="34">
        <v>25</v>
      </c>
      <c r="F72" s="51">
        <f>IF(Supuestos!$D$8-Detalle!$E71&gt;0,+Supuestos!$D$7,0)</f>
        <v>0</v>
      </c>
      <c r="G72" s="51">
        <f t="shared" si="15"/>
        <v>214222228.90345156</v>
      </c>
      <c r="H72" s="51"/>
      <c r="I72" s="51">
        <f t="shared" si="7"/>
        <v>13388889.306465723</v>
      </c>
      <c r="J72" s="51">
        <f t="shared" si="8"/>
        <v>0</v>
      </c>
      <c r="K72" s="51">
        <f t="shared" si="9"/>
        <v>1687000.0526146812</v>
      </c>
      <c r="L72" s="51">
        <f t="shared" si="10"/>
        <v>0</v>
      </c>
      <c r="M72" s="51">
        <f t="shared" si="11"/>
        <v>1687000.0526146812</v>
      </c>
      <c r="N72" s="52">
        <f t="shared" si="12"/>
        <v>227611118.20991728</v>
      </c>
      <c r="O72" s="43">
        <f t="shared" si="13"/>
        <v>0.25174016677504096</v>
      </c>
      <c r="P72" s="77">
        <f t="shared" si="14"/>
        <v>45775363.273387492</v>
      </c>
      <c r="Q72" s="76">
        <f>+(N72-N42)-(SUM($M$48:M72))</f>
        <v>23396362.378937908</v>
      </c>
      <c r="R72" s="76">
        <f>+SUM($M$48:M72)</f>
        <v>22379000.894449584</v>
      </c>
      <c r="XFC72" s="44">
        <f>+(N72-N42)-(SUM($M$48:M72))</f>
        <v>23396362.378937908</v>
      </c>
    </row>
    <row r="73" spans="4:18 16383:16383" x14ac:dyDescent="0.3">
      <c r="D73" s="2"/>
      <c r="E73" s="38"/>
      <c r="F73" s="38"/>
      <c r="G73" s="39"/>
      <c r="H73" s="39"/>
      <c r="I73" s="39"/>
      <c r="J73" s="39"/>
      <c r="K73" s="39"/>
      <c r="L73" s="39"/>
      <c r="M73" s="39"/>
      <c r="N73" s="39"/>
      <c r="O73" s="45"/>
      <c r="XFC73" s="44"/>
    </row>
    <row r="74" spans="4:18 16383:16383" hidden="1" x14ac:dyDescent="0.3">
      <c r="D74" s="2"/>
      <c r="E74" s="38"/>
      <c r="F74" s="38"/>
      <c r="G74" s="39"/>
      <c r="H74" s="39"/>
      <c r="I74" s="39"/>
      <c r="J74" s="39"/>
      <c r="K74" s="39"/>
      <c r="L74" s="39"/>
      <c r="M74" s="39"/>
      <c r="N74" s="39"/>
      <c r="O74" s="45"/>
    </row>
    <row r="75" spans="4:18 16383:16383" hidden="1" x14ac:dyDescent="0.3">
      <c r="D75" s="2"/>
      <c r="E75" s="38"/>
      <c r="F75" s="38"/>
      <c r="G75" s="39"/>
      <c r="H75" s="39"/>
      <c r="I75" s="39"/>
      <c r="J75" s="39"/>
      <c r="K75" s="39"/>
      <c r="L75" s="39"/>
      <c r="M75" s="39"/>
      <c r="N75" s="39"/>
      <c r="O75" s="45"/>
    </row>
    <row r="76" spans="4:18 16383:16383" hidden="1" x14ac:dyDescent="0.3">
      <c r="D76" s="2"/>
      <c r="E76" s="38"/>
      <c r="F76" s="38"/>
      <c r="G76" s="39"/>
      <c r="H76" s="39"/>
      <c r="I76" s="39"/>
      <c r="J76" s="39"/>
      <c r="K76" s="39"/>
      <c r="L76" s="39"/>
      <c r="M76" s="39"/>
      <c r="N76" s="39"/>
      <c r="O76" s="45"/>
    </row>
    <row r="77" spans="4:18 16383:16383" hidden="1" x14ac:dyDescent="0.3">
      <c r="D77" s="2"/>
      <c r="E77" s="38"/>
      <c r="F77" s="38"/>
      <c r="G77" s="39"/>
      <c r="H77" s="39"/>
      <c r="I77" s="39"/>
      <c r="J77" s="39"/>
      <c r="K77" s="39"/>
      <c r="L77" s="39"/>
      <c r="M77" s="39"/>
      <c r="N77" s="39"/>
      <c r="O77" s="45"/>
    </row>
    <row r="78" spans="4:18 16383:16383" hidden="1" x14ac:dyDescent="0.3">
      <c r="D78" s="2"/>
      <c r="E78" s="38"/>
      <c r="F78" s="38"/>
      <c r="G78" s="39"/>
      <c r="H78" s="39"/>
      <c r="I78" s="39"/>
      <c r="J78" s="39"/>
      <c r="K78" s="39"/>
      <c r="L78" s="39"/>
      <c r="M78" s="39"/>
      <c r="N78" s="39"/>
      <c r="O78" s="45"/>
    </row>
    <row r="79" spans="4:18 16383:16383" hidden="1" x14ac:dyDescent="0.3">
      <c r="D79" s="2"/>
      <c r="E79" s="38"/>
      <c r="F79" s="38"/>
      <c r="G79" s="39"/>
      <c r="H79" s="39"/>
      <c r="I79" s="39"/>
      <c r="J79" s="39"/>
      <c r="K79" s="39"/>
      <c r="L79" s="39"/>
      <c r="M79" s="39"/>
      <c r="N79" s="39"/>
      <c r="O79" s="45"/>
    </row>
    <row r="80" spans="4:18 16383:16383" hidden="1" x14ac:dyDescent="0.3">
      <c r="D80" s="2"/>
      <c r="E80" s="38"/>
      <c r="F80" s="38"/>
      <c r="G80" s="39"/>
      <c r="H80" s="39"/>
      <c r="I80" s="39"/>
      <c r="J80" s="39"/>
      <c r="K80" s="39"/>
      <c r="L80" s="39"/>
      <c r="M80" s="39"/>
      <c r="N80" s="39"/>
      <c r="O80" s="45"/>
    </row>
    <row r="81" spans="4:15" hidden="1" x14ac:dyDescent="0.3">
      <c r="D81" s="2"/>
    </row>
    <row r="89" spans="4:15" hidden="1" x14ac:dyDescent="0.3">
      <c r="O89" s="46"/>
    </row>
    <row r="93" spans="4:15" hidden="1" x14ac:dyDescent="0.3">
      <c r="N93" s="46"/>
    </row>
    <row r="94" spans="4:15" x14ac:dyDescent="0.3"/>
    <row r="95" spans="4:15" x14ac:dyDescent="0.3"/>
  </sheetData>
  <protectedRanges>
    <protectedRange sqref="G18:H18" name="Rango2"/>
    <protectedRange sqref="L3:M3 G3:I12" name="Modificables"/>
  </protectedRanges>
  <mergeCells count="27">
    <mergeCell ref="Q44:Q47"/>
    <mergeCell ref="R44:R47"/>
    <mergeCell ref="P44:P47"/>
    <mergeCell ref="I15:J16"/>
    <mergeCell ref="K15:M15"/>
    <mergeCell ref="N15:N17"/>
    <mergeCell ref="G1:G2"/>
    <mergeCell ref="I1:I2"/>
    <mergeCell ref="L1:L2"/>
    <mergeCell ref="M1:M2"/>
    <mergeCell ref="E14:N14"/>
    <mergeCell ref="H15:H17"/>
    <mergeCell ref="F15:F17"/>
    <mergeCell ref="F45:F47"/>
    <mergeCell ref="O44:O47"/>
    <mergeCell ref="K16:L16"/>
    <mergeCell ref="M16:M17"/>
    <mergeCell ref="E44:N44"/>
    <mergeCell ref="E45:E47"/>
    <mergeCell ref="G45:G47"/>
    <mergeCell ref="I45:J46"/>
    <mergeCell ref="K45:M45"/>
    <mergeCell ref="N45:N47"/>
    <mergeCell ref="K46:L46"/>
    <mergeCell ref="M46:M47"/>
    <mergeCell ref="E15:E17"/>
    <mergeCell ref="G15:G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9A7844072F4D48A6E662E39F6E112F" ma:contentTypeVersion="10" ma:contentTypeDescription="Crear nuevo documento." ma:contentTypeScope="" ma:versionID="437d4dee3f1a46f2ffa3fb03ad6d1dc3">
  <xsd:schema xmlns:xsd="http://www.w3.org/2001/XMLSchema" xmlns:xs="http://www.w3.org/2001/XMLSchema" xmlns:p="http://schemas.microsoft.com/office/2006/metadata/properties" xmlns:ns3="5a022ce1-030e-492e-99f3-301b15f9fdb1" xmlns:ns4="f64a1d4d-6249-4bd7-bb2a-527ccf758301" targetNamespace="http://schemas.microsoft.com/office/2006/metadata/properties" ma:root="true" ma:fieldsID="2e71bfc3c4531856d1f09665b2d6c243" ns3:_="" ns4:_="">
    <xsd:import namespace="5a022ce1-030e-492e-99f3-301b15f9fdb1"/>
    <xsd:import namespace="f64a1d4d-6249-4bd7-bb2a-527ccf7583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22ce1-030e-492e-99f3-301b15f9fd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a1d4d-6249-4bd7-bb2a-527ccf7583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022ce1-030e-492e-99f3-301b15f9fdb1" xsi:nil="true"/>
  </documentManagement>
</p:properties>
</file>

<file path=customXml/itemProps1.xml><?xml version="1.0" encoding="utf-8"?>
<ds:datastoreItem xmlns:ds="http://schemas.openxmlformats.org/officeDocument/2006/customXml" ds:itemID="{00A3D57F-BF1A-4DA0-867D-DF2BF93BDF1A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a022ce1-030e-492e-99f3-301b15f9fdb1"/>
    <ds:schemaRef ds:uri="f64a1d4d-6249-4bd7-bb2a-527ccf75830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13730-F16A-4C2E-87A8-06C1A904DB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61C8C2-823B-4764-9DC5-48B6D644EA5C}">
  <ds:schemaRefs>
    <ds:schemaRef ds:uri="http://schemas.openxmlformats.org/package/2006/metadata/core-properties"/>
    <ds:schemaRef ds:uri="5a022ce1-030e-492e-99f3-301b15f9fdb1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f64a1d4d-6249-4bd7-bb2a-527ccf75830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Tasa Bruta | BF Vs Imp</vt:lpstr>
      <vt:lpstr>Comparativo | AZ vs Trad</vt:lpstr>
      <vt:lpstr>Grafica Comparativo</vt:lpstr>
      <vt:lpstr>Detalle Comparativo</vt:lpstr>
      <vt:lpstr>Supuestos</vt:lpstr>
      <vt:lpstr>Tabla Comparativa 10 años</vt:lpstr>
      <vt:lpstr>Tabla Comparativa 25 años</vt:lpstr>
      <vt:lpstr>Gráfica 10 años</vt:lpstr>
      <vt:lpstr>Gráfica 25 años</vt:lpstr>
      <vt:lpstr>Detalle</vt:lpstr>
      <vt:lpstr>'Tabla Comparativa 25 años'!Área_de_impresión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NOSTI HERRERA</dc:creator>
  <cp:lastModifiedBy>Susana López</cp:lastModifiedBy>
  <cp:lastPrinted>2024-10-15T15:10:51Z</cp:lastPrinted>
  <dcterms:created xsi:type="dcterms:W3CDTF">2023-01-24T21:38:50Z</dcterms:created>
  <dcterms:modified xsi:type="dcterms:W3CDTF">2025-08-01T14:46:57Z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5d8fbb-efa1-41c2-817b-6c07e9048b83_Enabled">
    <vt:lpwstr>true</vt:lpwstr>
  </property>
  <property fmtid="{D5CDD505-2E9C-101B-9397-08002B2CF9AE}" pid="3" name="MSIP_Label_755d8fbb-efa1-41c2-817b-6c07e9048b83_SetDate">
    <vt:lpwstr>2023-10-18T02:51:06Z</vt:lpwstr>
  </property>
  <property fmtid="{D5CDD505-2E9C-101B-9397-08002B2CF9AE}" pid="4" name="MSIP_Label_755d8fbb-efa1-41c2-817b-6c07e9048b83_Method">
    <vt:lpwstr>Standard</vt:lpwstr>
  </property>
  <property fmtid="{D5CDD505-2E9C-101B-9397-08002B2CF9AE}" pid="5" name="MSIP_Label_755d8fbb-efa1-41c2-817b-6c07e9048b83_Name">
    <vt:lpwstr>Interna</vt:lpwstr>
  </property>
  <property fmtid="{D5CDD505-2E9C-101B-9397-08002B2CF9AE}" pid="6" name="MSIP_Label_755d8fbb-efa1-41c2-817b-6c07e9048b83_SiteId">
    <vt:lpwstr>d91b9324-ead4-40a4-9224-751e8515822b</vt:lpwstr>
  </property>
  <property fmtid="{D5CDD505-2E9C-101B-9397-08002B2CF9AE}" pid="7" name="MSIP_Label_755d8fbb-efa1-41c2-817b-6c07e9048b83_ActionId">
    <vt:lpwstr>47ba8c3e-87c5-49fb-998d-5f4e950ec033</vt:lpwstr>
  </property>
  <property fmtid="{D5CDD505-2E9C-101B-9397-08002B2CF9AE}" pid="8" name="MSIP_Label_755d8fbb-efa1-41c2-817b-6c07e9048b83_ContentBits">
    <vt:lpwstr>0</vt:lpwstr>
  </property>
  <property fmtid="{D5CDD505-2E9C-101B-9397-08002B2CF9AE}" pid="9" name="ContentTypeId">
    <vt:lpwstr>0x010100559A7844072F4D48A6E662E39F6E112F</vt:lpwstr>
  </property>
</Properties>
</file>